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40" windowWidth="13260" windowHeight="9860" tabRatio="722" activeTab="7"/>
  </bookViews>
  <sheets>
    <sheet name="Main Menu" sheetId="57" r:id="rId1"/>
    <sheet name="Instructions" sheetId="59" r:id="rId2"/>
    <sheet name="Glossary" sheetId="66" r:id="rId3"/>
    <sheet name="Utility Information" sheetId="51" r:id="rId4"/>
    <sheet name="Program Descriptions" sheetId="52" r:id="rId5"/>
    <sheet name="Definition" sheetId="98" r:id="rId6"/>
    <sheet name="Budgets" sheetId="53" r:id="rId7"/>
    <sheet name="Savings &amp; Participants" sheetId="54" r:id="rId8"/>
    <sheet name="Training" sheetId="55" r:id="rId9"/>
    <sheet name="External" sheetId="69" r:id="rId10"/>
    <sheet name="Internal" sheetId="70" r:id="rId11"/>
    <sheet name="Tab1" sheetId="56" state="hidden" r:id="rId12"/>
    <sheet name="Actual Expenses" sheetId="60" r:id="rId13"/>
    <sheet name="Rec2" sheetId="71" r:id="rId14"/>
    <sheet name="Evaluated Savings" sheetId="61" r:id="rId15"/>
    <sheet name="Savings Methodology" sheetId="72" r:id="rId16"/>
    <sheet name="Tab 2" sheetId="58" state="hidden" r:id="rId17"/>
    <sheet name="Tab 3" sheetId="62" state="hidden" r:id="rId18"/>
    <sheet name="Tab 4" sheetId="63" state="hidden" r:id="rId19"/>
    <sheet name="Tab 5" sheetId="64" state="hidden" r:id="rId20"/>
    <sheet name="Prior Years" sheetId="75" r:id="rId21"/>
    <sheet name="List" sheetId="65" r:id="rId22"/>
    <sheet name="Cost" sheetId="49" r:id="rId23"/>
    <sheet name="Data" sheetId="78" state="hidden" r:id="rId24"/>
    <sheet name="Tables" sheetId="79" state="hidden" r:id="rId25"/>
    <sheet name="Table 1" sheetId="76" r:id="rId26"/>
    <sheet name="Table 2" sheetId="94" r:id="rId27"/>
    <sheet name="Table 3" sheetId="80" r:id="rId28"/>
    <sheet name="Table 4" sheetId="95" r:id="rId29"/>
    <sheet name="Table 5" sheetId="86" r:id="rId30"/>
    <sheet name="Report 1" sheetId="83" r:id="rId31"/>
    <sheet name="Report 2" sheetId="96" r:id="rId32"/>
    <sheet name="Report 4" sheetId="91" r:id="rId33"/>
    <sheet name="Next Years" sheetId="87" r:id="rId34"/>
    <sheet name="Titles" sheetId="45" state="hidden" r:id="rId35"/>
  </sheets>
  <definedNames>
    <definedName name="D_Channel">OFFSET(List!$E$4,0,0,COUNTA(List!$E$4:$E$107),1)</definedName>
    <definedName name="Prg_Names">Data!$B$4:$B$10</definedName>
    <definedName name="Prg_Type">OFFSET(List!$D$4,0,0,COUNTA(List!$D$4:$D$107),1)</definedName>
    <definedName name="_xlnm.Print_Titles" localSheetId="12">'Actual Expenses'!$4:$4</definedName>
    <definedName name="_xlnm.Print_Titles" localSheetId="5">Definition!$1:$2</definedName>
    <definedName name="_xlnm.Print_Titles" localSheetId="2">Glossary!$1:$2</definedName>
    <definedName name="Sector_Type">OFFSET(List!$B$4,0,0,COUNTA(List!$B$4:$B$107),1)</definedName>
    <definedName name="Utility_Type">Titles!$B$20:$B$21</definedName>
  </definedNames>
  <calcPr calcId="145621" concurrentCalc="0"/>
</workbook>
</file>

<file path=xl/calcChain.xml><?xml version="1.0" encoding="utf-8"?>
<calcChain xmlns="http://schemas.openxmlformats.org/spreadsheetml/2006/main">
  <c r="M27" i="69" l="1"/>
  <c r="K6" i="69"/>
  <c r="K7" i="69"/>
  <c r="K8" i="69"/>
  <c r="K9" i="69"/>
  <c r="K10" i="69"/>
  <c r="K11" i="69"/>
  <c r="K12" i="69"/>
  <c r="K13" i="69"/>
  <c r="K14" i="69"/>
  <c r="K15" i="69"/>
  <c r="K16" i="69"/>
  <c r="K17" i="69"/>
  <c r="K18" i="69"/>
  <c r="K19" i="69"/>
  <c r="K20" i="69"/>
  <c r="I27" i="69"/>
  <c r="C6" i="69"/>
  <c r="C7" i="69"/>
  <c r="C8" i="69"/>
  <c r="C9" i="69"/>
  <c r="C10" i="69"/>
  <c r="C11" i="69"/>
  <c r="C12" i="69"/>
  <c r="C13" i="69"/>
  <c r="C14" i="69"/>
  <c r="C15" i="69"/>
  <c r="C16" i="69"/>
  <c r="C17" i="69"/>
  <c r="C18" i="69"/>
  <c r="C19" i="69"/>
  <c r="C20" i="69"/>
  <c r="C21" i="69"/>
  <c r="C22" i="69"/>
  <c r="C23" i="69"/>
  <c r="C24" i="69"/>
  <c r="C25" i="69"/>
  <c r="C26" i="69"/>
  <c r="C5" i="69"/>
  <c r="C6" i="70"/>
  <c r="C7" i="70"/>
  <c r="C8" i="70"/>
  <c r="C9" i="70"/>
  <c r="C10" i="70"/>
  <c r="C11" i="70"/>
  <c r="C4" i="69"/>
  <c r="E27" i="69"/>
  <c r="D6" i="55"/>
  <c r="I13" i="91"/>
  <c r="G13" i="91"/>
  <c r="I5" i="91"/>
  <c r="G5" i="91"/>
  <c r="F5" i="96"/>
  <c r="F5" i="83"/>
  <c r="D57" i="87"/>
  <c r="E57" i="87"/>
  <c r="D58" i="87"/>
  <c r="E58" i="87"/>
  <c r="E56" i="87"/>
  <c r="D56" i="87"/>
  <c r="D51" i="87"/>
  <c r="E51" i="87"/>
  <c r="D52" i="87"/>
  <c r="E52" i="87"/>
  <c r="D53" i="87"/>
  <c r="E53" i="87"/>
  <c r="E50" i="87"/>
  <c r="D50" i="87"/>
  <c r="D43" i="87"/>
  <c r="E43" i="87"/>
  <c r="D44" i="87"/>
  <c r="E44" i="87"/>
  <c r="E42" i="87"/>
  <c r="D42" i="87"/>
  <c r="D37" i="87"/>
  <c r="E37" i="87"/>
  <c r="D38" i="87"/>
  <c r="E38" i="87"/>
  <c r="D39" i="87"/>
  <c r="E39" i="87"/>
  <c r="E36" i="87"/>
  <c r="D36" i="87"/>
  <c r="D29" i="87"/>
  <c r="E29" i="87"/>
  <c r="D30" i="87"/>
  <c r="E30" i="87"/>
  <c r="E28" i="87"/>
  <c r="D28" i="87"/>
  <c r="D23" i="87"/>
  <c r="E23" i="87"/>
  <c r="D24" i="87"/>
  <c r="E24" i="87"/>
  <c r="D25" i="87"/>
  <c r="E25" i="87"/>
  <c r="E22" i="87"/>
  <c r="D22" i="87"/>
  <c r="D14" i="87"/>
  <c r="E14" i="87"/>
  <c r="D15" i="87"/>
  <c r="E15" i="87"/>
  <c r="D16" i="87"/>
  <c r="E16" i="87"/>
  <c r="E13" i="87"/>
  <c r="D13" i="87"/>
  <c r="D7" i="87"/>
  <c r="E7" i="87"/>
  <c r="D8" i="87"/>
  <c r="E8" i="87"/>
  <c r="D9" i="87"/>
  <c r="E9" i="87"/>
  <c r="D10" i="87"/>
  <c r="E10" i="87"/>
  <c r="E6" i="87"/>
  <c r="D6" i="87"/>
  <c r="K10" i="96"/>
  <c r="H10" i="96"/>
  <c r="E10" i="96"/>
  <c r="O8" i="78"/>
  <c r="O9" i="78"/>
  <c r="O10" i="78"/>
  <c r="O4" i="78"/>
  <c r="O5" i="78"/>
  <c r="O6" i="78"/>
  <c r="O7" i="78"/>
  <c r="N9" i="78"/>
  <c r="N10" i="78"/>
  <c r="N8" i="78"/>
  <c r="N6" i="78"/>
  <c r="N7" i="78"/>
  <c r="N5" i="78"/>
  <c r="N4" i="78"/>
  <c r="E11" i="95"/>
  <c r="E12" i="95"/>
  <c r="C25" i="79"/>
  <c r="C24" i="79"/>
  <c r="F11" i="94"/>
  <c r="E13" i="95"/>
  <c r="F12" i="76"/>
  <c r="E13" i="80"/>
  <c r="E18" i="72"/>
  <c r="F18" i="72"/>
  <c r="G18" i="72"/>
  <c r="E9" i="72"/>
  <c r="F9" i="72"/>
  <c r="G9" i="72"/>
  <c r="E14" i="72"/>
  <c r="G14" i="72"/>
  <c r="E4" i="72"/>
  <c r="E13" i="61"/>
  <c r="D13" i="61"/>
  <c r="C5" i="61"/>
  <c r="E5" i="61"/>
  <c r="D5" i="61"/>
  <c r="E10" i="54"/>
  <c r="E17" i="54"/>
  <c r="H11" i="53"/>
  <c r="E4" i="52"/>
  <c r="E30" i="78"/>
  <c r="E31" i="78"/>
  <c r="E32" i="78"/>
  <c r="E33" i="78"/>
  <c r="E34" i="78"/>
  <c r="E35" i="78"/>
  <c r="F29" i="78"/>
  <c r="E29" i="78"/>
  <c r="M21" i="78"/>
  <c r="G57" i="87"/>
  <c r="M22" i="78"/>
  <c r="G58" i="87"/>
  <c r="M20" i="78"/>
  <c r="H34" i="79"/>
  <c r="J7" i="96"/>
  <c r="K7" i="96"/>
  <c r="M17" i="78"/>
  <c r="G51" i="87"/>
  <c r="M18" i="78"/>
  <c r="G52" i="87"/>
  <c r="H32" i="79"/>
  <c r="J9" i="83"/>
  <c r="M19" i="78"/>
  <c r="G53" i="87"/>
  <c r="M16" i="78"/>
  <c r="G50" i="87"/>
  <c r="L16" i="78"/>
  <c r="G22" i="87"/>
  <c r="L17" i="78"/>
  <c r="G23" i="87"/>
  <c r="L18" i="78"/>
  <c r="F32" i="79"/>
  <c r="G9" i="83"/>
  <c r="L19" i="78"/>
  <c r="G25" i="87"/>
  <c r="F33" i="79"/>
  <c r="G10" i="83"/>
  <c r="L20" i="78"/>
  <c r="G28" i="87"/>
  <c r="L21" i="78"/>
  <c r="F35" i="79"/>
  <c r="G8" i="96"/>
  <c r="L22" i="78"/>
  <c r="G30" i="87"/>
  <c r="K21" i="78"/>
  <c r="G43" i="87"/>
  <c r="K22" i="78"/>
  <c r="G44" i="87"/>
  <c r="K20" i="78"/>
  <c r="G42" i="87"/>
  <c r="K17" i="78"/>
  <c r="G37" i="87"/>
  <c r="K18" i="78"/>
  <c r="G38" i="87"/>
  <c r="K19" i="78"/>
  <c r="G39" i="87"/>
  <c r="K16" i="78"/>
  <c r="G36" i="87"/>
  <c r="K9" i="78"/>
  <c r="F43" i="87"/>
  <c r="L9" i="78"/>
  <c r="E35" i="79"/>
  <c r="F8" i="96"/>
  <c r="M9" i="78"/>
  <c r="F57" i="87"/>
  <c r="K10" i="78"/>
  <c r="F44" i="87"/>
  <c r="L10" i="78"/>
  <c r="F30" i="87"/>
  <c r="M10" i="78"/>
  <c r="F58" i="87"/>
  <c r="M8" i="78"/>
  <c r="G34" i="79"/>
  <c r="I7" i="96"/>
  <c r="L8" i="78"/>
  <c r="E34" i="79"/>
  <c r="F7" i="96"/>
  <c r="K8" i="78"/>
  <c r="F42" i="87"/>
  <c r="K5" i="78"/>
  <c r="F37" i="87"/>
  <c r="L5" i="78"/>
  <c r="F23" i="87"/>
  <c r="M5" i="78"/>
  <c r="F51" i="87"/>
  <c r="K6" i="78"/>
  <c r="F38" i="87"/>
  <c r="L6" i="78"/>
  <c r="E32" i="79"/>
  <c r="F9" i="83"/>
  <c r="M6" i="78"/>
  <c r="F52" i="87"/>
  <c r="K7" i="78"/>
  <c r="F39" i="87"/>
  <c r="L7" i="78"/>
  <c r="F25" i="87"/>
  <c r="M7" i="78"/>
  <c r="F53" i="87"/>
  <c r="M4" i="78"/>
  <c r="G30" i="79"/>
  <c r="I7" i="83"/>
  <c r="L4" i="78"/>
  <c r="F22" i="87"/>
  <c r="K4" i="78"/>
  <c r="F36" i="87"/>
  <c r="M3" i="78"/>
  <c r="L3" i="78"/>
  <c r="K3" i="78"/>
  <c r="F4" i="78"/>
  <c r="J4" i="78"/>
  <c r="G4" i="78"/>
  <c r="H4" i="78"/>
  <c r="I4" i="78"/>
  <c r="F5" i="78"/>
  <c r="G5" i="78"/>
  <c r="H5" i="78"/>
  <c r="I5" i="78"/>
  <c r="F6" i="78"/>
  <c r="J6" i="78"/>
  <c r="G6" i="78"/>
  <c r="H6" i="78"/>
  <c r="I6" i="78"/>
  <c r="F7" i="78"/>
  <c r="J7" i="78"/>
  <c r="G7" i="78"/>
  <c r="H7" i="78"/>
  <c r="I7" i="78"/>
  <c r="F8" i="78"/>
  <c r="G8" i="78"/>
  <c r="H8" i="78"/>
  <c r="I8" i="78"/>
  <c r="F9" i="78"/>
  <c r="G9" i="78"/>
  <c r="H9" i="78"/>
  <c r="I9" i="78"/>
  <c r="F10" i="78"/>
  <c r="J10" i="78"/>
  <c r="G10" i="78"/>
  <c r="H10" i="78"/>
  <c r="I10" i="78"/>
  <c r="E9" i="78"/>
  <c r="J9" i="78"/>
  <c r="F14" i="87"/>
  <c r="E10" i="78"/>
  <c r="E8" i="78"/>
  <c r="J8" i="78"/>
  <c r="C34" i="79"/>
  <c r="C7" i="96"/>
  <c r="E5" i="78"/>
  <c r="E6" i="78"/>
  <c r="E7" i="78"/>
  <c r="E4" i="78"/>
  <c r="E11" i="78"/>
  <c r="D4" i="78"/>
  <c r="D5" i="78"/>
  <c r="D17" i="78"/>
  <c r="C4" i="78"/>
  <c r="C4" i="79"/>
  <c r="C8" i="76"/>
  <c r="E13" i="54"/>
  <c r="D13" i="54"/>
  <c r="E5" i="54"/>
  <c r="D5" i="54"/>
  <c r="D14" i="72"/>
  <c r="G17" i="61"/>
  <c r="E17" i="61"/>
  <c r="D17" i="61"/>
  <c r="G10" i="61"/>
  <c r="E10" i="61"/>
  <c r="D10" i="61"/>
  <c r="E45" i="60"/>
  <c r="F45" i="60"/>
  <c r="G45" i="60"/>
  <c r="H45" i="60"/>
  <c r="E46" i="60"/>
  <c r="F46" i="60"/>
  <c r="G46" i="60"/>
  <c r="H46" i="60"/>
  <c r="E47" i="60"/>
  <c r="F47" i="60"/>
  <c r="G47" i="60"/>
  <c r="H47" i="60"/>
  <c r="D46" i="60"/>
  <c r="D47" i="60"/>
  <c r="D45" i="60"/>
  <c r="I23" i="60"/>
  <c r="E24" i="60"/>
  <c r="F24" i="60"/>
  <c r="G24" i="60"/>
  <c r="H24" i="60"/>
  <c r="E25" i="60"/>
  <c r="F25" i="60"/>
  <c r="G25" i="60"/>
  <c r="H25" i="60"/>
  <c r="E26" i="60"/>
  <c r="F26" i="60"/>
  <c r="G26" i="60"/>
  <c r="H26" i="60"/>
  <c r="D25" i="60"/>
  <c r="J25" i="60"/>
  <c r="D26" i="60"/>
  <c r="D24" i="60"/>
  <c r="I27" i="60"/>
  <c r="G12" i="76"/>
  <c r="J26" i="60"/>
  <c r="H27" i="60"/>
  <c r="G27" i="60"/>
  <c r="F27" i="60"/>
  <c r="E27" i="60"/>
  <c r="C38" i="60"/>
  <c r="C34" i="60"/>
  <c r="C30" i="60"/>
  <c r="C29" i="60"/>
  <c r="C18" i="60"/>
  <c r="C14" i="60"/>
  <c r="C10" i="60"/>
  <c r="C6" i="60"/>
  <c r="C5" i="60"/>
  <c r="D4" i="71"/>
  <c r="G17" i="54"/>
  <c r="D17" i="54"/>
  <c r="G10" i="54"/>
  <c r="D10" i="54"/>
  <c r="E18" i="53"/>
  <c r="F18" i="53"/>
  <c r="G18" i="53"/>
  <c r="H18" i="53"/>
  <c r="D18" i="53"/>
  <c r="E10" i="53"/>
  <c r="F10" i="53"/>
  <c r="G10" i="53"/>
  <c r="H10" i="53"/>
  <c r="D10" i="53"/>
  <c r="C15" i="87"/>
  <c r="C30" i="87"/>
  <c r="C44" i="87"/>
  <c r="C14" i="87"/>
  <c r="C57" i="87"/>
  <c r="C13" i="87"/>
  <c r="C28" i="87"/>
  <c r="C42" i="87"/>
  <c r="C12" i="87"/>
  <c r="C55" i="87"/>
  <c r="C9" i="87"/>
  <c r="C53" i="87"/>
  <c r="C8" i="87"/>
  <c r="C24" i="87"/>
  <c r="C38" i="87"/>
  <c r="C7" i="87"/>
  <c r="C51" i="87"/>
  <c r="C6" i="87"/>
  <c r="C22" i="87"/>
  <c r="C36" i="87"/>
  <c r="C5" i="87"/>
  <c r="C49" i="87"/>
  <c r="O29" i="78"/>
  <c r="P29" i="78"/>
  <c r="Q29" i="78"/>
  <c r="R29" i="78"/>
  <c r="O30" i="78"/>
  <c r="P30" i="78"/>
  <c r="Q30" i="78"/>
  <c r="R30" i="78"/>
  <c r="O31" i="78"/>
  <c r="P31" i="78"/>
  <c r="Q31" i="78"/>
  <c r="R31" i="78"/>
  <c r="O32" i="78"/>
  <c r="P32" i="78"/>
  <c r="Q32" i="78"/>
  <c r="R32" i="78"/>
  <c r="O33" i="78"/>
  <c r="P33" i="78"/>
  <c r="Q33" i="78"/>
  <c r="R33" i="78"/>
  <c r="O34" i="78"/>
  <c r="P34" i="78"/>
  <c r="Q34" i="78"/>
  <c r="R34" i="78"/>
  <c r="O35" i="78"/>
  <c r="P35" i="78"/>
  <c r="Q35" i="78"/>
  <c r="R35" i="78"/>
  <c r="M10" i="86"/>
  <c r="K29" i="78"/>
  <c r="L29" i="78"/>
  <c r="M29" i="78"/>
  <c r="N29" i="78"/>
  <c r="K30" i="78"/>
  <c r="L30" i="78"/>
  <c r="M30" i="78"/>
  <c r="N30" i="78"/>
  <c r="K31" i="78"/>
  <c r="L31" i="78"/>
  <c r="M31" i="78"/>
  <c r="N31" i="78"/>
  <c r="K32" i="78"/>
  <c r="L32" i="78"/>
  <c r="M32" i="78"/>
  <c r="N32" i="78"/>
  <c r="K33" i="78"/>
  <c r="L33" i="78"/>
  <c r="M33" i="78"/>
  <c r="N33" i="78"/>
  <c r="K34" i="78"/>
  <c r="L34" i="78"/>
  <c r="M34" i="78"/>
  <c r="N34" i="78"/>
  <c r="K35" i="78"/>
  <c r="L35" i="78"/>
  <c r="J9" i="86"/>
  <c r="M35" i="78"/>
  <c r="N35" i="78"/>
  <c r="J10" i="86"/>
  <c r="G29" i="78"/>
  <c r="H29" i="78"/>
  <c r="I29" i="78"/>
  <c r="J29" i="78"/>
  <c r="G30" i="78"/>
  <c r="H30" i="78"/>
  <c r="I30" i="78"/>
  <c r="J30" i="78"/>
  <c r="G31" i="78"/>
  <c r="H31" i="78"/>
  <c r="I31" i="78"/>
  <c r="J31" i="78"/>
  <c r="G32" i="78"/>
  <c r="H32" i="78"/>
  <c r="I32" i="78"/>
  <c r="J32" i="78"/>
  <c r="G33" i="78"/>
  <c r="H33" i="78"/>
  <c r="I33" i="78"/>
  <c r="J33" i="78"/>
  <c r="G34" i="78"/>
  <c r="H34" i="78"/>
  <c r="I34" i="78"/>
  <c r="J34" i="78"/>
  <c r="G35" i="78"/>
  <c r="H35" i="78"/>
  <c r="I35" i="78"/>
  <c r="J35" i="78"/>
  <c r="C29" i="78"/>
  <c r="D29" i="78"/>
  <c r="C30" i="78"/>
  <c r="D30" i="78"/>
  <c r="F30" i="78"/>
  <c r="C31" i="78"/>
  <c r="D31" i="78"/>
  <c r="F31" i="78"/>
  <c r="C32" i="78"/>
  <c r="D32" i="78"/>
  <c r="F32" i="78"/>
  <c r="C33" i="78"/>
  <c r="D33" i="78"/>
  <c r="F33" i="78"/>
  <c r="C34" i="78"/>
  <c r="D34" i="78"/>
  <c r="F34" i="78"/>
  <c r="C35" i="78"/>
  <c r="D35" i="78"/>
  <c r="F35" i="78"/>
  <c r="B28" i="78"/>
  <c r="C7" i="75"/>
  <c r="C23" i="75"/>
  <c r="C37" i="75"/>
  <c r="C8" i="75"/>
  <c r="C24" i="75"/>
  <c r="C38" i="75"/>
  <c r="C9" i="75"/>
  <c r="C25" i="75"/>
  <c r="C39" i="75"/>
  <c r="C12" i="75"/>
  <c r="C41" i="75"/>
  <c r="C13" i="75"/>
  <c r="C28" i="75"/>
  <c r="C42" i="75"/>
  <c r="C14" i="75"/>
  <c r="C29" i="75"/>
  <c r="C43" i="75"/>
  <c r="C15" i="75"/>
  <c r="C30" i="75"/>
  <c r="C44" i="75"/>
  <c r="C5" i="75"/>
  <c r="C35" i="75"/>
  <c r="C6" i="75"/>
  <c r="C22" i="75"/>
  <c r="C36" i="75"/>
  <c r="J7" i="91"/>
  <c r="H7" i="91"/>
  <c r="J9" i="91"/>
  <c r="H9" i="91"/>
  <c r="L9" i="91"/>
  <c r="H15" i="91"/>
  <c r="H17" i="91"/>
  <c r="L17" i="91"/>
  <c r="C15" i="78"/>
  <c r="D15" i="78"/>
  <c r="B15" i="78"/>
  <c r="B4" i="78"/>
  <c r="I7" i="86"/>
  <c r="B7" i="91"/>
  <c r="C7" i="91"/>
  <c r="I7" i="91"/>
  <c r="G7" i="91"/>
  <c r="K7" i="91"/>
  <c r="B5" i="78"/>
  <c r="B8" i="91"/>
  <c r="I8" i="91"/>
  <c r="G8" i="91"/>
  <c r="K8" i="91"/>
  <c r="B6" i="78"/>
  <c r="B9" i="91"/>
  <c r="I9" i="91"/>
  <c r="G9" i="91"/>
  <c r="K9" i="91"/>
  <c r="B7" i="78"/>
  <c r="B10" i="91"/>
  <c r="I10" i="91"/>
  <c r="G10" i="91"/>
  <c r="B8" i="78"/>
  <c r="B8" i="79"/>
  <c r="B15" i="91"/>
  <c r="K15" i="91"/>
  <c r="B9" i="78"/>
  <c r="B9" i="79"/>
  <c r="I16" i="91"/>
  <c r="K16" i="91"/>
  <c r="B10" i="78"/>
  <c r="B10" i="79"/>
  <c r="B17" i="91"/>
  <c r="M15" i="78"/>
  <c r="L15" i="78"/>
  <c r="K15" i="78"/>
  <c r="J3" i="78"/>
  <c r="J15" i="78"/>
  <c r="D5" i="72"/>
  <c r="H5" i="72"/>
  <c r="D6" i="72"/>
  <c r="H6" i="72"/>
  <c r="D7" i="72"/>
  <c r="H7" i="72"/>
  <c r="D8" i="72"/>
  <c r="H8" i="72"/>
  <c r="D15" i="72"/>
  <c r="H15" i="72"/>
  <c r="D16" i="72"/>
  <c r="H16" i="72"/>
  <c r="D17" i="72"/>
  <c r="H17" i="72"/>
  <c r="D4" i="72"/>
  <c r="C6" i="61"/>
  <c r="C7" i="61"/>
  <c r="C8" i="61"/>
  <c r="C9" i="61"/>
  <c r="C13" i="61"/>
  <c r="C14" i="61"/>
  <c r="C15" i="61"/>
  <c r="C16" i="61"/>
  <c r="D13" i="71"/>
  <c r="D12" i="71"/>
  <c r="D11" i="71"/>
  <c r="D10" i="71"/>
  <c r="D8" i="71"/>
  <c r="D7" i="71"/>
  <c r="D6" i="71"/>
  <c r="D5" i="71"/>
  <c r="I48" i="60"/>
  <c r="G11" i="94"/>
  <c r="I44" i="60"/>
  <c r="I41" i="60"/>
  <c r="I40" i="60"/>
  <c r="I39" i="60"/>
  <c r="H38" i="60"/>
  <c r="I22" i="78"/>
  <c r="G38" i="60"/>
  <c r="H22" i="78"/>
  <c r="F38" i="60"/>
  <c r="G22" i="78"/>
  <c r="E38" i="60"/>
  <c r="F22" i="78"/>
  <c r="D38" i="60"/>
  <c r="E22" i="78"/>
  <c r="I37" i="60"/>
  <c r="I36" i="60"/>
  <c r="I35" i="60"/>
  <c r="H34" i="60"/>
  <c r="I21" i="78"/>
  <c r="G34" i="60"/>
  <c r="H21" i="78"/>
  <c r="F34" i="60"/>
  <c r="G21" i="78"/>
  <c r="E34" i="60"/>
  <c r="F21" i="78"/>
  <c r="D34" i="60"/>
  <c r="E21" i="78"/>
  <c r="I33" i="60"/>
  <c r="I32" i="60"/>
  <c r="I31" i="60"/>
  <c r="H30" i="60"/>
  <c r="I20" i="78"/>
  <c r="G30" i="60"/>
  <c r="H20" i="78"/>
  <c r="F30" i="60"/>
  <c r="G20" i="78"/>
  <c r="E30" i="60"/>
  <c r="F20" i="78"/>
  <c r="D30" i="60"/>
  <c r="E20" i="78"/>
  <c r="I21" i="60"/>
  <c r="I20" i="60"/>
  <c r="I19" i="60"/>
  <c r="H18" i="60"/>
  <c r="I19" i="78"/>
  <c r="G18" i="60"/>
  <c r="H19" i="78"/>
  <c r="F18" i="60"/>
  <c r="G19" i="78"/>
  <c r="E18" i="60"/>
  <c r="F19" i="78"/>
  <c r="D18" i="60"/>
  <c r="E19" i="78"/>
  <c r="I17" i="60"/>
  <c r="I16" i="60"/>
  <c r="I15" i="60"/>
  <c r="H14" i="60"/>
  <c r="I18" i="78"/>
  <c r="G14" i="60"/>
  <c r="H18" i="78"/>
  <c r="F14" i="60"/>
  <c r="G18" i="78"/>
  <c r="E14" i="60"/>
  <c r="F18" i="78"/>
  <c r="D14" i="60"/>
  <c r="E18" i="78"/>
  <c r="I13" i="60"/>
  <c r="I12" i="60"/>
  <c r="I11" i="60"/>
  <c r="H10" i="60"/>
  <c r="I17" i="78"/>
  <c r="G10" i="60"/>
  <c r="H17" i="78"/>
  <c r="F10" i="60"/>
  <c r="G17" i="78"/>
  <c r="E10" i="60"/>
  <c r="F17" i="78"/>
  <c r="D10" i="60"/>
  <c r="E17" i="78"/>
  <c r="I9" i="60"/>
  <c r="I8" i="60"/>
  <c r="I7" i="60"/>
  <c r="H6" i="60"/>
  <c r="I16" i="78"/>
  <c r="H48" i="60"/>
  <c r="G6" i="60"/>
  <c r="H16" i="78"/>
  <c r="F6" i="60"/>
  <c r="G16" i="78"/>
  <c r="F48" i="60"/>
  <c r="E6" i="60"/>
  <c r="F16" i="78"/>
  <c r="D6" i="60"/>
  <c r="E16" i="78"/>
  <c r="J47" i="60"/>
  <c r="H4" i="60"/>
  <c r="H23" i="60"/>
  <c r="H44" i="60"/>
  <c r="G4" i="60"/>
  <c r="G23" i="60"/>
  <c r="G44" i="60"/>
  <c r="F4" i="60"/>
  <c r="F23" i="60"/>
  <c r="F44" i="60"/>
  <c r="E4" i="60"/>
  <c r="E23" i="60"/>
  <c r="E44" i="60"/>
  <c r="D4" i="60"/>
  <c r="D23" i="60"/>
  <c r="D44" i="60"/>
  <c r="M12" i="70"/>
  <c r="G12" i="55"/>
  <c r="I12" i="70"/>
  <c r="E12" i="55"/>
  <c r="E12" i="70"/>
  <c r="D12" i="55"/>
  <c r="K11" i="70"/>
  <c r="K10" i="70"/>
  <c r="K9" i="70"/>
  <c r="K8" i="70"/>
  <c r="K7" i="70"/>
  <c r="K6" i="70"/>
  <c r="K12" i="70"/>
  <c r="F12" i="55"/>
  <c r="K5" i="70"/>
  <c r="K4" i="70"/>
  <c r="G6" i="55"/>
  <c r="E6" i="55"/>
  <c r="K5" i="69"/>
  <c r="K21" i="69"/>
  <c r="K22" i="69"/>
  <c r="K23" i="69"/>
  <c r="K24" i="69"/>
  <c r="K25" i="69"/>
  <c r="K26" i="69"/>
  <c r="K4" i="69"/>
  <c r="C30" i="59"/>
  <c r="C29" i="59"/>
  <c r="C28" i="59"/>
  <c r="C27" i="59"/>
  <c r="C26" i="59"/>
  <c r="C25" i="59"/>
  <c r="C16" i="54"/>
  <c r="C15" i="54"/>
  <c r="C14" i="54"/>
  <c r="C13" i="54"/>
  <c r="C9" i="54"/>
  <c r="C8" i="54"/>
  <c r="C7" i="54"/>
  <c r="C6" i="54"/>
  <c r="C5" i="54"/>
  <c r="H19" i="53"/>
  <c r="B11" i="96"/>
  <c r="I6" i="53"/>
  <c r="I7" i="53"/>
  <c r="I8" i="53"/>
  <c r="I9" i="53"/>
  <c r="I15" i="53"/>
  <c r="I16" i="53"/>
  <c r="I17" i="53"/>
  <c r="I18" i="53"/>
  <c r="I20" i="53"/>
  <c r="C5" i="53"/>
  <c r="C6" i="53"/>
  <c r="C7" i="53"/>
  <c r="C8" i="53"/>
  <c r="C9" i="53"/>
  <c r="C14" i="53"/>
  <c r="C15" i="53"/>
  <c r="C16" i="53"/>
  <c r="C17" i="53"/>
  <c r="H4" i="53"/>
  <c r="I3" i="78"/>
  <c r="I15" i="78"/>
  <c r="G4" i="53"/>
  <c r="H3" i="78"/>
  <c r="F4" i="53"/>
  <c r="G3" i="78"/>
  <c r="G15" i="78"/>
  <c r="E4" i="53"/>
  <c r="F3" i="78"/>
  <c r="D4" i="53"/>
  <c r="E3" i="78"/>
  <c r="E15" i="78"/>
  <c r="F2" i="45"/>
  <c r="B3" i="83"/>
  <c r="F1" i="45"/>
  <c r="J46" i="60"/>
  <c r="I14" i="60"/>
  <c r="I5" i="60"/>
  <c r="C58" i="75"/>
  <c r="C56" i="75"/>
  <c r="C52" i="75"/>
  <c r="C50" i="75"/>
  <c r="C57" i="75"/>
  <c r="C55" i="75"/>
  <c r="C53" i="75"/>
  <c r="C51" i="75"/>
  <c r="C49" i="75"/>
  <c r="C23" i="87"/>
  <c r="C37" i="87"/>
  <c r="C25" i="87"/>
  <c r="C39" i="87"/>
  <c r="C29" i="87"/>
  <c r="C43" i="87"/>
  <c r="C50" i="87"/>
  <c r="C52" i="87"/>
  <c r="C56" i="87"/>
  <c r="C58" i="87"/>
  <c r="B5" i="86"/>
  <c r="B35" i="78"/>
  <c r="B33" i="78"/>
  <c r="B31" i="78"/>
  <c r="B29" i="78"/>
  <c r="B34" i="78"/>
  <c r="B32" i="78"/>
  <c r="B30" i="78"/>
  <c r="B19" i="78"/>
  <c r="B17" i="78"/>
  <c r="B22" i="78"/>
  <c r="B20" i="78"/>
  <c r="B18" i="78"/>
  <c r="B16" i="78"/>
  <c r="E48" i="60"/>
  <c r="G48" i="60"/>
  <c r="I12" i="76"/>
  <c r="D8" i="91"/>
  <c r="H8" i="96"/>
  <c r="E8" i="79"/>
  <c r="F8" i="94"/>
  <c r="I11" i="94"/>
  <c r="C21" i="75"/>
  <c r="C27" i="75"/>
  <c r="H14" i="72"/>
  <c r="F14" i="72"/>
  <c r="J5" i="78"/>
  <c r="F7" i="87"/>
  <c r="G11" i="86"/>
  <c r="F11" i="86"/>
  <c r="L11" i="86"/>
  <c r="J11" i="86"/>
  <c r="M11" i="86"/>
  <c r="I11" i="86"/>
  <c r="H24" i="78"/>
  <c r="D24" i="79"/>
  <c r="F11" i="95"/>
  <c r="H23" i="78"/>
  <c r="D16" i="79"/>
  <c r="F11" i="80"/>
  <c r="I24" i="78"/>
  <c r="D25" i="79"/>
  <c r="F12" i="95"/>
  <c r="G24" i="78"/>
  <c r="D23" i="79"/>
  <c r="F10" i="95"/>
  <c r="I23" i="78"/>
  <c r="D17" i="79"/>
  <c r="F12" i="80"/>
  <c r="G23" i="78"/>
  <c r="D15" i="79"/>
  <c r="F10" i="80"/>
  <c r="H12" i="78"/>
  <c r="F12" i="78"/>
  <c r="C22" i="79"/>
  <c r="E9" i="95"/>
  <c r="H11" i="78"/>
  <c r="C16" i="79"/>
  <c r="E11" i="80"/>
  <c r="F11" i="78"/>
  <c r="C14" i="79"/>
  <c r="E9" i="80"/>
  <c r="E24" i="78"/>
  <c r="D21" i="79"/>
  <c r="F8" i="95"/>
  <c r="I12" i="78"/>
  <c r="G12" i="78"/>
  <c r="C23" i="79"/>
  <c r="E10" i="95"/>
  <c r="I11" i="78"/>
  <c r="C17" i="79"/>
  <c r="G11" i="78"/>
  <c r="C15" i="79"/>
  <c r="E10" i="80"/>
  <c r="E23" i="78"/>
  <c r="D13" i="79"/>
  <c r="C13" i="79"/>
  <c r="E8" i="80"/>
  <c r="E12" i="78"/>
  <c r="C21" i="79"/>
  <c r="E8" i="95"/>
  <c r="B4" i="79"/>
  <c r="B30" i="79"/>
  <c r="B7" i="83"/>
  <c r="B6" i="79"/>
  <c r="B7" i="79"/>
  <c r="B5" i="79"/>
  <c r="B15" i="79"/>
  <c r="B23" i="79"/>
  <c r="G4" i="72"/>
  <c r="L10" i="86"/>
  <c r="H4" i="72"/>
  <c r="H16" i="91"/>
  <c r="H10" i="91"/>
  <c r="H8" i="91"/>
  <c r="J16" i="91"/>
  <c r="J10" i="91"/>
  <c r="J8" i="91"/>
  <c r="L16" i="91"/>
  <c r="L8" i="91"/>
  <c r="D27" i="60"/>
  <c r="J24" i="60"/>
  <c r="J27" i="60"/>
  <c r="D48" i="60"/>
  <c r="J45" i="60"/>
  <c r="J48" i="60"/>
  <c r="B18" i="79"/>
  <c r="B26" i="79"/>
  <c r="I10" i="86"/>
  <c r="D10" i="86"/>
  <c r="F10" i="86"/>
  <c r="G10" i="86"/>
  <c r="H10" i="86"/>
  <c r="L9" i="86"/>
  <c r="C10" i="86"/>
  <c r="D9" i="86"/>
  <c r="G9" i="86"/>
  <c r="M9" i="86"/>
  <c r="N9" i="86"/>
  <c r="C9" i="86"/>
  <c r="F9" i="86"/>
  <c r="I9" i="86"/>
  <c r="B13" i="80"/>
  <c r="B13" i="95"/>
  <c r="F8" i="80"/>
  <c r="E12" i="80"/>
  <c r="B10" i="80"/>
  <c r="B10" i="95"/>
  <c r="B31" i="79"/>
  <c r="B8" i="83"/>
  <c r="B9" i="76"/>
  <c r="B32" i="79"/>
  <c r="B9" i="83"/>
  <c r="B10" i="76"/>
  <c r="B33" i="79"/>
  <c r="B10" i="83"/>
  <c r="B11" i="76"/>
  <c r="B8" i="76"/>
  <c r="F4" i="72"/>
  <c r="B30" i="60"/>
  <c r="B34" i="60"/>
  <c r="B38" i="60"/>
  <c r="E7" i="71"/>
  <c r="G7" i="71"/>
  <c r="E13" i="71"/>
  <c r="G13" i="71"/>
  <c r="K11" i="83"/>
  <c r="H9" i="83"/>
  <c r="E11" i="83"/>
  <c r="H11" i="83"/>
  <c r="C21" i="87"/>
  <c r="C35" i="87"/>
  <c r="C27" i="87"/>
  <c r="C41" i="87"/>
  <c r="E10" i="86"/>
  <c r="K9" i="86"/>
  <c r="K10" i="86"/>
  <c r="E9" i="86"/>
  <c r="N10" i="86"/>
  <c r="H9" i="86"/>
  <c r="L15" i="91"/>
  <c r="L7" i="91"/>
  <c r="L10" i="91"/>
  <c r="H30" i="79"/>
  <c r="J7" i="83"/>
  <c r="K7" i="83"/>
  <c r="J15" i="91"/>
  <c r="J17" i="91"/>
  <c r="F31" i="79"/>
  <c r="G8" i="83"/>
  <c r="I38" i="60"/>
  <c r="F24" i="78"/>
  <c r="D22" i="79"/>
  <c r="F9" i="95"/>
  <c r="J24" i="78"/>
  <c r="F23" i="78"/>
  <c r="D14" i="79"/>
  <c r="F9" i="80"/>
  <c r="I10" i="60"/>
  <c r="K27" i="69"/>
  <c r="F6" i="55"/>
  <c r="F9" i="87"/>
  <c r="E10" i="91"/>
  <c r="I10" i="53"/>
  <c r="I12" i="53"/>
  <c r="F8" i="87"/>
  <c r="E9" i="91"/>
  <c r="E6" i="79"/>
  <c r="F10" i="76"/>
  <c r="E5" i="79"/>
  <c r="F9" i="76"/>
  <c r="E8" i="91"/>
  <c r="F6" i="87"/>
  <c r="C11" i="86"/>
  <c r="E4" i="79"/>
  <c r="F8" i="76"/>
  <c r="E7" i="91"/>
  <c r="D16" i="78"/>
  <c r="D7" i="91"/>
  <c r="C16" i="78"/>
  <c r="F9" i="45"/>
  <c r="F7" i="45"/>
  <c r="D3" i="75"/>
  <c r="D5" i="80"/>
  <c r="F4" i="45"/>
  <c r="F5" i="76"/>
  <c r="F8" i="45"/>
  <c r="D3" i="87"/>
  <c r="B10" i="86"/>
  <c r="K17" i="91"/>
  <c r="K10" i="91"/>
  <c r="G17" i="91"/>
  <c r="I17" i="91"/>
  <c r="G16" i="91"/>
  <c r="G15" i="91"/>
  <c r="I15" i="91"/>
  <c r="K11" i="86"/>
  <c r="N11" i="86"/>
  <c r="H11" i="86"/>
  <c r="B21" i="78"/>
  <c r="B14" i="79"/>
  <c r="F15" i="78"/>
  <c r="E14" i="80"/>
  <c r="D8" i="80"/>
  <c r="H15" i="78"/>
  <c r="B16" i="79"/>
  <c r="J12" i="78"/>
  <c r="C36" i="79"/>
  <c r="C9" i="96"/>
  <c r="E10" i="79"/>
  <c r="F10" i="94"/>
  <c r="F15" i="87"/>
  <c r="H18" i="72"/>
  <c r="H9" i="72"/>
  <c r="B9" i="94"/>
  <c r="B35" i="79"/>
  <c r="B8" i="96"/>
  <c r="E14" i="95"/>
  <c r="B17" i="79"/>
  <c r="J23" i="78"/>
  <c r="E7" i="79"/>
  <c r="F11" i="76"/>
  <c r="F13" i="76"/>
  <c r="C31" i="79"/>
  <c r="C8" i="83"/>
  <c r="F5" i="45"/>
  <c r="I34" i="60"/>
  <c r="J17" i="78"/>
  <c r="J18" i="78"/>
  <c r="J19" i="78"/>
  <c r="J20" i="78"/>
  <c r="J21" i="78"/>
  <c r="J22" i="78"/>
  <c r="B36" i="79"/>
  <c r="B9" i="96"/>
  <c r="B10" i="94"/>
  <c r="C30" i="79"/>
  <c r="C7" i="83"/>
  <c r="I30" i="60"/>
  <c r="F5" i="94"/>
  <c r="B3" i="91"/>
  <c r="B9" i="86"/>
  <c r="B3" i="96"/>
  <c r="D5" i="95"/>
  <c r="B11" i="86"/>
  <c r="B12" i="83"/>
  <c r="F13" i="95"/>
  <c r="G16" i="87"/>
  <c r="D11" i="96"/>
  <c r="J11" i="78"/>
  <c r="B13" i="79"/>
  <c r="E17" i="91"/>
  <c r="C33" i="79"/>
  <c r="C10" i="83"/>
  <c r="I6" i="60"/>
  <c r="I18" i="60"/>
  <c r="E8" i="71"/>
  <c r="G8" i="71"/>
  <c r="J16" i="78"/>
  <c r="B16" i="91"/>
  <c r="B8" i="94"/>
  <c r="B34" i="79"/>
  <c r="B7" i="96"/>
  <c r="F13" i="80"/>
  <c r="G10" i="87"/>
  <c r="D6" i="78"/>
  <c r="D5" i="79"/>
  <c r="D9" i="76"/>
  <c r="D4" i="79"/>
  <c r="D8" i="76"/>
  <c r="C32" i="79"/>
  <c r="C9" i="83"/>
  <c r="E15" i="91"/>
  <c r="E16" i="91"/>
  <c r="F30" i="79"/>
  <c r="G7" i="83"/>
  <c r="H31" i="79"/>
  <c r="J8" i="83"/>
  <c r="E30" i="79"/>
  <c r="F7" i="83"/>
  <c r="G33" i="79"/>
  <c r="I10" i="83"/>
  <c r="F36" i="79"/>
  <c r="G9" i="96"/>
  <c r="H35" i="79"/>
  <c r="J8" i="96"/>
  <c r="F34" i="79"/>
  <c r="G7" i="96"/>
  <c r="C11" i="96"/>
  <c r="F10" i="87"/>
  <c r="F16" i="87"/>
  <c r="G24" i="87"/>
  <c r="F28" i="87"/>
  <c r="G29" i="87"/>
  <c r="F50" i="87"/>
  <c r="F56" i="87"/>
  <c r="E31" i="79"/>
  <c r="F8" i="83"/>
  <c r="H8" i="83"/>
  <c r="G32" i="79"/>
  <c r="I9" i="83"/>
  <c r="K9" i="83"/>
  <c r="C5" i="78"/>
  <c r="E9" i="79"/>
  <c r="F9" i="94"/>
  <c r="F12" i="94"/>
  <c r="E36" i="79"/>
  <c r="F9" i="96"/>
  <c r="F12" i="96"/>
  <c r="G35" i="79"/>
  <c r="I8" i="96"/>
  <c r="I12" i="96"/>
  <c r="C35" i="79"/>
  <c r="C8" i="96"/>
  <c r="F24" i="87"/>
  <c r="F29" i="87"/>
  <c r="G56" i="87"/>
  <c r="H33" i="79"/>
  <c r="J10" i="83"/>
  <c r="K10" i="83"/>
  <c r="E33" i="79"/>
  <c r="F10" i="83"/>
  <c r="H10" i="83"/>
  <c r="G31" i="79"/>
  <c r="I8" i="83"/>
  <c r="H36" i="79"/>
  <c r="J9" i="96"/>
  <c r="F13" i="87"/>
  <c r="F7" i="86"/>
  <c r="G36" i="79"/>
  <c r="I9" i="96"/>
  <c r="E6" i="71"/>
  <c r="G6" i="71"/>
  <c r="E12" i="71"/>
  <c r="G12" i="71"/>
  <c r="C12" i="96"/>
  <c r="F3" i="87"/>
  <c r="F19" i="87"/>
  <c r="F33" i="87"/>
  <c r="F47" i="87"/>
  <c r="D19" i="87"/>
  <c r="D33" i="87"/>
  <c r="D47" i="87"/>
  <c r="D19" i="75"/>
  <c r="D33" i="75"/>
  <c r="D47" i="75"/>
  <c r="F3" i="75"/>
  <c r="F19" i="75"/>
  <c r="F33" i="75"/>
  <c r="F47" i="75"/>
  <c r="I13" i="83"/>
  <c r="G12" i="96"/>
  <c r="H12" i="96"/>
  <c r="H7" i="96"/>
  <c r="F13" i="83"/>
  <c r="D7" i="78"/>
  <c r="D6" i="79"/>
  <c r="D10" i="76"/>
  <c r="D9" i="91"/>
  <c r="D18" i="78"/>
  <c r="E11" i="71"/>
  <c r="G11" i="71"/>
  <c r="E5" i="71"/>
  <c r="G5" i="71"/>
  <c r="F14" i="95"/>
  <c r="G13" i="95"/>
  <c r="D33" i="79"/>
  <c r="D10" i="83"/>
  <c r="E10" i="83"/>
  <c r="G9" i="87"/>
  <c r="F7" i="79"/>
  <c r="G11" i="76"/>
  <c r="I11" i="76"/>
  <c r="F10" i="91"/>
  <c r="B25" i="79"/>
  <c r="B12" i="80"/>
  <c r="B12" i="95"/>
  <c r="B24" i="79"/>
  <c r="B11" i="95"/>
  <c r="B11" i="80"/>
  <c r="C6" i="78"/>
  <c r="C5" i="79"/>
  <c r="C9" i="76"/>
  <c r="C8" i="91"/>
  <c r="C17" i="78"/>
  <c r="K8" i="96"/>
  <c r="K8" i="83"/>
  <c r="J13" i="83"/>
  <c r="K13" i="83"/>
  <c r="C13" i="83"/>
  <c r="D36" i="79"/>
  <c r="D9" i="96"/>
  <c r="E9" i="96"/>
  <c r="F10" i="79"/>
  <c r="G10" i="94"/>
  <c r="I10" i="94"/>
  <c r="F17" i="91"/>
  <c r="G15" i="87"/>
  <c r="F6" i="79"/>
  <c r="G10" i="76"/>
  <c r="I10" i="76"/>
  <c r="G8" i="87"/>
  <c r="D32" i="79"/>
  <c r="D9" i="83"/>
  <c r="E9" i="83"/>
  <c r="F9" i="91"/>
  <c r="D14" i="95"/>
  <c r="D12" i="95"/>
  <c r="D13" i="95"/>
  <c r="D8" i="95"/>
  <c r="D11" i="95"/>
  <c r="D10" i="95"/>
  <c r="D13" i="80"/>
  <c r="D12" i="80"/>
  <c r="D14" i="80"/>
  <c r="D10" i="80"/>
  <c r="K9" i="96"/>
  <c r="H9" i="96"/>
  <c r="G13" i="83"/>
  <c r="H7" i="83"/>
  <c r="D30" i="79"/>
  <c r="D7" i="83"/>
  <c r="F4" i="79"/>
  <c r="G8" i="76"/>
  <c r="G6" i="87"/>
  <c r="D11" i="86"/>
  <c r="E11" i="86"/>
  <c r="F7" i="91"/>
  <c r="J12" i="96"/>
  <c r="K12" i="96"/>
  <c r="F9" i="79"/>
  <c r="G9" i="94"/>
  <c r="I9" i="94"/>
  <c r="G14" i="87"/>
  <c r="D35" i="79"/>
  <c r="D8" i="96"/>
  <c r="E8" i="96"/>
  <c r="F16" i="91"/>
  <c r="D31" i="79"/>
  <c r="D8" i="83"/>
  <c r="E8" i="83"/>
  <c r="G7" i="87"/>
  <c r="F5" i="79"/>
  <c r="G9" i="76"/>
  <c r="I9" i="76"/>
  <c r="F8" i="91"/>
  <c r="F14" i="80"/>
  <c r="G13" i="80"/>
  <c r="B22" i="79"/>
  <c r="B9" i="80"/>
  <c r="B9" i="95"/>
  <c r="B21" i="79"/>
  <c r="B8" i="80"/>
  <c r="B8" i="95"/>
  <c r="G13" i="87"/>
  <c r="D34" i="79"/>
  <c r="D7" i="96"/>
  <c r="F8" i="79"/>
  <c r="G8" i="94"/>
  <c r="F15" i="91"/>
  <c r="D11" i="80"/>
  <c r="D9" i="80"/>
  <c r="D9" i="95"/>
  <c r="H13" i="83"/>
  <c r="G12" i="94"/>
  <c r="I12" i="94"/>
  <c r="I8" i="94"/>
  <c r="D8" i="78"/>
  <c r="D7" i="79"/>
  <c r="D11" i="76"/>
  <c r="D10" i="91"/>
  <c r="D19" i="78"/>
  <c r="D12" i="96"/>
  <c r="E12" i="96"/>
  <c r="E7" i="96"/>
  <c r="I8" i="76"/>
  <c r="G13" i="76"/>
  <c r="I13" i="76"/>
  <c r="C7" i="78"/>
  <c r="C6" i="79"/>
  <c r="C10" i="76"/>
  <c r="C9" i="91"/>
  <c r="C18" i="78"/>
  <c r="G14" i="95"/>
  <c r="G12" i="95"/>
  <c r="G8" i="95"/>
  <c r="G11" i="95"/>
  <c r="G10" i="95"/>
  <c r="G9" i="95"/>
  <c r="G14" i="80"/>
  <c r="G9" i="80"/>
  <c r="G11" i="80"/>
  <c r="G12" i="80"/>
  <c r="G8" i="80"/>
  <c r="G10" i="80"/>
  <c r="E7" i="83"/>
  <c r="D13" i="83"/>
  <c r="E13" i="83"/>
  <c r="C7" i="79"/>
  <c r="C11" i="76"/>
  <c r="C8" i="78"/>
  <c r="C19" i="78"/>
  <c r="C10" i="91"/>
  <c r="D8" i="79"/>
  <c r="D8" i="94"/>
  <c r="D9" i="78"/>
  <c r="D15" i="91"/>
  <c r="D20" i="78"/>
  <c r="D9" i="79"/>
  <c r="D9" i="94"/>
  <c r="D10" i="78"/>
  <c r="D16" i="91"/>
  <c r="D21" i="78"/>
  <c r="C9" i="78"/>
  <c r="C8" i="79"/>
  <c r="C8" i="94"/>
  <c r="C20" i="78"/>
  <c r="C15" i="91"/>
  <c r="D10" i="79"/>
  <c r="D10" i="94"/>
  <c r="D17" i="91"/>
  <c r="D22" i="78"/>
  <c r="C9" i="79"/>
  <c r="C9" i="94"/>
  <c r="C10" i="78"/>
  <c r="C16" i="91"/>
  <c r="C21" i="78"/>
  <c r="C10" i="79"/>
  <c r="C10" i="94"/>
  <c r="C17" i="91"/>
  <c r="C22" i="78"/>
</calcChain>
</file>

<file path=xl/sharedStrings.xml><?xml version="1.0" encoding="utf-8"?>
<sst xmlns="http://schemas.openxmlformats.org/spreadsheetml/2006/main" count="671" uniqueCount="344">
  <si>
    <t>Program Name</t>
  </si>
  <si>
    <t>Program Type</t>
  </si>
  <si>
    <t>Utility</t>
  </si>
  <si>
    <t>Administration</t>
  </si>
  <si>
    <t>Total</t>
  </si>
  <si>
    <t>kW</t>
  </si>
  <si>
    <t>kWh</t>
  </si>
  <si>
    <t>Energy Savings</t>
  </si>
  <si>
    <t>Program Year</t>
  </si>
  <si>
    <t>Docket</t>
  </si>
  <si>
    <t>Date Filed</t>
  </si>
  <si>
    <t>N/A</t>
  </si>
  <si>
    <t>Other</t>
  </si>
  <si>
    <t>Demand Response</t>
  </si>
  <si>
    <t>Training</t>
  </si>
  <si>
    <t>Small Business</t>
  </si>
  <si>
    <t>Demand</t>
  </si>
  <si>
    <t>Electric</t>
  </si>
  <si>
    <t>Therms</t>
  </si>
  <si>
    <t>Demand Savings</t>
  </si>
  <si>
    <t>******Single-Class******</t>
  </si>
  <si>
    <t>Utility Name</t>
  </si>
  <si>
    <t>Name of Contact</t>
  </si>
  <si>
    <t>Email Address</t>
  </si>
  <si>
    <t>Telephone Number</t>
  </si>
  <si>
    <t>Tab</t>
  </si>
  <si>
    <t>Program Descriptions</t>
  </si>
  <si>
    <t>Budgets</t>
  </si>
  <si>
    <t>Savings &amp; Participants</t>
  </si>
  <si>
    <t>Year</t>
  </si>
  <si>
    <t>Title 1</t>
  </si>
  <si>
    <t>Title 2</t>
  </si>
  <si>
    <t>EM&amp;V</t>
  </si>
  <si>
    <t>Regulatory</t>
  </si>
  <si>
    <t>EE Portfolio Information</t>
  </si>
  <si>
    <t>Program Year Evaluation</t>
  </si>
  <si>
    <t>Evaluated Savings</t>
  </si>
  <si>
    <t>Utilities</t>
  </si>
  <si>
    <t>Natural Gas</t>
  </si>
  <si>
    <t xml:space="preserve">Energy </t>
  </si>
  <si>
    <t>Program planning cost</t>
  </si>
  <si>
    <t>Program design cost</t>
  </si>
  <si>
    <t>Research and development cost</t>
  </si>
  <si>
    <t>Request for proposal preparation and evaluation</t>
  </si>
  <si>
    <t>Consultants used for program design and planning</t>
  </si>
  <si>
    <t>Interruptible credits or payments</t>
  </si>
  <si>
    <t>Utility company personnel training costs</t>
  </si>
  <si>
    <t>Outside counsel legal fees for EE dockets</t>
  </si>
  <si>
    <t>Travel costs related to EE dockets</t>
  </si>
  <si>
    <t>Participants</t>
  </si>
  <si>
    <t>Participant Definition</t>
  </si>
  <si>
    <t>Total:</t>
  </si>
  <si>
    <t>External Training</t>
  </si>
  <si>
    <t>Sessions</t>
  </si>
  <si>
    <t>Attendees</t>
  </si>
  <si>
    <t>Man Hours</t>
  </si>
  <si>
    <t>Certificates</t>
  </si>
  <si>
    <t>Cost</t>
  </si>
  <si>
    <t>Internal Training</t>
  </si>
  <si>
    <r>
      <rPr>
        <b/>
        <sz val="10"/>
        <color indexed="8"/>
        <rFont val="Arial"/>
        <family val="2"/>
      </rPr>
      <t>-Portfolio Information:</t>
    </r>
    <r>
      <rPr>
        <sz val="10"/>
        <color indexed="8"/>
        <rFont val="Arial"/>
        <family val="2"/>
      </rPr>
      <t xml:space="preserve"> Here the user can provide information such as Program Descriptions and the Plan Budgets and Savings. </t>
    </r>
  </si>
  <si>
    <t>Each tab in the workbook uses a menu bar at the top that has action buttons that the user can use to navigate through the various options.  The light blue cells are cells that require data from the user.  All other cells contain formulas and are locked to prevent the user from overwriting the formulas.  You can only enter data in the light blue cells.  Input the requested units as indicated by the workbook, for example if the request is kWh provide the data in kWh or if it is MWh provide the data in MWh's.</t>
  </si>
  <si>
    <t>Unprotecting</t>
  </si>
  <si>
    <t>If for some reason you need to unlock the spreadsheet the password is "APSC".  Once you make the correction, lock the workbook back to protect any errors from occurring.</t>
  </si>
  <si>
    <t>Dropdown List</t>
  </si>
  <si>
    <t>Some of the required inputs are selected from dropdown list.  You can view those list from here:</t>
  </si>
  <si>
    <t>Cost Categories</t>
  </si>
  <si>
    <t>There are six 'Cost Categories' used for tracking EE cost.  They are divided into the following:</t>
  </si>
  <si>
    <t>A complete list for each Cost Category can be viewed here:</t>
  </si>
  <si>
    <t>Target Sector</t>
  </si>
  <si>
    <t>Residential</t>
  </si>
  <si>
    <t>Commercial &amp; Industrial</t>
  </si>
  <si>
    <t>Municipalities/Schools</t>
  </si>
  <si>
    <t>Agriculture</t>
  </si>
  <si>
    <t>Res/Small Business</t>
  </si>
  <si>
    <t>Res/C&amp;I</t>
  </si>
  <si>
    <t>Small Business/C&amp;I</t>
  </si>
  <si>
    <t>All Classes</t>
  </si>
  <si>
    <t>******Multi-Class******</t>
  </si>
  <si>
    <t>Behavior/Education</t>
  </si>
  <si>
    <t>Financing</t>
  </si>
  <si>
    <t>Whole Home</t>
  </si>
  <si>
    <t>Term</t>
  </si>
  <si>
    <t>Definition</t>
  </si>
  <si>
    <t>Abudget (Approved Budget)</t>
  </si>
  <si>
    <t>This is the budget most recently approved by the Commission.</t>
  </si>
  <si>
    <t>Annual Energy Savings</t>
  </si>
  <si>
    <t>Energy savings realized for a full year. (8,760 hours)</t>
  </si>
  <si>
    <t>Difference</t>
  </si>
  <si>
    <t>Event No.</t>
  </si>
  <si>
    <t>Start Date</t>
  </si>
  <si>
    <t>Class</t>
  </si>
  <si>
    <t>Class Description</t>
  </si>
  <si>
    <t>Training Location</t>
  </si>
  <si>
    <t>Sponsor</t>
  </si>
  <si>
    <t># of Certificates Awarded</t>
  </si>
  <si>
    <t>Totals:</t>
  </si>
  <si>
    <t>Events:</t>
  </si>
  <si>
    <t>Y</t>
  </si>
  <si>
    <t>No. of Attendees
(A)</t>
  </si>
  <si>
    <t>Length of Session
(B)</t>
  </si>
  <si>
    <t>Training Session Man-Hours
(A x B)</t>
  </si>
  <si>
    <t>Benefit Cost Ratio</t>
  </si>
  <si>
    <t>The ratio of the total benefits of the program to the total costs over the life of the measure discounted as appropriate.</t>
  </si>
  <si>
    <t>Customer Savings</t>
  </si>
  <si>
    <t>Savings that are derived from custom measures where deemed savings are not addressed in the currently approved TRM.</t>
  </si>
  <si>
    <t>New Construction</t>
  </si>
  <si>
    <t>Prescriptive/Standard Offer</t>
  </si>
  <si>
    <t>Custom</t>
  </si>
  <si>
    <t>General</t>
  </si>
  <si>
    <t>Energy Efficiency Portfolio Data and Information</t>
  </si>
  <si>
    <t>Arkansas Public Service Commission</t>
  </si>
  <si>
    <t>Planning / Design</t>
  </si>
  <si>
    <t>Affiliate</t>
  </si>
  <si>
    <t>3rd Party</t>
  </si>
  <si>
    <t>Expenses</t>
  </si>
  <si>
    <t>Explanation for Difference(s):</t>
  </si>
  <si>
    <t>Deemed Savings</t>
  </si>
  <si>
    <t>Other Savings</t>
  </si>
  <si>
    <t>Total Savings</t>
  </si>
  <si>
    <t>Lifetime Energy Savings</t>
  </si>
  <si>
    <t>TRC Levelized Cost</t>
  </si>
  <si>
    <t>Payments to CADC (AWP) for weatherization of homes</t>
  </si>
  <si>
    <t>Payment to AEO for EEA program</t>
  </si>
  <si>
    <t>Marketing &amp; Delivery</t>
  </si>
  <si>
    <t>Actual Expenses</t>
  </si>
  <si>
    <t>Demand that did not occur due to the installation of an EE measure. (non-coincident peak)</t>
  </si>
  <si>
    <t>Energy Sales</t>
  </si>
  <si>
    <t>Gross Savings</t>
  </si>
  <si>
    <t>Energy sold by the utility in the calendar year.</t>
  </si>
  <si>
    <t>Energy use that did not occur due to the installation of an EE measure.</t>
  </si>
  <si>
    <t>The change in energy consumption and/or demand that results directly from program-related actions taken by participants in an efficiency program, regardless of why they participated.</t>
  </si>
  <si>
    <t>LCFC Energy Savings</t>
  </si>
  <si>
    <t>Lifetime</t>
  </si>
  <si>
    <t>The sum of the energy savings through the measure's useful life.</t>
  </si>
  <si>
    <t>A Kilowatt is a measure of electric demand - 1000 watts.</t>
  </si>
  <si>
    <t>The basic unit of electric energy usage over time.  One kWh is equal to one kW of power supplied to a circuit for a period of one hour.</t>
  </si>
  <si>
    <t>For the current Program Year, the sum of eligible net energy savings from (1) measures installed in prior Program Years (8,760 hours) and (2) measures installed in current Program Year as adjusted for time of installation, weather, etc. (less than 8,760 hours).  Clarification of item (1) above: The savings reported in the current year should only reflect the current year impact of measures installed in prior years but, should not include the savings claimed and reported in prior years.</t>
  </si>
  <si>
    <t>The expected useful life, in years, that an installed measure will be in service and producing savings.</t>
  </si>
  <si>
    <t>Measures</t>
  </si>
  <si>
    <t>Net Benefits</t>
  </si>
  <si>
    <t>Net Savings</t>
  </si>
  <si>
    <t>Net-to-Gross Ratio (NTGR)</t>
  </si>
  <si>
    <t>Specific technology or practice that produces energy and/or demand savings as a result of a ratepayer's participation in a Utility/TPA energy efficiency program.</t>
  </si>
  <si>
    <t>The program benefits minus the program costs discounted at the appropriate rate.</t>
  </si>
  <si>
    <t>The total change in load (energy or demand) that is attributable to an energy-efficiency program.  This change in load may include, implicitly or explicitly, the effects of free drivers, free riders, energy-efficiency standards, changes in the level of energy service, and other causes of changes in energy consumption or demand.</t>
  </si>
  <si>
    <t>A factor representing net program savings divided by gross program savings that is applied to gross program impacts, converting them into net program load impacts.</t>
  </si>
  <si>
    <t>Savings for which no deemed savings exist and no custom M&amp;V was performed.</t>
  </si>
  <si>
    <t>Participant Cost Test (PCT)</t>
  </si>
  <si>
    <t>Participant</t>
  </si>
  <si>
    <t>Plan Savings</t>
  </si>
  <si>
    <t>Portfolio</t>
  </si>
  <si>
    <t>Program Administrator Cost (PAC) Test</t>
  </si>
  <si>
    <t>Program</t>
  </si>
  <si>
    <t>Annual energy savings budgeted by the Utility for the Program Year.</t>
  </si>
  <si>
    <t>The Program Administrator Cost Test measures the net costs of a demand-side management program as a resource option based on the costs incurred by the program administrator (including incentives costs) and excluding any net costs incurred by the participant.</t>
  </si>
  <si>
    <t>The Year in which programs are administered and delivered, for the purposes of planning and reporting, a program year shall be considered a calendar year, January 1 - December 31.</t>
  </si>
  <si>
    <t>A group of projects, with similar characteristics and installed in similar applications.  Examples could include a utility program to install energy-efficiency lighting in commercial buildings, a developer's program to build a subdivision of homes that have photovoltaic systems, or a state residential energy-efficiency code program.</t>
  </si>
  <si>
    <t>Ratepayer Impact Measure (RIM) Test</t>
  </si>
  <si>
    <t>Sales as Adjusted for SD Exemptions</t>
  </si>
  <si>
    <t>The Ratepayer Impact Measure (RIM) test measures what happens to customer bills or rates due to changes in utility revenues and operating costs caused by the program.</t>
  </si>
  <si>
    <t>The Utility's 2010 Annual Energy Sales minus the 2010 Annual Energy Sales of the customers granted self-direct exemptions by Commission Order.</t>
  </si>
  <si>
    <t>RBudget (Revised Budget)</t>
  </si>
  <si>
    <t>Total Resource Cost (TRC) Test</t>
  </si>
  <si>
    <t>The Total Resource Cost Test measures the net costs of a demand-side management program as a resource option based on the total costs of the program, including both the participants' and the utility's costs.</t>
  </si>
  <si>
    <r>
      <rPr>
        <b/>
        <sz val="10"/>
        <color indexed="8"/>
        <rFont val="Arial"/>
        <family val="2"/>
      </rPr>
      <t>-General:</t>
    </r>
    <r>
      <rPr>
        <sz val="10"/>
        <color indexed="8"/>
        <rFont val="Arial"/>
        <family val="2"/>
      </rPr>
      <t xml:space="preserve"> Contains Instructions and Glossary. </t>
    </r>
  </si>
  <si>
    <t>Title 3</t>
  </si>
  <si>
    <t>Title 4</t>
  </si>
  <si>
    <t>Title 5</t>
  </si>
  <si>
    <t>($)</t>
  </si>
  <si>
    <t>Budget</t>
  </si>
  <si>
    <t>Actual</t>
  </si>
  <si>
    <t>% of RBudget</t>
  </si>
  <si>
    <t>Sector</t>
  </si>
  <si>
    <t>Type</t>
  </si>
  <si>
    <t>Annual Budget &amp; Actual Cost</t>
  </si>
  <si>
    <t>Plan</t>
  </si>
  <si>
    <t>Evaluated</t>
  </si>
  <si>
    <t>Number of Participants</t>
  </si>
  <si>
    <t>EE Program Cost Summary</t>
  </si>
  <si>
    <t>Cost Type</t>
  </si>
  <si>
    <t>% of</t>
  </si>
  <si>
    <t>Program Budget, Energy Savings &amp; Participants</t>
  </si>
  <si>
    <t>Advertising costs including, but not limited to, educational/promotional</t>
  </si>
  <si>
    <t>materials, website development and updates</t>
  </si>
  <si>
    <t>TV/Radio ads</t>
  </si>
  <si>
    <t>Personnel costs for performing marketing and delivery functions</t>
  </si>
  <si>
    <t>Costs of processing rebates</t>
  </si>
  <si>
    <t>Database development/update costs</t>
  </si>
  <si>
    <t>Trade ally training events</t>
  </si>
  <si>
    <t>Costs to support other EE related events and organizations</t>
  </si>
  <si>
    <t>costs to validate savings within the utility program (i.e. customer projects) and</t>
  </si>
  <si>
    <t>outside of independent EM&amp;V</t>
  </si>
  <si>
    <t>Incentives / Direct Install Costs</t>
  </si>
  <si>
    <t>Rebates</t>
  </si>
  <si>
    <t>Water conservation kits</t>
  </si>
  <si>
    <t>Payments to contractors for weatherization services</t>
  </si>
  <si>
    <t>Direct install costs for all programs with direct install provisions</t>
  </si>
  <si>
    <t>Coupons and upstream program incentives</t>
  </si>
  <si>
    <t>Residential energy audits</t>
  </si>
  <si>
    <t>Technical Reference Manual</t>
  </si>
  <si>
    <t>Costs related to regulatory specific collaborative meetings and events</t>
  </si>
  <si>
    <t>Consumer Product Rebate</t>
  </si>
  <si>
    <t>Direct Install</t>
  </si>
  <si>
    <t>Program Name (Table 2)</t>
  </si>
  <si>
    <t>Acutal</t>
  </si>
  <si>
    <t>%</t>
  </si>
  <si>
    <t>Audit - C&amp;I</t>
  </si>
  <si>
    <t>Market Specific/Hard to Reach</t>
  </si>
  <si>
    <t>Measure/Technology Focus</t>
  </si>
  <si>
    <t>Delivery Channel</t>
  </si>
  <si>
    <t>Coupon Redemption</t>
  </si>
  <si>
    <t>Implementing Contractor</t>
  </si>
  <si>
    <t>Retail Outlets</t>
  </si>
  <si>
    <t>Self-Install</t>
  </si>
  <si>
    <t>Statewide Administrator</t>
  </si>
  <si>
    <t>Trade Ally</t>
  </si>
  <si>
    <t>Website</t>
  </si>
  <si>
    <t>Utility Outreach (email/direct mail)</t>
  </si>
  <si>
    <t xml:space="preserve"> research and development</t>
  </si>
  <si>
    <t>Company employee costs relating to program design, planning and</t>
  </si>
  <si>
    <t>Commercial and Industrial energy audits</t>
  </si>
  <si>
    <t>performing the required cost effectiveness tests</t>
  </si>
  <si>
    <t>Annual Report Tables</t>
  </si>
  <si>
    <t>Savings Energy</t>
  </si>
  <si>
    <t>Savings Demand</t>
  </si>
  <si>
    <t>Select program from dropdown menu to view details.</t>
  </si>
  <si>
    <t>Next Annual Report Load Data</t>
  </si>
  <si>
    <t>Custom Savings</t>
  </si>
  <si>
    <t>Portfolio Information</t>
  </si>
  <si>
    <t>History</t>
  </si>
  <si>
    <t xml:space="preserve">Data </t>
  </si>
  <si>
    <t>Program Year Data</t>
  </si>
  <si>
    <r>
      <rPr>
        <b/>
        <sz val="10"/>
        <color indexed="8"/>
        <rFont val="Arial"/>
        <family val="2"/>
      </rPr>
      <t>-Energy Efficiency Portfolio Data and Information:</t>
    </r>
    <r>
      <rPr>
        <sz val="10"/>
        <color indexed="8"/>
        <rFont val="Arial"/>
        <family val="2"/>
      </rPr>
      <t xml:space="preserve"> Contains all input requirements. </t>
    </r>
  </si>
  <si>
    <t>The 'Energy Efficiency Portfolio Data and Information contains three actions buttons:</t>
  </si>
  <si>
    <r>
      <rPr>
        <b/>
        <sz val="10"/>
        <color indexed="8"/>
        <rFont val="Arial"/>
        <family val="2"/>
      </rPr>
      <t>-Current Program Year Evaluation:</t>
    </r>
    <r>
      <rPr>
        <sz val="10"/>
        <color indexed="8"/>
        <rFont val="Arial"/>
        <family val="2"/>
      </rPr>
      <t xml:space="preserve">  Here the user can provide information such as the actual Program Year Expenses and Savings.</t>
    </r>
  </si>
  <si>
    <t>Not used</t>
  </si>
  <si>
    <t>Reports</t>
  </si>
  <si>
    <t>The time rate of energy flow.  Demand usually refers to electric power measured in kW but can also refer to natural gas, usually as Btu/hr or therms/day, ect.  The level at which electricity or natural gas is delivered to users at a given point in time.</t>
  </si>
  <si>
    <t>A cost-effectiveness test that measures the economic impact to the participating customer of adopting an energy efficiency measure.</t>
  </si>
  <si>
    <t>A consumer that received a service offered through the subject efficiency program, in a given program year.  The term "service" is used in this definition to suggest that the service can be a wide variety of services, including financial rebates, technical assistance, product installations, training, energy-efficiency information or other services, items, or conditions.  Each evaluation plan should define "participant" as it applies to the specific evaluation.</t>
  </si>
  <si>
    <t>Either (a) a collection of similar programs addressing the same market (e.g., a portfolio of residential programs), technology (e.g., motor-efficiency programs), or mechanisms (e.g., loan programs) or (b) the set of all programs conducted by one organization, such as a utility (and which could include programs that cover multiple markets, technologies, ect.).</t>
  </si>
  <si>
    <t xml:space="preserve">The total costs of the program to the utility and its ratepayers on a per kWh or per them basis levelized over the life of the program. </t>
  </si>
  <si>
    <t>Electric Utilities</t>
  </si>
  <si>
    <t>CenterPoint</t>
  </si>
  <si>
    <t xml:space="preserve">Entergy </t>
  </si>
  <si>
    <t>OG&amp;E</t>
  </si>
  <si>
    <t>SWEPCO</t>
  </si>
  <si>
    <t>Empire</t>
  </si>
  <si>
    <t>Natural Gas Utilities</t>
  </si>
  <si>
    <t>AOG</t>
  </si>
  <si>
    <t>TPA Information</t>
  </si>
  <si>
    <t>Not Used</t>
  </si>
  <si>
    <t>Third Party Administrator Information</t>
  </si>
  <si>
    <t>Type (Electric)</t>
  </si>
  <si>
    <t>Total Electric Portfolio Budget:</t>
  </si>
  <si>
    <t>Electric Portfolio Total</t>
  </si>
  <si>
    <t>Natural Gas Portfolio Total</t>
  </si>
  <si>
    <t>Total Electric Portfolio:</t>
  </si>
  <si>
    <t>Total Natural Gas Portfolio:</t>
  </si>
  <si>
    <t>Annual Net Energy Savings</t>
  </si>
  <si>
    <t>Annual Net Demand Savings</t>
  </si>
  <si>
    <t>EE Portfolio Summary by Cost Type - Electric</t>
  </si>
  <si>
    <t>EE Portfolio Summary by Cost Type - Natural Gas</t>
  </si>
  <si>
    <t>Type (Natural Gas)</t>
  </si>
  <si>
    <t>EE Portfolio Summary by Electric Utility</t>
  </si>
  <si>
    <t>EE Portfolio Summary by Natural Gas Utility</t>
  </si>
  <si>
    <t>Portfolio Results Detail
by Electric Utility</t>
  </si>
  <si>
    <t>Portfolio Results Detail
by Natural Gas Utility</t>
  </si>
  <si>
    <t>Programs in which an energy assessment is performed on one or more participant commercial or industrial facilities to identify sources of potential energy waste and measures to reduce that waste.</t>
  </si>
  <si>
    <t>Programs designed around the delivery of site-specific projects typically characterized by an extensive onsite energy assessment and identification and installation of multiple measures unique to that facility. These measures are likely to vary significantly from site to site</t>
  </si>
  <si>
    <t>Demand response programs</t>
  </si>
  <si>
    <t>Residential - Financing programs for residential projects.  As with other programs, costs here are utility costs, including the costs of any inducements for lenders, e.g., loan loss reserves, interest rate buy downs, etc.
C&amp;I - Projects designed to increase loan financing for C&amp;I energy efficiency projects. As with other programs, program costs here are any costs paid by the PA out of utility-customer funds, including, e.g., loan loss reserves or other credit enhancements, interest rate buy downs, etc., - but not including rebates. Where participant costs are available for collection, these ideally will include the total customer share, i.e., both principal (the participant payment to purchase and install measures) and interest on that debt. Most of these programs will be directed toward enhancing credit or financing for commercial structures.</t>
  </si>
  <si>
    <t>Multi-family and mobile homes programs are designed to encourage the installation of energy efficient measures in common areas, units or both for residential structures of more than four units. These programs may be aimed at building owners/managers, tenants or both. This program may include rebate, direct install and auditing incentives/services.</t>
  </si>
  <si>
    <t>Residential - Programs that provide incentives and possibly technical services to ensure new homes are built or manufactured to energy performance standards higher than applicable code, e.g., ENERGY STAR Homes. These programs include new multi-family and new/replacement mobile homes.
C&amp;I - Programs that incentivize owners or builders of new commercial or industrial facilities to design and build beyond current code or to a certain certification level, e.g., ENERGY STAR or LEED.</t>
  </si>
  <si>
    <t>Programs not captured by any of the specific Residential, Industrial or Commercial categories but are sufficiently detailed or distinct to not be treated as a "general" program. Example: An EE program aimed specifically at the commercial subsector but is not clearly prescriptive or custom in nature might be classified as C&amp;I: Other.</t>
  </si>
  <si>
    <t>Prescriptive programs that encourage the purchase and installation of some or all of a specified set of pre-approved measures.</t>
  </si>
  <si>
    <t>Residential Programs that focus on specific a technology or a limited technology that require additional verification, quality control and/or includes specific design engineering prior to installation. Such programs can include water heating programs, pool pumps, HVAC "right sizing" replace on burn out or retrofit. Like the Consumer Product rebate program the Measure/Technology focus program must exceed standards in Arkansas. Unlike the Consumer Product programs these programs will usually require the recruitment and training of installation contractors and reporting from installation contractors followed by quality control practices.</t>
  </si>
  <si>
    <t>Whole-home energy upgrade or retrofit programs combine a comprehensive energy assessment or audit that identifies energy savings opportunities with house-wide improvements in air sealing, insulation and, often, HVAC systems and other end uses. The HVAC improvements may range from duct sealing to a tune up to full replacement of the HVAC systems. Whole-home programs are designed to address a wide variety of individual measures and building systems, including but not limited to: HVAC equipment, thermostats, furnaces, boilers, heat pumps, water heaters, fans, air sealing, insulation (attic, wall, and basement), windows, doors, skylights, lighting, and appliances. As a result, whole­ home programs generally involve one or more rebates for multiple measures. Whole-home programs generally come in two types: comprehensive programs that are broad in scope and less comprehensive, prescriptive programs sometimes referred to as "bundled efficiency" programs. This category addresses all of the former and most of the latter, but it excludes direct-install programs that are accounted for separately and completed outside this program.</t>
  </si>
  <si>
    <t>Electric Utility Name</t>
  </si>
  <si>
    <t>Natural Gas Utility Name</t>
  </si>
  <si>
    <t>Measurement and Verification costs as related to direct program/project/measure</t>
  </si>
  <si>
    <t>Payments to consultants for preparation/update of Deemed Savings and</t>
  </si>
  <si>
    <t>Consultants costs for IEM and independent third party evaluations</t>
  </si>
  <si>
    <t>Utility company EE personnel salary and benefits not charged elsewhere</t>
  </si>
  <si>
    <t>Overhead costs (office space, vehicles, etc.)</t>
  </si>
  <si>
    <t xml:space="preserve">Costs for preparing annual reports and EECR filings, including costs related to </t>
  </si>
  <si>
    <t>Residential programs designed around directly influencing household habits and decision-making on energy consumption through numerical or graphical feedback on consumption, sometimes accompanied by tips on saving energy. These programs include behavioral feedback programs (in which energy usage reports compare a consumer's household energy usage with those of similar consumers); online audits that are completed by the consumer; and in-home displays that help consumers assess their usage in real time. These programs do not include on-site energy assessments or audits.</t>
  </si>
  <si>
    <t>Programs that incentivize the sale, purchase and installation of energy efficient measures/equipment and or devices (e.g., refrigerators, dishwashers, clothes washers, dryers, electronics, lighting, lighting fixtures, lighting controls, etc.) that are more efficient than those meeting minimum energy performance standards.  All rebate/incentive delivery channels are included (Coupon, upstream retail, upstream manufacturing, web based, point of sale, etc.). Further, these programs typically do not include the local participating contractor (HVAC, Insulation, Auditing, etc.) for installation or incentives/rebates.</t>
  </si>
  <si>
    <t xml:space="preserve">This workbook is designed to be used by the Third Party Administrators in Arkansas to track and report savings and cost related to its Statewide Energy Efficiency Program. </t>
  </si>
  <si>
    <t>The workbook is organized so that all the worksheets work from left to right in order of completion.  For easy use each section is accessible by use of a action button.  
There are three main sections to the workbook.</t>
  </si>
  <si>
    <r>
      <rPr>
        <b/>
        <sz val="10"/>
        <color indexed="8"/>
        <rFont val="Arial"/>
        <family val="2"/>
      </rPr>
      <t>-Tables/Reports/Data:</t>
    </r>
    <r>
      <rPr>
        <sz val="10"/>
        <color indexed="8"/>
        <rFont val="Arial"/>
        <family val="2"/>
      </rPr>
      <t xml:space="preserve">  Contains the tables that are required for the narrative report.  Also contains additional reports and data summaries. </t>
    </r>
  </si>
  <si>
    <r>
      <rPr>
        <b/>
        <sz val="10"/>
        <color indexed="8"/>
        <rFont val="Arial"/>
        <family val="2"/>
      </rPr>
      <t>-Prior Program Year Data:</t>
    </r>
    <r>
      <rPr>
        <sz val="10"/>
        <color indexed="8"/>
        <rFont val="Arial"/>
        <family val="2"/>
      </rPr>
      <t xml:space="preserve"> Here the user can provide actual information from the prior two Program Years.  This data is available in the prior years annual report workbook.</t>
    </r>
  </si>
  <si>
    <t>A "book" estimate of the gross energy savings (kWh or therms) or gross demand savings (kW or therms) for a single unit of an installed energy efficiency measure that (a) has been developed from data sources and analytical methods that are widely considered acceptable for the measure and purpose and (b) is applicable to the set of measures undergoing evaluation.  This information is found in the TRM on the APSC website and is subject to updates effective for estimation of energy efficiency savings associated with measures installed since the beginning of the year in which the updated version is approved as detailed in Volume 2, Section 1.6.</t>
  </si>
  <si>
    <t>This is the Budget the utility used for the Program Year.  This budget may be different from the Approved Budget (ABudget), if the Commission has granted the utility the flexibility to modify its program budgets.</t>
  </si>
  <si>
    <t>Total Natural Gas Portfolio Budget:</t>
  </si>
  <si>
    <t>Any Certificates Awarded?
(Y or N)</t>
  </si>
  <si>
    <t>Energy Efficiency Arkansas</t>
  </si>
  <si>
    <t>Black Hills</t>
  </si>
  <si>
    <t>07-083-TF</t>
  </si>
  <si>
    <t>Tim Scott</t>
  </si>
  <si>
    <t>scott@ adeq.com</t>
  </si>
  <si>
    <t>(501)682-2433</t>
  </si>
  <si>
    <t>Pumping System Assessment</t>
  </si>
  <si>
    <t>Training identifies the importance of energy conservation and highlights opportunities' to optimize pumping systems for energy efficiency</t>
  </si>
  <si>
    <t>Fayetteville</t>
  </si>
  <si>
    <t>EEA</t>
  </si>
  <si>
    <t>Variable Frequency Drives</t>
  </si>
  <si>
    <t>The one day course is designed to answer critical questions to ensure that VFD units  obtain maximum performance and show a positive ROI</t>
  </si>
  <si>
    <t>Jonesboro</t>
  </si>
  <si>
    <t xml:space="preserve">Advance Motor Troubleshooting </t>
  </si>
  <si>
    <t>This comprehensive course covers both medium and low voltage induction motors. The training also covers construction/manufacturing disassemble, inspect, maintain, and troubleshooting of induction motors.</t>
  </si>
  <si>
    <t>Little Rock</t>
  </si>
  <si>
    <t xml:space="preserve">Foundations of Industrial Energy Efficiency </t>
  </si>
  <si>
    <t>The training program is designed to provide facilities personnel, energy managers, and utility representatives with both basic and intermediate understanding the latest energy efficiency methods, procedures and best practices.</t>
  </si>
  <si>
    <t xml:space="preserve">EEA </t>
  </si>
  <si>
    <t xml:space="preserve">Commercial Building Energy Auditing </t>
  </si>
  <si>
    <t>The learning objectives included: Utility bill data and site survey, Building Audit-HVAC, Ventilation, Controls and Final Report and Conserving Measures.</t>
  </si>
  <si>
    <t>Russellville</t>
  </si>
  <si>
    <t>HVAC Commercial Contractors Training</t>
  </si>
  <si>
    <t>The course was designed to instruct improved energy efficient practices when designing, building, installing, commissioning heating, ventilation and air conditioning (HVAC) equipment on commercial applications.</t>
  </si>
  <si>
    <t xml:space="preserve">Certified Energy Auditor Training </t>
  </si>
  <si>
    <t xml:space="preserve">The Certified Energy Auditor (CEA) course and certification was developed by the Association of Energy </t>
  </si>
  <si>
    <t>Fort Smith</t>
  </si>
  <si>
    <t xml:space="preserve">Boiler Operation Safety Training </t>
  </si>
  <si>
    <t xml:space="preserve">The training objective is to teach safety  and energy efficiency techniques with proper maintain of a steam boiler.  </t>
  </si>
  <si>
    <t>Mountain Home</t>
  </si>
  <si>
    <t>Fundamentals of Compressed Air</t>
  </si>
  <si>
    <t>Training course designed to teach facility engineers, operators and maintenance staff how to achieve 15-25% cost savings through more effective production and use of compressed air</t>
  </si>
  <si>
    <t>Essential Building Tune-Ups</t>
  </si>
  <si>
    <t>The training program is designed to provide Tune-Up Techniques and the Building Envelope along with effective methods to maintain and improve the existing facilities.</t>
  </si>
  <si>
    <t>Certified Energy Manager Training</t>
  </si>
  <si>
    <t>The  CEM certification recognizes individuals who have demonstrated high levels of experience competence, proficiency and ethical fitness in the energy management profession</t>
  </si>
  <si>
    <t>Fundamentals of Lighting Efficiency</t>
  </si>
  <si>
    <t>The seminar outline included topics in Fundamentals in Light and Color, Incumbent Lamps, LEDs and Solid State, Arkansas Rebates, Electronic Ballast and LED Drivers, and Measures of Lighting Efficiency &amp; Lighting Calculations</t>
  </si>
  <si>
    <t>Advanced Lighting Efficiency</t>
  </si>
  <si>
    <t>The seminar outline included topics in Sustainable Lighting Solutions, Lighting Surveys &amp; Audits &amp; Tools, Human-Centric Lighting, and Exterior Lighting with demos as well as Lighting Maintenance</t>
  </si>
  <si>
    <t>March-December 2016</t>
  </si>
  <si>
    <t xml:space="preserve">Benchmarking Energy Star Trainings (K-12)- 6 trainings </t>
  </si>
  <si>
    <t xml:space="preserve">Energy Star Portfolio Manager training-facitlites personnel received training on how to set up the EPA Energy Efficiency Program and asisted with benchmarketing schools </t>
  </si>
  <si>
    <t xml:space="preserve">Conway, Springdale, Perryville, Greenland, Marion, Pulaski County </t>
  </si>
  <si>
    <t xml:space="preserve"> EEA actual expense was 83% of budget for 2016.  The utilities paid the budgeted amount for 2016.  The utiliites had administrative cost, E&amp;V Cost , and planning/designed cost to make up the difference in direct EEA cost. </t>
  </si>
  <si>
    <t xml:space="preserve"> $- </t>
  </si>
  <si>
    <t xml:space="preserve"> No Payment Received in 2016 but received in 2017 </t>
  </si>
  <si>
    <r>
      <t xml:space="preserve">Standardized Annual Reporting Workbook </t>
    </r>
    <r>
      <rPr>
        <i/>
        <sz val="12"/>
        <rFont val="Calibri"/>
        <family val="2"/>
      </rPr>
      <t>v4.0 August 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</si>
</sst>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409]mmmm\ d\,\ yyyy;@"/>
    <numFmt numFmtId="166" formatCode="##."/>
    <numFmt numFmtId="167" formatCode="m/d/yy;@"/>
    <numFmt numFmtId="168" formatCode="#,##0.0_);\(#,##0.0\)"/>
  </numFmts>
  <fonts count="46" x14ac:knownFonts="1">
    <font>
      <sz val="10"/>
      <name val="Arial"/>
    </font>
    <font>
      <sz val="10"/>
      <name val="Arial"/>
    </font>
    <font>
      <sz val="11"/>
      <color indexed="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Calibri"/>
      <family val="2"/>
    </font>
    <font>
      <sz val="10"/>
      <color indexed="8"/>
      <name val="Calibri"/>
      <family val="2"/>
    </font>
    <font>
      <b/>
      <sz val="12"/>
      <name val="Calibri"/>
      <family val="2"/>
    </font>
    <font>
      <b/>
      <sz val="10"/>
      <name val="Calibri"/>
      <family val="2"/>
    </font>
    <font>
      <sz val="9"/>
      <color indexed="8"/>
      <name val="Calibri"/>
      <family val="2"/>
    </font>
    <font>
      <b/>
      <u/>
      <sz val="10"/>
      <name val="Calibri"/>
      <family val="2"/>
    </font>
    <font>
      <b/>
      <sz val="11"/>
      <name val="Calibri"/>
      <family val="2"/>
    </font>
    <font>
      <sz val="10"/>
      <color indexed="8"/>
      <name val="Arial"/>
      <family val="2"/>
    </font>
    <font>
      <b/>
      <sz val="10"/>
      <name val="Arial"/>
      <family val="2"/>
    </font>
    <font>
      <b/>
      <sz val="10"/>
      <color indexed="8"/>
      <name val="Arial"/>
      <family val="2"/>
    </font>
    <font>
      <b/>
      <sz val="10"/>
      <color indexed="8"/>
      <name val="Calibri"/>
      <family val="2"/>
    </font>
    <font>
      <i/>
      <sz val="12"/>
      <name val="Calibri"/>
      <family val="2"/>
    </font>
    <font>
      <b/>
      <sz val="18"/>
      <name val="Arial"/>
      <family val="2"/>
    </font>
    <font>
      <b/>
      <sz val="9"/>
      <name val="Arial"/>
      <family val="2"/>
    </font>
    <font>
      <sz val="9"/>
      <name val="Arial"/>
      <family val="2"/>
    </font>
    <font>
      <b/>
      <sz val="8"/>
      <name val="Arial"/>
      <family val="2"/>
    </font>
    <font>
      <sz val="8"/>
      <name val="Arial"/>
      <family val="2"/>
    </font>
    <font>
      <i/>
      <sz val="8"/>
      <name val="Calibri"/>
      <family val="2"/>
    </font>
    <font>
      <b/>
      <sz val="15"/>
      <color indexed="56"/>
      <name val="Calibri"/>
      <family val="2"/>
    </font>
    <font>
      <b/>
      <sz val="13"/>
      <color indexed="56"/>
      <name val="Calibri"/>
      <family val="2"/>
    </font>
    <font>
      <sz val="11"/>
      <color indexed="62"/>
      <name val="Calibri"/>
      <family val="2"/>
    </font>
    <font>
      <b/>
      <sz val="11"/>
      <color indexed="63"/>
      <name val="Calibri"/>
      <family val="2"/>
    </font>
    <font>
      <b/>
      <u/>
      <sz val="12"/>
      <name val="Calibri"/>
      <family val="2"/>
    </font>
    <font>
      <b/>
      <u/>
      <sz val="10"/>
      <color indexed="8"/>
      <name val="Calibri"/>
      <family val="2"/>
    </font>
    <font>
      <sz val="36"/>
      <name val="Calibri"/>
      <family val="2"/>
      <scheme val="minor"/>
    </font>
    <font>
      <i/>
      <sz val="24"/>
      <name val="Calibri"/>
      <family val="2"/>
      <scheme val="minor"/>
    </font>
    <font>
      <sz val="10"/>
      <name val="Calibri"/>
      <family val="2"/>
      <scheme val="minor"/>
    </font>
    <font>
      <b/>
      <sz val="12"/>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C0C0C0"/>
        <bgColor indexed="64"/>
      </patternFill>
    </fill>
    <fill>
      <patternFill patternType="solid">
        <fgColor theme="1"/>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s>
  <cellStyleXfs count="67">
    <xf numFmtId="0" fontId="0" fillId="0" borderId="0"/>
    <xf numFmtId="0" fontId="19" fillId="2" borderId="0" applyFill="0">
      <alignment horizontal="left"/>
    </xf>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22" fillId="0" borderId="0" applyNumberFormat="0" applyBorder="0" applyProtection="0">
      <alignment horizontal="left"/>
    </xf>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1" fontId="1" fillId="0" borderId="0" applyFont="0" applyFill="0" applyBorder="0" applyAlignment="0" applyProtection="0"/>
    <xf numFmtId="37" fontId="18" fillId="0" borderId="0" applyFill="0" applyBorder="0" applyProtection="0">
      <alignment horizontal="center"/>
    </xf>
    <xf numFmtId="168" fontId="18"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 fillId="0" borderId="0" applyFont="0" applyFill="0" applyBorder="0" applyAlignment="0" applyProtection="0"/>
    <xf numFmtId="44" fontId="3" fillId="0" borderId="0" applyFont="0" applyFill="0" applyBorder="0" applyAlignment="0" applyProtection="0"/>
    <xf numFmtId="44" fontId="1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20" fillId="0" borderId="0" applyNumberFormat="0" applyFill="0" applyProtection="0">
      <alignment horizontal="left"/>
    </xf>
    <xf numFmtId="0" fontId="36" fillId="0" borderId="3" applyNumberFormat="0" applyFill="0" applyAlignment="0" applyProtection="0"/>
    <xf numFmtId="0" fontId="21" fillId="0" borderId="0" applyNumberFormat="0" applyFill="0" applyProtection="0">
      <alignment horizontal="left"/>
    </xf>
    <xf numFmtId="0" fontId="37"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8" fillId="24" borderId="6" applyNumberFormat="0">
      <alignment horizontal="left"/>
      <protection locked="0"/>
    </xf>
    <xf numFmtId="0" fontId="38" fillId="7" borderId="1" applyNumberFormat="0" applyAlignment="0" applyProtection="0"/>
    <xf numFmtId="0" fontId="12" fillId="0" borderId="7" applyNumberFormat="0" applyFill="0" applyAlignment="0" applyProtection="0"/>
    <xf numFmtId="0" fontId="13" fillId="22" borderId="0" applyNumberFormat="0" applyBorder="0" applyAlignment="0" applyProtection="0"/>
    <xf numFmtId="166" fontId="18" fillId="0" borderId="0"/>
    <xf numFmtId="0" fontId="3" fillId="0" borderId="0"/>
    <xf numFmtId="0" fontId="3" fillId="0" borderId="0"/>
    <xf numFmtId="0" fontId="2" fillId="23" borderId="8" applyNumberFormat="0" applyFont="0" applyAlignment="0" applyProtection="0"/>
    <xf numFmtId="0" fontId="21" fillId="25" borderId="9" applyNumberFormat="0" applyAlignment="0" applyProtection="0"/>
    <xf numFmtId="0" fontId="39" fillId="20" borderId="9" applyNumberFormat="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 fillId="0" borderId="0" applyNumberFormat="0" applyFill="0" applyBorder="0" applyAlignment="0" applyProtection="0"/>
    <xf numFmtId="0" fontId="15" fillId="0" borderId="10" applyNumberFormat="0" applyFill="0" applyAlignment="0" applyProtection="0"/>
    <xf numFmtId="0" fontId="16" fillId="0" borderId="0" applyNumberFormat="0" applyFill="0" applyBorder="0" applyAlignment="0" applyProtection="0"/>
  </cellStyleXfs>
  <cellXfs count="299">
    <xf numFmtId="0" fontId="0" fillId="0" borderId="0" xfId="0"/>
    <xf numFmtId="0" fontId="3" fillId="0" borderId="0" xfId="0" applyFont="1"/>
    <xf numFmtId="0" fontId="18" fillId="0" borderId="0" xfId="0" applyFont="1"/>
    <xf numFmtId="0" fontId="18" fillId="0" borderId="11" xfId="0" applyFont="1" applyBorder="1"/>
    <xf numFmtId="0" fontId="18" fillId="0" borderId="0" xfId="0" applyFont="1" applyBorder="1"/>
    <xf numFmtId="0" fontId="18" fillId="0" borderId="12" xfId="0" applyFont="1" applyBorder="1"/>
    <xf numFmtId="0" fontId="18" fillId="0" borderId="13" xfId="0" applyFont="1" applyBorder="1"/>
    <xf numFmtId="0" fontId="18" fillId="0" borderId="14" xfId="0" applyFont="1" applyBorder="1"/>
    <xf numFmtId="0" fontId="18" fillId="0" borderId="15" xfId="0" applyFont="1" applyBorder="1"/>
    <xf numFmtId="0" fontId="18" fillId="0" borderId="0" xfId="0" applyFont="1" applyFill="1" applyBorder="1"/>
    <xf numFmtId="0" fontId="18" fillId="0" borderId="16" xfId="0" applyFont="1" applyBorder="1"/>
    <xf numFmtId="0" fontId="18" fillId="0" borderId="17" xfId="0" applyFont="1" applyBorder="1"/>
    <xf numFmtId="0" fontId="18" fillId="0" borderId="18" xfId="0" applyFont="1" applyBorder="1"/>
    <xf numFmtId="166" fontId="18" fillId="0" borderId="11" xfId="54" applyBorder="1"/>
    <xf numFmtId="0" fontId="20" fillId="0" borderId="0" xfId="44">
      <alignment horizontal="left"/>
    </xf>
    <xf numFmtId="0" fontId="19" fillId="0" borderId="0" xfId="1" applyFill="1">
      <alignment horizontal="left"/>
    </xf>
    <xf numFmtId="0" fontId="18" fillId="24" borderId="6" xfId="50">
      <alignment horizontal="left"/>
      <protection locked="0"/>
    </xf>
    <xf numFmtId="165" fontId="18" fillId="24" borderId="6" xfId="50" applyNumberFormat="1">
      <alignment horizontal="left"/>
      <protection locked="0"/>
    </xf>
    <xf numFmtId="0" fontId="18" fillId="0" borderId="19" xfId="0" applyFont="1" applyFill="1" applyBorder="1"/>
    <xf numFmtId="0" fontId="18" fillId="0" borderId="20" xfId="0" applyFont="1" applyFill="1" applyBorder="1"/>
    <xf numFmtId="0" fontId="18" fillId="0" borderId="21" xfId="0" applyFont="1" applyFill="1" applyBorder="1"/>
    <xf numFmtId="0" fontId="21" fillId="0" borderId="0" xfId="46">
      <alignment horizontal="left"/>
    </xf>
    <xf numFmtId="0" fontId="21" fillId="0" borderId="0" xfId="46" applyAlignment="1">
      <alignment horizontal="center" wrapText="1"/>
    </xf>
    <xf numFmtId="42" fontId="18" fillId="24" borderId="6" xfId="37" applyFont="1" applyFill="1" applyBorder="1" applyAlignment="1" applyProtection="1">
      <alignment horizontal="left"/>
      <protection locked="0"/>
    </xf>
    <xf numFmtId="0" fontId="21" fillId="0" borderId="0" xfId="46" applyFill="1" applyAlignment="1">
      <alignment horizontal="right"/>
    </xf>
    <xf numFmtId="42" fontId="21" fillId="0" borderId="0" xfId="0" applyNumberFormat="1" applyFont="1" applyBorder="1"/>
    <xf numFmtId="0" fontId="23" fillId="0" borderId="0" xfId="46" applyFont="1" applyAlignment="1">
      <alignment horizontal="center" wrapText="1"/>
    </xf>
    <xf numFmtId="42" fontId="21" fillId="0" borderId="0" xfId="0" applyNumberFormat="1" applyFont="1" applyBorder="1" applyAlignment="1">
      <alignment horizontal="right"/>
    </xf>
    <xf numFmtId="42" fontId="21" fillId="0" borderId="22" xfId="0" applyNumberFormat="1" applyFont="1" applyBorder="1"/>
    <xf numFmtId="42" fontId="18" fillId="24" borderId="23" xfId="37" applyFont="1" applyFill="1" applyBorder="1" applyAlignment="1" applyProtection="1">
      <alignment horizontal="left"/>
      <protection locked="0"/>
    </xf>
    <xf numFmtId="42" fontId="21" fillId="0" borderId="24" xfId="0" applyNumberFormat="1" applyFont="1" applyBorder="1"/>
    <xf numFmtId="42" fontId="24" fillId="0" borderId="0" xfId="0" applyNumberFormat="1" applyFont="1" applyBorder="1"/>
    <xf numFmtId="37" fontId="18" fillId="24" borderId="6" xfId="31" applyFont="1" applyFill="1" applyBorder="1" applyProtection="1">
      <alignment horizontal="center"/>
      <protection locked="0"/>
    </xf>
    <xf numFmtId="37" fontId="21" fillId="0" borderId="24" xfId="31" applyFont="1" applyBorder="1">
      <alignment horizontal="center"/>
    </xf>
    <xf numFmtId="0" fontId="23" fillId="0" borderId="0" xfId="46" applyFont="1" applyAlignment="1">
      <alignment horizontal="center"/>
    </xf>
    <xf numFmtId="37" fontId="18" fillId="0" borderId="0" xfId="31" applyFont="1" applyBorder="1">
      <alignment horizontal="center"/>
    </xf>
    <xf numFmtId="0" fontId="22" fillId="0" borderId="11" xfId="8" applyBorder="1">
      <alignment horizontal="left"/>
    </xf>
    <xf numFmtId="0" fontId="22" fillId="0" borderId="12" xfId="8" applyBorder="1">
      <alignment horizontal="left"/>
    </xf>
    <xf numFmtId="0" fontId="20" fillId="0" borderId="11" xfId="44" applyBorder="1">
      <alignment horizontal="left"/>
    </xf>
    <xf numFmtId="0" fontId="20" fillId="0" borderId="12" xfId="44" applyBorder="1">
      <alignment horizontal="left"/>
    </xf>
    <xf numFmtId="0" fontId="3" fillId="0" borderId="16" xfId="0" applyFont="1" applyBorder="1"/>
    <xf numFmtId="0" fontId="3" fillId="0" borderId="18" xfId="0" applyFont="1" applyBorder="1"/>
    <xf numFmtId="0" fontId="3" fillId="0" borderId="12" xfId="0" applyFont="1" applyBorder="1"/>
    <xf numFmtId="0" fontId="3" fillId="0" borderId="11" xfId="0" applyFont="1" applyBorder="1"/>
    <xf numFmtId="0" fontId="3" fillId="0" borderId="13" xfId="0" applyFont="1" applyBorder="1"/>
    <xf numFmtId="0" fontId="3" fillId="0" borderId="15" xfId="0" applyFont="1" applyBorder="1"/>
    <xf numFmtId="0" fontId="3" fillId="0" borderId="17" xfId="0" applyFont="1" applyBorder="1"/>
    <xf numFmtId="0" fontId="3" fillId="0" borderId="0" xfId="0" applyFont="1" applyBorder="1"/>
    <xf numFmtId="0" fontId="3" fillId="0" borderId="14" xfId="0" applyFont="1" applyBorder="1"/>
    <xf numFmtId="0" fontId="25" fillId="0" borderId="0" xfId="1" applyFont="1" applyFill="1">
      <alignment horizontal="left"/>
    </xf>
    <xf numFmtId="0" fontId="26" fillId="0" borderId="11" xfId="44" applyFont="1" applyBorder="1">
      <alignment horizontal="left"/>
    </xf>
    <xf numFmtId="0" fontId="26" fillId="0" borderId="12" xfId="44" applyFont="1" applyBorder="1">
      <alignment horizontal="left"/>
    </xf>
    <xf numFmtId="0" fontId="25" fillId="0" borderId="11" xfId="8" applyFont="1" applyBorder="1">
      <alignment horizontal="left"/>
    </xf>
    <xf numFmtId="0" fontId="25" fillId="0" borderId="0" xfId="8" quotePrefix="1" applyFont="1" applyBorder="1">
      <alignment horizontal="left"/>
    </xf>
    <xf numFmtId="0" fontId="25" fillId="0" borderId="12" xfId="8" applyFont="1" applyBorder="1">
      <alignment horizontal="left"/>
    </xf>
    <xf numFmtId="0" fontId="25" fillId="0" borderId="0" xfId="8" applyFont="1" applyBorder="1">
      <alignment horizontal="left"/>
    </xf>
    <xf numFmtId="0" fontId="26" fillId="0" borderId="0" xfId="44" applyFont="1" applyBorder="1">
      <alignment horizontal="left"/>
    </xf>
    <xf numFmtId="0" fontId="25" fillId="0" borderId="0" xfId="8" applyFont="1" applyBorder="1" applyAlignment="1">
      <alignment horizontal="left" wrapText="1"/>
    </xf>
    <xf numFmtId="0" fontId="27" fillId="0" borderId="0" xfId="8" applyFont="1" applyBorder="1">
      <alignment horizontal="left"/>
    </xf>
    <xf numFmtId="0" fontId="22" fillId="0" borderId="0" xfId="8" applyBorder="1">
      <alignment horizontal="left"/>
    </xf>
    <xf numFmtId="0" fontId="25" fillId="0" borderId="0" xfId="8" applyFont="1" applyFill="1" applyBorder="1">
      <alignment horizontal="left"/>
    </xf>
    <xf numFmtId="0" fontId="0" fillId="0" borderId="0" xfId="0" applyAlignment="1">
      <alignment horizontal="left"/>
    </xf>
    <xf numFmtId="0" fontId="20" fillId="0" borderId="0" xfId="44" applyBorder="1">
      <alignment horizontal="left"/>
    </xf>
    <xf numFmtId="0" fontId="20" fillId="0" borderId="6" xfId="44" applyFill="1" applyBorder="1">
      <alignment horizontal="left"/>
    </xf>
    <xf numFmtId="0" fontId="21" fillId="0" borderId="0" xfId="46" applyAlignment="1">
      <alignment horizontal="center"/>
    </xf>
    <xf numFmtId="0" fontId="19" fillId="0" borderId="6" xfId="1" applyFill="1" applyBorder="1" applyAlignment="1">
      <alignment horizontal="left" vertical="center" wrapText="1"/>
    </xf>
    <xf numFmtId="166" fontId="18" fillId="0" borderId="6" xfId="54" applyBorder="1" applyAlignment="1">
      <alignment vertical="center"/>
    </xf>
    <xf numFmtId="0" fontId="19" fillId="0" borderId="6" xfId="1" applyFill="1" applyBorder="1" applyAlignment="1">
      <alignment horizontal="left" vertical="center"/>
    </xf>
    <xf numFmtId="42" fontId="18" fillId="0" borderId="6" xfId="0" applyNumberFormat="1" applyFont="1" applyBorder="1" applyAlignment="1">
      <alignment vertical="center"/>
    </xf>
    <xf numFmtId="42" fontId="18" fillId="24" borderId="6" xfId="37" applyFont="1" applyFill="1" applyBorder="1" applyAlignment="1" applyProtection="1">
      <alignment horizontal="left" vertical="center"/>
      <protection locked="0"/>
    </xf>
    <xf numFmtId="0" fontId="19" fillId="0" borderId="23" xfId="1" applyFill="1" applyBorder="1" applyAlignment="1">
      <alignment horizontal="left" vertical="center" wrapText="1"/>
    </xf>
    <xf numFmtId="0" fontId="18" fillId="0" borderId="0" xfId="0" applyFont="1" applyBorder="1" applyAlignment="1">
      <alignment vertical="top"/>
    </xf>
    <xf numFmtId="0" fontId="21" fillId="0" borderId="0" xfId="46" applyAlignment="1">
      <alignment horizontal="right" vertical="top"/>
    </xf>
    <xf numFmtId="42" fontId="21" fillId="0" borderId="0" xfId="0" applyNumberFormat="1" applyFont="1" applyBorder="1" applyAlignment="1">
      <alignment vertical="top"/>
    </xf>
    <xf numFmtId="0" fontId="19" fillId="0" borderId="6" xfId="1" applyFill="1" applyBorder="1" applyAlignment="1">
      <alignment horizontal="center" vertical="center" wrapText="1"/>
    </xf>
    <xf numFmtId="167" fontId="19" fillId="0" borderId="6" xfId="1" applyNumberFormat="1" applyFill="1" applyBorder="1" applyAlignment="1">
      <alignment horizontal="center" vertical="center"/>
    </xf>
    <xf numFmtId="166" fontId="18" fillId="0" borderId="6" xfId="54" applyBorder="1" applyAlignment="1">
      <alignment horizontal="center" vertical="center"/>
    </xf>
    <xf numFmtId="37" fontId="19" fillId="0" borderId="6" xfId="31" applyFont="1" applyFill="1" applyBorder="1" applyAlignment="1">
      <alignment horizontal="center" vertical="center"/>
    </xf>
    <xf numFmtId="37" fontId="19" fillId="25" borderId="6" xfId="31" applyFont="1" applyFill="1" applyBorder="1" applyAlignment="1">
      <alignment horizontal="center" vertical="center"/>
    </xf>
    <xf numFmtId="167" fontId="19" fillId="0" borderId="23" xfId="1" applyNumberFormat="1" applyFill="1" applyBorder="1" applyAlignment="1">
      <alignment horizontal="center" vertical="center"/>
    </xf>
    <xf numFmtId="0" fontId="19" fillId="0" borderId="23" xfId="1" applyFill="1" applyBorder="1" applyAlignment="1">
      <alignment horizontal="center" vertical="center" wrapText="1"/>
    </xf>
    <xf numFmtId="37" fontId="19" fillId="0" borderId="23" xfId="31" applyFont="1" applyFill="1" applyBorder="1" applyAlignment="1">
      <alignment horizontal="center" vertical="center"/>
    </xf>
    <xf numFmtId="37" fontId="19" fillId="25" borderId="23" xfId="31" applyFont="1" applyFill="1" applyBorder="1" applyAlignment="1">
      <alignment horizontal="center" vertical="center"/>
    </xf>
    <xf numFmtId="0" fontId="21" fillId="25" borderId="25" xfId="46" applyFill="1" applyBorder="1" applyAlignment="1">
      <alignment horizontal="right" vertical="top"/>
    </xf>
    <xf numFmtId="37" fontId="28" fillId="25" borderId="26" xfId="31" applyFont="1" applyFill="1" applyBorder="1" applyAlignment="1">
      <alignment horizontal="center" vertical="center"/>
    </xf>
    <xf numFmtId="9" fontId="21" fillId="26" borderId="27" xfId="60" applyFont="1" applyFill="1" applyBorder="1" applyAlignment="1">
      <alignment horizontal="center" vertical="top"/>
    </xf>
    <xf numFmtId="37" fontId="28" fillId="25" borderId="28" xfId="31" applyFont="1" applyFill="1" applyBorder="1" applyAlignment="1">
      <alignment horizontal="center" vertical="center"/>
    </xf>
    <xf numFmtId="0" fontId="21" fillId="25" borderId="26" xfId="46" applyFill="1" applyBorder="1" applyAlignment="1">
      <alignment horizontal="right" vertical="top"/>
    </xf>
    <xf numFmtId="0" fontId="21" fillId="25" borderId="6" xfId="46" applyFill="1" applyBorder="1" applyAlignment="1">
      <alignment horizontal="center" wrapText="1"/>
    </xf>
    <xf numFmtId="0" fontId="21" fillId="25" borderId="6" xfId="46" applyFill="1" applyBorder="1" applyAlignment="1">
      <alignment horizontal="center" vertical="center" wrapText="1"/>
    </xf>
    <xf numFmtId="0" fontId="21" fillId="0" borderId="6" xfId="46" applyFill="1" applyBorder="1" applyAlignment="1">
      <alignment horizontal="left" vertical="top"/>
    </xf>
    <xf numFmtId="0" fontId="42" fillId="0" borderId="0" xfId="0" applyFont="1" applyAlignment="1">
      <alignment horizontal="left" vertical="center"/>
    </xf>
    <xf numFmtId="0" fontId="43" fillId="0" borderId="0" xfId="0" applyFont="1" applyAlignment="1">
      <alignment horizontal="left" vertical="center"/>
    </xf>
    <xf numFmtId="0" fontId="0" fillId="0" borderId="17" xfId="0" applyBorder="1"/>
    <xf numFmtId="166" fontId="21" fillId="0" borderId="11" xfId="54" applyFont="1" applyBorder="1"/>
    <xf numFmtId="42" fontId="18" fillId="0" borderId="0" xfId="0" applyNumberFormat="1" applyFont="1" applyBorder="1"/>
    <xf numFmtId="42" fontId="21" fillId="25" borderId="9" xfId="58" applyNumberFormat="1"/>
    <xf numFmtId="0" fontId="18" fillId="0" borderId="0" xfId="0" applyFont="1" applyBorder="1" applyAlignment="1">
      <alignment horizontal="left" indent="2"/>
    </xf>
    <xf numFmtId="42" fontId="18" fillId="0" borderId="6" xfId="37" applyFont="1" applyBorder="1"/>
    <xf numFmtId="0" fontId="24" fillId="0" borderId="0" xfId="46" applyFont="1" applyFill="1" applyAlignment="1">
      <alignment horizontal="right"/>
    </xf>
    <xf numFmtId="0" fontId="18" fillId="0" borderId="12" xfId="0" applyFont="1" applyBorder="1" applyAlignment="1">
      <alignment vertical="top" wrapText="1"/>
    </xf>
    <xf numFmtId="166" fontId="18" fillId="0" borderId="0" xfId="54" applyBorder="1"/>
    <xf numFmtId="42" fontId="18" fillId="0" borderId="0" xfId="0" applyNumberFormat="1" applyFont="1" applyBorder="1" applyAlignment="1">
      <alignment vertical="center"/>
    </xf>
    <xf numFmtId="37" fontId="18" fillId="0" borderId="0" xfId="31" applyBorder="1">
      <alignment horizontal="center"/>
    </xf>
    <xf numFmtId="0" fontId="19" fillId="0" borderId="6" xfId="1" applyFill="1" applyBorder="1" applyAlignment="1">
      <alignment horizontal="left" vertical="top" wrapText="1"/>
    </xf>
    <xf numFmtId="0" fontId="3" fillId="0" borderId="0" xfId="0" applyFont="1" applyBorder="1" applyAlignment="1">
      <alignment wrapText="1"/>
    </xf>
    <xf numFmtId="0" fontId="0" fillId="25" borderId="17" xfId="0" applyFill="1" applyBorder="1"/>
    <xf numFmtId="0" fontId="0" fillId="25" borderId="0" xfId="0" applyFill="1" applyBorder="1"/>
    <xf numFmtId="0" fontId="26" fillId="0" borderId="0" xfId="0" applyFont="1"/>
    <xf numFmtId="0" fontId="3" fillId="0" borderId="31" xfId="0" applyFont="1" applyBorder="1"/>
    <xf numFmtId="0" fontId="3" fillId="0" borderId="32" xfId="0" applyFont="1" applyBorder="1"/>
    <xf numFmtId="0" fontId="3" fillId="25" borderId="31" xfId="0" applyFont="1" applyFill="1" applyBorder="1"/>
    <xf numFmtId="0" fontId="3" fillId="25" borderId="32" xfId="0" applyFont="1" applyFill="1" applyBorder="1"/>
    <xf numFmtId="0" fontId="26" fillId="25" borderId="33" xfId="0" applyFont="1" applyFill="1" applyBorder="1" applyAlignment="1">
      <alignment horizontal="center"/>
    </xf>
    <xf numFmtId="0" fontId="31" fillId="25" borderId="34" xfId="0" applyFont="1" applyFill="1" applyBorder="1" applyAlignment="1">
      <alignment horizontal="center"/>
    </xf>
    <xf numFmtId="0" fontId="31" fillId="25" borderId="35" xfId="0" applyFont="1" applyFill="1" applyBorder="1" applyAlignment="1">
      <alignment horizontal="center"/>
    </xf>
    <xf numFmtId="0" fontId="31" fillId="25" borderId="36" xfId="0" applyFont="1" applyFill="1" applyBorder="1" applyAlignment="1">
      <alignment horizontal="center"/>
    </xf>
    <xf numFmtId="0" fontId="31" fillId="25" borderId="37" xfId="0" applyFont="1" applyFill="1" applyBorder="1" applyAlignment="1">
      <alignment horizontal="center"/>
    </xf>
    <xf numFmtId="41" fontId="31" fillId="0" borderId="25" xfId="0" applyNumberFormat="1" applyFont="1" applyBorder="1"/>
    <xf numFmtId="41" fontId="32" fillId="0" borderId="38" xfId="30" applyFont="1" applyBorder="1"/>
    <xf numFmtId="41" fontId="32" fillId="0" borderId="39" xfId="30" applyFont="1" applyBorder="1"/>
    <xf numFmtId="41" fontId="32" fillId="0" borderId="29" xfId="30" applyFont="1" applyBorder="1"/>
    <xf numFmtId="41" fontId="32" fillId="0" borderId="40" xfId="30" applyFont="1" applyBorder="1"/>
    <xf numFmtId="9" fontId="32" fillId="0" borderId="41" xfId="60" applyFont="1" applyBorder="1" applyAlignment="1">
      <alignment horizontal="center"/>
    </xf>
    <xf numFmtId="9" fontId="32" fillId="0" borderId="42" xfId="60" applyFont="1" applyBorder="1" applyAlignment="1">
      <alignment horizontal="center"/>
    </xf>
    <xf numFmtId="0" fontId="3" fillId="0" borderId="43" xfId="0" applyFont="1" applyBorder="1"/>
    <xf numFmtId="0" fontId="3" fillId="25" borderId="44" xfId="0" applyFont="1" applyFill="1" applyBorder="1"/>
    <xf numFmtId="0" fontId="26" fillId="25" borderId="44" xfId="0" applyFont="1" applyFill="1" applyBorder="1" applyAlignment="1">
      <alignment horizontal="right"/>
    </xf>
    <xf numFmtId="42" fontId="3" fillId="0" borderId="36" xfId="0" applyNumberFormat="1" applyFont="1" applyBorder="1" applyAlignment="1">
      <alignment horizontal="left" indent="2"/>
    </xf>
    <xf numFmtId="0" fontId="3" fillId="0" borderId="33" xfId="0" quotePrefix="1" applyFont="1" applyBorder="1"/>
    <xf numFmtId="37" fontId="18" fillId="24" borderId="40" xfId="31" applyFont="1" applyFill="1" applyBorder="1" applyProtection="1">
      <alignment horizontal="center"/>
      <protection locked="0"/>
    </xf>
    <xf numFmtId="37" fontId="18" fillId="24" borderId="45" xfId="31" applyFont="1" applyFill="1" applyBorder="1" applyProtection="1">
      <alignment horizontal="center"/>
      <protection locked="0"/>
    </xf>
    <xf numFmtId="0" fontId="26" fillId="0" borderId="6" xfId="0" applyFont="1" applyBorder="1"/>
    <xf numFmtId="0" fontId="26" fillId="0" borderId="6" xfId="0" applyFont="1" applyBorder="1" applyAlignment="1">
      <alignment horizontal="center" wrapText="1"/>
    </xf>
    <xf numFmtId="0" fontId="0" fillId="0" borderId="6" xfId="0" applyBorder="1"/>
    <xf numFmtId="42" fontId="0" fillId="0" borderId="6" xfId="0" applyNumberFormat="1" applyBorder="1"/>
    <xf numFmtId="42" fontId="0" fillId="25" borderId="6" xfId="0" applyNumberFormat="1" applyFill="1" applyBorder="1"/>
    <xf numFmtId="37" fontId="0" fillId="0" borderId="6" xfId="0" applyNumberFormat="1" applyBorder="1"/>
    <xf numFmtId="0" fontId="26" fillId="0" borderId="6" xfId="0" applyFont="1" applyBorder="1" applyAlignment="1">
      <alignment horizontal="center"/>
    </xf>
    <xf numFmtId="42" fontId="0" fillId="0" borderId="6" xfId="0" applyNumberFormat="1" applyBorder="1" applyAlignment="1">
      <alignment horizontal="center"/>
    </xf>
    <xf numFmtId="41" fontId="31" fillId="0" borderId="28" xfId="0" applyNumberFormat="1" applyFont="1" applyBorder="1"/>
    <xf numFmtId="9" fontId="31" fillId="0" borderId="44" xfId="60" applyFont="1" applyBorder="1" applyAlignment="1">
      <alignment horizontal="center"/>
    </xf>
    <xf numFmtId="37" fontId="18" fillId="24" borderId="29" xfId="31" applyFont="1" applyFill="1" applyBorder="1" applyProtection="1">
      <alignment horizontal="center"/>
      <protection locked="0"/>
    </xf>
    <xf numFmtId="37" fontId="18" fillId="24" borderId="30" xfId="31" applyFont="1" applyFill="1" applyBorder="1" applyProtection="1">
      <alignment horizontal="center"/>
      <protection locked="0"/>
    </xf>
    <xf numFmtId="0" fontId="20" fillId="0" borderId="0" xfId="44" applyAlignment="1">
      <alignment horizontal="right"/>
    </xf>
    <xf numFmtId="0" fontId="19" fillId="0" borderId="0" xfId="1" applyFill="1" applyAlignment="1">
      <alignment horizontal="left" indent="2"/>
    </xf>
    <xf numFmtId="0" fontId="21" fillId="25" borderId="46" xfId="46" applyFill="1" applyBorder="1" applyAlignment="1">
      <alignment horizontal="center"/>
    </xf>
    <xf numFmtId="0" fontId="21" fillId="25" borderId="47" xfId="46" applyFill="1" applyBorder="1" applyAlignment="1">
      <alignment horizontal="center"/>
    </xf>
    <xf numFmtId="37" fontId="21" fillId="0" borderId="0" xfId="0" applyNumberFormat="1" applyFont="1" applyBorder="1" applyAlignment="1">
      <alignment horizontal="center"/>
    </xf>
    <xf numFmtId="0" fontId="26" fillId="25" borderId="31" xfId="0" applyFont="1" applyFill="1" applyBorder="1" applyAlignment="1">
      <alignment horizontal="center"/>
    </xf>
    <xf numFmtId="0" fontId="26" fillId="0" borderId="0" xfId="0" applyFont="1" applyFill="1" applyBorder="1" applyAlignment="1">
      <alignment horizontal="center"/>
    </xf>
    <xf numFmtId="0" fontId="3" fillId="0" borderId="0" xfId="0" applyFont="1" applyFill="1" applyBorder="1"/>
    <xf numFmtId="0" fontId="33" fillId="25" borderId="48" xfId="0" applyFont="1" applyFill="1" applyBorder="1" applyAlignment="1">
      <alignment horizontal="center"/>
    </xf>
    <xf numFmtId="0" fontId="31" fillId="25" borderId="48" xfId="0" applyFont="1" applyFill="1" applyBorder="1" applyAlignment="1">
      <alignment horizontal="center"/>
    </xf>
    <xf numFmtId="9" fontId="32" fillId="0" borderId="49" xfId="60" applyFont="1" applyBorder="1" applyAlignment="1">
      <alignment horizontal="center"/>
    </xf>
    <xf numFmtId="0" fontId="33" fillId="25" borderId="31" xfId="0" applyFont="1" applyFill="1" applyBorder="1" applyAlignment="1">
      <alignment horizontal="center"/>
    </xf>
    <xf numFmtId="0" fontId="33" fillId="25" borderId="35" xfId="0" applyFont="1" applyFill="1" applyBorder="1" applyAlignment="1">
      <alignment horizontal="center"/>
    </xf>
    <xf numFmtId="0" fontId="33" fillId="25" borderId="32" xfId="0" applyFont="1" applyFill="1" applyBorder="1" applyAlignment="1">
      <alignment horizontal="center"/>
    </xf>
    <xf numFmtId="0" fontId="31" fillId="25" borderId="0" xfId="0" applyFont="1" applyFill="1" applyBorder="1" applyAlignment="1">
      <alignment horizontal="center"/>
    </xf>
    <xf numFmtId="9" fontId="32" fillId="0" borderId="50" xfId="60" applyFont="1" applyBorder="1" applyAlignment="1">
      <alignment horizontal="center"/>
    </xf>
    <xf numFmtId="9" fontId="32" fillId="0" borderId="51" xfId="60" applyFont="1" applyBorder="1" applyAlignment="1">
      <alignment horizontal="center"/>
    </xf>
    <xf numFmtId="9" fontId="32" fillId="0" borderId="33" xfId="60" applyFont="1" applyBorder="1" applyAlignment="1">
      <alignment horizontal="center"/>
    </xf>
    <xf numFmtId="41" fontId="32" fillId="0" borderId="41" xfId="30" applyFont="1" applyBorder="1"/>
    <xf numFmtId="41" fontId="32" fillId="0" borderId="50" xfId="30" applyFont="1" applyBorder="1"/>
    <xf numFmtId="41" fontId="32" fillId="0" borderId="51" xfId="30" applyFont="1" applyBorder="1"/>
    <xf numFmtId="41" fontId="31" fillId="0" borderId="33" xfId="0" applyNumberFormat="1" applyFont="1" applyBorder="1"/>
    <xf numFmtId="9" fontId="32" fillId="0" borderId="52" xfId="60" applyFont="1" applyBorder="1" applyAlignment="1">
      <alignment horizontal="center"/>
    </xf>
    <xf numFmtId="9" fontId="32" fillId="0" borderId="53" xfId="60" applyFont="1" applyBorder="1" applyAlignment="1">
      <alignment horizontal="center"/>
    </xf>
    <xf numFmtId="9" fontId="32" fillId="0" borderId="37" xfId="60" applyFont="1" applyBorder="1" applyAlignment="1">
      <alignment horizontal="center"/>
    </xf>
    <xf numFmtId="0" fontId="18" fillId="0" borderId="43" xfId="0" applyFont="1" applyBorder="1"/>
    <xf numFmtId="0" fontId="18" fillId="0" borderId="48" xfId="0" applyFont="1" applyBorder="1"/>
    <xf numFmtId="0" fontId="3" fillId="0" borderId="54" xfId="0" applyFont="1" applyFill="1" applyBorder="1"/>
    <xf numFmtId="0" fontId="44" fillId="25" borderId="6" xfId="0" applyFont="1" applyFill="1" applyBorder="1" applyAlignment="1">
      <alignment horizontal="center" vertical="center" wrapText="1"/>
    </xf>
    <xf numFmtId="0" fontId="22" fillId="0" borderId="11" xfId="8" applyBorder="1" applyAlignment="1">
      <alignment horizontal="left" indent="1"/>
    </xf>
    <xf numFmtId="0" fontId="22" fillId="0" borderId="12" xfId="8" applyBorder="1" applyAlignment="1">
      <alignment horizontal="left" indent="1"/>
    </xf>
    <xf numFmtId="0" fontId="18" fillId="0" borderId="12" xfId="0" applyFont="1" applyBorder="1" applyAlignment="1">
      <alignment horizontal="left" indent="1"/>
    </xf>
    <xf numFmtId="42" fontId="32" fillId="0" borderId="6" xfId="0" applyNumberFormat="1" applyFont="1" applyBorder="1"/>
    <xf numFmtId="37" fontId="32" fillId="0" borderId="6" xfId="30" applyNumberFormat="1" applyFont="1" applyBorder="1" applyAlignment="1">
      <alignment horizontal="center" vertical="center"/>
    </xf>
    <xf numFmtId="0" fontId="26" fillId="25" borderId="6" xfId="0" applyFont="1" applyFill="1" applyBorder="1" applyAlignment="1">
      <alignment horizontal="center" wrapText="1"/>
    </xf>
    <xf numFmtId="0" fontId="26" fillId="25" borderId="6" xfId="0" applyFont="1" applyFill="1" applyBorder="1" applyAlignment="1">
      <alignment vertical="center"/>
    </xf>
    <xf numFmtId="0" fontId="18" fillId="24" borderId="6" xfId="50" applyProtection="1">
      <alignment horizontal="left"/>
      <protection locked="0"/>
    </xf>
    <xf numFmtId="0" fontId="44" fillId="25" borderId="29" xfId="0" applyFont="1" applyFill="1" applyBorder="1" applyAlignment="1">
      <alignment horizontal="center" vertical="center" wrapText="1"/>
    </xf>
    <xf numFmtId="0" fontId="44" fillId="25" borderId="40" xfId="0" applyFont="1" applyFill="1" applyBorder="1" applyAlignment="1">
      <alignment horizontal="center" vertical="center" wrapText="1"/>
    </xf>
    <xf numFmtId="0" fontId="3" fillId="25" borderId="30" xfId="0" applyFont="1" applyFill="1" applyBorder="1"/>
    <xf numFmtId="0" fontId="3" fillId="25" borderId="55" xfId="0" applyFont="1" applyFill="1" applyBorder="1"/>
    <xf numFmtId="0" fontId="3" fillId="25" borderId="45" xfId="0" applyFont="1" applyFill="1" applyBorder="1"/>
    <xf numFmtId="0" fontId="0" fillId="25" borderId="56" xfId="0" applyFill="1" applyBorder="1"/>
    <xf numFmtId="0" fontId="0" fillId="25" borderId="57" xfId="0" applyFill="1" applyBorder="1"/>
    <xf numFmtId="0" fontId="0" fillId="25" borderId="43" xfId="0" applyFill="1" applyBorder="1"/>
    <xf numFmtId="0" fontId="0" fillId="25" borderId="48" xfId="0" applyFill="1" applyBorder="1"/>
    <xf numFmtId="0" fontId="0" fillId="25" borderId="36" xfId="0" applyFill="1" applyBorder="1"/>
    <xf numFmtId="0" fontId="0" fillId="25" borderId="37" xfId="0" applyFill="1" applyBorder="1"/>
    <xf numFmtId="0" fontId="0" fillId="25" borderId="54" xfId="0" applyFill="1" applyBorder="1"/>
    <xf numFmtId="0" fontId="0" fillId="0" borderId="0" xfId="0" applyBorder="1"/>
    <xf numFmtId="42" fontId="0" fillId="0" borderId="0" xfId="0" applyNumberFormat="1" applyBorder="1" applyAlignment="1">
      <alignment horizontal="center"/>
    </xf>
    <xf numFmtId="0" fontId="18" fillId="0" borderId="58" xfId="0" applyFont="1" applyBorder="1"/>
    <xf numFmtId="0" fontId="35" fillId="0" borderId="0" xfId="0" applyFont="1"/>
    <xf numFmtId="9" fontId="34" fillId="0" borderId="40" xfId="60" applyFont="1" applyBorder="1" applyAlignment="1">
      <alignment horizontal="center"/>
    </xf>
    <xf numFmtId="37" fontId="32" fillId="0" borderId="29" xfId="30" applyNumberFormat="1" applyFont="1" applyBorder="1" applyAlignment="1">
      <alignment horizontal="center" vertical="center"/>
    </xf>
    <xf numFmtId="42" fontId="32" fillId="0" borderId="50" xfId="0" applyNumberFormat="1" applyFont="1" applyBorder="1"/>
    <xf numFmtId="0" fontId="26" fillId="0" borderId="30" xfId="0" applyFont="1" applyFill="1" applyBorder="1" applyAlignment="1">
      <alignment horizontal="center" wrapText="1"/>
    </xf>
    <xf numFmtId="0" fontId="26" fillId="0" borderId="55" xfId="0" applyFont="1" applyFill="1" applyBorder="1" applyAlignment="1">
      <alignment horizontal="center" wrapText="1"/>
    </xf>
    <xf numFmtId="0" fontId="26" fillId="0" borderId="45" xfId="0" applyFont="1" applyFill="1" applyBorder="1" applyAlignment="1">
      <alignment horizontal="center" wrapText="1"/>
    </xf>
    <xf numFmtId="42" fontId="32" fillId="0" borderId="42" xfId="0" applyNumberFormat="1" applyFont="1" applyBorder="1"/>
    <xf numFmtId="0" fontId="26" fillId="0" borderId="44" xfId="0" applyFont="1" applyFill="1" applyBorder="1" applyAlignment="1">
      <alignment horizontal="center" wrapText="1"/>
    </xf>
    <xf numFmtId="42" fontId="18" fillId="0" borderId="29" xfId="37" applyFont="1" applyFill="1" applyBorder="1" applyAlignment="1" applyProtection="1">
      <alignment horizontal="left"/>
      <protection locked="0"/>
    </xf>
    <xf numFmtId="42" fontId="18" fillId="0" borderId="40" xfId="37" applyFont="1" applyFill="1" applyBorder="1" applyAlignment="1" applyProtection="1">
      <alignment horizontal="left"/>
      <protection locked="0"/>
    </xf>
    <xf numFmtId="42" fontId="18" fillId="0" borderId="30" xfId="37" applyFont="1" applyFill="1" applyBorder="1" applyAlignment="1" applyProtection="1">
      <alignment horizontal="left"/>
      <protection locked="0"/>
    </xf>
    <xf numFmtId="42" fontId="18" fillId="0" borderId="45" xfId="37" applyFont="1" applyFill="1" applyBorder="1" applyAlignment="1" applyProtection="1">
      <alignment horizontal="left"/>
      <protection locked="0"/>
    </xf>
    <xf numFmtId="37" fontId="18" fillId="0" borderId="29" xfId="31" applyFont="1" applyFill="1" applyBorder="1" applyProtection="1">
      <alignment horizontal="center"/>
      <protection locked="0"/>
    </xf>
    <xf numFmtId="37" fontId="18" fillId="0" borderId="40" xfId="31" applyFont="1" applyFill="1" applyBorder="1" applyProtection="1">
      <alignment horizontal="center"/>
      <protection locked="0"/>
    </xf>
    <xf numFmtId="42" fontId="32" fillId="0" borderId="6" xfId="0" applyNumberFormat="1" applyFont="1" applyBorder="1" applyAlignment="1">
      <alignment vertical="center"/>
    </xf>
    <xf numFmtId="9" fontId="34" fillId="0" borderId="6" xfId="60" applyFont="1" applyBorder="1" applyAlignment="1">
      <alignment horizontal="center" vertical="center"/>
    </xf>
    <xf numFmtId="42" fontId="31" fillId="0" borderId="6" xfId="0" applyNumberFormat="1" applyFont="1" applyBorder="1" applyAlignment="1">
      <alignment vertical="center"/>
    </xf>
    <xf numFmtId="9" fontId="33" fillId="0" borderId="6" xfId="60" applyFont="1" applyBorder="1" applyAlignment="1">
      <alignment horizontal="center" vertical="center"/>
    </xf>
    <xf numFmtId="37" fontId="31" fillId="0" borderId="6" xfId="30" applyNumberFormat="1" applyFont="1" applyBorder="1" applyAlignment="1">
      <alignment horizontal="center" vertical="center"/>
    </xf>
    <xf numFmtId="0" fontId="26" fillId="0" borderId="6" xfId="0" applyFont="1" applyFill="1" applyBorder="1" applyAlignment="1">
      <alignment horizontal="center" wrapText="1"/>
    </xf>
    <xf numFmtId="0" fontId="32" fillId="0" borderId="6" xfId="0" applyNumberFormat="1" applyFont="1" applyBorder="1"/>
    <xf numFmtId="42" fontId="32" fillId="0" borderId="23" xfId="0" applyNumberFormat="1" applyFont="1" applyBorder="1"/>
    <xf numFmtId="9" fontId="34" fillId="0" borderId="47" xfId="60" applyFont="1" applyBorder="1" applyAlignment="1">
      <alignment horizontal="center"/>
    </xf>
    <xf numFmtId="37" fontId="32" fillId="0" borderId="46" xfId="30" applyNumberFormat="1" applyFont="1" applyBorder="1" applyAlignment="1">
      <alignment horizontal="center" vertical="center"/>
    </xf>
    <xf numFmtId="37" fontId="32" fillId="0" borderId="23" xfId="30" applyNumberFormat="1" applyFont="1" applyBorder="1" applyAlignment="1">
      <alignment horizontal="center" vertical="center"/>
    </xf>
    <xf numFmtId="42" fontId="32" fillId="0" borderId="59" xfId="0" applyNumberFormat="1" applyFont="1" applyBorder="1"/>
    <xf numFmtId="9" fontId="34" fillId="0" borderId="39" xfId="60" applyFont="1" applyBorder="1" applyAlignment="1">
      <alignment horizontal="center"/>
    </xf>
    <xf numFmtId="37" fontId="32" fillId="0" borderId="38" xfId="30" applyNumberFormat="1" applyFont="1" applyBorder="1" applyAlignment="1">
      <alignment horizontal="center" vertical="center"/>
    </xf>
    <xf numFmtId="37" fontId="32" fillId="0" borderId="59" xfId="30" applyNumberFormat="1" applyFont="1" applyBorder="1" applyAlignment="1">
      <alignment horizontal="center" vertical="center"/>
    </xf>
    <xf numFmtId="42" fontId="31" fillId="0" borderId="60" xfId="0" applyNumberFormat="1" applyFont="1" applyBorder="1"/>
    <xf numFmtId="42" fontId="31" fillId="0" borderId="26" xfId="0" applyNumberFormat="1" applyFont="1" applyBorder="1"/>
    <xf numFmtId="9" fontId="32" fillId="0" borderId="28" xfId="60" applyFont="1" applyBorder="1" applyAlignment="1">
      <alignment horizontal="center"/>
    </xf>
    <xf numFmtId="37" fontId="31" fillId="0" borderId="60" xfId="0" applyNumberFormat="1" applyFont="1" applyBorder="1"/>
    <xf numFmtId="37" fontId="31" fillId="0" borderId="26" xfId="0" applyNumberFormat="1" applyFont="1" applyBorder="1"/>
    <xf numFmtId="0" fontId="44" fillId="25" borderId="21" xfId="0" applyFont="1" applyFill="1" applyBorder="1" applyAlignment="1">
      <alignment horizontal="center" vertical="center" wrapText="1"/>
    </xf>
    <xf numFmtId="0" fontId="3" fillId="25" borderId="61" xfId="0" applyFont="1" applyFill="1" applyBorder="1"/>
    <xf numFmtId="42" fontId="32" fillId="0" borderId="18" xfId="0" applyNumberFormat="1" applyFont="1" applyBorder="1"/>
    <xf numFmtId="42" fontId="32" fillId="0" borderId="21" xfId="0" applyNumberFormat="1" applyFont="1" applyBorder="1"/>
    <xf numFmtId="0" fontId="26" fillId="0" borderId="61" xfId="0" applyFont="1" applyFill="1" applyBorder="1" applyAlignment="1">
      <alignment horizontal="center" wrapText="1"/>
    </xf>
    <xf numFmtId="42" fontId="32" fillId="0" borderId="62" xfId="0" applyNumberFormat="1" applyFont="1" applyBorder="1"/>
    <xf numFmtId="42" fontId="32" fillId="0" borderId="51" xfId="0" applyNumberFormat="1" applyFont="1" applyBorder="1" applyAlignment="1">
      <alignment horizontal="left" indent="1"/>
    </xf>
    <xf numFmtId="10" fontId="18" fillId="0" borderId="0" xfId="0" applyNumberFormat="1" applyFont="1"/>
    <xf numFmtId="164" fontId="18" fillId="0" borderId="0" xfId="0" applyNumberFormat="1" applyFont="1" applyAlignment="1">
      <alignment horizontal="center"/>
    </xf>
    <xf numFmtId="0" fontId="18" fillId="0" borderId="0" xfId="0" applyFont="1" applyAlignment="1">
      <alignment horizontal="center"/>
    </xf>
    <xf numFmtId="0" fontId="20" fillId="0" borderId="0" xfId="44" applyFill="1" applyBorder="1" applyAlignment="1">
      <alignment horizontal="center"/>
    </xf>
    <xf numFmtId="0" fontId="22" fillId="0" borderId="0" xfId="8" applyFill="1" applyBorder="1">
      <alignment horizontal="left"/>
    </xf>
    <xf numFmtId="0" fontId="21" fillId="0" borderId="0" xfId="44" applyFont="1" applyFill="1" applyBorder="1" applyAlignment="1">
      <alignment horizontal="center"/>
    </xf>
    <xf numFmtId="0" fontId="18" fillId="0" borderId="0" xfId="44" applyFont="1">
      <alignment horizontal="left"/>
    </xf>
    <xf numFmtId="42" fontId="18" fillId="0" borderId="6" xfId="0" applyNumberFormat="1" applyFont="1" applyBorder="1" applyAlignment="1" applyProtection="1">
      <alignment vertical="top" wrapText="1"/>
      <protection locked="0"/>
    </xf>
    <xf numFmtId="37" fontId="21" fillId="0" borderId="0" xfId="31" applyFont="1" applyBorder="1">
      <alignment horizontal="center"/>
    </xf>
    <xf numFmtId="0" fontId="41" fillId="0" borderId="0" xfId="1" applyFont="1" applyFill="1">
      <alignment horizontal="left"/>
    </xf>
    <xf numFmtId="0" fontId="21" fillId="25" borderId="52" xfId="44" applyFont="1" applyFill="1" applyBorder="1" applyAlignment="1"/>
    <xf numFmtId="0" fontId="21" fillId="25" borderId="63" xfId="44" applyFont="1" applyFill="1" applyBorder="1" applyAlignment="1"/>
    <xf numFmtId="0" fontId="40" fillId="0" borderId="0" xfId="44" applyFont="1">
      <alignment horizontal="left"/>
    </xf>
    <xf numFmtId="42" fontId="3" fillId="0" borderId="0" xfId="0" applyNumberFormat="1" applyFont="1" applyBorder="1" applyAlignment="1">
      <alignment horizontal="center"/>
    </xf>
    <xf numFmtId="37" fontId="0" fillId="0" borderId="0" xfId="0" applyNumberFormat="1" applyBorder="1"/>
    <xf numFmtId="37" fontId="18" fillId="0" borderId="30" xfId="31" applyFont="1" applyFill="1" applyBorder="1" applyProtection="1">
      <alignment horizontal="center"/>
      <protection locked="0"/>
    </xf>
    <xf numFmtId="37" fontId="18" fillId="0" borderId="45" xfId="31" applyFont="1" applyFill="1" applyBorder="1" applyProtection="1">
      <alignment horizontal="center"/>
      <protection locked="0"/>
    </xf>
    <xf numFmtId="0" fontId="32" fillId="0" borderId="0" xfId="0" applyNumberFormat="1" applyFont="1" applyBorder="1"/>
    <xf numFmtId="42" fontId="32" fillId="0" borderId="0" xfId="0" applyNumberFormat="1" applyFont="1" applyBorder="1"/>
    <xf numFmtId="37" fontId="32" fillId="0" borderId="0" xfId="30" applyNumberFormat="1" applyFont="1" applyBorder="1" applyAlignment="1">
      <alignment horizontal="center" vertical="center"/>
    </xf>
    <xf numFmtId="0" fontId="44" fillId="25" borderId="63" xfId="0" applyFont="1" applyFill="1" applyBorder="1" applyAlignment="1">
      <alignment horizontal="center" vertical="center" wrapText="1"/>
    </xf>
    <xf numFmtId="0" fontId="25" fillId="0" borderId="0" xfId="8" quotePrefix="1" applyFont="1" applyBorder="1" applyAlignment="1">
      <alignment horizontal="left" wrapText="1"/>
    </xf>
    <xf numFmtId="6" fontId="18" fillId="24" borderId="6" xfId="37" applyNumberFormat="1" applyFont="1" applyFill="1" applyBorder="1" applyAlignment="1" applyProtection="1">
      <alignment horizontal="left" vertical="center"/>
      <protection locked="0"/>
    </xf>
    <xf numFmtId="6" fontId="18" fillId="24" borderId="65" xfId="37" applyNumberFormat="1" applyFont="1" applyFill="1" applyBorder="1" applyAlignment="1" applyProtection="1">
      <alignment horizontal="right"/>
      <protection locked="0"/>
    </xf>
    <xf numFmtId="6" fontId="18" fillId="24" borderId="64" xfId="37" applyNumberFormat="1" applyFont="1" applyFill="1" applyBorder="1" applyAlignment="1" applyProtection="1">
      <alignment horizontal="right"/>
      <protection locked="0"/>
    </xf>
    <xf numFmtId="6" fontId="18" fillId="24" borderId="29" xfId="37" applyNumberFormat="1" applyFont="1" applyFill="1" applyBorder="1" applyAlignment="1" applyProtection="1">
      <alignment horizontal="right"/>
      <protection locked="0"/>
    </xf>
    <xf numFmtId="6" fontId="18" fillId="24" borderId="40" xfId="37" applyNumberFormat="1" applyFont="1" applyFill="1" applyBorder="1" applyAlignment="1" applyProtection="1">
      <alignment horizontal="right"/>
      <protection locked="0"/>
    </xf>
    <xf numFmtId="42" fontId="18" fillId="24" borderId="29" xfId="37" applyFont="1" applyFill="1" applyBorder="1" applyAlignment="1" applyProtection="1">
      <alignment horizontal="right"/>
      <protection locked="0"/>
    </xf>
    <xf numFmtId="42" fontId="18" fillId="24" borderId="40" xfId="37" applyFont="1" applyFill="1" applyBorder="1" applyAlignment="1" applyProtection="1">
      <alignment horizontal="right"/>
      <protection locked="0"/>
    </xf>
    <xf numFmtId="42" fontId="18" fillId="24" borderId="30" xfId="37" applyFont="1" applyFill="1" applyBorder="1" applyAlignment="1" applyProtection="1">
      <alignment horizontal="right"/>
      <protection locked="0"/>
    </xf>
    <xf numFmtId="42" fontId="18" fillId="24" borderId="45" xfId="37" applyFont="1" applyFill="1" applyBorder="1" applyAlignment="1" applyProtection="1">
      <alignment horizontal="right"/>
      <protection locked="0"/>
    </xf>
    <xf numFmtId="0" fontId="45" fillId="25" borderId="66" xfId="0" applyFont="1" applyFill="1" applyBorder="1" applyAlignment="1">
      <alignment horizontal="center"/>
    </xf>
    <xf numFmtId="0" fontId="45" fillId="25" borderId="49" xfId="0" applyFont="1" applyFill="1" applyBorder="1" applyAlignment="1">
      <alignment horizontal="center"/>
    </xf>
    <xf numFmtId="0" fontId="45" fillId="25" borderId="58" xfId="0" applyFont="1" applyFill="1" applyBorder="1" applyAlignment="1">
      <alignment horizontal="center"/>
    </xf>
    <xf numFmtId="0" fontId="45" fillId="25" borderId="38" xfId="0" applyFont="1" applyFill="1" applyBorder="1" applyAlignment="1">
      <alignment horizontal="center"/>
    </xf>
    <xf numFmtId="0" fontId="45" fillId="25" borderId="59" xfId="0" applyFont="1" applyFill="1" applyBorder="1" applyAlignment="1">
      <alignment horizontal="center"/>
    </xf>
    <xf numFmtId="0" fontId="45" fillId="25" borderId="39" xfId="0" applyFont="1" applyFill="1" applyBorder="1" applyAlignment="1">
      <alignment horizontal="center"/>
    </xf>
    <xf numFmtId="0" fontId="21" fillId="25" borderId="66" xfId="44" applyFont="1" applyFill="1" applyBorder="1" applyAlignment="1">
      <alignment horizontal="center"/>
    </xf>
    <xf numFmtId="0" fontId="21" fillId="25" borderId="49" xfId="44" applyFont="1" applyFill="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6" xfId="0" applyFont="1" applyBorder="1" applyAlignment="1">
      <alignment horizontal="center"/>
    </xf>
    <xf numFmtId="0" fontId="26" fillId="25" borderId="25" xfId="0" applyFont="1" applyFill="1" applyBorder="1" applyAlignment="1">
      <alignment horizontal="center"/>
    </xf>
    <xf numFmtId="0" fontId="26" fillId="25" borderId="67" xfId="0" applyFont="1" applyFill="1" applyBorder="1" applyAlignment="1">
      <alignment horizontal="center"/>
    </xf>
    <xf numFmtId="0" fontId="31" fillId="25" borderId="31" xfId="0" applyFont="1" applyFill="1" applyBorder="1" applyAlignment="1">
      <alignment horizontal="center" vertical="center" wrapText="1"/>
    </xf>
    <xf numFmtId="0" fontId="31" fillId="25" borderId="32" xfId="0" applyFont="1" applyFill="1" applyBorder="1" applyAlignment="1">
      <alignment horizontal="center" vertical="center" wrapText="1"/>
    </xf>
    <xf numFmtId="0" fontId="31" fillId="25" borderId="33" xfId="0" applyFont="1" applyFill="1" applyBorder="1" applyAlignment="1">
      <alignment horizontal="center" vertical="center" wrapText="1"/>
    </xf>
    <xf numFmtId="0" fontId="30" fillId="25" borderId="25" xfId="0" applyFont="1" applyFill="1" applyBorder="1" applyAlignment="1">
      <alignment horizontal="center"/>
    </xf>
    <xf numFmtId="0" fontId="30" fillId="25" borderId="27" xfId="0" applyFont="1" applyFill="1" applyBorder="1" applyAlignment="1">
      <alignment horizontal="center"/>
    </xf>
    <xf numFmtId="0" fontId="30" fillId="25" borderId="67" xfId="0" applyFont="1" applyFill="1" applyBorder="1" applyAlignment="1">
      <alignment horizontal="center"/>
    </xf>
    <xf numFmtId="0" fontId="26" fillId="25" borderId="27" xfId="0" applyFont="1" applyFill="1" applyBorder="1" applyAlignment="1">
      <alignment horizontal="center"/>
    </xf>
    <xf numFmtId="0" fontId="18" fillId="24" borderId="25" xfId="50" applyBorder="1" applyAlignment="1" applyProtection="1">
      <alignment horizontal="left"/>
      <protection locked="0"/>
    </xf>
    <xf numFmtId="0" fontId="18" fillId="24" borderId="27" xfId="50" applyBorder="1" applyAlignment="1" applyProtection="1">
      <alignment horizontal="left"/>
      <protection locked="0"/>
    </xf>
    <xf numFmtId="0" fontId="18" fillId="24" borderId="67" xfId="50" applyBorder="1" applyAlignment="1" applyProtection="1">
      <alignment horizontal="left"/>
      <protection locked="0"/>
    </xf>
    <xf numFmtId="0" fontId="26" fillId="25" borderId="6" xfId="0" applyFont="1" applyFill="1" applyBorder="1" applyAlignment="1">
      <alignment horizontal="center" vertical="center"/>
    </xf>
    <xf numFmtId="0" fontId="30" fillId="0" borderId="0" xfId="0" applyFont="1" applyFill="1" applyBorder="1" applyAlignment="1">
      <alignment horizontal="center"/>
    </xf>
    <xf numFmtId="0" fontId="26" fillId="0" borderId="38" xfId="0" applyFont="1" applyFill="1" applyBorder="1" applyAlignment="1">
      <alignment horizontal="center" vertical="center"/>
    </xf>
    <xf numFmtId="0" fontId="26" fillId="0" borderId="59"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6" xfId="0" applyFont="1" applyFill="1" applyBorder="1" applyAlignment="1">
      <alignment horizontal="center" vertical="center"/>
    </xf>
  </cellXfs>
  <cellStyles count="67">
    <cellStyle name="20% - Accent1" xfId="1" builtinId="30" customBuiltin="1"/>
    <cellStyle name="20% - Accent1 2" xfId="2"/>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1 2" xfId="9"/>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Comma [0]" xfId="30" builtinId="6"/>
    <cellStyle name="Comma 0" xfId="31"/>
    <cellStyle name="Comma 1" xfId="32"/>
    <cellStyle name="Comma 2" xfId="33"/>
    <cellStyle name="Comma 3" xfId="34"/>
    <cellStyle name="Comma 3 2" xfId="35"/>
    <cellStyle name="Comma 4" xfId="36"/>
    <cellStyle name="Currency [0]" xfId="37" builtinId="7"/>
    <cellStyle name="Currency 2" xfId="38"/>
    <cellStyle name="Currency 3" xfId="39"/>
    <cellStyle name="Currency 3 2" xfId="40"/>
    <cellStyle name="Currency 4" xfId="41"/>
    <cellStyle name="Explanatory Text" xfId="42" builtinId="53" customBuiltin="1"/>
    <cellStyle name="Good" xfId="43" builtinId="26" customBuiltin="1"/>
    <cellStyle name="Heading 1" xfId="44" builtinId="16" customBuiltin="1"/>
    <cellStyle name="Heading 1 2" xfId="45"/>
    <cellStyle name="Heading 2" xfId="46" builtinId="17" customBuiltin="1"/>
    <cellStyle name="Heading 2 2" xfId="47"/>
    <cellStyle name="Heading 3" xfId="48" builtinId="18" customBuiltin="1"/>
    <cellStyle name="Heading 4" xfId="49" builtinId="19" customBuiltin="1"/>
    <cellStyle name="Input" xfId="50" builtinId="20" customBuiltin="1"/>
    <cellStyle name="Input 2" xfId="51"/>
    <cellStyle name="Linked Cell" xfId="52" builtinId="24" customBuiltin="1"/>
    <cellStyle name="Neutral" xfId="53" builtinId="28" customBuiltin="1"/>
    <cellStyle name="Normal" xfId="0" builtinId="0"/>
    <cellStyle name="Normal - Numbering" xfId="54"/>
    <cellStyle name="Normal 2" xfId="55"/>
    <cellStyle name="Normal 3" xfId="56"/>
    <cellStyle name="Note" xfId="57" builtinId="10" customBuiltin="1"/>
    <cellStyle name="Output" xfId="58" builtinId="21" customBuiltin="1"/>
    <cellStyle name="Output 2" xfId="59"/>
    <cellStyle name="Percent" xfId="60" builtinId="5"/>
    <cellStyle name="Percent 2" xfId="61"/>
    <cellStyle name="Percent 3" xfId="62"/>
    <cellStyle name="Percent 4" xfId="63"/>
    <cellStyle name="Title" xfId="64" builtinId="15" customBuiltin="1"/>
    <cellStyle name="Total" xfId="65" builtinId="25" customBuiltin="1"/>
    <cellStyle name="Warning Text" xfId="6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'Table 5'!$F$7:$H$7</c:f>
              <c:strCache>
                <c:ptCount val="1"/>
                <c:pt idx="0">
                  <c:v>Energy Savings (kWh)</c:v>
                </c:pt>
              </c:strCache>
            </c:strRef>
          </c:tx>
          <c:invertIfNegative val="0"/>
          <c:cat>
            <c:strRef>
              <c:f>'Table 5'!$B$9:$B$11</c:f>
              <c:strCache>
                <c:ptCount val="3"/>
                <c:pt idx="0">
                  <c:v> Program Year 2014 </c:v>
                </c:pt>
                <c:pt idx="1">
                  <c:v> Program Year 2015 </c:v>
                </c:pt>
                <c:pt idx="2">
                  <c:v> Program Year 2016 </c:v>
                </c:pt>
              </c:strCache>
            </c:strRef>
          </c:cat>
          <c:val>
            <c:numRef>
              <c:f>'Table 5'!$G$9:$G$11</c:f>
              <c:numCache>
                <c:formatCode>#,##0_);\(#,##0\)</c:formatCode>
                <c:ptCount val="3"/>
                <c:pt idx="0">
                  <c:v>0</c:v>
                </c:pt>
                <c:pt idx="1">
                  <c:v>0</c:v>
                </c:pt>
                <c:pt idx="2">
                  <c:v>0</c:v>
                </c:pt>
              </c:numCache>
            </c:numRef>
          </c:val>
        </c:ser>
        <c:dLbls>
          <c:showLegendKey val="0"/>
          <c:showVal val="0"/>
          <c:showCatName val="0"/>
          <c:showSerName val="0"/>
          <c:showPercent val="0"/>
          <c:showBubbleSize val="0"/>
        </c:dLbls>
        <c:gapWidth val="150"/>
        <c:axId val="227273344"/>
        <c:axId val="227275136"/>
      </c:barChart>
      <c:lineChart>
        <c:grouping val="standard"/>
        <c:varyColors val="0"/>
        <c:ser>
          <c:idx val="1"/>
          <c:order val="1"/>
          <c:tx>
            <c:strRef>
              <c:f>'Table 5'!$C$8</c:f>
              <c:strCache>
                <c:ptCount val="1"/>
                <c:pt idx="0">
                  <c:v>Budget</c:v>
                </c:pt>
              </c:strCache>
            </c:strRef>
          </c:tx>
          <c:marker>
            <c:symbol val="none"/>
          </c:marker>
          <c:cat>
            <c:strRef>
              <c:f>'Table 5'!$B$9:$B$11</c:f>
              <c:strCache>
                <c:ptCount val="3"/>
                <c:pt idx="0">
                  <c:v> Program Year 2014 </c:v>
                </c:pt>
                <c:pt idx="1">
                  <c:v> Program Year 2015 </c:v>
                </c:pt>
                <c:pt idx="2">
                  <c:v> Program Year 2016 </c:v>
                </c:pt>
              </c:strCache>
            </c:strRef>
          </c:cat>
          <c:val>
            <c:numRef>
              <c:f>'Table 5'!$C$9:$C$11</c:f>
              <c:numCache>
                <c:formatCode>_("$"* #,##0_);_("$"* \(#,##0\);_("$"* "-"_);_(@_)</c:formatCode>
                <c:ptCount val="3"/>
                <c:pt idx="0">
                  <c:v>317952</c:v>
                </c:pt>
                <c:pt idx="1">
                  <c:v>224639</c:v>
                </c:pt>
                <c:pt idx="2">
                  <c:v>224638.8</c:v>
                </c:pt>
              </c:numCache>
            </c:numRef>
          </c:val>
          <c:smooth val="0"/>
        </c:ser>
        <c:ser>
          <c:idx val="2"/>
          <c:order val="2"/>
          <c:tx>
            <c:strRef>
              <c:f>'Table 5'!$D$8</c:f>
              <c:strCache>
                <c:ptCount val="1"/>
                <c:pt idx="0">
                  <c:v>Actual</c:v>
                </c:pt>
              </c:strCache>
            </c:strRef>
          </c:tx>
          <c:marker>
            <c:symbol val="none"/>
          </c:marker>
          <c:val>
            <c:numRef>
              <c:f>'Table 5'!$D$9:$D$11</c:f>
              <c:numCache>
                <c:formatCode>_("$"* #,##0_);_("$"* \(#,##0\);_("$"* "-"_);_(@_)</c:formatCode>
                <c:ptCount val="3"/>
                <c:pt idx="0">
                  <c:v>268137</c:v>
                </c:pt>
                <c:pt idx="1">
                  <c:v>408086</c:v>
                </c:pt>
                <c:pt idx="2">
                  <c:v>186665</c:v>
                </c:pt>
              </c:numCache>
            </c:numRef>
          </c:val>
          <c:smooth val="0"/>
        </c:ser>
        <c:dLbls>
          <c:showLegendKey val="0"/>
          <c:showVal val="0"/>
          <c:showCatName val="0"/>
          <c:showSerName val="0"/>
          <c:showPercent val="0"/>
          <c:showBubbleSize val="0"/>
        </c:dLbls>
        <c:marker val="1"/>
        <c:smooth val="0"/>
        <c:axId val="227253632"/>
        <c:axId val="227271808"/>
      </c:lineChart>
      <c:catAx>
        <c:axId val="227253632"/>
        <c:scaling>
          <c:orientation val="minMax"/>
        </c:scaling>
        <c:delete val="0"/>
        <c:axPos val="b"/>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7271808"/>
        <c:crosses val="autoZero"/>
        <c:auto val="1"/>
        <c:lblAlgn val="ctr"/>
        <c:lblOffset val="100"/>
        <c:noMultiLvlLbl val="0"/>
      </c:catAx>
      <c:valAx>
        <c:axId val="227271808"/>
        <c:scaling>
          <c:orientation val="minMax"/>
        </c:scaling>
        <c:delete val="0"/>
        <c:axPos val="l"/>
        <c:majorGridlines/>
        <c:numFmt formatCode="_(&quot;$&quot;* #,##0_);_(&quot;$&quot;* \(#,##0\);_(&quot;$&quot;*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7253632"/>
        <c:crosses val="autoZero"/>
        <c:crossBetween val="between"/>
      </c:valAx>
      <c:catAx>
        <c:axId val="227273344"/>
        <c:scaling>
          <c:orientation val="minMax"/>
        </c:scaling>
        <c:delete val="1"/>
        <c:axPos val="b"/>
        <c:majorTickMark val="out"/>
        <c:minorTickMark val="none"/>
        <c:tickLblPos val="nextTo"/>
        <c:crossAx val="227275136"/>
        <c:crosses val="autoZero"/>
        <c:auto val="1"/>
        <c:lblAlgn val="ctr"/>
        <c:lblOffset val="100"/>
        <c:noMultiLvlLbl val="0"/>
      </c:catAx>
      <c:valAx>
        <c:axId val="227275136"/>
        <c:scaling>
          <c:orientation val="minMax"/>
        </c:scaling>
        <c:delete val="0"/>
        <c:axPos val="r"/>
        <c:numFmt formatCode="#,##0_);\(#,##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7273344"/>
        <c:crosses val="max"/>
        <c:crossBetween val="between"/>
      </c:valAx>
    </c:plotArea>
    <c:legend>
      <c:legendPos val="r"/>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Table 2'!A1"/><Relationship Id="rId13" Type="http://schemas.openxmlformats.org/officeDocument/2006/relationships/hyperlink" Target="#'Next Years'!A1"/><Relationship Id="rId3" Type="http://schemas.openxmlformats.org/officeDocument/2006/relationships/image" Target="../media/image1.jpeg"/><Relationship Id="rId7" Type="http://schemas.openxmlformats.org/officeDocument/2006/relationships/hyperlink" Target="#'Table 1'!A1"/><Relationship Id="rId12" Type="http://schemas.openxmlformats.org/officeDocument/2006/relationships/hyperlink" Target="#'Report 1'!A1"/><Relationship Id="rId2" Type="http://schemas.openxmlformats.org/officeDocument/2006/relationships/hyperlink" Target="#'Actual Expenses'!A1"/><Relationship Id="rId1" Type="http://schemas.openxmlformats.org/officeDocument/2006/relationships/hyperlink" Target="#'Utility Information'!A1"/><Relationship Id="rId6" Type="http://schemas.openxmlformats.org/officeDocument/2006/relationships/hyperlink" Target="#'Prior Years'!A1"/><Relationship Id="rId11" Type="http://schemas.openxmlformats.org/officeDocument/2006/relationships/hyperlink" Target="#'Table 5'!A1"/><Relationship Id="rId5" Type="http://schemas.openxmlformats.org/officeDocument/2006/relationships/hyperlink" Target="#Glossary!A1"/><Relationship Id="rId15" Type="http://schemas.openxmlformats.org/officeDocument/2006/relationships/hyperlink" Target="#'Report 4'!A1"/><Relationship Id="rId10" Type="http://schemas.openxmlformats.org/officeDocument/2006/relationships/hyperlink" Target="#'Table 4'!A1"/><Relationship Id="rId4" Type="http://schemas.openxmlformats.org/officeDocument/2006/relationships/hyperlink" Target="#Instructions!A1"/><Relationship Id="rId9" Type="http://schemas.openxmlformats.org/officeDocument/2006/relationships/hyperlink" Target="#'Table 3'!A1"/><Relationship Id="rId14" Type="http://schemas.openxmlformats.org/officeDocument/2006/relationships/hyperlink" Target="#'Report 2'!A1"/></Relationships>
</file>

<file path=xl/drawings/_rels/drawing10.xml.rels><?xml version="1.0" encoding="UTF-8" standalone="yes"?>
<Relationships xmlns="http://schemas.openxmlformats.org/package/2006/relationships"><Relationship Id="rId1" Type="http://schemas.openxmlformats.org/officeDocument/2006/relationships/hyperlink" Target="#Training!A1"/></Relationships>
</file>

<file path=xl/drawings/_rels/drawing11.xml.rels><?xml version="1.0" encoding="UTF-8" standalone="yes"?>
<Relationships xmlns="http://schemas.openxmlformats.org/package/2006/relationships"><Relationship Id="rId1" Type="http://schemas.openxmlformats.org/officeDocument/2006/relationships/hyperlink" Target="#Training!A1"/></Relationships>
</file>

<file path=xl/drawings/_rels/drawing12.xml.rels><?xml version="1.0" encoding="UTF-8" standalone="yes"?>
<Relationships xmlns="http://schemas.openxmlformats.org/package/2006/relationships"><Relationship Id="rId3" Type="http://schemas.openxmlformats.org/officeDocument/2006/relationships/hyperlink" Target="#Budgets!A1"/><Relationship Id="rId2" Type="http://schemas.openxmlformats.org/officeDocument/2006/relationships/hyperlink" Target="#'Program Descriptions'!A1"/><Relationship Id="rId1" Type="http://schemas.openxmlformats.org/officeDocument/2006/relationships/hyperlink" Target="#'Utility Information'!A1"/><Relationship Id="rId6" Type="http://schemas.openxmlformats.org/officeDocument/2006/relationships/hyperlink" Target="#'Main Menu'!A1"/><Relationship Id="rId5" Type="http://schemas.openxmlformats.org/officeDocument/2006/relationships/hyperlink" Target="#Training!A1"/><Relationship Id="rId4" Type="http://schemas.openxmlformats.org/officeDocument/2006/relationships/hyperlink" Target="#'Savings &amp; Participants'!A1"/></Relationships>
</file>

<file path=xl/drawings/_rels/drawing13.xml.rels><?xml version="1.0" encoding="UTF-8" standalone="yes"?>
<Relationships xmlns="http://schemas.openxmlformats.org/package/2006/relationships"><Relationship Id="rId3" Type="http://schemas.openxmlformats.org/officeDocument/2006/relationships/hyperlink" Target="#Rec2!A1"/><Relationship Id="rId2" Type="http://schemas.openxmlformats.org/officeDocument/2006/relationships/hyperlink" Target="#'Main Menu'!A1"/><Relationship Id="rId1" Type="http://schemas.openxmlformats.org/officeDocument/2006/relationships/hyperlink" Target="#'Evaluated Savings'!A1"/></Relationships>
</file>

<file path=xl/drawings/_rels/drawing14.xml.rels><?xml version="1.0" encoding="UTF-8" standalone="yes"?>
<Relationships xmlns="http://schemas.openxmlformats.org/package/2006/relationships"><Relationship Id="rId1" Type="http://schemas.openxmlformats.org/officeDocument/2006/relationships/hyperlink" Target="#'Actual Expenses'!A1"/></Relationships>
</file>

<file path=xl/drawings/_rels/drawing15.xml.rels><?xml version="1.0" encoding="UTF-8" standalone="yes"?>
<Relationships xmlns="http://schemas.openxmlformats.org/package/2006/relationships"><Relationship Id="rId3" Type="http://schemas.openxmlformats.org/officeDocument/2006/relationships/hyperlink" Target="#Incentives!A1"/><Relationship Id="rId2" Type="http://schemas.openxmlformats.org/officeDocument/2006/relationships/hyperlink" Target="#LCFC!A1"/><Relationship Id="rId1" Type="http://schemas.openxmlformats.org/officeDocument/2006/relationships/hyperlink" Target="#'Actual Expenses'!A1"/><Relationship Id="rId5" Type="http://schemas.openxmlformats.org/officeDocument/2006/relationships/hyperlink" Target="#'Savings Methodology'!A1"/><Relationship Id="rId4" Type="http://schemas.openxmlformats.org/officeDocument/2006/relationships/hyperlink" Target="#'Main Menu'!A1"/></Relationships>
</file>

<file path=xl/drawings/_rels/drawing16.xml.rels><?xml version="1.0" encoding="UTF-8" standalone="yes"?>
<Relationships xmlns="http://schemas.openxmlformats.org/package/2006/relationships"><Relationship Id="rId1" Type="http://schemas.openxmlformats.org/officeDocument/2006/relationships/hyperlink" Target="#'Evaluated Savings'!A1"/></Relationships>
</file>

<file path=xl/drawings/_rels/drawing17.xml.rels><?xml version="1.0" encoding="UTF-8" standalone="yes"?>
<Relationships xmlns="http://schemas.openxmlformats.org/package/2006/relationships"><Relationship Id="rId3" Type="http://schemas.openxmlformats.org/officeDocument/2006/relationships/hyperlink" Target="#Incentives!A1"/><Relationship Id="rId2" Type="http://schemas.openxmlformats.org/officeDocument/2006/relationships/hyperlink" Target="#LCFC!A1"/><Relationship Id="rId1" Type="http://schemas.openxmlformats.org/officeDocument/2006/relationships/hyperlink" Target="#'Actual Expenses'!A1"/><Relationship Id="rId4" Type="http://schemas.openxmlformats.org/officeDocument/2006/relationships/hyperlink" Target="#'Main Menu'!A1"/></Relationships>
</file>

<file path=xl/drawings/_rels/drawing18.xml.rels><?xml version="1.0" encoding="UTF-8" standalone="yes"?>
<Relationships xmlns="http://schemas.openxmlformats.org/package/2006/relationships"><Relationship Id="rId3" Type="http://schemas.openxmlformats.org/officeDocument/2006/relationships/hyperlink" Target="#'Evaluated Savings'!A1"/><Relationship Id="rId2" Type="http://schemas.openxmlformats.org/officeDocument/2006/relationships/hyperlink" Target="#'Actual Expenses'!A1"/><Relationship Id="rId1" Type="http://schemas.openxmlformats.org/officeDocument/2006/relationships/hyperlink" Target="#'Company Statistics'!A1"/><Relationship Id="rId6" Type="http://schemas.openxmlformats.org/officeDocument/2006/relationships/hyperlink" Target="#'Main Menu'!A1"/><Relationship Id="rId5" Type="http://schemas.openxmlformats.org/officeDocument/2006/relationships/hyperlink" Target="#Incentives!A1"/><Relationship Id="rId4" Type="http://schemas.openxmlformats.org/officeDocument/2006/relationships/hyperlink" Target="#LCFC!A1"/></Relationships>
</file>

<file path=xl/drawings/_rels/drawing19.xml.rels><?xml version="1.0" encoding="UTF-8" standalone="yes"?>
<Relationships xmlns="http://schemas.openxmlformats.org/package/2006/relationships"><Relationship Id="rId3" Type="http://schemas.openxmlformats.org/officeDocument/2006/relationships/hyperlink" Target="#'Evaluated Savings'!A1"/><Relationship Id="rId2" Type="http://schemas.openxmlformats.org/officeDocument/2006/relationships/hyperlink" Target="#'Actual Expenses'!A1"/><Relationship Id="rId1" Type="http://schemas.openxmlformats.org/officeDocument/2006/relationships/hyperlink" Target="#'Company Statistics'!A1"/><Relationship Id="rId6" Type="http://schemas.openxmlformats.org/officeDocument/2006/relationships/hyperlink" Target="#'Main Menu'!A1"/><Relationship Id="rId5" Type="http://schemas.openxmlformats.org/officeDocument/2006/relationships/hyperlink" Target="#Incentives!A1"/><Relationship Id="rId4" Type="http://schemas.openxmlformats.org/officeDocument/2006/relationships/hyperlink" Target="#'Cost-Benefits'!A1"/></Relationships>
</file>

<file path=xl/drawings/_rels/drawing2.xml.rels><?xml version="1.0" encoding="UTF-8" standalone="yes"?>
<Relationships xmlns="http://schemas.openxmlformats.org/package/2006/relationships"><Relationship Id="rId3" Type="http://schemas.openxmlformats.org/officeDocument/2006/relationships/hyperlink" Target="#Cost!A1"/><Relationship Id="rId2" Type="http://schemas.openxmlformats.org/officeDocument/2006/relationships/hyperlink" Target="#List!A1"/><Relationship Id="rId1" Type="http://schemas.openxmlformats.org/officeDocument/2006/relationships/hyperlink" Target="#'Main Menu'!A1"/></Relationships>
</file>

<file path=xl/drawings/_rels/drawing20.xml.rels><?xml version="1.0" encoding="UTF-8" standalone="yes"?>
<Relationships xmlns="http://schemas.openxmlformats.org/package/2006/relationships"><Relationship Id="rId3" Type="http://schemas.openxmlformats.org/officeDocument/2006/relationships/hyperlink" Target="#'Evaluated Savings'!A1"/><Relationship Id="rId2" Type="http://schemas.openxmlformats.org/officeDocument/2006/relationships/hyperlink" Target="#'Actual Expenses'!A1"/><Relationship Id="rId1" Type="http://schemas.openxmlformats.org/officeDocument/2006/relationships/hyperlink" Target="#'Company Statistics'!A1"/><Relationship Id="rId6" Type="http://schemas.openxmlformats.org/officeDocument/2006/relationships/hyperlink" Target="#'Main Menu'!A1"/><Relationship Id="rId5" Type="http://schemas.openxmlformats.org/officeDocument/2006/relationships/hyperlink" Target="#LCFC!A1"/><Relationship Id="rId4" Type="http://schemas.openxmlformats.org/officeDocument/2006/relationships/hyperlink" Target="#'Cost-Benefits'!A1"/></Relationships>
</file>

<file path=xl/drawings/_rels/drawing21.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23.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24.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5.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6.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7.xml.rels><?xml version="1.0" encoding="UTF-8" standalone="yes"?>
<Relationships xmlns="http://schemas.openxmlformats.org/package/2006/relationships"><Relationship Id="rId1" Type="http://schemas.openxmlformats.org/officeDocument/2006/relationships/hyperlink" Target="#'Main Menu'!A1"/></Relationships>
</file>

<file path=xl/drawings/_rels/drawing28.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Main Menu'!A1"/></Relationships>
</file>

<file path=xl/drawings/_rels/drawing29.xml.rels><?xml version="1.0" encoding="UTF-8" standalone="yes"?>
<Relationships xmlns="http://schemas.openxmlformats.org/package/2006/relationships"><Relationship Id="rId1" Type="http://schemas.openxmlformats.org/officeDocument/2006/relationships/hyperlink" Target="#'Main Menu'!A1"/></Relationships>
</file>

<file path=xl/drawings/_rels/drawing3.xml.rels><?xml version="1.0" encoding="UTF-8" standalone="yes"?>
<Relationships xmlns="http://schemas.openxmlformats.org/package/2006/relationships"><Relationship Id="rId1" Type="http://schemas.openxmlformats.org/officeDocument/2006/relationships/hyperlink" Target="#'Main Menu'!A1"/></Relationships>
</file>

<file path=xl/drawings/_rels/drawing30.xml.rels><?xml version="1.0" encoding="UTF-8" standalone="yes"?>
<Relationships xmlns="http://schemas.openxmlformats.org/package/2006/relationships"><Relationship Id="rId1" Type="http://schemas.openxmlformats.org/officeDocument/2006/relationships/hyperlink" Target="#'Main Menu'!A1"/></Relationships>
</file>

<file path=xl/drawings/_rels/drawing31.xml.rels><?xml version="1.0" encoding="UTF-8" standalone="yes"?>
<Relationships xmlns="http://schemas.openxmlformats.org/package/2006/relationships"><Relationship Id="rId1" Type="http://schemas.openxmlformats.org/officeDocument/2006/relationships/hyperlink" Target="#'Main Menu'!A1"/></Relationships>
</file>

<file path=xl/drawings/_rels/drawing32.xml.rels><?xml version="1.0" encoding="UTF-8" standalone="yes"?>
<Relationships xmlns="http://schemas.openxmlformats.org/package/2006/relationships"><Relationship Id="rId1" Type="http://schemas.openxmlformats.org/officeDocument/2006/relationships/hyperlink" Target="#'Main Menu'!A1"/></Relationships>
</file>

<file path=xl/drawings/_rels/drawing4.xml.rels><?xml version="1.0" encoding="UTF-8" standalone="yes"?>
<Relationships xmlns="http://schemas.openxmlformats.org/package/2006/relationships"><Relationship Id="rId3" Type="http://schemas.openxmlformats.org/officeDocument/2006/relationships/hyperlink" Target="#'Savings &amp; Participants'!A1"/><Relationship Id="rId2" Type="http://schemas.openxmlformats.org/officeDocument/2006/relationships/hyperlink" Target="#Budgets!A1"/><Relationship Id="rId1" Type="http://schemas.openxmlformats.org/officeDocument/2006/relationships/hyperlink" Target="#'Program Descriptions'!A1"/><Relationship Id="rId5" Type="http://schemas.openxmlformats.org/officeDocument/2006/relationships/hyperlink" Target="#'Main Menu'!A1"/><Relationship Id="rId4" Type="http://schemas.openxmlformats.org/officeDocument/2006/relationships/hyperlink" Target="#Training!A1"/></Relationships>
</file>

<file path=xl/drawings/_rels/drawing5.xml.rels><?xml version="1.0" encoding="UTF-8" standalone="yes"?>
<Relationships xmlns="http://schemas.openxmlformats.org/package/2006/relationships"><Relationship Id="rId3" Type="http://schemas.openxmlformats.org/officeDocument/2006/relationships/hyperlink" Target="#'Savings &amp; Participants'!A1"/><Relationship Id="rId2" Type="http://schemas.openxmlformats.org/officeDocument/2006/relationships/hyperlink" Target="#Budgets!A1"/><Relationship Id="rId1" Type="http://schemas.openxmlformats.org/officeDocument/2006/relationships/hyperlink" Target="#'Utility Information'!A1"/><Relationship Id="rId6" Type="http://schemas.openxmlformats.org/officeDocument/2006/relationships/hyperlink" Target="#Definition!A1"/><Relationship Id="rId5" Type="http://schemas.openxmlformats.org/officeDocument/2006/relationships/hyperlink" Target="#'Main Menu'!A1"/><Relationship Id="rId4" Type="http://schemas.openxmlformats.org/officeDocument/2006/relationships/hyperlink" Target="#Training!A1"/></Relationships>
</file>

<file path=xl/drawings/_rels/drawing6.xml.rels><?xml version="1.0" encoding="UTF-8" standalone="yes"?>
<Relationships xmlns="http://schemas.openxmlformats.org/package/2006/relationships"><Relationship Id="rId1" Type="http://schemas.openxmlformats.org/officeDocument/2006/relationships/hyperlink" Target="#'Program Descriptions'!A1"/></Relationships>
</file>

<file path=xl/drawings/_rels/drawing7.xml.rels><?xml version="1.0" encoding="UTF-8" standalone="yes"?>
<Relationships xmlns="http://schemas.openxmlformats.org/package/2006/relationships"><Relationship Id="rId3" Type="http://schemas.openxmlformats.org/officeDocument/2006/relationships/hyperlink" Target="#'Savings &amp; Participants'!A1"/><Relationship Id="rId2" Type="http://schemas.openxmlformats.org/officeDocument/2006/relationships/hyperlink" Target="#'Program Descriptions'!A1"/><Relationship Id="rId1" Type="http://schemas.openxmlformats.org/officeDocument/2006/relationships/hyperlink" Target="#'Utility Information'!A1"/><Relationship Id="rId5" Type="http://schemas.openxmlformats.org/officeDocument/2006/relationships/hyperlink" Target="#'Main Menu'!A1"/><Relationship Id="rId4" Type="http://schemas.openxmlformats.org/officeDocument/2006/relationships/hyperlink" Target="#Training!A1"/></Relationships>
</file>

<file path=xl/drawings/_rels/drawing8.xml.rels><?xml version="1.0" encoding="UTF-8" standalone="yes"?>
<Relationships xmlns="http://schemas.openxmlformats.org/package/2006/relationships"><Relationship Id="rId3" Type="http://schemas.openxmlformats.org/officeDocument/2006/relationships/hyperlink" Target="#Budgets!A1"/><Relationship Id="rId2" Type="http://schemas.openxmlformats.org/officeDocument/2006/relationships/hyperlink" Target="#'Program Descriptions'!A1"/><Relationship Id="rId1" Type="http://schemas.openxmlformats.org/officeDocument/2006/relationships/hyperlink" Target="#'Utility Information'!A1"/><Relationship Id="rId6" Type="http://schemas.openxmlformats.org/officeDocument/2006/relationships/hyperlink" Target="#'Main Menu'!A1"/><Relationship Id="rId5" Type="http://schemas.openxmlformats.org/officeDocument/2006/relationships/hyperlink" Target="#'Best Practices'!A1"/><Relationship Id="rId4" Type="http://schemas.openxmlformats.org/officeDocument/2006/relationships/hyperlink" Target="#Training!A1"/></Relationships>
</file>

<file path=xl/drawings/_rels/drawing9.xml.rels><?xml version="1.0" encoding="UTF-8" standalone="yes"?>
<Relationships xmlns="http://schemas.openxmlformats.org/package/2006/relationships"><Relationship Id="rId3" Type="http://schemas.openxmlformats.org/officeDocument/2006/relationships/hyperlink" Target="#Budgets!A1"/><Relationship Id="rId7" Type="http://schemas.openxmlformats.org/officeDocument/2006/relationships/hyperlink" Target="#Internal!A1"/><Relationship Id="rId2" Type="http://schemas.openxmlformats.org/officeDocument/2006/relationships/hyperlink" Target="#'Program Descriptions'!A1"/><Relationship Id="rId1" Type="http://schemas.openxmlformats.org/officeDocument/2006/relationships/hyperlink" Target="#'Utility Information'!A1"/><Relationship Id="rId6" Type="http://schemas.openxmlformats.org/officeDocument/2006/relationships/hyperlink" Target="#External!A1"/><Relationship Id="rId5" Type="http://schemas.openxmlformats.org/officeDocument/2006/relationships/hyperlink" Target="#'Main Menu'!A1"/><Relationship Id="rId4" Type="http://schemas.openxmlformats.org/officeDocument/2006/relationships/hyperlink" Target="#'Savings &amp; Participants'!A1"/></Relationships>
</file>

<file path=xl/drawings/drawing1.xml><?xml version="1.0" encoding="utf-8"?>
<xdr:wsDr xmlns:xdr="http://schemas.openxmlformats.org/drawingml/2006/spreadsheetDrawing" xmlns:a="http://schemas.openxmlformats.org/drawingml/2006/main">
  <xdr:twoCellAnchor editAs="absolute">
    <xdr:from>
      <xdr:col>3</xdr:col>
      <xdr:colOff>542925</xdr:colOff>
      <xdr:row>4</xdr:row>
      <xdr:rowOff>133350</xdr:rowOff>
    </xdr:from>
    <xdr:to>
      <xdr:col>5</xdr:col>
      <xdr:colOff>676275</xdr:colOff>
      <xdr:row>7</xdr:row>
      <xdr:rowOff>85725</xdr:rowOff>
    </xdr:to>
    <xdr:sp macro="" textlink="Titles!F7">
      <xdr:nvSpPr>
        <xdr:cNvPr id="2" name="Rounded Rectangle 1">
          <a:hlinkClick xmlns:r="http://schemas.openxmlformats.org/officeDocument/2006/relationships" r:id="rId1" tooltip="Click"/>
        </xdr:cNvPr>
        <xdr:cNvSpPr/>
      </xdr:nvSpPr>
      <xdr:spPr>
        <a:xfrm>
          <a:off x="2305050" y="1933575"/>
          <a:ext cx="1828800" cy="43815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6A980A1-F48D-470E-828F-EED3D30A2273}" type="TxLink">
            <a:rPr lang="en-US" sz="1000" b="1">
              <a:solidFill>
                <a:schemeClr val="bg1"/>
              </a:solidFill>
              <a:latin typeface="+mn-lt"/>
            </a:rPr>
            <a:pPr algn="ctr"/>
            <a:t>2016 EE Portfolio Information</a:t>
          </a:fld>
          <a:endParaRPr lang="en-US" sz="1000" b="1">
            <a:solidFill>
              <a:schemeClr val="bg1"/>
            </a:solidFill>
            <a:latin typeface="+mn-lt"/>
          </a:endParaRPr>
        </a:p>
      </xdr:txBody>
    </xdr:sp>
    <xdr:clientData/>
  </xdr:twoCellAnchor>
  <xdr:twoCellAnchor editAs="absolute">
    <xdr:from>
      <xdr:col>6</xdr:col>
      <xdr:colOff>47625</xdr:colOff>
      <xdr:row>4</xdr:row>
      <xdr:rowOff>142875</xdr:rowOff>
    </xdr:from>
    <xdr:to>
      <xdr:col>8</xdr:col>
      <xdr:colOff>180975</xdr:colOff>
      <xdr:row>7</xdr:row>
      <xdr:rowOff>95250</xdr:rowOff>
    </xdr:to>
    <xdr:sp macro="" textlink="Titles!F8">
      <xdr:nvSpPr>
        <xdr:cNvPr id="3" name="Rounded Rectangle 2">
          <a:hlinkClick xmlns:r="http://schemas.openxmlformats.org/officeDocument/2006/relationships" r:id="rId2" tooltip="Click"/>
        </xdr:cNvPr>
        <xdr:cNvSpPr/>
      </xdr:nvSpPr>
      <xdr:spPr>
        <a:xfrm>
          <a:off x="4352925" y="1943100"/>
          <a:ext cx="1828800" cy="43815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9A2D852-7A72-478F-A851-C949B4E9EEF7}" type="TxLink">
            <a:rPr lang="en-US" sz="1000" b="1">
              <a:solidFill>
                <a:schemeClr val="bg1"/>
              </a:solidFill>
              <a:latin typeface="+mn-lt"/>
            </a:rPr>
            <a:pPr algn="ctr"/>
            <a:t>2016 Program Year Evaluation</a:t>
          </a:fld>
          <a:endParaRPr lang="en-US" sz="1000" b="1">
            <a:solidFill>
              <a:schemeClr val="bg1"/>
            </a:solidFill>
            <a:latin typeface="+mn-lt"/>
          </a:endParaRPr>
        </a:p>
      </xdr:txBody>
    </xdr:sp>
    <xdr:clientData/>
  </xdr:twoCellAnchor>
  <xdr:twoCellAnchor editAs="oneCell">
    <xdr:from>
      <xdr:col>1</xdr:col>
      <xdr:colOff>19050</xdr:colOff>
      <xdr:row>0</xdr:row>
      <xdr:rowOff>57150</xdr:rowOff>
    </xdr:from>
    <xdr:to>
      <xdr:col>2</xdr:col>
      <xdr:colOff>542925</xdr:colOff>
      <xdr:row>2</xdr:row>
      <xdr:rowOff>0</xdr:rowOff>
    </xdr:to>
    <xdr:pic>
      <xdr:nvPicPr>
        <xdr:cNvPr id="509935" name="Picture 4" descr="C:\Users\KWheatley\Desktop\Arkansas State Seal.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57150"/>
          <a:ext cx="13716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209550</xdr:colOff>
      <xdr:row>4</xdr:row>
      <xdr:rowOff>76200</xdr:rowOff>
    </xdr:from>
    <xdr:to>
      <xdr:col>2</xdr:col>
      <xdr:colOff>504825</xdr:colOff>
      <xdr:row>6</xdr:row>
      <xdr:rowOff>26670</xdr:rowOff>
    </xdr:to>
    <xdr:sp macro="" textlink="">
      <xdr:nvSpPr>
        <xdr:cNvPr id="5" name="Rounded Rectangle 4">
          <a:hlinkClick xmlns:r="http://schemas.openxmlformats.org/officeDocument/2006/relationships" r:id="rId4" tooltip="Click"/>
        </xdr:cNvPr>
        <xdr:cNvSpPr/>
      </xdr:nvSpPr>
      <xdr:spPr>
        <a:xfrm>
          <a:off x="276225" y="1876425"/>
          <a:ext cx="114300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Instructions</a:t>
          </a:r>
        </a:p>
      </xdr:txBody>
    </xdr:sp>
    <xdr:clientData/>
  </xdr:twoCellAnchor>
  <xdr:twoCellAnchor editAs="absolute">
    <xdr:from>
      <xdr:col>1</xdr:col>
      <xdr:colOff>190500</xdr:colOff>
      <xdr:row>7</xdr:row>
      <xdr:rowOff>47625</xdr:rowOff>
    </xdr:from>
    <xdr:to>
      <xdr:col>2</xdr:col>
      <xdr:colOff>485775</xdr:colOff>
      <xdr:row>8</xdr:row>
      <xdr:rowOff>160020</xdr:rowOff>
    </xdr:to>
    <xdr:sp macro="" textlink="">
      <xdr:nvSpPr>
        <xdr:cNvPr id="6" name="Rounded Rectangle 5">
          <a:hlinkClick xmlns:r="http://schemas.openxmlformats.org/officeDocument/2006/relationships" r:id="rId5" tooltip="Click"/>
        </xdr:cNvPr>
        <xdr:cNvSpPr/>
      </xdr:nvSpPr>
      <xdr:spPr>
        <a:xfrm>
          <a:off x="257175" y="2333625"/>
          <a:ext cx="114300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Glossary</a:t>
          </a:r>
        </a:p>
      </xdr:txBody>
    </xdr:sp>
    <xdr:clientData/>
  </xdr:twoCellAnchor>
  <xdr:twoCellAnchor editAs="absolute">
    <xdr:from>
      <xdr:col>8</xdr:col>
      <xdr:colOff>371475</xdr:colOff>
      <xdr:row>4</xdr:row>
      <xdr:rowOff>142875</xdr:rowOff>
    </xdr:from>
    <xdr:to>
      <xdr:col>10</xdr:col>
      <xdr:colOff>504825</xdr:colOff>
      <xdr:row>7</xdr:row>
      <xdr:rowOff>95250</xdr:rowOff>
    </xdr:to>
    <xdr:sp macro="" textlink="Titles!F9">
      <xdr:nvSpPr>
        <xdr:cNvPr id="7" name="Rounded Rectangle 6">
          <a:hlinkClick xmlns:r="http://schemas.openxmlformats.org/officeDocument/2006/relationships" r:id="rId6" tooltip="Click"/>
        </xdr:cNvPr>
        <xdr:cNvSpPr/>
      </xdr:nvSpPr>
      <xdr:spPr>
        <a:xfrm>
          <a:off x="6372225" y="1943100"/>
          <a:ext cx="1828800" cy="43815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7FCD533-7EC5-4B36-889B-27A037F366C1}" type="TxLink">
            <a:rPr lang="en-US" sz="1000" b="1">
              <a:solidFill>
                <a:schemeClr val="bg1"/>
              </a:solidFill>
              <a:latin typeface="+mn-lt"/>
            </a:rPr>
            <a:pPr algn="ctr"/>
            <a:t>2014 &amp; 2015 Data</a:t>
          </a:fld>
          <a:endParaRPr lang="en-US" sz="1000" b="1">
            <a:solidFill>
              <a:schemeClr val="bg1"/>
            </a:solidFill>
            <a:latin typeface="+mn-lt"/>
          </a:endParaRPr>
        </a:p>
      </xdr:txBody>
    </xdr:sp>
    <xdr:clientData/>
  </xdr:twoCellAnchor>
  <xdr:twoCellAnchor editAs="absolute">
    <xdr:from>
      <xdr:col>1</xdr:col>
      <xdr:colOff>161925</xdr:colOff>
      <xdr:row>15</xdr:row>
      <xdr:rowOff>19050</xdr:rowOff>
    </xdr:from>
    <xdr:to>
      <xdr:col>1</xdr:col>
      <xdr:colOff>664845</xdr:colOff>
      <xdr:row>15</xdr:row>
      <xdr:rowOff>293370</xdr:rowOff>
    </xdr:to>
    <xdr:sp macro="" textlink="">
      <xdr:nvSpPr>
        <xdr:cNvPr id="8" name="Rounded Rectangle 7">
          <a:hlinkClick xmlns:r="http://schemas.openxmlformats.org/officeDocument/2006/relationships" r:id="rId7" tooltip="Click"/>
        </xdr:cNvPr>
        <xdr:cNvSpPr/>
      </xdr:nvSpPr>
      <xdr:spPr>
        <a:xfrm>
          <a:off x="228600" y="4105275"/>
          <a:ext cx="50292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View</a:t>
          </a:r>
        </a:p>
      </xdr:txBody>
    </xdr:sp>
    <xdr:clientData/>
  </xdr:twoCellAnchor>
  <xdr:twoCellAnchor editAs="absolute">
    <xdr:from>
      <xdr:col>2</xdr:col>
      <xdr:colOff>161925</xdr:colOff>
      <xdr:row>15</xdr:row>
      <xdr:rowOff>19050</xdr:rowOff>
    </xdr:from>
    <xdr:to>
      <xdr:col>2</xdr:col>
      <xdr:colOff>664845</xdr:colOff>
      <xdr:row>15</xdr:row>
      <xdr:rowOff>293370</xdr:rowOff>
    </xdr:to>
    <xdr:sp macro="" textlink="">
      <xdr:nvSpPr>
        <xdr:cNvPr id="9" name="Rounded Rectangle 8">
          <a:hlinkClick xmlns:r="http://schemas.openxmlformats.org/officeDocument/2006/relationships" r:id="rId8" tooltip="Click"/>
        </xdr:cNvPr>
        <xdr:cNvSpPr/>
      </xdr:nvSpPr>
      <xdr:spPr>
        <a:xfrm>
          <a:off x="1076325" y="4105275"/>
          <a:ext cx="50292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View</a:t>
          </a:r>
        </a:p>
      </xdr:txBody>
    </xdr:sp>
    <xdr:clientData/>
  </xdr:twoCellAnchor>
  <xdr:twoCellAnchor editAs="absolute">
    <xdr:from>
      <xdr:col>3</xdr:col>
      <xdr:colOff>171450</xdr:colOff>
      <xdr:row>15</xdr:row>
      <xdr:rowOff>19050</xdr:rowOff>
    </xdr:from>
    <xdr:to>
      <xdr:col>3</xdr:col>
      <xdr:colOff>674370</xdr:colOff>
      <xdr:row>15</xdr:row>
      <xdr:rowOff>293370</xdr:rowOff>
    </xdr:to>
    <xdr:sp macro="" textlink="">
      <xdr:nvSpPr>
        <xdr:cNvPr id="10" name="Rounded Rectangle 9">
          <a:hlinkClick xmlns:r="http://schemas.openxmlformats.org/officeDocument/2006/relationships" r:id="rId9" tooltip="Click"/>
        </xdr:cNvPr>
        <xdr:cNvSpPr/>
      </xdr:nvSpPr>
      <xdr:spPr>
        <a:xfrm>
          <a:off x="1933575" y="4105275"/>
          <a:ext cx="50292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View</a:t>
          </a:r>
        </a:p>
      </xdr:txBody>
    </xdr:sp>
    <xdr:clientData/>
  </xdr:twoCellAnchor>
  <xdr:twoCellAnchor editAs="absolute">
    <xdr:from>
      <xdr:col>4</xdr:col>
      <xdr:colOff>180975</xdr:colOff>
      <xdr:row>15</xdr:row>
      <xdr:rowOff>19050</xdr:rowOff>
    </xdr:from>
    <xdr:to>
      <xdr:col>4</xdr:col>
      <xdr:colOff>683895</xdr:colOff>
      <xdr:row>15</xdr:row>
      <xdr:rowOff>293370</xdr:rowOff>
    </xdr:to>
    <xdr:sp macro="" textlink="">
      <xdr:nvSpPr>
        <xdr:cNvPr id="11" name="Rounded Rectangle 10">
          <a:hlinkClick xmlns:r="http://schemas.openxmlformats.org/officeDocument/2006/relationships" r:id="rId10" tooltip="Click"/>
        </xdr:cNvPr>
        <xdr:cNvSpPr/>
      </xdr:nvSpPr>
      <xdr:spPr>
        <a:xfrm>
          <a:off x="2790825" y="4105275"/>
          <a:ext cx="50292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View</a:t>
          </a:r>
        </a:p>
      </xdr:txBody>
    </xdr:sp>
    <xdr:clientData/>
  </xdr:twoCellAnchor>
  <xdr:twoCellAnchor editAs="absolute">
    <xdr:from>
      <xdr:col>5</xdr:col>
      <xdr:colOff>171450</xdr:colOff>
      <xdr:row>15</xdr:row>
      <xdr:rowOff>19050</xdr:rowOff>
    </xdr:from>
    <xdr:to>
      <xdr:col>5</xdr:col>
      <xdr:colOff>674370</xdr:colOff>
      <xdr:row>15</xdr:row>
      <xdr:rowOff>293370</xdr:rowOff>
    </xdr:to>
    <xdr:sp macro="" textlink="">
      <xdr:nvSpPr>
        <xdr:cNvPr id="12" name="Rounded Rectangle 11">
          <a:hlinkClick xmlns:r="http://schemas.openxmlformats.org/officeDocument/2006/relationships" r:id="rId11" tooltip="Click"/>
        </xdr:cNvPr>
        <xdr:cNvSpPr/>
      </xdr:nvSpPr>
      <xdr:spPr>
        <a:xfrm>
          <a:off x="3629025" y="4105275"/>
          <a:ext cx="50292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View</a:t>
          </a:r>
        </a:p>
      </xdr:txBody>
    </xdr:sp>
    <xdr:clientData/>
  </xdr:twoCellAnchor>
  <xdr:twoCellAnchor editAs="absolute">
    <xdr:from>
      <xdr:col>6</xdr:col>
      <xdr:colOff>161925</xdr:colOff>
      <xdr:row>15</xdr:row>
      <xdr:rowOff>19050</xdr:rowOff>
    </xdr:from>
    <xdr:to>
      <xdr:col>6</xdr:col>
      <xdr:colOff>664845</xdr:colOff>
      <xdr:row>15</xdr:row>
      <xdr:rowOff>293370</xdr:rowOff>
    </xdr:to>
    <xdr:sp macro="" textlink="">
      <xdr:nvSpPr>
        <xdr:cNvPr id="13" name="Rounded Rectangle 12">
          <a:hlinkClick xmlns:r="http://schemas.openxmlformats.org/officeDocument/2006/relationships" r:id="rId12" tooltip="Click"/>
        </xdr:cNvPr>
        <xdr:cNvSpPr/>
      </xdr:nvSpPr>
      <xdr:spPr>
        <a:xfrm>
          <a:off x="4467225" y="4105275"/>
          <a:ext cx="50292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View</a:t>
          </a:r>
        </a:p>
      </xdr:txBody>
    </xdr:sp>
    <xdr:clientData/>
  </xdr:twoCellAnchor>
  <xdr:twoCellAnchor editAs="absolute">
    <xdr:from>
      <xdr:col>10</xdr:col>
      <xdr:colOff>190500</xdr:colOff>
      <xdr:row>15</xdr:row>
      <xdr:rowOff>28575</xdr:rowOff>
    </xdr:from>
    <xdr:to>
      <xdr:col>10</xdr:col>
      <xdr:colOff>693420</xdr:colOff>
      <xdr:row>15</xdr:row>
      <xdr:rowOff>302895</xdr:rowOff>
    </xdr:to>
    <xdr:sp macro="" textlink="">
      <xdr:nvSpPr>
        <xdr:cNvPr id="14" name="Rounded Rectangle 13">
          <a:hlinkClick xmlns:r="http://schemas.openxmlformats.org/officeDocument/2006/relationships" r:id="rId13" tooltip="Click"/>
        </xdr:cNvPr>
        <xdr:cNvSpPr/>
      </xdr:nvSpPr>
      <xdr:spPr>
        <a:xfrm>
          <a:off x="7886700" y="4114800"/>
          <a:ext cx="50292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View</a:t>
          </a:r>
        </a:p>
      </xdr:txBody>
    </xdr:sp>
    <xdr:clientData/>
  </xdr:twoCellAnchor>
  <xdr:twoCellAnchor editAs="absolute">
    <xdr:from>
      <xdr:col>7</xdr:col>
      <xdr:colOff>161925</xdr:colOff>
      <xdr:row>15</xdr:row>
      <xdr:rowOff>19050</xdr:rowOff>
    </xdr:from>
    <xdr:to>
      <xdr:col>7</xdr:col>
      <xdr:colOff>664845</xdr:colOff>
      <xdr:row>15</xdr:row>
      <xdr:rowOff>293370</xdr:rowOff>
    </xdr:to>
    <xdr:sp macro="" textlink="">
      <xdr:nvSpPr>
        <xdr:cNvPr id="15" name="Rounded Rectangle 14">
          <a:hlinkClick xmlns:r="http://schemas.openxmlformats.org/officeDocument/2006/relationships" r:id="rId14" tooltip="Click"/>
        </xdr:cNvPr>
        <xdr:cNvSpPr/>
      </xdr:nvSpPr>
      <xdr:spPr>
        <a:xfrm>
          <a:off x="5314950" y="4105275"/>
          <a:ext cx="50292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View</a:t>
          </a:r>
        </a:p>
      </xdr:txBody>
    </xdr:sp>
    <xdr:clientData/>
  </xdr:twoCellAnchor>
  <xdr:twoCellAnchor editAs="absolute">
    <xdr:from>
      <xdr:col>9</xdr:col>
      <xdr:colOff>171450</xdr:colOff>
      <xdr:row>15</xdr:row>
      <xdr:rowOff>28575</xdr:rowOff>
    </xdr:from>
    <xdr:to>
      <xdr:col>9</xdr:col>
      <xdr:colOff>674370</xdr:colOff>
      <xdr:row>15</xdr:row>
      <xdr:rowOff>302895</xdr:rowOff>
    </xdr:to>
    <xdr:sp macro="" textlink="">
      <xdr:nvSpPr>
        <xdr:cNvPr id="16" name="Rounded Rectangle 15">
          <a:hlinkClick xmlns:r="http://schemas.openxmlformats.org/officeDocument/2006/relationships" r:id="rId15" tooltip="Click"/>
        </xdr:cNvPr>
        <xdr:cNvSpPr/>
      </xdr:nvSpPr>
      <xdr:spPr>
        <a:xfrm>
          <a:off x="7019925" y="4114800"/>
          <a:ext cx="502920" cy="2743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bg1"/>
              </a:solidFill>
              <a:latin typeface="+mn-lt"/>
            </a:rPr>
            <a:t>View</a:t>
          </a:r>
        </a:p>
      </xdr:txBody>
    </xdr:sp>
    <xdr:clientData/>
  </xdr:twoCellAnchor>
  <xdr:twoCellAnchor>
    <xdr:from>
      <xdr:col>3</xdr:col>
      <xdr:colOff>314325</xdr:colOff>
      <xdr:row>8</xdr:row>
      <xdr:rowOff>38100</xdr:rowOff>
    </xdr:from>
    <xdr:to>
      <xdr:col>10</xdr:col>
      <xdr:colOff>628650</xdr:colOff>
      <xdr:row>9</xdr:row>
      <xdr:rowOff>104775</xdr:rowOff>
    </xdr:to>
    <xdr:sp macro="" textlink="'Utility Information'!D5">
      <xdr:nvSpPr>
        <xdr:cNvPr id="4" name="TextBox 3"/>
        <xdr:cNvSpPr txBox="1"/>
      </xdr:nvSpPr>
      <xdr:spPr>
        <a:xfrm>
          <a:off x="2076450" y="2486025"/>
          <a:ext cx="62484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006A008-1F4E-4DA2-9974-4F9B58420E28}" type="TxLink">
            <a:rPr lang="en-US" sz="1600" b="1" i="0" u="none" strike="noStrike">
              <a:solidFill>
                <a:srgbClr val="000000"/>
              </a:solidFill>
              <a:latin typeface="Calibri"/>
              <a:cs typeface="Calibri"/>
            </a:rPr>
            <a:pPr algn="ctr"/>
            <a:t>Energy Efficiency Arkansas</a:t>
          </a:fld>
          <a:endParaRPr lang="en-US" sz="2000" b="1"/>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14</xdr:col>
      <xdr:colOff>0</xdr:colOff>
      <xdr:row>0</xdr:row>
      <xdr:rowOff>476250</xdr:rowOff>
    </xdr:to>
    <xdr:sp macro="" textlink="">
      <xdr:nvSpPr>
        <xdr:cNvPr id="592037" name="Rectangle 365"/>
        <xdr:cNvSpPr>
          <a:spLocks noChangeArrowheads="1"/>
        </xdr:cNvSpPr>
      </xdr:nvSpPr>
      <xdr:spPr bwMode="auto">
        <a:xfrm>
          <a:off x="76200" y="66675"/>
          <a:ext cx="960120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3</xdr:col>
      <xdr:colOff>542925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Back</a:t>
          </a:r>
        </a:p>
      </xdr:txBody>
    </xdr:sp>
    <xdr:clientData/>
  </xdr:twoCellAnchor>
  <xdr:twoCellAnchor editAs="absolute">
    <xdr:from>
      <xdr:col>3</xdr:col>
      <xdr:colOff>1104901</xdr:colOff>
      <xdr:row>0</xdr:row>
      <xdr:rowOff>94237</xdr:rowOff>
    </xdr:from>
    <xdr:to>
      <xdr:col>9</xdr:col>
      <xdr:colOff>533400</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External</a:t>
          </a:r>
          <a:r>
            <a:rPr lang="en-US" sz="1600" b="1" baseline="0"/>
            <a:t> Training </a:t>
          </a:r>
          <a:r>
            <a:rPr lang="en-US" sz="1200" b="1" baseline="0"/>
            <a:t>(contractors, trade allies, consumer groups, ect.)</a:t>
          </a:r>
          <a:endParaRPr lang="en-US" sz="1200" b="1"/>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14</xdr:col>
      <xdr:colOff>0</xdr:colOff>
      <xdr:row>0</xdr:row>
      <xdr:rowOff>476250</xdr:rowOff>
    </xdr:to>
    <xdr:sp macro="" textlink="">
      <xdr:nvSpPr>
        <xdr:cNvPr id="695410" name="Rectangle 365"/>
        <xdr:cNvSpPr>
          <a:spLocks noChangeArrowheads="1"/>
        </xdr:cNvSpPr>
      </xdr:nvSpPr>
      <xdr:spPr bwMode="auto">
        <a:xfrm>
          <a:off x="76200" y="66675"/>
          <a:ext cx="8867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4</xdr:col>
      <xdr:colOff>0</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Back</a:t>
          </a:r>
        </a:p>
      </xdr:txBody>
    </xdr:sp>
    <xdr:clientData/>
  </xdr:twoCellAnchor>
  <xdr:twoCellAnchor editAs="absolute">
    <xdr:from>
      <xdr:col>4</xdr:col>
      <xdr:colOff>561976</xdr:colOff>
      <xdr:row>0</xdr:row>
      <xdr:rowOff>94237</xdr:rowOff>
    </xdr:from>
    <xdr:to>
      <xdr:col>11</xdr:col>
      <xdr:colOff>19050</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Internal</a:t>
          </a:r>
          <a:r>
            <a:rPr lang="en-US" sz="1600" b="1" baseline="0"/>
            <a:t> Training </a:t>
          </a:r>
          <a:r>
            <a:rPr lang="en-US" sz="1200" b="1" baseline="0"/>
            <a:t>(Utility or Administrator Staff)</a:t>
          </a:r>
          <a:endParaRPr lang="en-US" sz="1200" b="1"/>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15</xdr:col>
      <xdr:colOff>0</xdr:colOff>
      <xdr:row>1</xdr:row>
      <xdr:rowOff>409575</xdr:rowOff>
    </xdr:to>
    <xdr:sp macro="" textlink="">
      <xdr:nvSpPr>
        <xdr:cNvPr id="551695"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3</xdr:col>
      <xdr:colOff>481965</xdr:colOff>
      <xdr:row>0</xdr:row>
      <xdr:rowOff>340994</xdr:rowOff>
    </xdr:to>
    <xdr:sp macro="" textlink="Titles!B2">
      <xdr:nvSpPr>
        <xdr:cNvPr id="3" name="Round Same Side Corner Rectangle 2">
          <a:hlinkClick xmlns:r="http://schemas.openxmlformats.org/officeDocument/2006/relationships" r:id="rId1" tooltip="Click"/>
        </xdr:cNvPr>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D0364661-8E6E-4235-81A2-913F48D378FA}" type="TxLink">
            <a:rPr lang="en-US" sz="1000" b="1">
              <a:solidFill>
                <a:schemeClr val="lt1"/>
              </a:solidFill>
              <a:latin typeface="+mn-lt"/>
              <a:ea typeface="+mn-ea"/>
              <a:cs typeface="+mn-cs"/>
            </a:rPr>
            <a:pPr marL="0" indent="0" algn="ctr"/>
            <a:t>TPA Information</a:t>
          </a:fld>
          <a:endParaRPr lang="en-US" sz="1000" b="1">
            <a:solidFill>
              <a:schemeClr val="lt1"/>
            </a:solidFill>
            <a:latin typeface="+mn-lt"/>
            <a:ea typeface="+mn-ea"/>
            <a:cs typeface="+mn-cs"/>
          </a:endParaRPr>
        </a:p>
      </xdr:txBody>
    </xdr:sp>
    <xdr:clientData/>
  </xdr:twoCellAnchor>
  <xdr:twoCellAnchor editAs="absolute">
    <xdr:from>
      <xdr:col>3</xdr:col>
      <xdr:colOff>485775</xdr:colOff>
      <xdr:row>0</xdr:row>
      <xdr:rowOff>66675</xdr:rowOff>
    </xdr:from>
    <xdr:to>
      <xdr:col>5</xdr:col>
      <xdr:colOff>520065</xdr:colOff>
      <xdr:row>0</xdr:row>
      <xdr:rowOff>340995</xdr:rowOff>
    </xdr:to>
    <xdr:sp macro="" textlink="Titles!B3">
      <xdr:nvSpPr>
        <xdr:cNvPr id="4" name="Round Same Side Corner Rectangle 3">
          <a:hlinkClick xmlns:r="http://schemas.openxmlformats.org/officeDocument/2006/relationships" r:id="rId2"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3C7AF3C6-1B6E-4220-B80B-29C27EAD61F7}" type="TxLink">
            <a:rPr lang="en-US" sz="1000" b="1">
              <a:solidFill>
                <a:schemeClr val="lt1"/>
              </a:solidFill>
              <a:latin typeface="+mn-lt"/>
              <a:ea typeface="+mn-ea"/>
              <a:cs typeface="+mn-cs"/>
            </a:rPr>
            <a:pPr marL="0" indent="0" algn="ctr"/>
            <a:t>Program Descriptions</a:t>
          </a:fld>
          <a:endParaRPr lang="en-US" sz="1000" b="1">
            <a:solidFill>
              <a:schemeClr val="lt1"/>
            </a:solidFill>
            <a:latin typeface="+mn-lt"/>
            <a:ea typeface="+mn-ea"/>
            <a:cs typeface="+mn-cs"/>
          </a:endParaRPr>
        </a:p>
      </xdr:txBody>
    </xdr:sp>
    <xdr:clientData/>
  </xdr:twoCellAnchor>
  <xdr:twoCellAnchor editAs="absolute">
    <xdr:from>
      <xdr:col>5</xdr:col>
      <xdr:colOff>533400</xdr:colOff>
      <xdr:row>0</xdr:row>
      <xdr:rowOff>66675</xdr:rowOff>
    </xdr:from>
    <xdr:to>
      <xdr:col>7</xdr:col>
      <xdr:colOff>567690</xdr:colOff>
      <xdr:row>0</xdr:row>
      <xdr:rowOff>340995</xdr:rowOff>
    </xdr:to>
    <xdr:sp macro="" textlink="Titles!B4">
      <xdr:nvSpPr>
        <xdr:cNvPr id="5" name="Round Same Side Corner Rectangle 4">
          <a:hlinkClick xmlns:r="http://schemas.openxmlformats.org/officeDocument/2006/relationships" r:id="rId3" tooltip="Click"/>
        </xdr:cNvPr>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27DA4959-1482-40A5-8AE7-020D2AEEA4E0}" type="TxLink">
            <a:rPr lang="en-US" sz="1000" b="1">
              <a:solidFill>
                <a:schemeClr val="lt1"/>
              </a:solidFill>
              <a:latin typeface="+mn-lt"/>
              <a:ea typeface="+mn-ea"/>
              <a:cs typeface="+mn-cs"/>
            </a:rPr>
            <a:pPr marL="0" indent="0" algn="ctr"/>
            <a:t>Budgets</a:t>
          </a:fld>
          <a:endParaRPr lang="en-US" sz="1000" b="1">
            <a:solidFill>
              <a:schemeClr val="lt1"/>
            </a:solidFill>
            <a:latin typeface="+mn-lt"/>
            <a:ea typeface="+mn-ea"/>
            <a:cs typeface="+mn-cs"/>
          </a:endParaRPr>
        </a:p>
      </xdr:txBody>
    </xdr:sp>
    <xdr:clientData/>
  </xdr:twoCellAnchor>
  <xdr:twoCellAnchor editAs="absolute">
    <xdr:from>
      <xdr:col>7</xdr:col>
      <xdr:colOff>590550</xdr:colOff>
      <xdr:row>0</xdr:row>
      <xdr:rowOff>66675</xdr:rowOff>
    </xdr:from>
    <xdr:to>
      <xdr:col>10</xdr:col>
      <xdr:colOff>15240</xdr:colOff>
      <xdr:row>0</xdr:row>
      <xdr:rowOff>340995</xdr:rowOff>
    </xdr:to>
    <xdr:sp macro="" textlink="Titles!B5">
      <xdr:nvSpPr>
        <xdr:cNvPr id="6" name="Round Same Side Corner Rectangle 5">
          <a:hlinkClick xmlns:r="http://schemas.openxmlformats.org/officeDocument/2006/relationships" r:id="rId4" tooltip="Click"/>
        </xdr:cNvPr>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76478D4F-508B-42DB-8EFD-6CAA39AB6918}" type="TxLink">
            <a:rPr lang="en-US" sz="1000" b="1">
              <a:solidFill>
                <a:schemeClr val="lt1"/>
              </a:solidFill>
              <a:latin typeface="+mn-lt"/>
              <a:ea typeface="+mn-ea"/>
              <a:cs typeface="+mn-cs"/>
            </a:rPr>
            <a:pPr marL="0" indent="0" algn="ctr"/>
            <a:t>Savings &amp; Participants</a:t>
          </a:fld>
          <a:endParaRPr lang="en-US" sz="1000" b="1">
            <a:solidFill>
              <a:schemeClr val="lt1"/>
            </a:solidFill>
            <a:latin typeface="+mn-lt"/>
            <a:ea typeface="+mn-ea"/>
            <a:cs typeface="+mn-cs"/>
          </a:endParaRPr>
        </a:p>
      </xdr:txBody>
    </xdr:sp>
    <xdr:clientData/>
  </xdr:twoCellAnchor>
  <xdr:twoCellAnchor editAs="absolute">
    <xdr:from>
      <xdr:col>10</xdr:col>
      <xdr:colOff>28575</xdr:colOff>
      <xdr:row>0</xdr:row>
      <xdr:rowOff>66675</xdr:rowOff>
    </xdr:from>
    <xdr:to>
      <xdr:col>12</xdr:col>
      <xdr:colOff>167640</xdr:colOff>
      <xdr:row>0</xdr:row>
      <xdr:rowOff>340995</xdr:rowOff>
    </xdr:to>
    <xdr:sp macro="" textlink="Titles!B6">
      <xdr:nvSpPr>
        <xdr:cNvPr id="7" name="Round Same Side Corner Rectangle 6">
          <a:hlinkClick xmlns:r="http://schemas.openxmlformats.org/officeDocument/2006/relationships" r:id="rId5" tooltip="Click"/>
        </xdr:cNvPr>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4CCFB570-59A5-4F41-A721-E88ED0A6FD60}" type="TxLink">
            <a:rPr lang="en-US" sz="1000" b="1"/>
            <a:pPr algn="ctr"/>
            <a:t>Training</a:t>
          </a:fld>
          <a:endParaRPr lang="en-US" sz="1000" b="1"/>
        </a:p>
      </xdr:txBody>
    </xdr:sp>
    <xdr:clientData/>
  </xdr:twoCellAnchor>
  <xdr:twoCellAnchor editAs="absolute">
    <xdr:from>
      <xdr:col>12</xdr:col>
      <xdr:colOff>180974</xdr:colOff>
      <xdr:row>0</xdr:row>
      <xdr:rowOff>66675</xdr:rowOff>
    </xdr:from>
    <xdr:to>
      <xdr:col>14</xdr:col>
      <xdr:colOff>314324</xdr:colOff>
      <xdr:row>0</xdr:row>
      <xdr:rowOff>342900</xdr:rowOff>
    </xdr:to>
    <xdr:sp macro="" textlink="Titles!B7">
      <xdr:nvSpPr>
        <xdr:cNvPr id="8" name="Round Same Side Corner Rectangle 8"/>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solidFill>
          <a:schemeClr val="tx2">
            <a:lumMod val="20000"/>
            <a:lumOff val="80000"/>
          </a:schemeClr>
        </a:solidFill>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A62EFB2B-4D2B-411D-8E8E-1C014483C5E8}" type="TxLink">
            <a:rPr lang="en-US" sz="1000" b="1">
              <a:solidFill>
                <a:sysClr val="windowText" lastClr="000000"/>
              </a:solidFill>
              <a:latin typeface="+mn-lt"/>
              <a:ea typeface="+mn-ea"/>
              <a:cs typeface="+mn-cs"/>
            </a:rPr>
            <a:pPr marL="0" indent="0" algn="ctr" rtl="0">
              <a:defRPr sz="1000"/>
            </a:pPr>
            <a:t>Not Used</a:t>
          </a:fld>
          <a:endParaRPr lang="en-US" sz="1000" b="1">
            <a:solidFill>
              <a:sysClr val="windowText" lastClr="000000"/>
            </a:solidFill>
            <a:latin typeface="+mn-lt"/>
            <a:ea typeface="+mn-ea"/>
            <a:cs typeface="+mn-cs"/>
          </a:endParaRPr>
        </a:p>
      </xdr:txBody>
    </xdr:sp>
    <xdr:clientData/>
  </xdr:twoCellAnchor>
  <xdr:twoCellAnchor editAs="absolute">
    <xdr:from>
      <xdr:col>1</xdr:col>
      <xdr:colOff>114300</xdr:colOff>
      <xdr:row>1</xdr:row>
      <xdr:rowOff>76200</xdr:rowOff>
    </xdr:from>
    <xdr:to>
      <xdr:col>3</xdr:col>
      <xdr:colOff>104775</xdr:colOff>
      <xdr:row>1</xdr:row>
      <xdr:rowOff>304800</xdr:rowOff>
    </xdr:to>
    <xdr:sp macro="" textlink="">
      <xdr:nvSpPr>
        <xdr:cNvPr id="9" name="Rounded Rectangle 8">
          <a:hlinkClick xmlns:r="http://schemas.openxmlformats.org/officeDocument/2006/relationships" r:id="rId6"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14</xdr:col>
      <xdr:colOff>257175</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Provide all required data.  </a:t>
          </a:r>
          <a:r>
            <a:rPr lang="en-US" sz="900" b="1" i="0" u="none" strike="noStrike" baseline="0">
              <a:solidFill>
                <a:srgbClr val="000000"/>
              </a:solidFill>
              <a:latin typeface="Calibri"/>
              <a:cs typeface="Calibri"/>
            </a:rPr>
            <a:t>Note - </a:t>
          </a:r>
          <a:r>
            <a:rPr lang="en-US" sz="900" b="0" i="0" u="none" strike="noStrike" baseline="0">
              <a:solidFill>
                <a:srgbClr val="000000"/>
              </a:solidFill>
              <a:latin typeface="Calibri"/>
              <a:cs typeface="Calibri"/>
            </a:rPr>
            <a:t>Report program year data, when available.  This should not report forecasted data.</a:t>
          </a:r>
          <a:endParaRPr lang="en-US" sz="900"/>
        </a:p>
      </xdr:txBody>
    </xdr:sp>
    <xdr:clientData/>
  </xdr:twoCellAnchor>
  <xdr:twoCellAnchor editAs="absolute">
    <xdr:from>
      <xdr:col>3</xdr:col>
      <xdr:colOff>466725</xdr:colOff>
      <xdr:row>0</xdr:row>
      <xdr:rowOff>303787</xdr:rowOff>
    </xdr:from>
    <xdr:to>
      <xdr:col>12</xdr:col>
      <xdr:colOff>190500</xdr:colOff>
      <xdr:row>1</xdr:row>
      <xdr:rowOff>284623</xdr:rowOff>
    </xdr:to>
    <xdr:sp macro="" textlink="Titles!F4">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062454C1-630E-45D2-A354-9584D87057CA}" type="TxLink">
            <a:rPr lang="en-US" sz="1600" b="1" i="1" u="none"/>
            <a:pPr algn="ctr"/>
            <a:t>Energy Efficiency Arkansas - 2016 EE Portfolio Information</a:t>
          </a:fld>
          <a:endParaRPr lang="en-US" sz="1600" b="1" i="1" u="none"/>
        </a:p>
      </xdr:txBody>
    </xdr:sp>
    <xdr:clientData/>
  </xdr:twoCellAnchor>
  <xdr:twoCellAnchor editAs="absolute">
    <xdr:from>
      <xdr:col>4</xdr:col>
      <xdr:colOff>447675</xdr:colOff>
      <xdr:row>1</xdr:row>
      <xdr:rowOff>142875</xdr:rowOff>
    </xdr:from>
    <xdr:to>
      <xdr:col>11</xdr:col>
      <xdr:colOff>104774</xdr:colOff>
      <xdr:row>1</xdr:row>
      <xdr:rowOff>423080</xdr:rowOff>
    </xdr:to>
    <xdr:sp macro="" textlink="Titles!B7">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C7FC5810-1BCF-43D8-B869-0965B227CFAA}" type="TxLink">
            <a:rPr lang="en-US" sz="1200" b="0"/>
            <a:pPr algn="ctr"/>
            <a:t>Not Used</a:t>
          </a:fld>
          <a:endParaRPr lang="en-US" sz="1200" b="0"/>
        </a:p>
      </xdr:txBody>
    </xdr:sp>
    <xdr:clientData/>
  </xdr:twoCellAnchor>
  <xdr:twoCellAnchor editAs="absolute">
    <xdr:from>
      <xdr:col>12</xdr:col>
      <xdr:colOff>247650</xdr:colOff>
      <xdr:row>1</xdr:row>
      <xdr:rowOff>95250</xdr:rowOff>
    </xdr:from>
    <xdr:to>
      <xdr:col>13</xdr:col>
      <xdr:colOff>173355</xdr:colOff>
      <xdr:row>1</xdr:row>
      <xdr:rowOff>323850</xdr:rowOff>
    </xdr:to>
    <xdr:sp macro="" textlink="">
      <xdr:nvSpPr>
        <xdr:cNvPr id="13" name="Rounded Rectangle 12">
          <a:hlinkClick xmlns:r="http://schemas.openxmlformats.org/officeDocument/2006/relationships" r:id="rId5"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13</xdr:col>
      <xdr:colOff>219075</xdr:colOff>
      <xdr:row>1</xdr:row>
      <xdr:rowOff>95250</xdr:rowOff>
    </xdr:from>
    <xdr:to>
      <xdr:col>14</xdr:col>
      <xdr:colOff>249555</xdr:colOff>
      <xdr:row>1</xdr:row>
      <xdr:rowOff>323850</xdr:rowOff>
    </xdr:to>
    <xdr:sp macro="" textlink="">
      <xdr:nvSpPr>
        <xdr:cNvPr id="14" name="Rounded Rectangle 13">
          <a:hlinkClick xmlns:r="http://schemas.openxmlformats.org/officeDocument/2006/relationships" r:id="rId6"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11</xdr:col>
      <xdr:colOff>0</xdr:colOff>
      <xdr:row>1</xdr:row>
      <xdr:rowOff>409575</xdr:rowOff>
    </xdr:to>
    <xdr:sp macro="" textlink="">
      <xdr:nvSpPr>
        <xdr:cNvPr id="518042"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12">
      <xdr:nvSpPr>
        <xdr:cNvPr id="3" name="Round Same Side Corner Rectangle 2"/>
        <xdr:cNvSpPr/>
      </xdr:nvSpPr>
      <xdr:spPr>
        <a:xfrm>
          <a:off x="76200" y="66674"/>
          <a:ext cx="148209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341D97B6-CE14-41A9-B4DB-77F8C61F4B72}" type="TxLink">
            <a:rPr lang="en-US" sz="1000" b="1">
              <a:solidFill>
                <a:sysClr val="windowText" lastClr="000000"/>
              </a:solidFill>
              <a:latin typeface="+mn-lt"/>
              <a:ea typeface="+mn-ea"/>
              <a:cs typeface="+mn-cs"/>
            </a:rPr>
            <a:pPr marL="0" indent="0" algn="ctr"/>
            <a:t>Actual Expenses</a:t>
          </a:fld>
          <a:endParaRPr lang="en-US" sz="1000" b="1">
            <a:solidFill>
              <a:sysClr val="windowText" lastClr="000000"/>
            </a:solidFill>
            <a:latin typeface="+mn-lt"/>
            <a:ea typeface="+mn-ea"/>
            <a:cs typeface="+mn-cs"/>
          </a:endParaRPr>
        </a:p>
      </xdr:txBody>
    </xdr:sp>
    <xdr:clientData/>
  </xdr:twoCellAnchor>
  <xdr:twoCellAnchor editAs="absolute">
    <xdr:from>
      <xdr:col>2</xdr:col>
      <xdr:colOff>1247775</xdr:colOff>
      <xdr:row>0</xdr:row>
      <xdr:rowOff>66675</xdr:rowOff>
    </xdr:from>
    <xdr:to>
      <xdr:col>3</xdr:col>
      <xdr:colOff>281940</xdr:colOff>
      <xdr:row>0</xdr:row>
      <xdr:rowOff>340995</xdr:rowOff>
    </xdr:to>
    <xdr:sp macro="" textlink="Titles!B13">
      <xdr:nvSpPr>
        <xdr:cNvPr id="4" name="Round Same Side Corner Rectangle 3">
          <a:hlinkClick xmlns:r="http://schemas.openxmlformats.org/officeDocument/2006/relationships" r:id="rId1"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9662FDDA-4AAF-4E74-B338-3F89DDFDAEFA}" type="TxLink">
            <a:rPr lang="en-US" sz="1000" b="1">
              <a:solidFill>
                <a:schemeClr val="lt1"/>
              </a:solidFill>
              <a:latin typeface="+mn-lt"/>
              <a:ea typeface="+mn-ea"/>
              <a:cs typeface="+mn-cs"/>
            </a:rPr>
            <a:pPr marL="0" indent="0" algn="ctr"/>
            <a:t>Evaluated Savings</a:t>
          </a:fld>
          <a:endParaRPr lang="en-US" sz="1000" b="1">
            <a:solidFill>
              <a:schemeClr val="lt1"/>
            </a:solidFill>
            <a:latin typeface="+mn-lt"/>
            <a:ea typeface="+mn-ea"/>
            <a:cs typeface="+mn-cs"/>
          </a:endParaRPr>
        </a:p>
      </xdr:txBody>
    </xdr:sp>
    <xdr:clientData/>
  </xdr:twoCellAnchor>
  <xdr:twoCellAnchor editAs="absolute">
    <xdr:from>
      <xdr:col>3</xdr:col>
      <xdr:colOff>295275</xdr:colOff>
      <xdr:row>0</xdr:row>
      <xdr:rowOff>66675</xdr:rowOff>
    </xdr:from>
    <xdr:to>
      <xdr:col>5</xdr:col>
      <xdr:colOff>62865</xdr:colOff>
      <xdr:row>0</xdr:row>
      <xdr:rowOff>340995</xdr:rowOff>
    </xdr:to>
    <xdr:sp macro="" textlink="Titles!B14">
      <xdr:nvSpPr>
        <xdr:cNvPr id="5" name="Round Same Side Corner Rectangle 4"/>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ED213242-FEB6-4C4A-AAD0-85CE35D2C1BB}" type="TxLink">
            <a:rPr lang="en-US" sz="1000" b="1"/>
            <a:pPr algn="ctr"/>
            <a:t>Not Used</a:t>
          </a:fld>
          <a:endParaRPr lang="en-US" sz="1000" b="1"/>
        </a:p>
      </xdr:txBody>
    </xdr:sp>
    <xdr:clientData/>
  </xdr:twoCellAnchor>
  <xdr:twoCellAnchor editAs="absolute">
    <xdr:from>
      <xdr:col>5</xdr:col>
      <xdr:colOff>85725</xdr:colOff>
      <xdr:row>0</xdr:row>
      <xdr:rowOff>66675</xdr:rowOff>
    </xdr:from>
    <xdr:to>
      <xdr:col>6</xdr:col>
      <xdr:colOff>701040</xdr:colOff>
      <xdr:row>0</xdr:row>
      <xdr:rowOff>340995</xdr:rowOff>
    </xdr:to>
    <xdr:sp macro="" textlink="Titles!B15">
      <xdr:nvSpPr>
        <xdr:cNvPr id="6" name="Round Same Side Corner Rectangle 5"/>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1DD0C622-4F87-4449-A414-B6136D956AB4}" type="TxLink">
            <a:rPr lang="en-US" sz="1000" b="1"/>
            <a:pPr algn="ctr"/>
            <a:t>Not Used</a:t>
          </a:fld>
          <a:endParaRPr lang="en-US" sz="1000" b="1"/>
        </a:p>
      </xdr:txBody>
    </xdr:sp>
    <xdr:clientData/>
  </xdr:twoCellAnchor>
  <xdr:twoCellAnchor editAs="absolute">
    <xdr:from>
      <xdr:col>6</xdr:col>
      <xdr:colOff>714375</xdr:colOff>
      <xdr:row>0</xdr:row>
      <xdr:rowOff>66675</xdr:rowOff>
    </xdr:from>
    <xdr:to>
      <xdr:col>8</xdr:col>
      <xdr:colOff>481965</xdr:colOff>
      <xdr:row>0</xdr:row>
      <xdr:rowOff>340995</xdr:rowOff>
    </xdr:to>
    <xdr:sp macro="" textlink="Titles!B16">
      <xdr:nvSpPr>
        <xdr:cNvPr id="7" name="Round Same Side Corner Rectangle 6"/>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7E05D347-220A-456A-868D-8E1C52255A7C}" type="TxLink">
            <a:rPr lang="en-US" sz="1000" b="1"/>
            <a:pPr algn="ctr"/>
            <a:t>Not Used</a:t>
          </a:fld>
          <a:endParaRPr lang="en-US" sz="1000" b="1"/>
        </a:p>
      </xdr:txBody>
    </xdr:sp>
    <xdr:clientData/>
  </xdr:twoCellAnchor>
  <xdr:twoCellAnchor editAs="absolute">
    <xdr:from>
      <xdr:col>8</xdr:col>
      <xdr:colOff>495299</xdr:colOff>
      <xdr:row>0</xdr:row>
      <xdr:rowOff>66675</xdr:rowOff>
    </xdr:from>
    <xdr:to>
      <xdr:col>10</xdr:col>
      <xdr:colOff>180974</xdr:colOff>
      <xdr:row>0</xdr:row>
      <xdr:rowOff>342900</xdr:rowOff>
    </xdr:to>
    <xdr:sp macro="" textlink="Titles!B17">
      <xdr:nvSpPr>
        <xdr:cNvPr id="8" name="Round Same Side Corner Rectangle 8"/>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65A32E64-08A3-4F03-B35E-DA7A79C3161F}"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2"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10</xdr:col>
      <xdr:colOff>123825</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Provide actual PY expenses, including Regulatory at bottom.  Provide an Utility Cost Reconciliation by clicking the "Reconciliation" button.</a:t>
          </a:r>
          <a:endParaRPr lang="en-US"/>
        </a:p>
      </xdr:txBody>
    </xdr:sp>
    <xdr:clientData/>
  </xdr:twoCellAnchor>
  <xdr:twoCellAnchor editAs="absolute">
    <xdr:from>
      <xdr:col>2</xdr:col>
      <xdr:colOff>1228725</xdr:colOff>
      <xdr:row>0</xdr:row>
      <xdr:rowOff>303787</xdr:rowOff>
    </xdr:from>
    <xdr:to>
      <xdr:col>8</xdr:col>
      <xdr:colOff>504825</xdr:colOff>
      <xdr:row>1</xdr:row>
      <xdr:rowOff>284623</xdr:rowOff>
    </xdr:to>
    <xdr:sp macro="" textlink="Titles!F5">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D96EF71A-4D67-4FAB-9EC8-8EB56FB04652}" type="TxLink">
            <a:rPr lang="en-US" sz="1600" b="1" i="1" u="none"/>
            <a:pPr algn="ctr"/>
            <a:t>Energy Efficiency Arkansas - 2016 Program Year Evaluation</a:t>
          </a:fld>
          <a:endParaRPr lang="en-US" sz="1600" b="1" i="1" u="none"/>
        </a:p>
      </xdr:txBody>
    </xdr:sp>
    <xdr:clientData/>
  </xdr:twoCellAnchor>
  <xdr:twoCellAnchor editAs="absolute">
    <xdr:from>
      <xdr:col>2</xdr:col>
      <xdr:colOff>1924050</xdr:colOff>
      <xdr:row>1</xdr:row>
      <xdr:rowOff>142875</xdr:rowOff>
    </xdr:from>
    <xdr:to>
      <xdr:col>7</xdr:col>
      <xdr:colOff>657224</xdr:colOff>
      <xdr:row>1</xdr:row>
      <xdr:rowOff>423080</xdr:rowOff>
    </xdr:to>
    <xdr:sp macro="" textlink="Titles!B12">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220E9C5C-89DF-4BDC-9F4E-CC4469ED1766}" type="TxLink">
            <a:rPr lang="en-US" sz="1200" b="0"/>
            <a:pPr algn="ctr"/>
            <a:t>Actual Expenses</a:t>
          </a:fld>
          <a:endParaRPr lang="en-US" sz="1200" b="0"/>
        </a:p>
      </xdr:txBody>
    </xdr:sp>
    <xdr:clientData/>
  </xdr:twoCellAnchor>
  <xdr:twoCellAnchor editAs="absolute">
    <xdr:from>
      <xdr:col>8</xdr:col>
      <xdr:colOff>561975</xdr:colOff>
      <xdr:row>1</xdr:row>
      <xdr:rowOff>95250</xdr:rowOff>
    </xdr:from>
    <xdr:to>
      <xdr:col>9</xdr:col>
      <xdr:colOff>354330</xdr:colOff>
      <xdr:row>1</xdr:row>
      <xdr:rowOff>323850</xdr:rowOff>
    </xdr:to>
    <xdr:sp macro="" textlink="">
      <xdr:nvSpPr>
        <xdr:cNvPr id="13" name="Rounded Rectangle 12">
          <a:hlinkClick xmlns:r="http://schemas.openxmlformats.org/officeDocument/2006/relationships" r:id="rId2"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9</xdr:col>
      <xdr:colOff>400050</xdr:colOff>
      <xdr:row>1</xdr:row>
      <xdr:rowOff>95250</xdr:rowOff>
    </xdr:from>
    <xdr:to>
      <xdr:col>10</xdr:col>
      <xdr:colOff>116205</xdr:colOff>
      <xdr:row>1</xdr:row>
      <xdr:rowOff>323850</xdr:rowOff>
    </xdr:to>
    <xdr:sp macro="" textlink="">
      <xdr:nvSpPr>
        <xdr:cNvPr id="14" name="Rounded Rectangle 13">
          <a:hlinkClick xmlns:r="http://schemas.openxmlformats.org/officeDocument/2006/relationships" r:id="rId1"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twoCellAnchor editAs="absolute">
    <xdr:from>
      <xdr:col>8</xdr:col>
      <xdr:colOff>647700</xdr:colOff>
      <xdr:row>2</xdr:row>
      <xdr:rowOff>38100</xdr:rowOff>
    </xdr:from>
    <xdr:to>
      <xdr:col>10</xdr:col>
      <xdr:colOff>85725</xdr:colOff>
      <xdr:row>3</xdr:row>
      <xdr:rowOff>95250</xdr:rowOff>
    </xdr:to>
    <xdr:sp macro="" textlink="">
      <xdr:nvSpPr>
        <xdr:cNvPr id="15" name="Rounded Rectangle 14">
          <a:hlinkClick xmlns:r="http://schemas.openxmlformats.org/officeDocument/2006/relationships" r:id="rId3" tooltip="Click"/>
        </xdr:cNvPr>
        <xdr:cNvSpPr/>
      </xdr:nvSpPr>
      <xdr:spPr>
        <a:xfrm>
          <a:off x="7629525" y="1219200"/>
          <a:ext cx="1209675" cy="1524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800" b="1" baseline="0">
              <a:solidFill>
                <a:sysClr val="windowText" lastClr="000000"/>
              </a:solidFill>
            </a:rPr>
            <a:t>Reconciliation</a:t>
          </a:r>
          <a:endParaRPr lang="en-US" sz="8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9</xdr:col>
      <xdr:colOff>0</xdr:colOff>
      <xdr:row>0</xdr:row>
      <xdr:rowOff>476250</xdr:rowOff>
    </xdr:to>
    <xdr:sp macro="" textlink="">
      <xdr:nvSpPr>
        <xdr:cNvPr id="84986" name="Rectangle 365"/>
        <xdr:cNvSpPr>
          <a:spLocks noChangeArrowheads="1"/>
        </xdr:cNvSpPr>
      </xdr:nvSpPr>
      <xdr:spPr bwMode="auto">
        <a:xfrm>
          <a:off x="76200" y="66675"/>
          <a:ext cx="8867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3</xdr:col>
      <xdr:colOff>723900</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Back</a:t>
          </a:r>
        </a:p>
      </xdr:txBody>
    </xdr:sp>
    <xdr:clientData/>
  </xdr:twoCellAnchor>
  <xdr:twoCellAnchor editAs="absolute">
    <xdr:from>
      <xdr:col>3</xdr:col>
      <xdr:colOff>1285876</xdr:colOff>
      <xdr:row>0</xdr:row>
      <xdr:rowOff>94237</xdr:rowOff>
    </xdr:from>
    <xdr:to>
      <xdr:col>7</xdr:col>
      <xdr:colOff>2105025</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baseline="0"/>
            <a:t>Reconciliation Table</a:t>
          </a:r>
          <a:endParaRPr lang="en-US" sz="1600" b="1"/>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10</xdr:col>
      <xdr:colOff>942975</xdr:colOff>
      <xdr:row>1</xdr:row>
      <xdr:rowOff>409575</xdr:rowOff>
    </xdr:to>
    <xdr:sp macro="" textlink="">
      <xdr:nvSpPr>
        <xdr:cNvPr id="519066"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12">
      <xdr:nvSpPr>
        <xdr:cNvPr id="3" name="Round Same Side Corner Rectangle 2">
          <a:hlinkClick xmlns:r="http://schemas.openxmlformats.org/officeDocument/2006/relationships" r:id="rId1" tooltip="Click"/>
        </xdr:cNvPr>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893C49C2-9550-4C8F-83A5-F8A8C68ACD8C}" type="TxLink">
            <a:rPr lang="en-US" sz="1000" b="1">
              <a:solidFill>
                <a:schemeClr val="lt1"/>
              </a:solidFill>
              <a:latin typeface="+mn-lt"/>
              <a:ea typeface="+mn-ea"/>
              <a:cs typeface="+mn-cs"/>
            </a:rPr>
            <a:pPr marL="0" indent="0" algn="ctr"/>
            <a:t>Actual Expenses</a:t>
          </a:fld>
          <a:endParaRPr lang="en-US" sz="1000" b="1">
            <a:solidFill>
              <a:schemeClr val="lt1"/>
            </a:solidFill>
            <a:latin typeface="+mn-lt"/>
            <a:ea typeface="+mn-ea"/>
            <a:cs typeface="+mn-cs"/>
          </a:endParaRPr>
        </a:p>
      </xdr:txBody>
    </xdr:sp>
    <xdr:clientData/>
  </xdr:twoCellAnchor>
  <xdr:twoCellAnchor editAs="absolute">
    <xdr:from>
      <xdr:col>2</xdr:col>
      <xdr:colOff>1247775</xdr:colOff>
      <xdr:row>0</xdr:row>
      <xdr:rowOff>66675</xdr:rowOff>
    </xdr:from>
    <xdr:to>
      <xdr:col>3</xdr:col>
      <xdr:colOff>300990</xdr:colOff>
      <xdr:row>0</xdr:row>
      <xdr:rowOff>340995</xdr:rowOff>
    </xdr:to>
    <xdr:sp macro="" textlink="Titles!B13">
      <xdr:nvSpPr>
        <xdr:cNvPr id="4" name="Round Same Side Corner Rectangle 3"/>
        <xdr:cNvSpPr/>
      </xdr:nvSpPr>
      <xdr:spPr>
        <a:xfrm>
          <a:off x="1562100" y="66675"/>
          <a:ext cx="146304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46DFBCFF-EDD4-4E8C-8548-DA50D55C260C}" type="TxLink">
            <a:rPr lang="en-US" sz="1000" b="1">
              <a:solidFill>
                <a:sysClr val="windowText" lastClr="000000"/>
              </a:solidFill>
              <a:latin typeface="+mn-lt"/>
              <a:ea typeface="+mn-ea"/>
              <a:cs typeface="+mn-cs"/>
            </a:rPr>
            <a:pPr marL="0" indent="0" algn="ctr"/>
            <a:t>Evaluated Savings</a:t>
          </a:fld>
          <a:endParaRPr lang="en-US" sz="1000" b="1">
            <a:solidFill>
              <a:sysClr val="windowText" lastClr="000000"/>
            </a:solidFill>
            <a:latin typeface="+mn-lt"/>
            <a:ea typeface="+mn-ea"/>
            <a:cs typeface="+mn-cs"/>
          </a:endParaRPr>
        </a:p>
      </xdr:txBody>
    </xdr:sp>
    <xdr:clientData/>
  </xdr:twoCellAnchor>
  <xdr:twoCellAnchor editAs="absolute">
    <xdr:from>
      <xdr:col>3</xdr:col>
      <xdr:colOff>314325</xdr:colOff>
      <xdr:row>0</xdr:row>
      <xdr:rowOff>66675</xdr:rowOff>
    </xdr:from>
    <xdr:to>
      <xdr:col>4</xdr:col>
      <xdr:colOff>834390</xdr:colOff>
      <xdr:row>0</xdr:row>
      <xdr:rowOff>340995</xdr:rowOff>
    </xdr:to>
    <xdr:sp macro="" textlink="Titles!B14">
      <xdr:nvSpPr>
        <xdr:cNvPr id="5" name="Round Same Side Corner Rectangle 4"/>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24AF4B02-DF66-4118-B452-30FBADE22388}" type="TxLink">
            <a:rPr lang="en-US" sz="1000" b="1">
              <a:solidFill>
                <a:schemeClr val="lt1"/>
              </a:solidFill>
              <a:latin typeface="+mn-lt"/>
              <a:ea typeface="+mn-ea"/>
              <a:cs typeface="+mn-cs"/>
            </a:rPr>
            <a:pPr marL="0" indent="0" algn="ctr"/>
            <a:t>Not Used</a:t>
          </a:fld>
          <a:endParaRPr lang="en-US" sz="1000" b="1">
            <a:solidFill>
              <a:schemeClr val="lt1"/>
            </a:solidFill>
            <a:latin typeface="+mn-lt"/>
            <a:ea typeface="+mn-ea"/>
            <a:cs typeface="+mn-cs"/>
          </a:endParaRPr>
        </a:p>
      </xdr:txBody>
    </xdr:sp>
    <xdr:clientData/>
  </xdr:twoCellAnchor>
  <xdr:twoCellAnchor editAs="absolute">
    <xdr:from>
      <xdr:col>4</xdr:col>
      <xdr:colOff>857250</xdr:colOff>
      <xdr:row>0</xdr:row>
      <xdr:rowOff>66675</xdr:rowOff>
    </xdr:from>
    <xdr:to>
      <xdr:col>6</xdr:col>
      <xdr:colOff>767715</xdr:colOff>
      <xdr:row>0</xdr:row>
      <xdr:rowOff>340995</xdr:rowOff>
    </xdr:to>
    <xdr:sp macro="" textlink="Titles!B15">
      <xdr:nvSpPr>
        <xdr:cNvPr id="6" name="Round Same Side Corner Rectangle 5"/>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3D11106F-EA49-4525-8C63-03117819AC3C}" type="TxLink">
            <a:rPr lang="en-US" sz="1000" b="1"/>
            <a:pPr algn="ctr"/>
            <a:t>Not Used</a:t>
          </a:fld>
          <a:endParaRPr lang="en-US" sz="1000" b="1"/>
        </a:p>
      </xdr:txBody>
    </xdr:sp>
    <xdr:clientData/>
  </xdr:twoCellAnchor>
  <xdr:twoCellAnchor editAs="absolute">
    <xdr:from>
      <xdr:col>6</xdr:col>
      <xdr:colOff>781050</xdr:colOff>
      <xdr:row>0</xdr:row>
      <xdr:rowOff>66675</xdr:rowOff>
    </xdr:from>
    <xdr:to>
      <xdr:col>9</xdr:col>
      <xdr:colOff>81915</xdr:colOff>
      <xdr:row>0</xdr:row>
      <xdr:rowOff>340995</xdr:rowOff>
    </xdr:to>
    <xdr:sp macro="" textlink="Titles!B16">
      <xdr:nvSpPr>
        <xdr:cNvPr id="7" name="Round Same Side Corner Rectangle 6">
          <a:hlinkClick xmlns:r="http://schemas.openxmlformats.org/officeDocument/2006/relationships" r:id="rId2" tooltip="Click"/>
        </xdr:cNvPr>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7483FCD8-0EE7-474B-AE47-C85E948AF211}" type="TxLink">
            <a:rPr lang="en-US" sz="1000" b="1"/>
            <a:pPr algn="ctr"/>
            <a:t>Not Used</a:t>
          </a:fld>
          <a:endParaRPr lang="en-US" sz="1000" b="1"/>
        </a:p>
      </xdr:txBody>
    </xdr:sp>
    <xdr:clientData/>
  </xdr:twoCellAnchor>
  <xdr:twoCellAnchor editAs="absolute">
    <xdr:from>
      <xdr:col>9</xdr:col>
      <xdr:colOff>95249</xdr:colOff>
      <xdr:row>0</xdr:row>
      <xdr:rowOff>66675</xdr:rowOff>
    </xdr:from>
    <xdr:to>
      <xdr:col>10</xdr:col>
      <xdr:colOff>942974</xdr:colOff>
      <xdr:row>0</xdr:row>
      <xdr:rowOff>342900</xdr:rowOff>
    </xdr:to>
    <xdr:sp macro="" textlink="Titles!B17">
      <xdr:nvSpPr>
        <xdr:cNvPr id="8" name="Round Same Side Corner Rectangle 8">
          <a:hlinkClick xmlns:r="http://schemas.openxmlformats.org/officeDocument/2006/relationships" r:id="rId3" tooltip="Click"/>
        </xdr:cNvPr>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BCA91515-81B0-4022-842A-50A0947AC6E9}"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4"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10</xdr:col>
      <xdr:colOff>885825</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Provide evaluated savings and participant results.  Provide the methodology for energy savings by clicking the "Methodology for Energy Savings" button.</a:t>
          </a:r>
          <a:endParaRPr lang="en-US"/>
        </a:p>
      </xdr:txBody>
    </xdr:sp>
    <xdr:clientData/>
  </xdr:twoCellAnchor>
  <xdr:twoCellAnchor editAs="absolute">
    <xdr:from>
      <xdr:col>2</xdr:col>
      <xdr:colOff>1228725</xdr:colOff>
      <xdr:row>0</xdr:row>
      <xdr:rowOff>303787</xdr:rowOff>
    </xdr:from>
    <xdr:to>
      <xdr:col>9</xdr:col>
      <xdr:colOff>104775</xdr:colOff>
      <xdr:row>1</xdr:row>
      <xdr:rowOff>284623</xdr:rowOff>
    </xdr:to>
    <xdr:sp macro="" textlink="Titles!F5">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977F7061-64AA-4597-81D8-07D5C33C7901}" type="TxLink">
            <a:rPr lang="en-US" sz="1600" b="1" i="1" u="none"/>
            <a:pPr algn="ctr"/>
            <a:t>Energy Efficiency Arkansas - 2016 Program Year Evaluation</a:t>
          </a:fld>
          <a:endParaRPr lang="en-US" sz="1600" b="1" i="1" u="none"/>
        </a:p>
      </xdr:txBody>
    </xdr:sp>
    <xdr:clientData/>
  </xdr:twoCellAnchor>
  <xdr:twoCellAnchor editAs="absolute">
    <xdr:from>
      <xdr:col>2</xdr:col>
      <xdr:colOff>1924050</xdr:colOff>
      <xdr:row>1</xdr:row>
      <xdr:rowOff>142875</xdr:rowOff>
    </xdr:from>
    <xdr:to>
      <xdr:col>8</xdr:col>
      <xdr:colOff>19049</xdr:colOff>
      <xdr:row>1</xdr:row>
      <xdr:rowOff>423080</xdr:rowOff>
    </xdr:to>
    <xdr:sp macro="" textlink="Titles!B13">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629752D1-735F-4ABE-819E-9E44EE108532}" type="TxLink">
            <a:rPr lang="en-US" sz="1200" b="0"/>
            <a:pPr algn="ctr"/>
            <a:t>Evaluated Savings</a:t>
          </a:fld>
          <a:endParaRPr lang="en-US" sz="1200" b="0"/>
        </a:p>
      </xdr:txBody>
    </xdr:sp>
    <xdr:clientData/>
  </xdr:twoCellAnchor>
  <xdr:twoCellAnchor editAs="absolute">
    <xdr:from>
      <xdr:col>9</xdr:col>
      <xdr:colOff>161925</xdr:colOff>
      <xdr:row>1</xdr:row>
      <xdr:rowOff>95250</xdr:rowOff>
    </xdr:from>
    <xdr:to>
      <xdr:col>10</xdr:col>
      <xdr:colOff>192405</xdr:colOff>
      <xdr:row>1</xdr:row>
      <xdr:rowOff>323850</xdr:rowOff>
    </xdr:to>
    <xdr:sp macro="" textlink="">
      <xdr:nvSpPr>
        <xdr:cNvPr id="13" name="Rounded Rectangle 12">
          <a:hlinkClick xmlns:r="http://schemas.openxmlformats.org/officeDocument/2006/relationships" r:id="rId1"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10</xdr:col>
      <xdr:colOff>238125</xdr:colOff>
      <xdr:row>1</xdr:row>
      <xdr:rowOff>95250</xdr:rowOff>
    </xdr:from>
    <xdr:to>
      <xdr:col>10</xdr:col>
      <xdr:colOff>878205</xdr:colOff>
      <xdr:row>1</xdr:row>
      <xdr:rowOff>323850</xdr:rowOff>
    </xdr:to>
    <xdr:sp macro="" textlink="">
      <xdr:nvSpPr>
        <xdr:cNvPr id="14" name="Rounded Rectangle 13">
          <a:hlinkClick xmlns:r="http://schemas.openxmlformats.org/officeDocument/2006/relationships" r:id="rId4"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twoCellAnchor editAs="absolute">
    <xdr:from>
      <xdr:col>8</xdr:col>
      <xdr:colOff>371475</xdr:colOff>
      <xdr:row>2</xdr:row>
      <xdr:rowOff>38100</xdr:rowOff>
    </xdr:from>
    <xdr:to>
      <xdr:col>10</xdr:col>
      <xdr:colOff>847725</xdr:colOff>
      <xdr:row>4</xdr:row>
      <xdr:rowOff>9525</xdr:rowOff>
    </xdr:to>
    <xdr:sp macro="" textlink="">
      <xdr:nvSpPr>
        <xdr:cNvPr id="15" name="Rounded Rectangle 14">
          <a:hlinkClick xmlns:r="http://schemas.openxmlformats.org/officeDocument/2006/relationships" r:id="rId5" tooltip="Click"/>
        </xdr:cNvPr>
        <xdr:cNvSpPr/>
      </xdr:nvSpPr>
      <xdr:spPr>
        <a:xfrm>
          <a:off x="7143750" y="1219200"/>
          <a:ext cx="1695450"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800" b="1">
              <a:solidFill>
                <a:sysClr val="windowText" lastClr="000000"/>
              </a:solidFill>
            </a:rPr>
            <a:t>Methodology</a:t>
          </a:r>
          <a:r>
            <a:rPr lang="en-US" sz="800" b="1" baseline="0">
              <a:solidFill>
                <a:sysClr val="windowText" lastClr="000000"/>
              </a:solidFill>
            </a:rPr>
            <a:t> for Energy Savings</a:t>
          </a:r>
        </a:p>
        <a:p>
          <a:pPr algn="ctr"/>
          <a:endParaRPr lang="en-US" sz="800" b="1">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10</xdr:col>
      <xdr:colOff>447675</xdr:colOff>
      <xdr:row>0</xdr:row>
      <xdr:rowOff>476250</xdr:rowOff>
    </xdr:to>
    <xdr:sp macro="" textlink="">
      <xdr:nvSpPr>
        <xdr:cNvPr id="85998" name="Rectangle 365"/>
        <xdr:cNvSpPr>
          <a:spLocks noChangeArrowheads="1"/>
        </xdr:cNvSpPr>
      </xdr:nvSpPr>
      <xdr:spPr bwMode="auto">
        <a:xfrm>
          <a:off x="76200" y="66675"/>
          <a:ext cx="8867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3</xdr:col>
      <xdr:colOff>723900</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Back</a:t>
          </a:r>
        </a:p>
      </xdr:txBody>
    </xdr:sp>
    <xdr:clientData/>
  </xdr:twoCellAnchor>
  <xdr:twoCellAnchor editAs="absolute">
    <xdr:from>
      <xdr:col>3</xdr:col>
      <xdr:colOff>1285876</xdr:colOff>
      <xdr:row>0</xdr:row>
      <xdr:rowOff>94237</xdr:rowOff>
    </xdr:from>
    <xdr:to>
      <xdr:col>8</xdr:col>
      <xdr:colOff>38100</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Methodology</a:t>
          </a:r>
          <a:r>
            <a:rPr lang="en-US" sz="1600" b="1" baseline="0"/>
            <a:t> for Calculating Energy Savings</a:t>
          </a:r>
          <a:endParaRPr lang="en-US" sz="1600" b="1"/>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11</xdr:col>
      <xdr:colOff>0</xdr:colOff>
      <xdr:row>1</xdr:row>
      <xdr:rowOff>409575</xdr:rowOff>
    </xdr:to>
    <xdr:sp macro="" textlink="">
      <xdr:nvSpPr>
        <xdr:cNvPr id="552719"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4</xdr:col>
      <xdr:colOff>53340</xdr:colOff>
      <xdr:row>0</xdr:row>
      <xdr:rowOff>340994</xdr:rowOff>
    </xdr:to>
    <xdr:sp macro="" textlink="Titles!B12">
      <xdr:nvSpPr>
        <xdr:cNvPr id="3" name="Round Same Side Corner Rectangle 2"/>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7933A9F0-2835-4E54-9246-DD63AAD6FA2C}" type="TxLink">
            <a:rPr lang="en-US" sz="1000" b="1">
              <a:solidFill>
                <a:schemeClr val="lt1"/>
              </a:solidFill>
              <a:latin typeface="+mn-lt"/>
              <a:ea typeface="+mn-ea"/>
              <a:cs typeface="+mn-cs"/>
            </a:rPr>
            <a:pPr marL="0" indent="0" algn="ctr"/>
            <a:t>Actual Expenses</a:t>
          </a:fld>
          <a:endParaRPr lang="en-US" sz="1000" b="1">
            <a:solidFill>
              <a:schemeClr val="lt1"/>
            </a:solidFill>
            <a:latin typeface="+mn-lt"/>
            <a:ea typeface="+mn-ea"/>
            <a:cs typeface="+mn-cs"/>
          </a:endParaRPr>
        </a:p>
      </xdr:txBody>
    </xdr:sp>
    <xdr:clientData/>
  </xdr:twoCellAnchor>
  <xdr:twoCellAnchor editAs="absolute">
    <xdr:from>
      <xdr:col>4</xdr:col>
      <xdr:colOff>57150</xdr:colOff>
      <xdr:row>0</xdr:row>
      <xdr:rowOff>66675</xdr:rowOff>
    </xdr:from>
    <xdr:to>
      <xdr:col>5</xdr:col>
      <xdr:colOff>320040</xdr:colOff>
      <xdr:row>0</xdr:row>
      <xdr:rowOff>340995</xdr:rowOff>
    </xdr:to>
    <xdr:sp macro="" textlink="Titles!B13">
      <xdr:nvSpPr>
        <xdr:cNvPr id="4" name="Round Same Side Corner Rectangle 3">
          <a:hlinkClick xmlns:r="http://schemas.openxmlformats.org/officeDocument/2006/relationships" r:id="rId1"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E699F3E7-E927-4E64-AD87-C22F2FB1A006}" type="TxLink">
            <a:rPr lang="en-US" sz="1000" b="1"/>
            <a:pPr algn="ctr"/>
            <a:t>Evaluated Savings</a:t>
          </a:fld>
          <a:endParaRPr lang="en-US" sz="1000" b="1"/>
        </a:p>
      </xdr:txBody>
    </xdr:sp>
    <xdr:clientData/>
  </xdr:twoCellAnchor>
  <xdr:twoCellAnchor editAs="absolute">
    <xdr:from>
      <xdr:col>5</xdr:col>
      <xdr:colOff>333375</xdr:colOff>
      <xdr:row>0</xdr:row>
      <xdr:rowOff>66675</xdr:rowOff>
    </xdr:from>
    <xdr:to>
      <xdr:col>6</xdr:col>
      <xdr:colOff>596265</xdr:colOff>
      <xdr:row>0</xdr:row>
      <xdr:rowOff>340995</xdr:rowOff>
    </xdr:to>
    <xdr:sp macro="" textlink="Titles!B14">
      <xdr:nvSpPr>
        <xdr:cNvPr id="5" name="Round Same Side Corner Rectangle 4"/>
        <xdr:cNvSpPr/>
      </xdr:nvSpPr>
      <xdr:spPr>
        <a:xfrm>
          <a:off x="3038475" y="66675"/>
          <a:ext cx="146304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1780EFE8-B1B7-4D8F-A819-726F3CABAF68}" type="TxLink">
            <a:rPr lang="en-US" sz="1000" b="1">
              <a:solidFill>
                <a:sysClr val="windowText" lastClr="000000"/>
              </a:solidFill>
              <a:latin typeface="+mn-lt"/>
              <a:ea typeface="+mn-ea"/>
              <a:cs typeface="+mn-cs"/>
            </a:rPr>
            <a:pPr marL="0" indent="0" algn="ctr"/>
            <a:t>Not Used</a:t>
          </a:fld>
          <a:endParaRPr lang="en-US" sz="1000" b="1">
            <a:solidFill>
              <a:sysClr val="windowText" lastClr="000000"/>
            </a:solidFill>
            <a:latin typeface="+mn-lt"/>
            <a:ea typeface="+mn-ea"/>
            <a:cs typeface="+mn-cs"/>
          </a:endParaRPr>
        </a:p>
      </xdr:txBody>
    </xdr:sp>
    <xdr:clientData/>
  </xdr:twoCellAnchor>
  <xdr:twoCellAnchor editAs="absolute">
    <xdr:from>
      <xdr:col>6</xdr:col>
      <xdr:colOff>619125</xdr:colOff>
      <xdr:row>0</xdr:row>
      <xdr:rowOff>66675</xdr:rowOff>
    </xdr:from>
    <xdr:to>
      <xdr:col>8</xdr:col>
      <xdr:colOff>129540</xdr:colOff>
      <xdr:row>0</xdr:row>
      <xdr:rowOff>340995</xdr:rowOff>
    </xdr:to>
    <xdr:sp macro="" textlink="Titles!B15">
      <xdr:nvSpPr>
        <xdr:cNvPr id="6" name="Round Same Side Corner Rectangle 5"/>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77250573-7DBD-4162-A4CB-5C025EB17278}" type="TxLink">
            <a:rPr lang="en-US" sz="1000" b="1"/>
            <a:pPr algn="ctr"/>
            <a:t>Not Used</a:t>
          </a:fld>
          <a:endParaRPr lang="en-US" sz="1000" b="1"/>
        </a:p>
      </xdr:txBody>
    </xdr:sp>
    <xdr:clientData/>
  </xdr:twoCellAnchor>
  <xdr:twoCellAnchor editAs="absolute">
    <xdr:from>
      <xdr:col>8</xdr:col>
      <xdr:colOff>142875</xdr:colOff>
      <xdr:row>0</xdr:row>
      <xdr:rowOff>66675</xdr:rowOff>
    </xdr:from>
    <xdr:to>
      <xdr:col>10</xdr:col>
      <xdr:colOff>234315</xdr:colOff>
      <xdr:row>0</xdr:row>
      <xdr:rowOff>340995</xdr:rowOff>
    </xdr:to>
    <xdr:sp macro="" textlink="Titles!B16">
      <xdr:nvSpPr>
        <xdr:cNvPr id="7" name="Round Same Side Corner Rectangle 6">
          <a:hlinkClick xmlns:r="http://schemas.openxmlformats.org/officeDocument/2006/relationships" r:id="rId2" tooltip="Click"/>
        </xdr:cNvPr>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ED87FCC2-B722-461D-8C25-0BC4E93203D9}" type="TxLink">
            <a:rPr lang="en-US" sz="1000" b="1"/>
            <a:pPr algn="ctr"/>
            <a:t>Not Used</a:t>
          </a:fld>
          <a:endParaRPr lang="en-US" sz="1000" b="1"/>
        </a:p>
      </xdr:txBody>
    </xdr:sp>
    <xdr:clientData/>
  </xdr:twoCellAnchor>
  <xdr:twoCellAnchor editAs="absolute">
    <xdr:from>
      <xdr:col>10</xdr:col>
      <xdr:colOff>247649</xdr:colOff>
      <xdr:row>0</xdr:row>
      <xdr:rowOff>66675</xdr:rowOff>
    </xdr:from>
    <xdr:to>
      <xdr:col>10</xdr:col>
      <xdr:colOff>1704974</xdr:colOff>
      <xdr:row>0</xdr:row>
      <xdr:rowOff>342900</xdr:rowOff>
    </xdr:to>
    <xdr:sp macro="" textlink="Titles!B17">
      <xdr:nvSpPr>
        <xdr:cNvPr id="8" name="Round Same Side Corner Rectangle 8">
          <a:hlinkClick xmlns:r="http://schemas.openxmlformats.org/officeDocument/2006/relationships" r:id="rId3" tooltip="Click"/>
        </xdr:cNvPr>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9E012C39-270E-4576-ABD2-A8F07480C976}"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3</xdr:col>
      <xdr:colOff>342900</xdr:colOff>
      <xdr:row>1</xdr:row>
      <xdr:rowOff>304800</xdr:rowOff>
    </xdr:to>
    <xdr:sp macro="" textlink="">
      <xdr:nvSpPr>
        <xdr:cNvPr id="9" name="Rounded Rectangle 8">
          <a:hlinkClick xmlns:r="http://schemas.openxmlformats.org/officeDocument/2006/relationships" r:id="rId4"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10</xdr:col>
      <xdr:colOff>1647825</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n/a.</a:t>
          </a:r>
          <a:endParaRPr lang="en-US"/>
        </a:p>
      </xdr:txBody>
    </xdr:sp>
    <xdr:clientData/>
  </xdr:twoCellAnchor>
  <xdr:twoCellAnchor editAs="absolute">
    <xdr:from>
      <xdr:col>4</xdr:col>
      <xdr:colOff>38100</xdr:colOff>
      <xdr:row>0</xdr:row>
      <xdr:rowOff>303787</xdr:rowOff>
    </xdr:from>
    <xdr:to>
      <xdr:col>10</xdr:col>
      <xdr:colOff>257175</xdr:colOff>
      <xdr:row>1</xdr:row>
      <xdr:rowOff>284623</xdr:rowOff>
    </xdr:to>
    <xdr:sp macro="" textlink="Titles!F5">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701C9059-1E76-4C34-96E9-5A4AB1CA479C}" type="TxLink">
            <a:rPr lang="en-US" sz="1600" b="1" i="1" u="none"/>
            <a:pPr algn="ctr"/>
            <a:t>Energy Efficiency Arkansas - 2016 Program Year Evaluation</a:t>
          </a:fld>
          <a:endParaRPr lang="en-US" sz="1600" b="1" i="1" u="none"/>
        </a:p>
      </xdr:txBody>
    </xdr:sp>
    <xdr:clientData/>
  </xdr:twoCellAnchor>
  <xdr:twoCellAnchor editAs="absolute">
    <xdr:from>
      <xdr:col>4</xdr:col>
      <xdr:colOff>733425</xdr:colOff>
      <xdr:row>1</xdr:row>
      <xdr:rowOff>142875</xdr:rowOff>
    </xdr:from>
    <xdr:to>
      <xdr:col>9</xdr:col>
      <xdr:colOff>171449</xdr:colOff>
      <xdr:row>1</xdr:row>
      <xdr:rowOff>423080</xdr:rowOff>
    </xdr:to>
    <xdr:sp macro="" textlink="Titles!B14">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0A912E07-EF22-41E0-81CB-B9EBAD0E678F}" type="TxLink">
            <a:rPr lang="en-US" sz="1200" b="0"/>
            <a:pPr algn="ctr"/>
            <a:t>Not Used</a:t>
          </a:fld>
          <a:endParaRPr lang="en-US" sz="1200" b="0"/>
        </a:p>
      </xdr:txBody>
    </xdr:sp>
    <xdr:clientData/>
  </xdr:twoCellAnchor>
  <xdr:twoCellAnchor editAs="absolute">
    <xdr:from>
      <xdr:col>10</xdr:col>
      <xdr:colOff>314325</xdr:colOff>
      <xdr:row>1</xdr:row>
      <xdr:rowOff>95250</xdr:rowOff>
    </xdr:from>
    <xdr:to>
      <xdr:col>10</xdr:col>
      <xdr:colOff>954405</xdr:colOff>
      <xdr:row>1</xdr:row>
      <xdr:rowOff>323850</xdr:rowOff>
    </xdr:to>
    <xdr:sp macro="" textlink="">
      <xdr:nvSpPr>
        <xdr:cNvPr id="13" name="Rounded Rectangle 12">
          <a:hlinkClick xmlns:r="http://schemas.openxmlformats.org/officeDocument/2006/relationships" r:id="rId4"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10</xdr:col>
      <xdr:colOff>1000125</xdr:colOff>
      <xdr:row>1</xdr:row>
      <xdr:rowOff>95250</xdr:rowOff>
    </xdr:from>
    <xdr:to>
      <xdr:col>10</xdr:col>
      <xdr:colOff>1640205</xdr:colOff>
      <xdr:row>1</xdr:row>
      <xdr:rowOff>323850</xdr:rowOff>
    </xdr:to>
    <xdr:sp macro="" textlink="">
      <xdr:nvSpPr>
        <xdr:cNvPr id="14" name="Rounded Rectangle 13">
          <a:hlinkClick xmlns:r="http://schemas.openxmlformats.org/officeDocument/2006/relationships" r:id="rId1"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11</xdr:col>
      <xdr:colOff>209550</xdr:colOff>
      <xdr:row>1</xdr:row>
      <xdr:rowOff>409575</xdr:rowOff>
    </xdr:to>
    <xdr:sp macro="" textlink="">
      <xdr:nvSpPr>
        <xdr:cNvPr id="483281"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12">
      <xdr:nvSpPr>
        <xdr:cNvPr id="3" name="Round Same Side Corner Rectangle 2">
          <a:hlinkClick xmlns:r="http://schemas.openxmlformats.org/officeDocument/2006/relationships" r:id="rId1" tooltip="Click"/>
        </xdr:cNvPr>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047BB54C-632B-4DCB-8884-F6E24EC01082}" type="TxLink">
            <a:rPr lang="en-US" sz="1000" b="1">
              <a:solidFill>
                <a:schemeClr val="lt1"/>
              </a:solidFill>
              <a:latin typeface="+mn-lt"/>
              <a:ea typeface="+mn-ea"/>
              <a:cs typeface="+mn-cs"/>
            </a:rPr>
            <a:pPr marL="0" indent="0" algn="ctr"/>
            <a:t>Actual Expenses</a:t>
          </a:fld>
          <a:endParaRPr lang="en-US" sz="1000" b="1">
            <a:solidFill>
              <a:schemeClr val="lt1"/>
            </a:solidFill>
            <a:latin typeface="+mn-lt"/>
            <a:ea typeface="+mn-ea"/>
            <a:cs typeface="+mn-cs"/>
          </a:endParaRPr>
        </a:p>
      </xdr:txBody>
    </xdr:sp>
    <xdr:clientData/>
  </xdr:twoCellAnchor>
  <xdr:twoCellAnchor editAs="absolute">
    <xdr:from>
      <xdr:col>2</xdr:col>
      <xdr:colOff>1247775</xdr:colOff>
      <xdr:row>0</xdr:row>
      <xdr:rowOff>66675</xdr:rowOff>
    </xdr:from>
    <xdr:to>
      <xdr:col>3</xdr:col>
      <xdr:colOff>320040</xdr:colOff>
      <xdr:row>0</xdr:row>
      <xdr:rowOff>340995</xdr:rowOff>
    </xdr:to>
    <xdr:sp macro="" textlink="Titles!B13">
      <xdr:nvSpPr>
        <xdr:cNvPr id="4" name="Round Same Side Corner Rectangle 3">
          <a:hlinkClick xmlns:r="http://schemas.openxmlformats.org/officeDocument/2006/relationships" r:id="rId2"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3B07A030-43D1-40D5-AD2E-88AC30579CBA}" type="TxLink">
            <a:rPr lang="en-US" sz="1000" b="1"/>
            <a:pPr algn="ctr"/>
            <a:t>Evaluated Savings</a:t>
          </a:fld>
          <a:endParaRPr lang="en-US" sz="1000" b="1"/>
        </a:p>
      </xdr:txBody>
    </xdr:sp>
    <xdr:clientData/>
  </xdr:twoCellAnchor>
  <xdr:twoCellAnchor editAs="absolute">
    <xdr:from>
      <xdr:col>3</xdr:col>
      <xdr:colOff>333375</xdr:colOff>
      <xdr:row>0</xdr:row>
      <xdr:rowOff>66675</xdr:rowOff>
    </xdr:from>
    <xdr:to>
      <xdr:col>5</xdr:col>
      <xdr:colOff>377190</xdr:colOff>
      <xdr:row>0</xdr:row>
      <xdr:rowOff>340995</xdr:rowOff>
    </xdr:to>
    <xdr:sp macro="" textlink="Titles!B14">
      <xdr:nvSpPr>
        <xdr:cNvPr id="5" name="Round Same Side Corner Rectangle 4">
          <a:hlinkClick xmlns:r="http://schemas.openxmlformats.org/officeDocument/2006/relationships" r:id="rId3" tooltip="Click"/>
        </xdr:cNvPr>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F52EC59B-02D4-4B4B-A4BE-D392312D4F17}" type="TxLink">
            <a:rPr lang="en-US" sz="1000" b="1"/>
            <a:pPr algn="ctr"/>
            <a:t>Not Used</a:t>
          </a:fld>
          <a:endParaRPr lang="en-US" sz="1000" b="1"/>
        </a:p>
      </xdr:txBody>
    </xdr:sp>
    <xdr:clientData/>
  </xdr:twoCellAnchor>
  <xdr:twoCellAnchor editAs="absolute">
    <xdr:from>
      <xdr:col>5</xdr:col>
      <xdr:colOff>400050</xdr:colOff>
      <xdr:row>0</xdr:row>
      <xdr:rowOff>66675</xdr:rowOff>
    </xdr:from>
    <xdr:to>
      <xdr:col>7</xdr:col>
      <xdr:colOff>262890</xdr:colOff>
      <xdr:row>0</xdr:row>
      <xdr:rowOff>340995</xdr:rowOff>
    </xdr:to>
    <xdr:sp macro="" textlink="Titles!B15">
      <xdr:nvSpPr>
        <xdr:cNvPr id="6" name="Round Same Side Corner Rectangle 5"/>
        <xdr:cNvSpPr/>
      </xdr:nvSpPr>
      <xdr:spPr>
        <a:xfrm>
          <a:off x="4524375" y="66675"/>
          <a:ext cx="146304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3CC0B31F-DE6C-46D6-86CE-78FE89313505}" type="TxLink">
            <a:rPr lang="en-US" sz="1000" b="1">
              <a:solidFill>
                <a:sysClr val="windowText" lastClr="000000"/>
              </a:solidFill>
              <a:latin typeface="+mn-lt"/>
              <a:ea typeface="+mn-ea"/>
              <a:cs typeface="+mn-cs"/>
            </a:rPr>
            <a:pPr marL="0" indent="0" algn="ctr"/>
            <a:t>Not Used</a:t>
          </a:fld>
          <a:endParaRPr lang="en-US" sz="1000" b="1">
            <a:solidFill>
              <a:sysClr val="windowText" lastClr="000000"/>
            </a:solidFill>
            <a:latin typeface="+mn-lt"/>
            <a:ea typeface="+mn-ea"/>
            <a:cs typeface="+mn-cs"/>
          </a:endParaRPr>
        </a:p>
      </xdr:txBody>
    </xdr:sp>
    <xdr:clientData/>
  </xdr:twoCellAnchor>
  <xdr:twoCellAnchor editAs="absolute">
    <xdr:from>
      <xdr:col>7</xdr:col>
      <xdr:colOff>276225</xdr:colOff>
      <xdr:row>0</xdr:row>
      <xdr:rowOff>66675</xdr:rowOff>
    </xdr:from>
    <xdr:to>
      <xdr:col>9</xdr:col>
      <xdr:colOff>253365</xdr:colOff>
      <xdr:row>0</xdr:row>
      <xdr:rowOff>340995</xdr:rowOff>
    </xdr:to>
    <xdr:sp macro="" textlink="Titles!B16">
      <xdr:nvSpPr>
        <xdr:cNvPr id="7" name="Round Same Side Corner Rectangle 6">
          <a:hlinkClick xmlns:r="http://schemas.openxmlformats.org/officeDocument/2006/relationships" r:id="rId4" tooltip="Click"/>
        </xdr:cNvPr>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DE0E1350-B4C9-4DCE-ABE2-B6FD127AB6B2}" type="TxLink">
            <a:rPr lang="en-US" sz="1000" b="1"/>
            <a:pPr algn="ctr"/>
            <a:t>Not Used</a:t>
          </a:fld>
          <a:endParaRPr lang="en-US" sz="1000" b="1"/>
        </a:p>
      </xdr:txBody>
    </xdr:sp>
    <xdr:clientData/>
  </xdr:twoCellAnchor>
  <xdr:twoCellAnchor editAs="absolute">
    <xdr:from>
      <xdr:col>9</xdr:col>
      <xdr:colOff>266699</xdr:colOff>
      <xdr:row>0</xdr:row>
      <xdr:rowOff>66675</xdr:rowOff>
    </xdr:from>
    <xdr:to>
      <xdr:col>11</xdr:col>
      <xdr:colOff>209549</xdr:colOff>
      <xdr:row>0</xdr:row>
      <xdr:rowOff>342900</xdr:rowOff>
    </xdr:to>
    <xdr:sp macro="" textlink="Titles!B17">
      <xdr:nvSpPr>
        <xdr:cNvPr id="8" name="Round Same Side Corner Rectangle 8">
          <a:hlinkClick xmlns:r="http://schemas.openxmlformats.org/officeDocument/2006/relationships" r:id="rId5" tooltip="Click"/>
        </xdr:cNvPr>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21307ED3-0687-4630-9FC7-CC067157417D}"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6"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11</xdr:col>
      <xdr:colOff>152400</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n/a.</a:t>
          </a:r>
          <a:endParaRPr lang="en-US"/>
        </a:p>
      </xdr:txBody>
    </xdr:sp>
    <xdr:clientData/>
  </xdr:twoCellAnchor>
  <xdr:twoCellAnchor editAs="absolute">
    <xdr:from>
      <xdr:col>2</xdr:col>
      <xdr:colOff>1228725</xdr:colOff>
      <xdr:row>0</xdr:row>
      <xdr:rowOff>303787</xdr:rowOff>
    </xdr:from>
    <xdr:to>
      <xdr:col>9</xdr:col>
      <xdr:colOff>276225</xdr:colOff>
      <xdr:row>1</xdr:row>
      <xdr:rowOff>284623</xdr:rowOff>
    </xdr:to>
    <xdr:sp macro="" textlink="Titles!F5">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0218EA9D-D9A9-44C1-8F29-56C2CE9B5E70}" type="TxLink">
            <a:rPr lang="en-US" sz="1600" b="1" i="1" u="none"/>
            <a:pPr algn="ctr"/>
            <a:t>Energy Efficiency Arkansas - 2016 Program Year Evaluation</a:t>
          </a:fld>
          <a:endParaRPr lang="en-US" sz="1600" b="1" i="1" u="none"/>
        </a:p>
      </xdr:txBody>
    </xdr:sp>
    <xdr:clientData/>
  </xdr:twoCellAnchor>
  <xdr:twoCellAnchor editAs="absolute">
    <xdr:from>
      <xdr:col>2</xdr:col>
      <xdr:colOff>1924050</xdr:colOff>
      <xdr:row>1</xdr:row>
      <xdr:rowOff>142875</xdr:rowOff>
    </xdr:from>
    <xdr:to>
      <xdr:col>8</xdr:col>
      <xdr:colOff>323849</xdr:colOff>
      <xdr:row>1</xdr:row>
      <xdr:rowOff>423080</xdr:rowOff>
    </xdr:to>
    <xdr:sp macro="" textlink="Titles!B15">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C234F833-5980-4146-BDEF-7F57D1C10467}" type="TxLink">
            <a:rPr lang="en-US" sz="1200" b="0"/>
            <a:pPr algn="ctr"/>
            <a:t>Not Used</a:t>
          </a:fld>
          <a:endParaRPr lang="en-US" sz="1200" b="0"/>
        </a:p>
      </xdr:txBody>
    </xdr:sp>
    <xdr:clientData/>
  </xdr:twoCellAnchor>
  <xdr:twoCellAnchor editAs="absolute">
    <xdr:from>
      <xdr:col>9</xdr:col>
      <xdr:colOff>333375</xdr:colOff>
      <xdr:row>1</xdr:row>
      <xdr:rowOff>95250</xdr:rowOff>
    </xdr:from>
    <xdr:to>
      <xdr:col>10</xdr:col>
      <xdr:colOff>373380</xdr:colOff>
      <xdr:row>1</xdr:row>
      <xdr:rowOff>323850</xdr:rowOff>
    </xdr:to>
    <xdr:sp macro="" textlink="">
      <xdr:nvSpPr>
        <xdr:cNvPr id="13" name="Rounded Rectangle 12">
          <a:hlinkClick xmlns:r="http://schemas.openxmlformats.org/officeDocument/2006/relationships" r:id="rId3"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10</xdr:col>
      <xdr:colOff>419100</xdr:colOff>
      <xdr:row>1</xdr:row>
      <xdr:rowOff>95250</xdr:rowOff>
    </xdr:from>
    <xdr:to>
      <xdr:col>11</xdr:col>
      <xdr:colOff>144780</xdr:colOff>
      <xdr:row>1</xdr:row>
      <xdr:rowOff>323850</xdr:rowOff>
    </xdr:to>
    <xdr:sp macro="" textlink="">
      <xdr:nvSpPr>
        <xdr:cNvPr id="14" name="Rounded Rectangle 13">
          <a:hlinkClick xmlns:r="http://schemas.openxmlformats.org/officeDocument/2006/relationships" r:id="rId4"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12</xdr:col>
      <xdr:colOff>0</xdr:colOff>
      <xdr:row>1</xdr:row>
      <xdr:rowOff>409575</xdr:rowOff>
    </xdr:to>
    <xdr:sp macro="" textlink="">
      <xdr:nvSpPr>
        <xdr:cNvPr id="553743"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12">
      <xdr:nvSpPr>
        <xdr:cNvPr id="3" name="Round Same Side Corner Rectangle 2">
          <a:hlinkClick xmlns:r="http://schemas.openxmlformats.org/officeDocument/2006/relationships" r:id="rId1" tooltip="Click"/>
        </xdr:cNvPr>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9DDD2F1C-2646-42E7-98ED-9BE9CF57AA44}" type="TxLink">
            <a:rPr lang="en-US" sz="1000" b="1">
              <a:solidFill>
                <a:schemeClr val="lt1"/>
              </a:solidFill>
              <a:latin typeface="+mn-lt"/>
              <a:ea typeface="+mn-ea"/>
              <a:cs typeface="+mn-cs"/>
            </a:rPr>
            <a:pPr marL="0" indent="0" algn="ctr"/>
            <a:t>Actual Expenses</a:t>
          </a:fld>
          <a:endParaRPr lang="en-US" sz="1000" b="1">
            <a:solidFill>
              <a:schemeClr val="lt1"/>
            </a:solidFill>
            <a:latin typeface="+mn-lt"/>
            <a:ea typeface="+mn-ea"/>
            <a:cs typeface="+mn-cs"/>
          </a:endParaRPr>
        </a:p>
      </xdr:txBody>
    </xdr:sp>
    <xdr:clientData/>
  </xdr:twoCellAnchor>
  <xdr:twoCellAnchor editAs="absolute">
    <xdr:from>
      <xdr:col>2</xdr:col>
      <xdr:colOff>1247775</xdr:colOff>
      <xdr:row>0</xdr:row>
      <xdr:rowOff>66675</xdr:rowOff>
    </xdr:from>
    <xdr:to>
      <xdr:col>3</xdr:col>
      <xdr:colOff>320040</xdr:colOff>
      <xdr:row>0</xdr:row>
      <xdr:rowOff>340995</xdr:rowOff>
    </xdr:to>
    <xdr:sp macro="" textlink="Titles!B13">
      <xdr:nvSpPr>
        <xdr:cNvPr id="4" name="Round Same Side Corner Rectangle 3">
          <a:hlinkClick xmlns:r="http://schemas.openxmlformats.org/officeDocument/2006/relationships" r:id="rId2"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3D8E97F1-4AC1-4434-98B6-434D82B5B2D7}" type="TxLink">
            <a:rPr lang="en-US" sz="1000" b="1"/>
            <a:pPr algn="ctr"/>
            <a:t>Evaluated Savings</a:t>
          </a:fld>
          <a:endParaRPr lang="en-US" sz="1000" b="1"/>
        </a:p>
      </xdr:txBody>
    </xdr:sp>
    <xdr:clientData/>
  </xdr:twoCellAnchor>
  <xdr:twoCellAnchor editAs="absolute">
    <xdr:from>
      <xdr:col>3</xdr:col>
      <xdr:colOff>333375</xdr:colOff>
      <xdr:row>0</xdr:row>
      <xdr:rowOff>66675</xdr:rowOff>
    </xdr:from>
    <xdr:to>
      <xdr:col>5</xdr:col>
      <xdr:colOff>177165</xdr:colOff>
      <xdr:row>0</xdr:row>
      <xdr:rowOff>340995</xdr:rowOff>
    </xdr:to>
    <xdr:sp macro="" textlink="Titles!B14">
      <xdr:nvSpPr>
        <xdr:cNvPr id="5" name="Round Same Side Corner Rectangle 4">
          <a:hlinkClick xmlns:r="http://schemas.openxmlformats.org/officeDocument/2006/relationships" r:id="rId3" tooltip="Click"/>
        </xdr:cNvPr>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E97A3C32-E18C-4DC4-AF48-467BCC88552A}" type="TxLink">
            <a:rPr lang="en-US" sz="1000" b="1"/>
            <a:pPr algn="ctr"/>
            <a:t>Not Used</a:t>
          </a:fld>
          <a:endParaRPr lang="en-US" sz="1000" b="1"/>
        </a:p>
      </xdr:txBody>
    </xdr:sp>
    <xdr:clientData/>
  </xdr:twoCellAnchor>
  <xdr:twoCellAnchor editAs="absolute">
    <xdr:from>
      <xdr:col>5</xdr:col>
      <xdr:colOff>200025</xdr:colOff>
      <xdr:row>0</xdr:row>
      <xdr:rowOff>66675</xdr:rowOff>
    </xdr:from>
    <xdr:to>
      <xdr:col>7</xdr:col>
      <xdr:colOff>186690</xdr:colOff>
      <xdr:row>0</xdr:row>
      <xdr:rowOff>340995</xdr:rowOff>
    </xdr:to>
    <xdr:sp macro="" textlink="Titles!B15">
      <xdr:nvSpPr>
        <xdr:cNvPr id="6" name="Round Same Side Corner Rectangle 5">
          <a:hlinkClick xmlns:r="http://schemas.openxmlformats.org/officeDocument/2006/relationships" r:id="rId4" tooltip="Click"/>
        </xdr:cNvPr>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0A43013A-4772-4437-BBF8-DAC888F9A7E7}" type="TxLink">
            <a:rPr lang="en-US" sz="1000" b="1"/>
            <a:pPr algn="ctr"/>
            <a:t>Not Used</a:t>
          </a:fld>
          <a:endParaRPr lang="en-US" sz="1000" b="1"/>
        </a:p>
      </xdr:txBody>
    </xdr:sp>
    <xdr:clientData/>
  </xdr:twoCellAnchor>
  <xdr:twoCellAnchor editAs="absolute">
    <xdr:from>
      <xdr:col>7</xdr:col>
      <xdr:colOff>200025</xdr:colOff>
      <xdr:row>0</xdr:row>
      <xdr:rowOff>66675</xdr:rowOff>
    </xdr:from>
    <xdr:to>
      <xdr:col>9</xdr:col>
      <xdr:colOff>43815</xdr:colOff>
      <xdr:row>0</xdr:row>
      <xdr:rowOff>340995</xdr:rowOff>
    </xdr:to>
    <xdr:sp macro="" textlink="Titles!B16">
      <xdr:nvSpPr>
        <xdr:cNvPr id="7" name="Round Same Side Corner Rectangle 6"/>
        <xdr:cNvSpPr/>
      </xdr:nvSpPr>
      <xdr:spPr>
        <a:xfrm>
          <a:off x="6000750" y="66675"/>
          <a:ext cx="146304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48F7E82F-9640-4D60-B6D1-360F4A8FD21C}" type="TxLink">
            <a:rPr lang="en-US" sz="1000" b="1">
              <a:solidFill>
                <a:sysClr val="windowText" lastClr="000000"/>
              </a:solidFill>
              <a:latin typeface="+mn-lt"/>
              <a:ea typeface="+mn-ea"/>
              <a:cs typeface="+mn-cs"/>
            </a:rPr>
            <a:pPr marL="0" indent="0" algn="ctr"/>
            <a:t>Not Used</a:t>
          </a:fld>
          <a:endParaRPr lang="en-US" sz="1000" b="1">
            <a:solidFill>
              <a:sysClr val="windowText" lastClr="000000"/>
            </a:solidFill>
            <a:latin typeface="+mn-lt"/>
            <a:ea typeface="+mn-ea"/>
            <a:cs typeface="+mn-cs"/>
          </a:endParaRPr>
        </a:p>
      </xdr:txBody>
    </xdr:sp>
    <xdr:clientData/>
  </xdr:twoCellAnchor>
  <xdr:twoCellAnchor editAs="absolute">
    <xdr:from>
      <xdr:col>9</xdr:col>
      <xdr:colOff>57149</xdr:colOff>
      <xdr:row>0</xdr:row>
      <xdr:rowOff>66675</xdr:rowOff>
    </xdr:from>
    <xdr:to>
      <xdr:col>11</xdr:col>
      <xdr:colOff>590549</xdr:colOff>
      <xdr:row>0</xdr:row>
      <xdr:rowOff>342900</xdr:rowOff>
    </xdr:to>
    <xdr:sp macro="" textlink="Titles!B17">
      <xdr:nvSpPr>
        <xdr:cNvPr id="8" name="Round Same Side Corner Rectangle 8">
          <a:hlinkClick xmlns:r="http://schemas.openxmlformats.org/officeDocument/2006/relationships" r:id="rId5" tooltip="Click"/>
        </xdr:cNvPr>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4042FD29-A997-447B-91AD-A94F5021D0B1}"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6"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11</xdr:col>
      <xdr:colOff>533400</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n/a.</a:t>
          </a:r>
          <a:endParaRPr lang="en-US"/>
        </a:p>
      </xdr:txBody>
    </xdr:sp>
    <xdr:clientData/>
  </xdr:twoCellAnchor>
  <xdr:twoCellAnchor editAs="absolute">
    <xdr:from>
      <xdr:col>2</xdr:col>
      <xdr:colOff>1228725</xdr:colOff>
      <xdr:row>0</xdr:row>
      <xdr:rowOff>303787</xdr:rowOff>
    </xdr:from>
    <xdr:to>
      <xdr:col>9</xdr:col>
      <xdr:colOff>66675</xdr:colOff>
      <xdr:row>1</xdr:row>
      <xdr:rowOff>284623</xdr:rowOff>
    </xdr:to>
    <xdr:sp macro="" textlink="Titles!F5">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DBDEEA5C-CE25-4311-A4A0-E0170DA00D84}" type="TxLink">
            <a:rPr lang="en-US" sz="1600" b="1" i="1" u="none"/>
            <a:pPr algn="ctr"/>
            <a:t>Energy Efficiency Arkansas - 2016 Program Year Evaluation</a:t>
          </a:fld>
          <a:endParaRPr lang="en-US" sz="1600" b="1" i="1" u="none"/>
        </a:p>
      </xdr:txBody>
    </xdr:sp>
    <xdr:clientData/>
  </xdr:twoCellAnchor>
  <xdr:twoCellAnchor editAs="absolute">
    <xdr:from>
      <xdr:col>2</xdr:col>
      <xdr:colOff>1924050</xdr:colOff>
      <xdr:row>1</xdr:row>
      <xdr:rowOff>142875</xdr:rowOff>
    </xdr:from>
    <xdr:to>
      <xdr:col>8</xdr:col>
      <xdr:colOff>180974</xdr:colOff>
      <xdr:row>1</xdr:row>
      <xdr:rowOff>423080</xdr:rowOff>
    </xdr:to>
    <xdr:sp macro="" textlink="Titles!B16">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F16729FA-AE90-410E-AE65-B99CD4A53338}" type="TxLink">
            <a:rPr lang="en-US" sz="1200" b="0"/>
            <a:pPr algn="ctr"/>
            <a:t>Not Used</a:t>
          </a:fld>
          <a:endParaRPr lang="en-US" sz="1200" b="0"/>
        </a:p>
      </xdr:txBody>
    </xdr:sp>
    <xdr:clientData/>
  </xdr:twoCellAnchor>
  <xdr:twoCellAnchor editAs="absolute">
    <xdr:from>
      <xdr:col>9</xdr:col>
      <xdr:colOff>123825</xdr:colOff>
      <xdr:row>1</xdr:row>
      <xdr:rowOff>95250</xdr:rowOff>
    </xdr:from>
    <xdr:to>
      <xdr:col>9</xdr:col>
      <xdr:colOff>763905</xdr:colOff>
      <xdr:row>1</xdr:row>
      <xdr:rowOff>323850</xdr:rowOff>
    </xdr:to>
    <xdr:sp macro="" textlink="">
      <xdr:nvSpPr>
        <xdr:cNvPr id="13" name="Rounded Rectangle 12">
          <a:hlinkClick xmlns:r="http://schemas.openxmlformats.org/officeDocument/2006/relationships" r:id="rId4"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10</xdr:col>
      <xdr:colOff>0</xdr:colOff>
      <xdr:row>1</xdr:row>
      <xdr:rowOff>95250</xdr:rowOff>
    </xdr:from>
    <xdr:to>
      <xdr:col>11</xdr:col>
      <xdr:colOff>525780</xdr:colOff>
      <xdr:row>1</xdr:row>
      <xdr:rowOff>323850</xdr:rowOff>
    </xdr:to>
    <xdr:sp macro="" textlink="">
      <xdr:nvSpPr>
        <xdr:cNvPr id="14" name="Rounded Rectangle 13">
          <a:hlinkClick xmlns:r="http://schemas.openxmlformats.org/officeDocument/2006/relationships" r:id="rId5"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4</xdr:col>
      <xdr:colOff>9525</xdr:colOff>
      <xdr:row>0</xdr:row>
      <xdr:rowOff>476250</xdr:rowOff>
    </xdr:to>
    <xdr:sp macro="" textlink="">
      <xdr:nvSpPr>
        <xdr:cNvPr id="242359" name="Rectangle 365"/>
        <xdr:cNvSpPr>
          <a:spLocks noChangeArrowheads="1"/>
        </xdr:cNvSpPr>
      </xdr:nvSpPr>
      <xdr:spPr bwMode="auto">
        <a:xfrm>
          <a:off x="76200" y="66675"/>
          <a:ext cx="8867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2</xdr:col>
      <xdr:colOff>619125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2</xdr:col>
      <xdr:colOff>1181101</xdr:colOff>
      <xdr:row>0</xdr:row>
      <xdr:rowOff>94237</xdr:rowOff>
    </xdr:from>
    <xdr:to>
      <xdr:col>2</xdr:col>
      <xdr:colOff>7010400</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Instructions</a:t>
          </a:r>
        </a:p>
      </xdr:txBody>
    </xdr:sp>
    <xdr:clientData/>
  </xdr:twoCellAnchor>
  <xdr:twoCellAnchor editAs="absolute">
    <xdr:from>
      <xdr:col>2</xdr:col>
      <xdr:colOff>5295900</xdr:colOff>
      <xdr:row>19</xdr:row>
      <xdr:rowOff>133350</xdr:rowOff>
    </xdr:from>
    <xdr:to>
      <xdr:col>2</xdr:col>
      <xdr:colOff>6296025</xdr:colOff>
      <xdr:row>21</xdr:row>
      <xdr:rowOff>38100</xdr:rowOff>
    </xdr:to>
    <xdr:sp macro="" textlink="">
      <xdr:nvSpPr>
        <xdr:cNvPr id="6" name="Rounded Rectangle 5">
          <a:hlinkClick xmlns:r="http://schemas.openxmlformats.org/officeDocument/2006/relationships" r:id="rId2" tooltip="Click"/>
        </xdr:cNvPr>
        <xdr:cNvSpPr/>
      </xdr:nvSpPr>
      <xdr:spPr>
        <a:xfrm>
          <a:off x="5819775" y="49911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List</a:t>
          </a:r>
        </a:p>
      </xdr:txBody>
    </xdr:sp>
    <xdr:clientData/>
  </xdr:twoCellAnchor>
  <xdr:twoCellAnchor editAs="absolute">
    <xdr:from>
      <xdr:col>2</xdr:col>
      <xdr:colOff>3314700</xdr:colOff>
      <xdr:row>29</xdr:row>
      <xdr:rowOff>142875</xdr:rowOff>
    </xdr:from>
    <xdr:to>
      <xdr:col>2</xdr:col>
      <xdr:colOff>4314825</xdr:colOff>
      <xdr:row>31</xdr:row>
      <xdr:rowOff>47625</xdr:rowOff>
    </xdr:to>
    <xdr:sp macro="" textlink="">
      <xdr:nvSpPr>
        <xdr:cNvPr id="7" name="Rounded Rectangle 6">
          <a:hlinkClick xmlns:r="http://schemas.openxmlformats.org/officeDocument/2006/relationships" r:id="rId3" tooltip="Click"/>
        </xdr:cNvPr>
        <xdr:cNvSpPr/>
      </xdr:nvSpPr>
      <xdr:spPr>
        <a:xfrm>
          <a:off x="3838575" y="6619875"/>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Cost</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11</xdr:col>
      <xdr:colOff>66675</xdr:colOff>
      <xdr:row>1</xdr:row>
      <xdr:rowOff>409575</xdr:rowOff>
    </xdr:to>
    <xdr:sp macro="" textlink="">
      <xdr:nvSpPr>
        <xdr:cNvPr id="554767"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12">
      <xdr:nvSpPr>
        <xdr:cNvPr id="3" name="Round Same Side Corner Rectangle 2">
          <a:hlinkClick xmlns:r="http://schemas.openxmlformats.org/officeDocument/2006/relationships" r:id="rId1" tooltip="Click"/>
        </xdr:cNvPr>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91206EBC-34B6-41F0-9747-ADD40519B717}" type="TxLink">
            <a:rPr lang="en-US" sz="1000" b="1">
              <a:solidFill>
                <a:schemeClr val="lt1"/>
              </a:solidFill>
              <a:latin typeface="+mn-lt"/>
              <a:ea typeface="+mn-ea"/>
              <a:cs typeface="+mn-cs"/>
            </a:rPr>
            <a:pPr marL="0" indent="0" algn="ctr"/>
            <a:t>Actual Expenses</a:t>
          </a:fld>
          <a:endParaRPr lang="en-US" sz="1000" b="1">
            <a:solidFill>
              <a:schemeClr val="lt1"/>
            </a:solidFill>
            <a:latin typeface="+mn-lt"/>
            <a:ea typeface="+mn-ea"/>
            <a:cs typeface="+mn-cs"/>
          </a:endParaRPr>
        </a:p>
      </xdr:txBody>
    </xdr:sp>
    <xdr:clientData/>
  </xdr:twoCellAnchor>
  <xdr:twoCellAnchor editAs="absolute">
    <xdr:from>
      <xdr:col>2</xdr:col>
      <xdr:colOff>1247775</xdr:colOff>
      <xdr:row>0</xdr:row>
      <xdr:rowOff>66675</xdr:rowOff>
    </xdr:from>
    <xdr:to>
      <xdr:col>3</xdr:col>
      <xdr:colOff>805815</xdr:colOff>
      <xdr:row>0</xdr:row>
      <xdr:rowOff>340995</xdr:rowOff>
    </xdr:to>
    <xdr:sp macro="" textlink="Titles!B13">
      <xdr:nvSpPr>
        <xdr:cNvPr id="4" name="Round Same Side Corner Rectangle 3">
          <a:hlinkClick xmlns:r="http://schemas.openxmlformats.org/officeDocument/2006/relationships" r:id="rId2"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AC4B8BC0-18A5-4183-81A9-498168B8F69B}" type="TxLink">
            <a:rPr lang="en-US" sz="1000" b="1"/>
            <a:pPr algn="ctr"/>
            <a:t>Evaluated Savings</a:t>
          </a:fld>
          <a:endParaRPr lang="en-US" sz="1000" b="1"/>
        </a:p>
      </xdr:txBody>
    </xdr:sp>
    <xdr:clientData/>
  </xdr:twoCellAnchor>
  <xdr:twoCellAnchor editAs="absolute">
    <xdr:from>
      <xdr:col>4</xdr:col>
      <xdr:colOff>9525</xdr:colOff>
      <xdr:row>0</xdr:row>
      <xdr:rowOff>66675</xdr:rowOff>
    </xdr:from>
    <xdr:to>
      <xdr:col>5</xdr:col>
      <xdr:colOff>662940</xdr:colOff>
      <xdr:row>0</xdr:row>
      <xdr:rowOff>340995</xdr:rowOff>
    </xdr:to>
    <xdr:sp macro="" textlink="Titles!B14">
      <xdr:nvSpPr>
        <xdr:cNvPr id="5" name="Round Same Side Corner Rectangle 4">
          <a:hlinkClick xmlns:r="http://schemas.openxmlformats.org/officeDocument/2006/relationships" r:id="rId3" tooltip="Click"/>
        </xdr:cNvPr>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4879B02F-504D-4C76-9238-5B55F61010CF}" type="TxLink">
            <a:rPr lang="en-US" sz="1000" b="1"/>
            <a:pPr algn="ctr"/>
            <a:t>Not Used</a:t>
          </a:fld>
          <a:endParaRPr lang="en-US" sz="1000" b="1"/>
        </a:p>
      </xdr:txBody>
    </xdr:sp>
    <xdr:clientData/>
  </xdr:twoCellAnchor>
  <xdr:twoCellAnchor editAs="absolute">
    <xdr:from>
      <xdr:col>5</xdr:col>
      <xdr:colOff>685800</xdr:colOff>
      <xdr:row>0</xdr:row>
      <xdr:rowOff>66675</xdr:rowOff>
    </xdr:from>
    <xdr:to>
      <xdr:col>7</xdr:col>
      <xdr:colOff>1082040</xdr:colOff>
      <xdr:row>0</xdr:row>
      <xdr:rowOff>340995</xdr:rowOff>
    </xdr:to>
    <xdr:sp macro="" textlink="Titles!B15">
      <xdr:nvSpPr>
        <xdr:cNvPr id="6" name="Round Same Side Corner Rectangle 5">
          <a:hlinkClick xmlns:r="http://schemas.openxmlformats.org/officeDocument/2006/relationships" r:id="rId4" tooltip="Click"/>
        </xdr:cNvPr>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E9E4AD0B-3150-4D81-8226-25B0AD77C081}" type="TxLink">
            <a:rPr lang="en-US" sz="1000" b="1"/>
            <a:pPr algn="ctr"/>
            <a:t>Not Used</a:t>
          </a:fld>
          <a:endParaRPr lang="en-US" sz="1000" b="1"/>
        </a:p>
      </xdr:txBody>
    </xdr:sp>
    <xdr:clientData/>
  </xdr:twoCellAnchor>
  <xdr:twoCellAnchor editAs="absolute">
    <xdr:from>
      <xdr:col>7</xdr:col>
      <xdr:colOff>1095375</xdr:colOff>
      <xdr:row>0</xdr:row>
      <xdr:rowOff>66675</xdr:rowOff>
    </xdr:from>
    <xdr:to>
      <xdr:col>9</xdr:col>
      <xdr:colOff>215265</xdr:colOff>
      <xdr:row>0</xdr:row>
      <xdr:rowOff>340995</xdr:rowOff>
    </xdr:to>
    <xdr:sp macro="" textlink="Titles!B16">
      <xdr:nvSpPr>
        <xdr:cNvPr id="7" name="Round Same Side Corner Rectangle 6">
          <a:hlinkClick xmlns:r="http://schemas.openxmlformats.org/officeDocument/2006/relationships" r:id="rId5" tooltip="Click"/>
        </xdr:cNvPr>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67EC6E48-3EB2-4199-8DE9-911F287DB0E6}" type="TxLink">
            <a:rPr lang="en-US" sz="1000" b="1"/>
            <a:pPr algn="ctr"/>
            <a:t>Not Used</a:t>
          </a:fld>
          <a:endParaRPr lang="en-US" sz="1000" b="1"/>
        </a:p>
      </xdr:txBody>
    </xdr:sp>
    <xdr:clientData/>
  </xdr:twoCellAnchor>
  <xdr:twoCellAnchor editAs="absolute">
    <xdr:from>
      <xdr:col>9</xdr:col>
      <xdr:colOff>228599</xdr:colOff>
      <xdr:row>0</xdr:row>
      <xdr:rowOff>66675</xdr:rowOff>
    </xdr:from>
    <xdr:to>
      <xdr:col>11</xdr:col>
      <xdr:colOff>66674</xdr:colOff>
      <xdr:row>0</xdr:row>
      <xdr:rowOff>342900</xdr:rowOff>
    </xdr:to>
    <xdr:sp macro="" textlink="Titles!B17">
      <xdr:nvSpPr>
        <xdr:cNvPr id="8" name="Round Same Side Corner Rectangle 8"/>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solidFill>
          <a:schemeClr val="tx2">
            <a:lumMod val="20000"/>
            <a:lumOff val="80000"/>
          </a:schemeClr>
        </a:solidFill>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375DBD5D-1A41-4B03-839F-E0F2BB23DCE4}" type="TxLink">
            <a:rPr lang="en-US" sz="1000" b="1">
              <a:solidFill>
                <a:sysClr val="windowText" lastClr="000000"/>
              </a:solidFill>
              <a:latin typeface="+mn-lt"/>
              <a:ea typeface="+mn-ea"/>
              <a:cs typeface="+mn-cs"/>
            </a:rPr>
            <a:pPr marL="0" indent="0" algn="ctr" rtl="0">
              <a:defRPr sz="1000"/>
            </a:pPr>
            <a:t>Not Used</a:t>
          </a:fld>
          <a:endParaRPr lang="en-US" sz="1000" b="1">
            <a:solidFill>
              <a:sysClr val="windowText" lastClr="000000"/>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6"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11</xdr:col>
      <xdr:colOff>9525</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n/a.</a:t>
          </a:r>
          <a:endParaRPr lang="en-US"/>
        </a:p>
      </xdr:txBody>
    </xdr:sp>
    <xdr:clientData/>
  </xdr:twoCellAnchor>
  <xdr:twoCellAnchor editAs="absolute">
    <xdr:from>
      <xdr:col>2</xdr:col>
      <xdr:colOff>1228725</xdr:colOff>
      <xdr:row>0</xdr:row>
      <xdr:rowOff>303787</xdr:rowOff>
    </xdr:from>
    <xdr:to>
      <xdr:col>9</xdr:col>
      <xdr:colOff>238125</xdr:colOff>
      <xdr:row>1</xdr:row>
      <xdr:rowOff>284623</xdr:rowOff>
    </xdr:to>
    <xdr:sp macro="" textlink="Titles!F5">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9DC83E31-0635-471E-AA78-5C2E1A758309}" type="TxLink">
            <a:rPr lang="en-US" sz="1600" b="1" i="1" u="none"/>
            <a:pPr algn="ctr"/>
            <a:t>Energy Efficiency Arkansas - 2016 Program Year Evaluation</a:t>
          </a:fld>
          <a:endParaRPr lang="en-US" sz="1600" b="1" i="1" u="none"/>
        </a:p>
      </xdr:txBody>
    </xdr:sp>
    <xdr:clientData/>
  </xdr:twoCellAnchor>
  <xdr:twoCellAnchor editAs="absolute">
    <xdr:from>
      <xdr:col>3</xdr:col>
      <xdr:colOff>19050</xdr:colOff>
      <xdr:row>1</xdr:row>
      <xdr:rowOff>142875</xdr:rowOff>
    </xdr:from>
    <xdr:to>
      <xdr:col>8</xdr:col>
      <xdr:colOff>352424</xdr:colOff>
      <xdr:row>1</xdr:row>
      <xdr:rowOff>423080</xdr:rowOff>
    </xdr:to>
    <xdr:sp macro="" textlink="Titles!B17">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C67BD772-5834-49C1-AEF2-E460CF594D6C}" type="TxLink">
            <a:rPr lang="en-US" sz="1200" b="0"/>
            <a:pPr algn="ctr"/>
            <a:t>Not Used</a:t>
          </a:fld>
          <a:endParaRPr lang="en-US" sz="1200" b="0"/>
        </a:p>
      </xdr:txBody>
    </xdr:sp>
    <xdr:clientData/>
  </xdr:twoCellAnchor>
  <xdr:twoCellAnchor editAs="absolute">
    <xdr:from>
      <xdr:col>9</xdr:col>
      <xdr:colOff>295275</xdr:colOff>
      <xdr:row>1</xdr:row>
      <xdr:rowOff>95250</xdr:rowOff>
    </xdr:from>
    <xdr:to>
      <xdr:col>10</xdr:col>
      <xdr:colOff>125730</xdr:colOff>
      <xdr:row>1</xdr:row>
      <xdr:rowOff>323850</xdr:rowOff>
    </xdr:to>
    <xdr:sp macro="" textlink="">
      <xdr:nvSpPr>
        <xdr:cNvPr id="13" name="Rounded Rectangle 12">
          <a:hlinkClick xmlns:r="http://schemas.openxmlformats.org/officeDocument/2006/relationships" r:id="rId5"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10</xdr:col>
      <xdr:colOff>171450</xdr:colOff>
      <xdr:row>1</xdr:row>
      <xdr:rowOff>95250</xdr:rowOff>
    </xdr:from>
    <xdr:to>
      <xdr:col>11</xdr:col>
      <xdr:colOff>1905</xdr:colOff>
      <xdr:row>1</xdr:row>
      <xdr:rowOff>323850</xdr:rowOff>
    </xdr:to>
    <xdr:sp macro="" textlink="">
      <xdr:nvSpPr>
        <xdr:cNvPr id="14" name="Rounded Rectangle 13">
          <a:hlinkClick xmlns:r="http://schemas.openxmlformats.org/officeDocument/2006/relationships" r:id="rId6"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11</xdr:col>
      <xdr:colOff>0</xdr:colOff>
      <xdr:row>0</xdr:row>
      <xdr:rowOff>476250</xdr:rowOff>
    </xdr:to>
    <xdr:sp macro="" textlink="">
      <xdr:nvSpPr>
        <xdr:cNvPr id="101133" name="Rectangle 365"/>
        <xdr:cNvSpPr>
          <a:spLocks noChangeArrowheads="1"/>
        </xdr:cNvSpPr>
      </xdr:nvSpPr>
      <xdr:spPr bwMode="auto">
        <a:xfrm>
          <a:off x="76200" y="66675"/>
          <a:ext cx="8867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2</xdr:col>
      <xdr:colOff>809625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2</xdr:col>
      <xdr:colOff>1371601</xdr:colOff>
      <xdr:row>0</xdr:row>
      <xdr:rowOff>94237</xdr:rowOff>
    </xdr:from>
    <xdr:to>
      <xdr:col>8</xdr:col>
      <xdr:colOff>447675</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Historical</a:t>
          </a:r>
          <a:r>
            <a:rPr lang="en-US" sz="1600" b="1" baseline="0"/>
            <a:t> Data (Prior 2 Years)</a:t>
          </a:r>
          <a:endParaRPr lang="en-US" sz="1600" b="1"/>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9</xdr:col>
      <xdr:colOff>333375</xdr:colOff>
      <xdr:row>0</xdr:row>
      <xdr:rowOff>476250</xdr:rowOff>
    </xdr:to>
    <xdr:sp macro="" textlink="">
      <xdr:nvSpPr>
        <xdr:cNvPr id="366862" name="Rectangle 365"/>
        <xdr:cNvSpPr>
          <a:spLocks noChangeArrowheads="1"/>
        </xdr:cNvSpPr>
      </xdr:nvSpPr>
      <xdr:spPr bwMode="auto">
        <a:xfrm>
          <a:off x="76200" y="66675"/>
          <a:ext cx="8867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Back</a:t>
          </a:r>
        </a:p>
      </xdr:txBody>
    </xdr:sp>
    <xdr:clientData/>
  </xdr:twoCellAnchor>
  <xdr:twoCellAnchor editAs="absolute">
    <xdr:from>
      <xdr:col>2</xdr:col>
      <xdr:colOff>180976</xdr:colOff>
      <xdr:row>0</xdr:row>
      <xdr:rowOff>94237</xdr:rowOff>
    </xdr:from>
    <xdr:to>
      <xdr:col>8</xdr:col>
      <xdr:colOff>190500</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Target</a:t>
          </a:r>
          <a:r>
            <a:rPr lang="en-US" sz="1600" b="1" baseline="0"/>
            <a:t> Sectors and Program-Type Names</a:t>
          </a:r>
          <a:endParaRPr lang="en-US" sz="1600" b="1"/>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2</xdr:col>
      <xdr:colOff>4429125</xdr:colOff>
      <xdr:row>0</xdr:row>
      <xdr:rowOff>476250</xdr:rowOff>
    </xdr:to>
    <xdr:sp macro="" textlink="">
      <xdr:nvSpPr>
        <xdr:cNvPr id="302415" name="Rectangle 365"/>
        <xdr:cNvSpPr>
          <a:spLocks noChangeArrowheads="1"/>
        </xdr:cNvSpPr>
      </xdr:nvSpPr>
      <xdr:spPr bwMode="auto">
        <a:xfrm>
          <a:off x="76200" y="66675"/>
          <a:ext cx="8867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Back</a:t>
          </a:r>
        </a:p>
      </xdr:txBody>
    </xdr:sp>
    <xdr:clientData/>
  </xdr:twoCellAnchor>
  <xdr:twoCellAnchor editAs="absolute">
    <xdr:from>
      <xdr:col>1</xdr:col>
      <xdr:colOff>1638301</xdr:colOff>
      <xdr:row>0</xdr:row>
      <xdr:rowOff>94237</xdr:rowOff>
    </xdr:from>
    <xdr:to>
      <xdr:col>2</xdr:col>
      <xdr:colOff>3019425</xdr:colOff>
      <xdr:row>0</xdr:row>
      <xdr:rowOff>437023</xdr:rowOff>
    </xdr:to>
    <xdr:sp macro="" textlink="">
      <xdr:nvSpPr>
        <xdr:cNvPr id="2" name="TextBox 1"/>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Program</a:t>
          </a:r>
          <a:r>
            <a:rPr lang="en-US" sz="1600" b="1" baseline="0"/>
            <a:t> Cost Type</a:t>
          </a:r>
          <a:endParaRPr lang="en-US" sz="1600" b="1"/>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0</xdr:row>
      <xdr:rowOff>66675</xdr:rowOff>
    </xdr:from>
    <xdr:to>
      <xdr:col>8</xdr:col>
      <xdr:colOff>723900</xdr:colOff>
      <xdr:row>0</xdr:row>
      <xdr:rowOff>476250</xdr:rowOff>
    </xdr:to>
    <xdr:sp macro="" textlink="">
      <xdr:nvSpPr>
        <xdr:cNvPr id="102145" name="Rectangle 365"/>
        <xdr:cNvSpPr>
          <a:spLocks noChangeArrowheads="1"/>
        </xdr:cNvSpPr>
      </xdr:nvSpPr>
      <xdr:spPr bwMode="auto">
        <a:xfrm>
          <a:off x="76200" y="66675"/>
          <a:ext cx="742950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xdr:from>
      <xdr:col>1</xdr:col>
      <xdr:colOff>1638301</xdr:colOff>
      <xdr:row>0</xdr:row>
      <xdr:rowOff>94237</xdr:rowOff>
    </xdr:from>
    <xdr:to>
      <xdr:col>8</xdr:col>
      <xdr:colOff>38100</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600" b="1"/>
            <a:t>Table 1</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0</xdr:row>
      <xdr:rowOff>66675</xdr:rowOff>
    </xdr:from>
    <xdr:to>
      <xdr:col>8</xdr:col>
      <xdr:colOff>723900</xdr:colOff>
      <xdr:row>0</xdr:row>
      <xdr:rowOff>476250</xdr:rowOff>
    </xdr:to>
    <xdr:sp macro="" textlink="">
      <xdr:nvSpPr>
        <xdr:cNvPr id="714849" name="Rectangle 365"/>
        <xdr:cNvSpPr>
          <a:spLocks noChangeArrowheads="1"/>
        </xdr:cNvSpPr>
      </xdr:nvSpPr>
      <xdr:spPr bwMode="auto">
        <a:xfrm>
          <a:off x="76200" y="66675"/>
          <a:ext cx="742950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xdr:from>
      <xdr:col>1</xdr:col>
      <xdr:colOff>1638301</xdr:colOff>
      <xdr:row>0</xdr:row>
      <xdr:rowOff>94237</xdr:rowOff>
    </xdr:from>
    <xdr:to>
      <xdr:col>8</xdr:col>
      <xdr:colOff>38100</xdr:colOff>
      <xdr:row>0</xdr:row>
      <xdr:rowOff>437023</xdr:rowOff>
    </xdr:to>
    <xdr:sp macro="" textlink="">
      <xdr:nvSpPr>
        <xdr:cNvPr id="4" name="TextBox 3"/>
        <xdr:cNvSpPr txBox="1"/>
      </xdr:nvSpPr>
      <xdr:spPr>
        <a:xfrm>
          <a:off x="1704976" y="94237"/>
          <a:ext cx="51149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600" b="1"/>
            <a:t>Table 2</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9525</xdr:colOff>
      <xdr:row>0</xdr:row>
      <xdr:rowOff>66675</xdr:rowOff>
    </xdr:from>
    <xdr:to>
      <xdr:col>6</xdr:col>
      <xdr:colOff>723900</xdr:colOff>
      <xdr:row>0</xdr:row>
      <xdr:rowOff>476250</xdr:rowOff>
    </xdr:to>
    <xdr:sp macro="" textlink="">
      <xdr:nvSpPr>
        <xdr:cNvPr id="113427" name="Rectangle 365"/>
        <xdr:cNvSpPr>
          <a:spLocks noChangeArrowheads="1"/>
        </xdr:cNvSpPr>
      </xdr:nvSpPr>
      <xdr:spPr bwMode="auto">
        <a:xfrm>
          <a:off x="76200" y="66675"/>
          <a:ext cx="5438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1</xdr:col>
      <xdr:colOff>1638301</xdr:colOff>
      <xdr:row>0</xdr:row>
      <xdr:rowOff>94237</xdr:rowOff>
    </xdr:from>
    <xdr:to>
      <xdr:col>5</xdr:col>
      <xdr:colOff>647700</xdr:colOff>
      <xdr:row>0</xdr:row>
      <xdr:rowOff>437023</xdr:rowOff>
    </xdr:to>
    <xdr:sp macro="" textlink="">
      <xdr:nvSpPr>
        <xdr:cNvPr id="4" name="TextBox 3"/>
        <xdr:cNvSpPr txBox="1"/>
      </xdr:nvSpPr>
      <xdr:spPr>
        <a:xfrm>
          <a:off x="1704976" y="94237"/>
          <a:ext cx="30289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Table 3</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0</xdr:row>
      <xdr:rowOff>66675</xdr:rowOff>
    </xdr:from>
    <xdr:to>
      <xdr:col>6</xdr:col>
      <xdr:colOff>723900</xdr:colOff>
      <xdr:row>0</xdr:row>
      <xdr:rowOff>476250</xdr:rowOff>
    </xdr:to>
    <xdr:sp macro="" textlink="">
      <xdr:nvSpPr>
        <xdr:cNvPr id="718942" name="Rectangle 365"/>
        <xdr:cNvSpPr>
          <a:spLocks noChangeArrowheads="1"/>
        </xdr:cNvSpPr>
      </xdr:nvSpPr>
      <xdr:spPr bwMode="auto">
        <a:xfrm>
          <a:off x="76200" y="66675"/>
          <a:ext cx="5438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1</xdr:col>
      <xdr:colOff>1638301</xdr:colOff>
      <xdr:row>0</xdr:row>
      <xdr:rowOff>94237</xdr:rowOff>
    </xdr:from>
    <xdr:to>
      <xdr:col>5</xdr:col>
      <xdr:colOff>647700</xdr:colOff>
      <xdr:row>0</xdr:row>
      <xdr:rowOff>437023</xdr:rowOff>
    </xdr:to>
    <xdr:sp macro="" textlink="">
      <xdr:nvSpPr>
        <xdr:cNvPr id="4" name="TextBox 3"/>
        <xdr:cNvSpPr txBox="1"/>
      </xdr:nvSpPr>
      <xdr:spPr>
        <a:xfrm>
          <a:off x="1704976" y="94237"/>
          <a:ext cx="30289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Table 4</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9525</xdr:colOff>
      <xdr:row>0</xdr:row>
      <xdr:rowOff>66675</xdr:rowOff>
    </xdr:from>
    <xdr:to>
      <xdr:col>14</xdr:col>
      <xdr:colOff>0</xdr:colOff>
      <xdr:row>0</xdr:row>
      <xdr:rowOff>476250</xdr:rowOff>
    </xdr:to>
    <xdr:sp macro="" textlink="">
      <xdr:nvSpPr>
        <xdr:cNvPr id="193094" name="Rectangle 365"/>
        <xdr:cNvSpPr>
          <a:spLocks noChangeArrowheads="1"/>
        </xdr:cNvSpPr>
      </xdr:nvSpPr>
      <xdr:spPr bwMode="auto">
        <a:xfrm>
          <a:off x="76200" y="66675"/>
          <a:ext cx="862012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2</xdr:col>
      <xdr:colOff>466726</xdr:colOff>
      <xdr:row>0</xdr:row>
      <xdr:rowOff>94237</xdr:rowOff>
    </xdr:from>
    <xdr:to>
      <xdr:col>7</xdr:col>
      <xdr:colOff>114300</xdr:colOff>
      <xdr:row>0</xdr:row>
      <xdr:rowOff>437023</xdr:rowOff>
    </xdr:to>
    <xdr:sp macro="" textlink="">
      <xdr:nvSpPr>
        <xdr:cNvPr id="4" name="TextBox 3"/>
        <xdr:cNvSpPr txBox="1"/>
      </xdr:nvSpPr>
      <xdr:spPr>
        <a:xfrm>
          <a:off x="1704976" y="94237"/>
          <a:ext cx="30289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Table 5</a:t>
          </a:r>
        </a:p>
      </xdr:txBody>
    </xdr:sp>
    <xdr:clientData/>
  </xdr:twoCellAnchor>
  <xdr:twoCellAnchor>
    <xdr:from>
      <xdr:col>1</xdr:col>
      <xdr:colOff>1162050</xdr:colOff>
      <xdr:row>11</xdr:row>
      <xdr:rowOff>9525</xdr:rowOff>
    </xdr:from>
    <xdr:to>
      <xdr:col>14</xdr:col>
      <xdr:colOff>0</xdr:colOff>
      <xdr:row>21</xdr:row>
      <xdr:rowOff>28575</xdr:rowOff>
    </xdr:to>
    <xdr:graphicFrame macro="">
      <xdr:nvGraphicFramePr>
        <xdr:cNvPr id="193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9525</xdr:colOff>
      <xdr:row>0</xdr:row>
      <xdr:rowOff>66675</xdr:rowOff>
    </xdr:from>
    <xdr:to>
      <xdr:col>11</xdr:col>
      <xdr:colOff>0</xdr:colOff>
      <xdr:row>0</xdr:row>
      <xdr:rowOff>476250</xdr:rowOff>
    </xdr:to>
    <xdr:sp macro="" textlink="">
      <xdr:nvSpPr>
        <xdr:cNvPr id="123557" name="Rectangle 365"/>
        <xdr:cNvSpPr>
          <a:spLocks noChangeArrowheads="1"/>
        </xdr:cNvSpPr>
      </xdr:nvSpPr>
      <xdr:spPr bwMode="auto">
        <a:xfrm>
          <a:off x="76200" y="66675"/>
          <a:ext cx="82486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1</xdr:col>
      <xdr:colOff>1638301</xdr:colOff>
      <xdr:row>0</xdr:row>
      <xdr:rowOff>94237</xdr:rowOff>
    </xdr:from>
    <xdr:to>
      <xdr:col>5</xdr:col>
      <xdr:colOff>172197</xdr:colOff>
      <xdr:row>0</xdr:row>
      <xdr:rowOff>437023</xdr:rowOff>
    </xdr:to>
    <xdr:sp macro="" textlink="">
      <xdr:nvSpPr>
        <xdr:cNvPr id="4" name="TextBox 3"/>
        <xdr:cNvSpPr txBox="1"/>
      </xdr:nvSpPr>
      <xdr:spPr>
        <a:xfrm>
          <a:off x="1704976" y="94237"/>
          <a:ext cx="30289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Report 1</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3</xdr:col>
      <xdr:colOff>0</xdr:colOff>
      <xdr:row>0</xdr:row>
      <xdr:rowOff>476250</xdr:rowOff>
    </xdr:to>
    <xdr:sp macro="" textlink="">
      <xdr:nvSpPr>
        <xdr:cNvPr id="376072" name="Rectangle 365"/>
        <xdr:cNvSpPr>
          <a:spLocks noChangeArrowheads="1"/>
        </xdr:cNvSpPr>
      </xdr:nvSpPr>
      <xdr:spPr bwMode="auto">
        <a:xfrm>
          <a:off x="76200" y="66675"/>
          <a:ext cx="8867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1</xdr:col>
      <xdr:colOff>1638301</xdr:colOff>
      <xdr:row>0</xdr:row>
      <xdr:rowOff>94237</xdr:rowOff>
    </xdr:from>
    <xdr:to>
      <xdr:col>2</xdr:col>
      <xdr:colOff>5257800</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Glossary</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0</xdr:row>
      <xdr:rowOff>66675</xdr:rowOff>
    </xdr:from>
    <xdr:to>
      <xdr:col>11</xdr:col>
      <xdr:colOff>0</xdr:colOff>
      <xdr:row>0</xdr:row>
      <xdr:rowOff>476250</xdr:rowOff>
    </xdr:to>
    <xdr:sp macro="" textlink="">
      <xdr:nvSpPr>
        <xdr:cNvPr id="726104" name="Rectangle 365"/>
        <xdr:cNvSpPr>
          <a:spLocks noChangeArrowheads="1"/>
        </xdr:cNvSpPr>
      </xdr:nvSpPr>
      <xdr:spPr bwMode="auto">
        <a:xfrm>
          <a:off x="76200" y="66675"/>
          <a:ext cx="82486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1</xdr:col>
      <xdr:colOff>1638301</xdr:colOff>
      <xdr:row>0</xdr:row>
      <xdr:rowOff>94237</xdr:rowOff>
    </xdr:from>
    <xdr:to>
      <xdr:col>5</xdr:col>
      <xdr:colOff>172197</xdr:colOff>
      <xdr:row>0</xdr:row>
      <xdr:rowOff>437023</xdr:rowOff>
    </xdr:to>
    <xdr:sp macro="" textlink="">
      <xdr:nvSpPr>
        <xdr:cNvPr id="4" name="TextBox 3"/>
        <xdr:cNvSpPr txBox="1"/>
      </xdr:nvSpPr>
      <xdr:spPr>
        <a:xfrm>
          <a:off x="1704976" y="94237"/>
          <a:ext cx="302017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Report 2</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9525</xdr:colOff>
      <xdr:row>0</xdr:row>
      <xdr:rowOff>66675</xdr:rowOff>
    </xdr:from>
    <xdr:to>
      <xdr:col>12</xdr:col>
      <xdr:colOff>0</xdr:colOff>
      <xdr:row>0</xdr:row>
      <xdr:rowOff>476250</xdr:rowOff>
    </xdr:to>
    <xdr:sp macro="" textlink="">
      <xdr:nvSpPr>
        <xdr:cNvPr id="296279" name="Rectangle 365"/>
        <xdr:cNvSpPr>
          <a:spLocks noChangeArrowheads="1"/>
        </xdr:cNvSpPr>
      </xdr:nvSpPr>
      <xdr:spPr bwMode="auto">
        <a:xfrm>
          <a:off x="76200" y="66675"/>
          <a:ext cx="116776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1</xdr:col>
      <xdr:colOff>1076325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1</xdr:col>
      <xdr:colOff>1638301</xdr:colOff>
      <xdr:row>0</xdr:row>
      <xdr:rowOff>94237</xdr:rowOff>
    </xdr:from>
    <xdr:to>
      <xdr:col>3</xdr:col>
      <xdr:colOff>1060450</xdr:colOff>
      <xdr:row>0</xdr:row>
      <xdr:rowOff>437023</xdr:rowOff>
    </xdr:to>
    <xdr:sp macro="" textlink="">
      <xdr:nvSpPr>
        <xdr:cNvPr id="4" name="TextBox 3"/>
        <xdr:cNvSpPr txBox="1"/>
      </xdr:nvSpPr>
      <xdr:spPr>
        <a:xfrm>
          <a:off x="1704976" y="94237"/>
          <a:ext cx="30289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Report 4</a:t>
          </a:r>
          <a:r>
            <a:rPr lang="en-US" sz="1600" b="1" baseline="0"/>
            <a:t> - Data</a:t>
          </a:r>
          <a:endParaRPr lang="en-US" sz="1600" b="1"/>
        </a:p>
      </xdr:txBody>
    </xdr:sp>
    <xdr:clientData/>
  </xdr:twoCellAnchor>
</xdr:wsDr>
</file>

<file path=xl/drawings/drawing32.xml><?xml version="1.0" encoding="utf-8"?>
<xdr:wsDr xmlns:xdr="http://schemas.openxmlformats.org/drawingml/2006/spreadsheetDrawing" xmlns:a="http://schemas.openxmlformats.org/drawingml/2006/main">
  <xdr:twoCellAnchor editAs="absolute">
    <xdr:from>
      <xdr:col>1</xdr:col>
      <xdr:colOff>9525</xdr:colOff>
      <xdr:row>0</xdr:row>
      <xdr:rowOff>66675</xdr:rowOff>
    </xdr:from>
    <xdr:to>
      <xdr:col>11</xdr:col>
      <xdr:colOff>0</xdr:colOff>
      <xdr:row>0</xdr:row>
      <xdr:rowOff>476250</xdr:rowOff>
    </xdr:to>
    <xdr:sp macro="" textlink="">
      <xdr:nvSpPr>
        <xdr:cNvPr id="210365" name="Rectangle 365"/>
        <xdr:cNvSpPr>
          <a:spLocks noChangeArrowheads="1"/>
        </xdr:cNvSpPr>
      </xdr:nvSpPr>
      <xdr:spPr bwMode="auto">
        <a:xfrm>
          <a:off x="76200" y="66675"/>
          <a:ext cx="886777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76200</xdr:colOff>
      <xdr:row>0</xdr:row>
      <xdr:rowOff>152400</xdr:rowOff>
    </xdr:from>
    <xdr:to>
      <xdr:col>2</xdr:col>
      <xdr:colOff>809625</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a:t>
          </a:r>
          <a:r>
            <a:rPr lang="en-US" b="1" baseline="0">
              <a:solidFill>
                <a:sysClr val="windowText" lastClr="000000"/>
              </a:solidFill>
            </a:rPr>
            <a:t> Menu</a:t>
          </a:r>
          <a:endParaRPr lang="en-US" b="1">
            <a:solidFill>
              <a:sysClr val="windowText" lastClr="000000"/>
            </a:solidFill>
          </a:endParaRPr>
        </a:p>
      </xdr:txBody>
    </xdr:sp>
    <xdr:clientData/>
  </xdr:twoCellAnchor>
  <xdr:twoCellAnchor editAs="absolute">
    <xdr:from>
      <xdr:col>2</xdr:col>
      <xdr:colOff>1371601</xdr:colOff>
      <xdr:row>0</xdr:row>
      <xdr:rowOff>94237</xdr:rowOff>
    </xdr:from>
    <xdr:to>
      <xdr:col>8</xdr:col>
      <xdr:colOff>447675</xdr:colOff>
      <xdr:row>0</xdr:row>
      <xdr:rowOff>437023</xdr:rowOff>
    </xdr:to>
    <xdr:sp macro="" textlink="">
      <xdr:nvSpPr>
        <xdr:cNvPr id="4" name="TextBox 3"/>
        <xdr:cNvSpPr txBox="1"/>
      </xdr:nvSpPr>
      <xdr:spPr>
        <a:xfrm>
          <a:off x="1704976" y="94237"/>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Historical</a:t>
          </a:r>
          <a:r>
            <a:rPr lang="en-US" sz="1600" b="1" baseline="0"/>
            <a:t> Data (Next Annual Report)</a:t>
          </a:r>
          <a:endParaRPr lang="en-US" sz="1600" b="1"/>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11</xdr:col>
      <xdr:colOff>0</xdr:colOff>
      <xdr:row>1</xdr:row>
      <xdr:rowOff>409575</xdr:rowOff>
    </xdr:to>
    <xdr:sp macro="" textlink="">
      <xdr:nvSpPr>
        <xdr:cNvPr id="738548"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2">
      <xdr:nvSpPr>
        <xdr:cNvPr id="3" name="Round Same Side Corner Rectangle 2"/>
        <xdr:cNvSpPr/>
      </xdr:nvSpPr>
      <xdr:spPr>
        <a:xfrm>
          <a:off x="76200" y="66674"/>
          <a:ext cx="148209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A9F27BE1-8903-4AA6-B8C1-1B9BB7830D5E}" type="TxLink">
            <a:rPr lang="en-US" sz="1000" b="1">
              <a:solidFill>
                <a:sysClr val="windowText" lastClr="000000"/>
              </a:solidFill>
            </a:rPr>
            <a:pPr algn="ctr"/>
            <a:t>TPA Information</a:t>
          </a:fld>
          <a:endParaRPr lang="en-US" sz="1000" b="1">
            <a:solidFill>
              <a:sysClr val="windowText" lastClr="000000"/>
            </a:solidFill>
          </a:endParaRPr>
        </a:p>
      </xdr:txBody>
    </xdr:sp>
    <xdr:clientData/>
  </xdr:twoCellAnchor>
  <xdr:twoCellAnchor editAs="absolute">
    <xdr:from>
      <xdr:col>2</xdr:col>
      <xdr:colOff>1247775</xdr:colOff>
      <xdr:row>0</xdr:row>
      <xdr:rowOff>66675</xdr:rowOff>
    </xdr:from>
    <xdr:to>
      <xdr:col>3</xdr:col>
      <xdr:colOff>977265</xdr:colOff>
      <xdr:row>0</xdr:row>
      <xdr:rowOff>340995</xdr:rowOff>
    </xdr:to>
    <xdr:sp macro="" textlink="Titles!B3">
      <xdr:nvSpPr>
        <xdr:cNvPr id="4" name="Round Same Side Corner Rectangle 3">
          <a:hlinkClick xmlns:r="http://schemas.openxmlformats.org/officeDocument/2006/relationships" r:id="rId1"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DE16BACF-8D00-4C52-949D-216938E4B931}" type="TxLink">
            <a:rPr lang="en-US" sz="1000" b="1"/>
            <a:pPr algn="ctr"/>
            <a:t>Program Descriptions</a:t>
          </a:fld>
          <a:endParaRPr lang="en-US" sz="1000" b="1"/>
        </a:p>
      </xdr:txBody>
    </xdr:sp>
    <xdr:clientData/>
  </xdr:twoCellAnchor>
  <xdr:twoCellAnchor editAs="absolute">
    <xdr:from>
      <xdr:col>3</xdr:col>
      <xdr:colOff>990600</xdr:colOff>
      <xdr:row>0</xdr:row>
      <xdr:rowOff>66675</xdr:rowOff>
    </xdr:from>
    <xdr:to>
      <xdr:col>4</xdr:col>
      <xdr:colOff>396240</xdr:colOff>
      <xdr:row>0</xdr:row>
      <xdr:rowOff>340995</xdr:rowOff>
    </xdr:to>
    <xdr:sp macro="" textlink="Titles!B4">
      <xdr:nvSpPr>
        <xdr:cNvPr id="5" name="Round Same Side Corner Rectangle 4">
          <a:hlinkClick xmlns:r="http://schemas.openxmlformats.org/officeDocument/2006/relationships" r:id="rId2" tooltip="Click"/>
        </xdr:cNvPr>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1D4024AA-1BFD-465A-B46E-B80E32858D24}" type="TxLink">
            <a:rPr lang="en-US" sz="1000" b="1"/>
            <a:pPr algn="ctr"/>
            <a:t>Budgets</a:t>
          </a:fld>
          <a:endParaRPr lang="en-US" sz="1000" b="1"/>
        </a:p>
      </xdr:txBody>
    </xdr:sp>
    <xdr:clientData/>
  </xdr:twoCellAnchor>
  <xdr:twoCellAnchor editAs="absolute">
    <xdr:from>
      <xdr:col>4</xdr:col>
      <xdr:colOff>419100</xdr:colOff>
      <xdr:row>0</xdr:row>
      <xdr:rowOff>66675</xdr:rowOff>
    </xdr:from>
    <xdr:to>
      <xdr:col>6</xdr:col>
      <xdr:colOff>510540</xdr:colOff>
      <xdr:row>0</xdr:row>
      <xdr:rowOff>340995</xdr:rowOff>
    </xdr:to>
    <xdr:sp macro="" textlink="Titles!B5">
      <xdr:nvSpPr>
        <xdr:cNvPr id="6" name="Round Same Side Corner Rectangle 5">
          <a:hlinkClick xmlns:r="http://schemas.openxmlformats.org/officeDocument/2006/relationships" r:id="rId3" tooltip="Click"/>
        </xdr:cNvPr>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7609FBD8-D11C-439E-A785-B262CC5B9296}" type="TxLink">
            <a:rPr lang="en-US" sz="1000" b="1"/>
            <a:pPr algn="ctr"/>
            <a:t>Savings &amp; Participants</a:t>
          </a:fld>
          <a:endParaRPr lang="en-US" sz="1000" b="1"/>
        </a:p>
      </xdr:txBody>
    </xdr:sp>
    <xdr:clientData/>
  </xdr:twoCellAnchor>
  <xdr:twoCellAnchor editAs="absolute">
    <xdr:from>
      <xdr:col>6</xdr:col>
      <xdr:colOff>523875</xdr:colOff>
      <xdr:row>0</xdr:row>
      <xdr:rowOff>66675</xdr:rowOff>
    </xdr:from>
    <xdr:to>
      <xdr:col>9</xdr:col>
      <xdr:colOff>158115</xdr:colOff>
      <xdr:row>0</xdr:row>
      <xdr:rowOff>340995</xdr:rowOff>
    </xdr:to>
    <xdr:sp macro="" textlink="Titles!B6">
      <xdr:nvSpPr>
        <xdr:cNvPr id="7" name="Round Same Side Corner Rectangle 6">
          <a:hlinkClick xmlns:r="http://schemas.openxmlformats.org/officeDocument/2006/relationships" r:id="rId4" tooltip="Click"/>
        </xdr:cNvPr>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42C72F62-0995-42BE-9F6B-112D67AAF31C}" type="TxLink">
            <a:rPr lang="en-US" sz="1000" b="1"/>
            <a:pPr algn="ctr"/>
            <a:t>Training</a:t>
          </a:fld>
          <a:endParaRPr lang="en-US" sz="1000" b="1"/>
        </a:p>
      </xdr:txBody>
    </xdr:sp>
    <xdr:clientData/>
  </xdr:twoCellAnchor>
  <xdr:twoCellAnchor editAs="absolute">
    <xdr:from>
      <xdr:col>9</xdr:col>
      <xdr:colOff>171449</xdr:colOff>
      <xdr:row>0</xdr:row>
      <xdr:rowOff>66675</xdr:rowOff>
    </xdr:from>
    <xdr:to>
      <xdr:col>10</xdr:col>
      <xdr:colOff>1019174</xdr:colOff>
      <xdr:row>0</xdr:row>
      <xdr:rowOff>342900</xdr:rowOff>
    </xdr:to>
    <xdr:sp macro="" textlink="Titles!B7">
      <xdr:nvSpPr>
        <xdr:cNvPr id="8" name="Round Same Side Corner Rectangle 8"/>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ED7CFF35-C1C4-485C-B098-E819100CCD7A}"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5"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10</xdr:col>
      <xdr:colOff>962025</xdr:colOff>
      <xdr:row>1</xdr:row>
      <xdr:rowOff>781049</xdr:rowOff>
    </xdr:to>
    <xdr:sp macro="" textlink="">
      <xdr:nvSpPr>
        <xdr:cNvPr id="12"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1000" b="0" i="0" u="none" strike="noStrike" baseline="0">
              <a:solidFill>
                <a:srgbClr val="000000"/>
              </a:solidFill>
              <a:latin typeface="Calibri"/>
              <a:cs typeface="Calibri"/>
            </a:rPr>
            <a:t>Fill in all cells. </a:t>
          </a:r>
          <a:endParaRPr lang="en-US"/>
        </a:p>
      </xdr:txBody>
    </xdr:sp>
    <xdr:clientData/>
  </xdr:twoCellAnchor>
  <xdr:twoCellAnchor editAs="absolute">
    <xdr:from>
      <xdr:col>2</xdr:col>
      <xdr:colOff>1228725</xdr:colOff>
      <xdr:row>0</xdr:row>
      <xdr:rowOff>303787</xdr:rowOff>
    </xdr:from>
    <xdr:to>
      <xdr:col>9</xdr:col>
      <xdr:colOff>180975</xdr:colOff>
      <xdr:row>1</xdr:row>
      <xdr:rowOff>284623</xdr:rowOff>
    </xdr:to>
    <xdr:sp macro="" textlink="Titles!F4">
      <xdr:nvSpPr>
        <xdr:cNvPr id="13" name="TextBox 12"/>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DFE5920D-4F28-4C9A-B339-93D7DB9AC917}" type="TxLink">
            <a:rPr lang="en-US" sz="1600" b="1" i="1" u="none"/>
            <a:pPr algn="ctr"/>
            <a:t>Energy Efficiency Arkansas - 2016 EE Portfolio Information</a:t>
          </a:fld>
          <a:endParaRPr lang="en-US" sz="1600" b="1" i="1" u="none"/>
        </a:p>
      </xdr:txBody>
    </xdr:sp>
    <xdr:clientData/>
  </xdr:twoCellAnchor>
  <xdr:twoCellAnchor editAs="absolute">
    <xdr:from>
      <xdr:col>3</xdr:col>
      <xdr:colOff>190500</xdr:colOff>
      <xdr:row>1</xdr:row>
      <xdr:rowOff>142875</xdr:rowOff>
    </xdr:from>
    <xdr:to>
      <xdr:col>8</xdr:col>
      <xdr:colOff>95249</xdr:colOff>
      <xdr:row>1</xdr:row>
      <xdr:rowOff>423080</xdr:rowOff>
    </xdr:to>
    <xdr:sp macro="" textlink="Titles!B2">
      <xdr:nvSpPr>
        <xdr:cNvPr id="14" name="TextBox 13"/>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2C2B59EC-4CBF-46A7-9E7F-E5476760F8E4}" type="TxLink">
            <a:rPr lang="en-US" sz="1200" b="0"/>
            <a:pPr algn="ctr"/>
            <a:t>TPA Information</a:t>
          </a:fld>
          <a:endParaRPr lang="en-US" sz="1200" b="0"/>
        </a:p>
      </xdr:txBody>
    </xdr:sp>
    <xdr:clientData/>
  </xdr:twoCellAnchor>
  <xdr:twoCellAnchor editAs="absolute">
    <xdr:from>
      <xdr:col>9</xdr:col>
      <xdr:colOff>238125</xdr:colOff>
      <xdr:row>1</xdr:row>
      <xdr:rowOff>95250</xdr:rowOff>
    </xdr:from>
    <xdr:to>
      <xdr:col>10</xdr:col>
      <xdr:colOff>268605</xdr:colOff>
      <xdr:row>1</xdr:row>
      <xdr:rowOff>323850</xdr:rowOff>
    </xdr:to>
    <xdr:sp macro="" textlink="">
      <xdr:nvSpPr>
        <xdr:cNvPr id="15" name="Rounded Rectangle 14">
          <a:hlinkClick xmlns:r="http://schemas.openxmlformats.org/officeDocument/2006/relationships" r:id="rId5"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10</xdr:col>
      <xdr:colOff>314325</xdr:colOff>
      <xdr:row>1</xdr:row>
      <xdr:rowOff>95250</xdr:rowOff>
    </xdr:from>
    <xdr:to>
      <xdr:col>10</xdr:col>
      <xdr:colOff>954405</xdr:colOff>
      <xdr:row>1</xdr:row>
      <xdr:rowOff>323850</xdr:rowOff>
    </xdr:to>
    <xdr:sp macro="" textlink="">
      <xdr:nvSpPr>
        <xdr:cNvPr id="16" name="Rounded Rectangle 15">
          <a:hlinkClick xmlns:r="http://schemas.openxmlformats.org/officeDocument/2006/relationships" r:id="rId1"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8</xdr:col>
      <xdr:colOff>0</xdr:colOff>
      <xdr:row>1</xdr:row>
      <xdr:rowOff>409575</xdr:rowOff>
    </xdr:to>
    <xdr:sp macro="" textlink="">
      <xdr:nvSpPr>
        <xdr:cNvPr id="685589"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2">
      <xdr:nvSpPr>
        <xdr:cNvPr id="3" name="Round Same Side Corner Rectangle 2">
          <a:hlinkClick xmlns:r="http://schemas.openxmlformats.org/officeDocument/2006/relationships" r:id="rId1" tooltip="Click"/>
        </xdr:cNvPr>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272E1C2B-29EB-4D8F-AD86-F9598CCF2BFD}" type="TxLink">
            <a:rPr lang="en-US" sz="1000" b="1">
              <a:solidFill>
                <a:schemeClr val="lt1"/>
              </a:solidFill>
              <a:latin typeface="+mn-lt"/>
              <a:ea typeface="+mn-ea"/>
              <a:cs typeface="+mn-cs"/>
            </a:rPr>
            <a:pPr marL="0" indent="0" algn="ctr"/>
            <a:t>TPA Information</a:t>
          </a:fld>
          <a:endParaRPr lang="en-US" sz="1000" b="1">
            <a:solidFill>
              <a:schemeClr val="lt1"/>
            </a:solidFill>
            <a:latin typeface="+mn-lt"/>
            <a:ea typeface="+mn-ea"/>
            <a:cs typeface="+mn-cs"/>
          </a:endParaRPr>
        </a:p>
      </xdr:txBody>
    </xdr:sp>
    <xdr:clientData/>
  </xdr:twoCellAnchor>
  <xdr:twoCellAnchor editAs="absolute">
    <xdr:from>
      <xdr:col>2</xdr:col>
      <xdr:colOff>1247775</xdr:colOff>
      <xdr:row>0</xdr:row>
      <xdr:rowOff>66675</xdr:rowOff>
    </xdr:from>
    <xdr:to>
      <xdr:col>3</xdr:col>
      <xdr:colOff>329565</xdr:colOff>
      <xdr:row>0</xdr:row>
      <xdr:rowOff>340995</xdr:rowOff>
    </xdr:to>
    <xdr:sp macro="" textlink="Titles!B3">
      <xdr:nvSpPr>
        <xdr:cNvPr id="4" name="Round Same Side Corner Rectangle 3"/>
        <xdr:cNvSpPr/>
      </xdr:nvSpPr>
      <xdr:spPr>
        <a:xfrm>
          <a:off x="1562100" y="66675"/>
          <a:ext cx="146304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43C69325-B627-449B-82AF-A143BF81F2D7}" type="TxLink">
            <a:rPr lang="en-US" sz="1000" b="1">
              <a:solidFill>
                <a:sysClr val="windowText" lastClr="000000"/>
              </a:solidFill>
              <a:latin typeface="+mn-lt"/>
              <a:ea typeface="+mn-ea"/>
              <a:cs typeface="+mn-cs"/>
            </a:rPr>
            <a:pPr marL="0" indent="0" algn="ctr"/>
            <a:t>Program Descriptions</a:t>
          </a:fld>
          <a:endParaRPr lang="en-US" sz="1000" b="1">
            <a:solidFill>
              <a:sysClr val="windowText" lastClr="000000"/>
            </a:solidFill>
            <a:latin typeface="+mn-lt"/>
            <a:ea typeface="+mn-ea"/>
            <a:cs typeface="+mn-cs"/>
          </a:endParaRPr>
        </a:p>
      </xdr:txBody>
    </xdr:sp>
    <xdr:clientData/>
  </xdr:twoCellAnchor>
  <xdr:twoCellAnchor editAs="absolute">
    <xdr:from>
      <xdr:col>3</xdr:col>
      <xdr:colOff>342900</xdr:colOff>
      <xdr:row>0</xdr:row>
      <xdr:rowOff>66675</xdr:rowOff>
    </xdr:from>
    <xdr:to>
      <xdr:col>4</xdr:col>
      <xdr:colOff>348615</xdr:colOff>
      <xdr:row>0</xdr:row>
      <xdr:rowOff>340995</xdr:rowOff>
    </xdr:to>
    <xdr:sp macro="" textlink="Titles!B4">
      <xdr:nvSpPr>
        <xdr:cNvPr id="5" name="Round Same Side Corner Rectangle 4">
          <a:hlinkClick xmlns:r="http://schemas.openxmlformats.org/officeDocument/2006/relationships" r:id="rId2" tooltip="Click"/>
        </xdr:cNvPr>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BF207CFF-EE95-4A39-952B-42E6A9F10B2D}" type="TxLink">
            <a:rPr lang="en-US" sz="1000" b="1"/>
            <a:pPr algn="ctr"/>
            <a:t>Budgets</a:t>
          </a:fld>
          <a:endParaRPr lang="en-US" sz="1000" b="1"/>
        </a:p>
      </xdr:txBody>
    </xdr:sp>
    <xdr:clientData/>
  </xdr:twoCellAnchor>
  <xdr:twoCellAnchor editAs="absolute">
    <xdr:from>
      <xdr:col>4</xdr:col>
      <xdr:colOff>371475</xdr:colOff>
      <xdr:row>0</xdr:row>
      <xdr:rowOff>66675</xdr:rowOff>
    </xdr:from>
    <xdr:to>
      <xdr:col>5</xdr:col>
      <xdr:colOff>177165</xdr:colOff>
      <xdr:row>0</xdr:row>
      <xdr:rowOff>340995</xdr:rowOff>
    </xdr:to>
    <xdr:sp macro="" textlink="Titles!B5">
      <xdr:nvSpPr>
        <xdr:cNvPr id="6" name="Round Same Side Corner Rectangle 5">
          <a:hlinkClick xmlns:r="http://schemas.openxmlformats.org/officeDocument/2006/relationships" r:id="rId3" tooltip="Click"/>
        </xdr:cNvPr>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ADC4839D-3631-4067-8D28-0A336CDFE549}" type="TxLink">
            <a:rPr lang="en-US" sz="1000" b="1"/>
            <a:pPr algn="ctr"/>
            <a:t>Savings &amp; Participants</a:t>
          </a:fld>
          <a:endParaRPr lang="en-US" sz="1000" b="1"/>
        </a:p>
      </xdr:txBody>
    </xdr:sp>
    <xdr:clientData/>
  </xdr:twoCellAnchor>
  <xdr:twoCellAnchor editAs="absolute">
    <xdr:from>
      <xdr:col>5</xdr:col>
      <xdr:colOff>190500</xdr:colOff>
      <xdr:row>0</xdr:row>
      <xdr:rowOff>66675</xdr:rowOff>
    </xdr:from>
    <xdr:to>
      <xdr:col>5</xdr:col>
      <xdr:colOff>1653540</xdr:colOff>
      <xdr:row>0</xdr:row>
      <xdr:rowOff>340995</xdr:rowOff>
    </xdr:to>
    <xdr:sp macro="" textlink="Titles!B6">
      <xdr:nvSpPr>
        <xdr:cNvPr id="7" name="Round Same Side Corner Rectangle 6">
          <a:hlinkClick xmlns:r="http://schemas.openxmlformats.org/officeDocument/2006/relationships" r:id="rId4" tooltip="Click"/>
        </xdr:cNvPr>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4D8E9B64-4864-4DF8-BFA9-CC8CD4D87778}" type="TxLink">
            <a:rPr lang="en-US" sz="1000" b="1"/>
            <a:pPr algn="ctr"/>
            <a:t>Training</a:t>
          </a:fld>
          <a:endParaRPr lang="en-US" sz="1000" b="1"/>
        </a:p>
      </xdr:txBody>
    </xdr:sp>
    <xdr:clientData/>
  </xdr:twoCellAnchor>
  <xdr:twoCellAnchor editAs="absolute">
    <xdr:from>
      <xdr:col>5</xdr:col>
      <xdr:colOff>1666874</xdr:colOff>
      <xdr:row>0</xdr:row>
      <xdr:rowOff>66675</xdr:rowOff>
    </xdr:from>
    <xdr:to>
      <xdr:col>7</xdr:col>
      <xdr:colOff>657224</xdr:colOff>
      <xdr:row>0</xdr:row>
      <xdr:rowOff>342900</xdr:rowOff>
    </xdr:to>
    <xdr:sp macro="" textlink="Titles!B7">
      <xdr:nvSpPr>
        <xdr:cNvPr id="8" name="Round Same Side Corner Rectangle 8"/>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1B4670FB-3149-4ACA-87FA-533B31EFA923}"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5"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7</xdr:col>
      <xdr:colOff>600075</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List Utilities and the Target Sector and Program Type. </a:t>
          </a:r>
          <a:endParaRPr lang="en-US" sz="900"/>
        </a:p>
      </xdr:txBody>
    </xdr:sp>
    <xdr:clientData/>
  </xdr:twoCellAnchor>
  <xdr:twoCellAnchor editAs="absolute">
    <xdr:from>
      <xdr:col>2</xdr:col>
      <xdr:colOff>1228725</xdr:colOff>
      <xdr:row>0</xdr:row>
      <xdr:rowOff>303787</xdr:rowOff>
    </xdr:from>
    <xdr:to>
      <xdr:col>5</xdr:col>
      <xdr:colOff>1676400</xdr:colOff>
      <xdr:row>1</xdr:row>
      <xdr:rowOff>284623</xdr:rowOff>
    </xdr:to>
    <xdr:sp macro="" textlink="Titles!F4">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F2CC22A0-3C74-4695-9985-4FBA177E0964}" type="TxLink">
            <a:rPr lang="en-US" sz="1600" b="1" i="1" u="none"/>
            <a:pPr algn="ctr"/>
            <a:t>Energy Efficiency Arkansas - 2016 EE Portfolio Information</a:t>
          </a:fld>
          <a:endParaRPr lang="en-US" sz="1600" b="1" i="1" u="none"/>
        </a:p>
      </xdr:txBody>
    </xdr:sp>
    <xdr:clientData/>
  </xdr:twoCellAnchor>
  <xdr:twoCellAnchor editAs="absolute">
    <xdr:from>
      <xdr:col>2</xdr:col>
      <xdr:colOff>1924050</xdr:colOff>
      <xdr:row>1</xdr:row>
      <xdr:rowOff>142875</xdr:rowOff>
    </xdr:from>
    <xdr:to>
      <xdr:col>5</xdr:col>
      <xdr:colOff>981074</xdr:colOff>
      <xdr:row>1</xdr:row>
      <xdr:rowOff>423080</xdr:rowOff>
    </xdr:to>
    <xdr:sp macro="" textlink="Titles!B3">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DC569505-699B-4AF9-9BE1-88ABE1D3E5C9}" type="TxLink">
            <a:rPr lang="en-US" sz="1200" b="0"/>
            <a:pPr algn="ctr"/>
            <a:t>Program Descriptions</a:t>
          </a:fld>
          <a:endParaRPr lang="en-US" sz="1200" b="0"/>
        </a:p>
      </xdr:txBody>
    </xdr:sp>
    <xdr:clientData/>
  </xdr:twoCellAnchor>
  <xdr:twoCellAnchor editAs="absolute">
    <xdr:from>
      <xdr:col>5</xdr:col>
      <xdr:colOff>1733550</xdr:colOff>
      <xdr:row>1</xdr:row>
      <xdr:rowOff>95250</xdr:rowOff>
    </xdr:from>
    <xdr:to>
      <xdr:col>6</xdr:col>
      <xdr:colOff>382905</xdr:colOff>
      <xdr:row>1</xdr:row>
      <xdr:rowOff>323850</xdr:rowOff>
    </xdr:to>
    <xdr:sp macro="" textlink="">
      <xdr:nvSpPr>
        <xdr:cNvPr id="13" name="Rounded Rectangle 12">
          <a:hlinkClick xmlns:r="http://schemas.openxmlformats.org/officeDocument/2006/relationships" r:id="rId1"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6</xdr:col>
      <xdr:colOff>428625</xdr:colOff>
      <xdr:row>1</xdr:row>
      <xdr:rowOff>95250</xdr:rowOff>
    </xdr:from>
    <xdr:to>
      <xdr:col>7</xdr:col>
      <xdr:colOff>592455</xdr:colOff>
      <xdr:row>1</xdr:row>
      <xdr:rowOff>323850</xdr:rowOff>
    </xdr:to>
    <xdr:sp macro="" textlink="">
      <xdr:nvSpPr>
        <xdr:cNvPr id="14" name="Rounded Rectangle 13">
          <a:hlinkClick xmlns:r="http://schemas.openxmlformats.org/officeDocument/2006/relationships" r:id="rId2"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twoCellAnchor editAs="absolute">
    <xdr:from>
      <xdr:col>5</xdr:col>
      <xdr:colOff>1123950</xdr:colOff>
      <xdr:row>4</xdr:row>
      <xdr:rowOff>28575</xdr:rowOff>
    </xdr:from>
    <xdr:to>
      <xdr:col>5</xdr:col>
      <xdr:colOff>1800224</xdr:colOff>
      <xdr:row>4</xdr:row>
      <xdr:rowOff>152400</xdr:rowOff>
    </xdr:to>
    <xdr:sp macro="" textlink="">
      <xdr:nvSpPr>
        <xdr:cNvPr id="15" name="Rounded Rectangle 14">
          <a:hlinkClick xmlns:r="http://schemas.openxmlformats.org/officeDocument/2006/relationships" r:id="rId6" tooltip="Click"/>
        </xdr:cNvPr>
        <xdr:cNvSpPr/>
      </xdr:nvSpPr>
      <xdr:spPr>
        <a:xfrm>
          <a:off x="6934200" y="1495425"/>
          <a:ext cx="676274" cy="123825"/>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800" b="1">
              <a:solidFill>
                <a:sysClr val="windowText" lastClr="000000"/>
              </a:solidFill>
            </a:rPr>
            <a:t>Definitions</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0</xdr:row>
      <xdr:rowOff>66675</xdr:rowOff>
    </xdr:from>
    <xdr:to>
      <xdr:col>2</xdr:col>
      <xdr:colOff>6638925</xdr:colOff>
      <xdr:row>0</xdr:row>
      <xdr:rowOff>476250</xdr:rowOff>
    </xdr:to>
    <xdr:sp macro="" textlink="">
      <xdr:nvSpPr>
        <xdr:cNvPr id="733253" name="Rectangle 365"/>
        <xdr:cNvSpPr>
          <a:spLocks noChangeArrowheads="1"/>
        </xdr:cNvSpPr>
      </xdr:nvSpPr>
      <xdr:spPr bwMode="auto">
        <a:xfrm>
          <a:off x="76200" y="66675"/>
          <a:ext cx="8848725"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66675</xdr:colOff>
      <xdr:row>0</xdr:row>
      <xdr:rowOff>152400</xdr:rowOff>
    </xdr:from>
    <xdr:to>
      <xdr:col>1</xdr:col>
      <xdr:colOff>1066800</xdr:colOff>
      <xdr:row>0</xdr:row>
      <xdr:rowOff>381000</xdr:rowOff>
    </xdr:to>
    <xdr:sp macro="" textlink="">
      <xdr:nvSpPr>
        <xdr:cNvPr id="3" name="Rounded Rectangle 2">
          <a:hlinkClick xmlns:r="http://schemas.openxmlformats.org/officeDocument/2006/relationships" r:id="rId1" tooltip="Click"/>
        </xdr:cNvPr>
        <xdr:cNvSpPr/>
      </xdr:nvSpPr>
      <xdr:spPr>
        <a:xfrm>
          <a:off x="142875" y="15240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Back</a:t>
          </a:r>
        </a:p>
      </xdr:txBody>
    </xdr:sp>
    <xdr:clientData/>
  </xdr:twoCellAnchor>
  <xdr:twoCellAnchor editAs="absolute">
    <xdr:from>
      <xdr:col>1</xdr:col>
      <xdr:colOff>1828800</xdr:colOff>
      <xdr:row>0</xdr:row>
      <xdr:rowOff>104775</xdr:rowOff>
    </xdr:from>
    <xdr:to>
      <xdr:col>2</xdr:col>
      <xdr:colOff>5448299</xdr:colOff>
      <xdr:row>0</xdr:row>
      <xdr:rowOff>447561</xdr:rowOff>
    </xdr:to>
    <xdr:sp macro="" textlink="">
      <xdr:nvSpPr>
        <xdr:cNvPr id="5" name="TextBox 4"/>
        <xdr:cNvSpPr txBox="1"/>
      </xdr:nvSpPr>
      <xdr:spPr>
        <a:xfrm>
          <a:off x="1905000" y="104775"/>
          <a:ext cx="582929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600" b="1"/>
            <a:t>Program-Type</a:t>
          </a:r>
          <a:r>
            <a:rPr lang="en-US" sz="1600" b="1" baseline="0"/>
            <a:t> Definitions</a:t>
          </a:r>
          <a:endParaRPr lang="en-US" sz="1200" b="1"/>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11</xdr:col>
      <xdr:colOff>0</xdr:colOff>
      <xdr:row>1</xdr:row>
      <xdr:rowOff>409575</xdr:rowOff>
    </xdr:to>
    <xdr:sp macro="" textlink="">
      <xdr:nvSpPr>
        <xdr:cNvPr id="516983"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2">
      <xdr:nvSpPr>
        <xdr:cNvPr id="3" name="Round Same Side Corner Rectangle 2">
          <a:hlinkClick xmlns:r="http://schemas.openxmlformats.org/officeDocument/2006/relationships" r:id="rId1" tooltip="Click"/>
        </xdr:cNvPr>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A8B2E3BD-F1AD-40B2-A98A-D07AD15B1F03}" type="TxLink">
            <a:rPr lang="en-US" sz="1000" b="1">
              <a:solidFill>
                <a:schemeClr val="lt1"/>
              </a:solidFill>
              <a:latin typeface="+mn-lt"/>
              <a:ea typeface="+mn-ea"/>
              <a:cs typeface="+mn-cs"/>
            </a:rPr>
            <a:pPr marL="0" indent="0" algn="ctr"/>
            <a:t>TPA Information</a:t>
          </a:fld>
          <a:endParaRPr lang="en-US" sz="1000" b="1">
            <a:solidFill>
              <a:schemeClr val="lt1"/>
            </a:solidFill>
            <a:latin typeface="+mn-lt"/>
            <a:ea typeface="+mn-ea"/>
            <a:cs typeface="+mn-cs"/>
          </a:endParaRPr>
        </a:p>
      </xdr:txBody>
    </xdr:sp>
    <xdr:clientData/>
  </xdr:twoCellAnchor>
  <xdr:twoCellAnchor editAs="absolute">
    <xdr:from>
      <xdr:col>2</xdr:col>
      <xdr:colOff>1247775</xdr:colOff>
      <xdr:row>0</xdr:row>
      <xdr:rowOff>66675</xdr:rowOff>
    </xdr:from>
    <xdr:to>
      <xdr:col>3</xdr:col>
      <xdr:colOff>329565</xdr:colOff>
      <xdr:row>0</xdr:row>
      <xdr:rowOff>340995</xdr:rowOff>
    </xdr:to>
    <xdr:sp macro="" textlink="Titles!B3">
      <xdr:nvSpPr>
        <xdr:cNvPr id="4" name="Round Same Side Corner Rectangle 3">
          <a:hlinkClick xmlns:r="http://schemas.openxmlformats.org/officeDocument/2006/relationships" r:id="rId2"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78B91F22-9CBE-4CE4-A536-649DBEACAB72}" type="TxLink">
            <a:rPr lang="en-US" sz="1000" b="1">
              <a:solidFill>
                <a:schemeClr val="lt1"/>
              </a:solidFill>
              <a:latin typeface="+mn-lt"/>
              <a:ea typeface="+mn-ea"/>
              <a:cs typeface="+mn-cs"/>
            </a:rPr>
            <a:pPr marL="0" indent="0" algn="ctr"/>
            <a:t>Program Descriptions</a:t>
          </a:fld>
          <a:endParaRPr lang="en-US" sz="1000" b="1">
            <a:solidFill>
              <a:schemeClr val="lt1"/>
            </a:solidFill>
            <a:latin typeface="+mn-lt"/>
            <a:ea typeface="+mn-ea"/>
            <a:cs typeface="+mn-cs"/>
          </a:endParaRPr>
        </a:p>
      </xdr:txBody>
    </xdr:sp>
    <xdr:clientData/>
  </xdr:twoCellAnchor>
  <xdr:twoCellAnchor editAs="absolute">
    <xdr:from>
      <xdr:col>3</xdr:col>
      <xdr:colOff>342900</xdr:colOff>
      <xdr:row>0</xdr:row>
      <xdr:rowOff>66675</xdr:rowOff>
    </xdr:from>
    <xdr:to>
      <xdr:col>5</xdr:col>
      <xdr:colOff>34290</xdr:colOff>
      <xdr:row>0</xdr:row>
      <xdr:rowOff>340995</xdr:rowOff>
    </xdr:to>
    <xdr:sp macro="" textlink="Titles!B4">
      <xdr:nvSpPr>
        <xdr:cNvPr id="5" name="Round Same Side Corner Rectangle 4"/>
        <xdr:cNvSpPr/>
      </xdr:nvSpPr>
      <xdr:spPr>
        <a:xfrm>
          <a:off x="3038475" y="66675"/>
          <a:ext cx="146304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0779FA87-A6A8-49EC-A0CB-2B0E5786ABD8}" type="TxLink">
            <a:rPr lang="en-US" sz="1000" b="1">
              <a:solidFill>
                <a:sysClr val="windowText" lastClr="000000"/>
              </a:solidFill>
              <a:latin typeface="+mn-lt"/>
              <a:ea typeface="+mn-ea"/>
              <a:cs typeface="+mn-cs"/>
            </a:rPr>
            <a:pPr marL="0" indent="0" algn="ctr"/>
            <a:t>Budgets</a:t>
          </a:fld>
          <a:endParaRPr lang="en-US" sz="1000" b="1">
            <a:solidFill>
              <a:sysClr val="windowText" lastClr="000000"/>
            </a:solidFill>
            <a:latin typeface="+mn-lt"/>
            <a:ea typeface="+mn-ea"/>
            <a:cs typeface="+mn-cs"/>
          </a:endParaRPr>
        </a:p>
      </xdr:txBody>
    </xdr:sp>
    <xdr:clientData/>
  </xdr:twoCellAnchor>
  <xdr:twoCellAnchor editAs="absolute">
    <xdr:from>
      <xdr:col>5</xdr:col>
      <xdr:colOff>57150</xdr:colOff>
      <xdr:row>0</xdr:row>
      <xdr:rowOff>66675</xdr:rowOff>
    </xdr:from>
    <xdr:to>
      <xdr:col>6</xdr:col>
      <xdr:colOff>634365</xdr:colOff>
      <xdr:row>0</xdr:row>
      <xdr:rowOff>340995</xdr:rowOff>
    </xdr:to>
    <xdr:sp macro="" textlink="Titles!B5">
      <xdr:nvSpPr>
        <xdr:cNvPr id="6" name="Round Same Side Corner Rectangle 5">
          <a:hlinkClick xmlns:r="http://schemas.openxmlformats.org/officeDocument/2006/relationships" r:id="rId3" tooltip="Click"/>
        </xdr:cNvPr>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2F7D4E10-191E-4743-B6C2-E0CF685C6C39}" type="TxLink">
            <a:rPr lang="en-US" sz="1000" b="1"/>
            <a:pPr algn="ctr"/>
            <a:t>Savings &amp; Participants</a:t>
          </a:fld>
          <a:endParaRPr lang="en-US" sz="1000" b="1"/>
        </a:p>
      </xdr:txBody>
    </xdr:sp>
    <xdr:clientData/>
  </xdr:twoCellAnchor>
  <xdr:twoCellAnchor editAs="absolute">
    <xdr:from>
      <xdr:col>6</xdr:col>
      <xdr:colOff>647700</xdr:colOff>
      <xdr:row>0</xdr:row>
      <xdr:rowOff>66675</xdr:rowOff>
    </xdr:from>
    <xdr:to>
      <xdr:col>8</xdr:col>
      <xdr:colOff>339090</xdr:colOff>
      <xdr:row>0</xdr:row>
      <xdr:rowOff>340995</xdr:rowOff>
    </xdr:to>
    <xdr:sp macro="" textlink="Titles!B6">
      <xdr:nvSpPr>
        <xdr:cNvPr id="7" name="Round Same Side Corner Rectangle 6">
          <a:hlinkClick xmlns:r="http://schemas.openxmlformats.org/officeDocument/2006/relationships" r:id="rId4" tooltip="Click"/>
        </xdr:cNvPr>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FFC24C98-B702-4B03-8885-3F156ADDEB35}" type="TxLink">
            <a:rPr lang="en-US" sz="1000" b="1"/>
            <a:pPr algn="ctr"/>
            <a:t>Training</a:t>
          </a:fld>
          <a:endParaRPr lang="en-US" sz="1000" b="1"/>
        </a:p>
      </xdr:txBody>
    </xdr:sp>
    <xdr:clientData/>
  </xdr:twoCellAnchor>
  <xdr:twoCellAnchor editAs="absolute">
    <xdr:from>
      <xdr:col>8</xdr:col>
      <xdr:colOff>352424</xdr:colOff>
      <xdr:row>0</xdr:row>
      <xdr:rowOff>66675</xdr:rowOff>
    </xdr:from>
    <xdr:to>
      <xdr:col>10</xdr:col>
      <xdr:colOff>533399</xdr:colOff>
      <xdr:row>0</xdr:row>
      <xdr:rowOff>342900</xdr:rowOff>
    </xdr:to>
    <xdr:sp macro="" textlink="Titles!B7">
      <xdr:nvSpPr>
        <xdr:cNvPr id="8" name="Round Same Side Corner Rectangle 8"/>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3E71BA43-1E03-4747-A736-BDBD7186130A}"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5"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10</xdr:col>
      <xdr:colOff>476250</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Provide RBudget amount for each cost category, including Regulatory at bottom.  </a:t>
          </a:r>
          <a:endParaRPr lang="en-US" sz="900"/>
        </a:p>
      </xdr:txBody>
    </xdr:sp>
    <xdr:clientData/>
  </xdr:twoCellAnchor>
  <xdr:twoCellAnchor editAs="absolute">
    <xdr:from>
      <xdr:col>2</xdr:col>
      <xdr:colOff>1228725</xdr:colOff>
      <xdr:row>0</xdr:row>
      <xdr:rowOff>303787</xdr:rowOff>
    </xdr:from>
    <xdr:to>
      <xdr:col>8</xdr:col>
      <xdr:colOff>361950</xdr:colOff>
      <xdr:row>1</xdr:row>
      <xdr:rowOff>284623</xdr:rowOff>
    </xdr:to>
    <xdr:sp macro="" textlink="Titles!F4">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9246FB84-9560-4272-8406-1DD4101C02A7}" type="TxLink">
            <a:rPr lang="en-US" sz="1600" b="1" i="1" u="none"/>
            <a:pPr algn="ctr"/>
            <a:t>Energy Efficiency Arkansas - 2016 EE Portfolio Information</a:t>
          </a:fld>
          <a:endParaRPr lang="en-US" sz="1600" b="1" i="1" u="none"/>
        </a:p>
      </xdr:txBody>
    </xdr:sp>
    <xdr:clientData/>
  </xdr:twoCellAnchor>
  <xdr:twoCellAnchor editAs="absolute">
    <xdr:from>
      <xdr:col>2</xdr:col>
      <xdr:colOff>1924050</xdr:colOff>
      <xdr:row>1</xdr:row>
      <xdr:rowOff>142875</xdr:rowOff>
    </xdr:from>
    <xdr:to>
      <xdr:col>7</xdr:col>
      <xdr:colOff>552449</xdr:colOff>
      <xdr:row>1</xdr:row>
      <xdr:rowOff>423080</xdr:rowOff>
    </xdr:to>
    <xdr:sp macro="" textlink="Titles!B4">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32DB83C9-2D6B-462C-BC2C-E83465961A72}" type="TxLink">
            <a:rPr lang="en-US" sz="1200" b="0"/>
            <a:pPr algn="ctr"/>
            <a:t>Budgets</a:t>
          </a:fld>
          <a:endParaRPr lang="en-US" sz="1200" b="0"/>
        </a:p>
      </xdr:txBody>
    </xdr:sp>
    <xdr:clientData/>
  </xdr:twoCellAnchor>
  <xdr:twoCellAnchor editAs="absolute">
    <xdr:from>
      <xdr:col>8</xdr:col>
      <xdr:colOff>419100</xdr:colOff>
      <xdr:row>1</xdr:row>
      <xdr:rowOff>95250</xdr:rowOff>
    </xdr:from>
    <xdr:to>
      <xdr:col>9</xdr:col>
      <xdr:colOff>173355</xdr:colOff>
      <xdr:row>1</xdr:row>
      <xdr:rowOff>323850</xdr:rowOff>
    </xdr:to>
    <xdr:sp macro="" textlink="">
      <xdr:nvSpPr>
        <xdr:cNvPr id="13" name="Rounded Rectangle 12">
          <a:hlinkClick xmlns:r="http://schemas.openxmlformats.org/officeDocument/2006/relationships" r:id="rId2"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9</xdr:col>
      <xdr:colOff>219075</xdr:colOff>
      <xdr:row>1</xdr:row>
      <xdr:rowOff>95250</xdr:rowOff>
    </xdr:from>
    <xdr:to>
      <xdr:col>10</xdr:col>
      <xdr:colOff>468630</xdr:colOff>
      <xdr:row>1</xdr:row>
      <xdr:rowOff>323850</xdr:rowOff>
    </xdr:to>
    <xdr:sp macro="" textlink="">
      <xdr:nvSpPr>
        <xdr:cNvPr id="14" name="Rounded Rectangle 13">
          <a:hlinkClick xmlns:r="http://schemas.openxmlformats.org/officeDocument/2006/relationships" r:id="rId3"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11</xdr:col>
      <xdr:colOff>0</xdr:colOff>
      <xdr:row>1</xdr:row>
      <xdr:rowOff>409575</xdr:rowOff>
    </xdr:to>
    <xdr:sp macro="" textlink="">
      <xdr:nvSpPr>
        <xdr:cNvPr id="550671"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2">
      <xdr:nvSpPr>
        <xdr:cNvPr id="3" name="Round Same Side Corner Rectangle 2">
          <a:hlinkClick xmlns:r="http://schemas.openxmlformats.org/officeDocument/2006/relationships" r:id="rId1" tooltip="Click"/>
        </xdr:cNvPr>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CBF83B9B-FD45-48B4-B66B-4AD13EA17213}" type="TxLink">
            <a:rPr lang="en-US" sz="1000" b="1">
              <a:solidFill>
                <a:schemeClr val="lt1"/>
              </a:solidFill>
              <a:latin typeface="+mn-lt"/>
              <a:ea typeface="+mn-ea"/>
              <a:cs typeface="+mn-cs"/>
            </a:rPr>
            <a:pPr marL="0" indent="0" algn="ctr"/>
            <a:t>TPA Information</a:t>
          </a:fld>
          <a:endParaRPr lang="en-US" sz="1000" b="1">
            <a:solidFill>
              <a:schemeClr val="lt1"/>
            </a:solidFill>
            <a:latin typeface="+mn-lt"/>
            <a:ea typeface="+mn-ea"/>
            <a:cs typeface="+mn-cs"/>
          </a:endParaRPr>
        </a:p>
      </xdr:txBody>
    </xdr:sp>
    <xdr:clientData/>
  </xdr:twoCellAnchor>
  <xdr:twoCellAnchor editAs="absolute">
    <xdr:from>
      <xdr:col>2</xdr:col>
      <xdr:colOff>1247775</xdr:colOff>
      <xdr:row>0</xdr:row>
      <xdr:rowOff>66675</xdr:rowOff>
    </xdr:from>
    <xdr:to>
      <xdr:col>3</xdr:col>
      <xdr:colOff>329565</xdr:colOff>
      <xdr:row>0</xdr:row>
      <xdr:rowOff>340995</xdr:rowOff>
    </xdr:to>
    <xdr:sp macro="" textlink="Titles!B3">
      <xdr:nvSpPr>
        <xdr:cNvPr id="4" name="Round Same Side Corner Rectangle 3">
          <a:hlinkClick xmlns:r="http://schemas.openxmlformats.org/officeDocument/2006/relationships" r:id="rId2"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C71E0809-7F6F-4F53-91BC-C992025156D3}" type="TxLink">
            <a:rPr lang="en-US" sz="1000" b="1">
              <a:solidFill>
                <a:schemeClr val="lt1"/>
              </a:solidFill>
              <a:latin typeface="+mn-lt"/>
              <a:ea typeface="+mn-ea"/>
              <a:cs typeface="+mn-cs"/>
            </a:rPr>
            <a:pPr marL="0" indent="0" algn="ctr"/>
            <a:t>Program Descriptions</a:t>
          </a:fld>
          <a:endParaRPr lang="en-US" sz="1000" b="1">
            <a:solidFill>
              <a:schemeClr val="lt1"/>
            </a:solidFill>
            <a:latin typeface="+mn-lt"/>
            <a:ea typeface="+mn-ea"/>
            <a:cs typeface="+mn-cs"/>
          </a:endParaRPr>
        </a:p>
      </xdr:txBody>
    </xdr:sp>
    <xdr:clientData/>
  </xdr:twoCellAnchor>
  <xdr:twoCellAnchor editAs="absolute">
    <xdr:from>
      <xdr:col>3</xdr:col>
      <xdr:colOff>342900</xdr:colOff>
      <xdr:row>0</xdr:row>
      <xdr:rowOff>66675</xdr:rowOff>
    </xdr:from>
    <xdr:to>
      <xdr:col>5</xdr:col>
      <xdr:colOff>34290</xdr:colOff>
      <xdr:row>0</xdr:row>
      <xdr:rowOff>340995</xdr:rowOff>
    </xdr:to>
    <xdr:sp macro="" textlink="Titles!B4">
      <xdr:nvSpPr>
        <xdr:cNvPr id="5" name="Round Same Side Corner Rectangle 4">
          <a:hlinkClick xmlns:r="http://schemas.openxmlformats.org/officeDocument/2006/relationships" r:id="rId3" tooltip="Click"/>
        </xdr:cNvPr>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B53ABCE1-0221-41DD-AA91-FC55D6A0C278}" type="TxLink">
            <a:rPr lang="en-US" sz="1000" b="1">
              <a:solidFill>
                <a:schemeClr val="lt1"/>
              </a:solidFill>
              <a:latin typeface="+mn-lt"/>
              <a:ea typeface="+mn-ea"/>
              <a:cs typeface="+mn-cs"/>
            </a:rPr>
            <a:pPr marL="0" indent="0" algn="ctr"/>
            <a:t>Budgets</a:t>
          </a:fld>
          <a:endParaRPr lang="en-US" sz="1000" b="1">
            <a:solidFill>
              <a:schemeClr val="lt1"/>
            </a:solidFill>
            <a:latin typeface="+mn-lt"/>
            <a:ea typeface="+mn-ea"/>
            <a:cs typeface="+mn-cs"/>
          </a:endParaRPr>
        </a:p>
      </xdr:txBody>
    </xdr:sp>
    <xdr:clientData/>
  </xdr:twoCellAnchor>
  <xdr:twoCellAnchor editAs="absolute">
    <xdr:from>
      <xdr:col>5</xdr:col>
      <xdr:colOff>57150</xdr:colOff>
      <xdr:row>0</xdr:row>
      <xdr:rowOff>66675</xdr:rowOff>
    </xdr:from>
    <xdr:to>
      <xdr:col>7</xdr:col>
      <xdr:colOff>53340</xdr:colOff>
      <xdr:row>0</xdr:row>
      <xdr:rowOff>340995</xdr:rowOff>
    </xdr:to>
    <xdr:sp macro="" textlink="Titles!B5">
      <xdr:nvSpPr>
        <xdr:cNvPr id="6" name="Round Same Side Corner Rectangle 5"/>
        <xdr:cNvSpPr/>
      </xdr:nvSpPr>
      <xdr:spPr>
        <a:xfrm>
          <a:off x="4524375" y="66675"/>
          <a:ext cx="146304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8F4019E5-8430-41C0-93E2-5781E0CBF0FF}" type="TxLink">
            <a:rPr lang="en-US" sz="1000" b="1">
              <a:solidFill>
                <a:sysClr val="windowText" lastClr="000000"/>
              </a:solidFill>
              <a:latin typeface="+mn-lt"/>
              <a:ea typeface="+mn-ea"/>
              <a:cs typeface="+mn-cs"/>
            </a:rPr>
            <a:pPr marL="0" indent="0" algn="ctr"/>
            <a:t>Savings &amp; Participants</a:t>
          </a:fld>
          <a:endParaRPr lang="en-US" sz="1000" b="1">
            <a:solidFill>
              <a:sysClr val="windowText" lastClr="000000"/>
            </a:solidFill>
            <a:latin typeface="+mn-lt"/>
            <a:ea typeface="+mn-ea"/>
            <a:cs typeface="+mn-cs"/>
          </a:endParaRPr>
        </a:p>
      </xdr:txBody>
    </xdr:sp>
    <xdr:clientData/>
  </xdr:twoCellAnchor>
  <xdr:twoCellAnchor editAs="absolute">
    <xdr:from>
      <xdr:col>7</xdr:col>
      <xdr:colOff>66675</xdr:colOff>
      <xdr:row>0</xdr:row>
      <xdr:rowOff>66675</xdr:rowOff>
    </xdr:from>
    <xdr:to>
      <xdr:col>8</xdr:col>
      <xdr:colOff>158115</xdr:colOff>
      <xdr:row>0</xdr:row>
      <xdr:rowOff>340995</xdr:rowOff>
    </xdr:to>
    <xdr:sp macro="" textlink="Titles!B6">
      <xdr:nvSpPr>
        <xdr:cNvPr id="7" name="Round Same Side Corner Rectangle 6">
          <a:hlinkClick xmlns:r="http://schemas.openxmlformats.org/officeDocument/2006/relationships" r:id="rId4" tooltip="Click"/>
        </xdr:cNvPr>
        <xdr:cNvSpPr/>
      </xdr:nvSpPr>
      <xdr:spPr>
        <a:xfrm>
          <a:off x="600075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fld id="{103A4909-1A04-4599-9FBB-D7B7333DF3F8}" type="TxLink">
            <a:rPr lang="en-US" sz="1000" b="1"/>
            <a:pPr algn="ctr"/>
            <a:t>Training</a:t>
          </a:fld>
          <a:endParaRPr lang="en-US" sz="1000" b="1"/>
        </a:p>
      </xdr:txBody>
    </xdr:sp>
    <xdr:clientData/>
  </xdr:twoCellAnchor>
  <xdr:twoCellAnchor editAs="absolute">
    <xdr:from>
      <xdr:col>8</xdr:col>
      <xdr:colOff>171449</xdr:colOff>
      <xdr:row>0</xdr:row>
      <xdr:rowOff>66675</xdr:rowOff>
    </xdr:from>
    <xdr:to>
      <xdr:col>10</xdr:col>
      <xdr:colOff>352424</xdr:colOff>
      <xdr:row>0</xdr:row>
      <xdr:rowOff>342900</xdr:rowOff>
    </xdr:to>
    <xdr:sp macro="" textlink="Titles!B7">
      <xdr:nvSpPr>
        <xdr:cNvPr id="8" name="Round Same Side Corner Rectangle 8">
          <a:hlinkClick xmlns:r="http://schemas.openxmlformats.org/officeDocument/2006/relationships" r:id="rId5" tooltip="Click"/>
        </xdr:cNvPr>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E79188ED-C160-456F-8B9F-F547B4F3102B}"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6"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10</xdr:col>
      <xdr:colOff>295275</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Provide demand savings, energy savings, number of participants and the participant definition for each program.</a:t>
          </a:r>
          <a:endParaRPr lang="en-US"/>
        </a:p>
      </xdr:txBody>
    </xdr:sp>
    <xdr:clientData/>
  </xdr:twoCellAnchor>
  <xdr:twoCellAnchor editAs="absolute">
    <xdr:from>
      <xdr:col>2</xdr:col>
      <xdr:colOff>1228725</xdr:colOff>
      <xdr:row>0</xdr:row>
      <xdr:rowOff>303787</xdr:rowOff>
    </xdr:from>
    <xdr:to>
      <xdr:col>8</xdr:col>
      <xdr:colOff>180975</xdr:colOff>
      <xdr:row>1</xdr:row>
      <xdr:rowOff>284623</xdr:rowOff>
    </xdr:to>
    <xdr:sp macro="" textlink="Titles!F4">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32CA0A03-4722-4DA8-93CA-5D8F989FDF93}" type="TxLink">
            <a:rPr lang="en-US" sz="1600" b="1" i="1" u="none"/>
            <a:pPr algn="ctr"/>
            <a:t>Energy Efficiency Arkansas - 2016 EE Portfolio Information</a:t>
          </a:fld>
          <a:endParaRPr lang="en-US" sz="1600" b="1" i="1" u="none"/>
        </a:p>
      </xdr:txBody>
    </xdr:sp>
    <xdr:clientData/>
  </xdr:twoCellAnchor>
  <xdr:twoCellAnchor editAs="absolute">
    <xdr:from>
      <xdr:col>2</xdr:col>
      <xdr:colOff>1924050</xdr:colOff>
      <xdr:row>1</xdr:row>
      <xdr:rowOff>142875</xdr:rowOff>
    </xdr:from>
    <xdr:to>
      <xdr:col>7</xdr:col>
      <xdr:colOff>857249</xdr:colOff>
      <xdr:row>1</xdr:row>
      <xdr:rowOff>423080</xdr:rowOff>
    </xdr:to>
    <xdr:sp macro="" textlink="Titles!B5">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C1FC2FBE-4E84-460F-8354-E55103FD8DC9}" type="TxLink">
            <a:rPr lang="en-US" sz="1200" b="0"/>
            <a:pPr algn="ctr"/>
            <a:t>Savings &amp; Participants</a:t>
          </a:fld>
          <a:endParaRPr lang="en-US" sz="1200" b="0"/>
        </a:p>
      </xdr:txBody>
    </xdr:sp>
    <xdr:clientData/>
  </xdr:twoCellAnchor>
  <xdr:twoCellAnchor editAs="absolute">
    <xdr:from>
      <xdr:col>8</xdr:col>
      <xdr:colOff>238125</xdr:colOff>
      <xdr:row>1</xdr:row>
      <xdr:rowOff>95250</xdr:rowOff>
    </xdr:from>
    <xdr:to>
      <xdr:col>8</xdr:col>
      <xdr:colOff>878205</xdr:colOff>
      <xdr:row>1</xdr:row>
      <xdr:rowOff>323850</xdr:rowOff>
    </xdr:to>
    <xdr:sp macro="" textlink="">
      <xdr:nvSpPr>
        <xdr:cNvPr id="13" name="Rounded Rectangle 12">
          <a:hlinkClick xmlns:r="http://schemas.openxmlformats.org/officeDocument/2006/relationships" r:id="rId3"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9</xdr:col>
      <xdr:colOff>38100</xdr:colOff>
      <xdr:row>1</xdr:row>
      <xdr:rowOff>95250</xdr:rowOff>
    </xdr:from>
    <xdr:to>
      <xdr:col>10</xdr:col>
      <xdr:colOff>287655</xdr:colOff>
      <xdr:row>1</xdr:row>
      <xdr:rowOff>323850</xdr:rowOff>
    </xdr:to>
    <xdr:sp macro="" textlink="">
      <xdr:nvSpPr>
        <xdr:cNvPr id="14" name="Rounded Rectangle 13">
          <a:hlinkClick xmlns:r="http://schemas.openxmlformats.org/officeDocument/2006/relationships" r:id="rId4"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9525</xdr:colOff>
      <xdr:row>1</xdr:row>
      <xdr:rowOff>0</xdr:rowOff>
    </xdr:from>
    <xdr:to>
      <xdr:col>11</xdr:col>
      <xdr:colOff>0</xdr:colOff>
      <xdr:row>1</xdr:row>
      <xdr:rowOff>409575</xdr:rowOff>
    </xdr:to>
    <xdr:sp macro="" textlink="">
      <xdr:nvSpPr>
        <xdr:cNvPr id="755749" name="Rectangle 365"/>
        <xdr:cNvSpPr>
          <a:spLocks noChangeArrowheads="1"/>
        </xdr:cNvSpPr>
      </xdr:nvSpPr>
      <xdr:spPr bwMode="auto">
        <a:xfrm>
          <a:off x="76200" y="361950"/>
          <a:ext cx="8858250" cy="409575"/>
        </a:xfrm>
        <a:prstGeom prst="rect">
          <a:avLst/>
        </a:prstGeom>
        <a:solidFill>
          <a:srgbClr val="4F81BD"/>
        </a:solidFill>
        <a:ln w="25400" algn="ctr">
          <a:solidFill>
            <a:srgbClr val="385D8A"/>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xdr:col>
      <xdr:colOff>9525</xdr:colOff>
      <xdr:row>0</xdr:row>
      <xdr:rowOff>66674</xdr:rowOff>
    </xdr:from>
    <xdr:to>
      <xdr:col>2</xdr:col>
      <xdr:colOff>1243965</xdr:colOff>
      <xdr:row>0</xdr:row>
      <xdr:rowOff>340994</xdr:rowOff>
    </xdr:to>
    <xdr:sp macro="" textlink="Titles!B2">
      <xdr:nvSpPr>
        <xdr:cNvPr id="3" name="Round Same Side Corner Rectangle 2">
          <a:hlinkClick xmlns:r="http://schemas.openxmlformats.org/officeDocument/2006/relationships" r:id="rId1" tooltip="Click"/>
        </xdr:cNvPr>
        <xdr:cNvSpPr/>
      </xdr:nvSpPr>
      <xdr:spPr>
        <a:xfrm>
          <a:off x="76200" y="66674"/>
          <a:ext cx="148209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0CD5AA64-4786-4BCC-A41C-34C39E6B08D5}" type="TxLink">
            <a:rPr lang="en-US" sz="1000" b="1">
              <a:solidFill>
                <a:schemeClr val="lt1"/>
              </a:solidFill>
              <a:latin typeface="+mn-lt"/>
              <a:ea typeface="+mn-ea"/>
              <a:cs typeface="+mn-cs"/>
            </a:rPr>
            <a:pPr marL="0" indent="0" algn="ctr"/>
            <a:t>TPA Information</a:t>
          </a:fld>
          <a:endParaRPr lang="en-US" sz="1000" b="1">
            <a:solidFill>
              <a:schemeClr val="lt1"/>
            </a:solidFill>
            <a:latin typeface="+mn-lt"/>
            <a:ea typeface="+mn-ea"/>
            <a:cs typeface="+mn-cs"/>
          </a:endParaRPr>
        </a:p>
      </xdr:txBody>
    </xdr:sp>
    <xdr:clientData/>
  </xdr:twoCellAnchor>
  <xdr:twoCellAnchor editAs="absolute">
    <xdr:from>
      <xdr:col>2</xdr:col>
      <xdr:colOff>1247775</xdr:colOff>
      <xdr:row>0</xdr:row>
      <xdr:rowOff>66675</xdr:rowOff>
    </xdr:from>
    <xdr:to>
      <xdr:col>4</xdr:col>
      <xdr:colOff>262890</xdr:colOff>
      <xdr:row>0</xdr:row>
      <xdr:rowOff>340995</xdr:rowOff>
    </xdr:to>
    <xdr:sp macro="" textlink="Titles!B3">
      <xdr:nvSpPr>
        <xdr:cNvPr id="4" name="Round Same Side Corner Rectangle 3">
          <a:hlinkClick xmlns:r="http://schemas.openxmlformats.org/officeDocument/2006/relationships" r:id="rId2" tooltip="Click"/>
        </xdr:cNvPr>
        <xdr:cNvSpPr/>
      </xdr:nvSpPr>
      <xdr:spPr>
        <a:xfrm>
          <a:off x="1562100"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5DAB8526-636A-4292-BB33-F9DA88EF2B83}" type="TxLink">
            <a:rPr lang="en-US" sz="1000" b="1">
              <a:solidFill>
                <a:schemeClr val="lt1"/>
              </a:solidFill>
              <a:latin typeface="+mn-lt"/>
              <a:ea typeface="+mn-ea"/>
              <a:cs typeface="+mn-cs"/>
            </a:rPr>
            <a:pPr marL="0" indent="0" algn="ctr"/>
            <a:t>Program Descriptions</a:t>
          </a:fld>
          <a:endParaRPr lang="en-US" sz="1000" b="1">
            <a:solidFill>
              <a:schemeClr val="lt1"/>
            </a:solidFill>
            <a:latin typeface="+mn-lt"/>
            <a:ea typeface="+mn-ea"/>
            <a:cs typeface="+mn-cs"/>
          </a:endParaRPr>
        </a:p>
      </xdr:txBody>
    </xdr:sp>
    <xdr:clientData/>
  </xdr:twoCellAnchor>
  <xdr:twoCellAnchor editAs="absolute">
    <xdr:from>
      <xdr:col>4</xdr:col>
      <xdr:colOff>276225</xdr:colOff>
      <xdr:row>0</xdr:row>
      <xdr:rowOff>66675</xdr:rowOff>
    </xdr:from>
    <xdr:to>
      <xdr:col>5</xdr:col>
      <xdr:colOff>691515</xdr:colOff>
      <xdr:row>0</xdr:row>
      <xdr:rowOff>340995</xdr:rowOff>
    </xdr:to>
    <xdr:sp macro="" textlink="Titles!B4">
      <xdr:nvSpPr>
        <xdr:cNvPr id="5" name="Round Same Side Corner Rectangle 4">
          <a:hlinkClick xmlns:r="http://schemas.openxmlformats.org/officeDocument/2006/relationships" r:id="rId3" tooltip="Click"/>
        </xdr:cNvPr>
        <xdr:cNvSpPr/>
      </xdr:nvSpPr>
      <xdr:spPr>
        <a:xfrm>
          <a:off x="30384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E48F6EF9-8AF5-4422-AD2E-B6D6ED496DA3}" type="TxLink">
            <a:rPr lang="en-US" sz="1000" b="1">
              <a:solidFill>
                <a:schemeClr val="lt1"/>
              </a:solidFill>
              <a:latin typeface="+mn-lt"/>
              <a:ea typeface="+mn-ea"/>
              <a:cs typeface="+mn-cs"/>
            </a:rPr>
            <a:pPr marL="0" indent="0" algn="ctr"/>
            <a:t>Budgets</a:t>
          </a:fld>
          <a:endParaRPr lang="en-US" sz="1000" b="1">
            <a:solidFill>
              <a:schemeClr val="lt1"/>
            </a:solidFill>
            <a:latin typeface="+mn-lt"/>
            <a:ea typeface="+mn-ea"/>
            <a:cs typeface="+mn-cs"/>
          </a:endParaRPr>
        </a:p>
      </xdr:txBody>
    </xdr:sp>
    <xdr:clientData/>
  </xdr:twoCellAnchor>
  <xdr:twoCellAnchor editAs="absolute">
    <xdr:from>
      <xdr:col>5</xdr:col>
      <xdr:colOff>714375</xdr:colOff>
      <xdr:row>0</xdr:row>
      <xdr:rowOff>66675</xdr:rowOff>
    </xdr:from>
    <xdr:to>
      <xdr:col>7</xdr:col>
      <xdr:colOff>81915</xdr:colOff>
      <xdr:row>0</xdr:row>
      <xdr:rowOff>340995</xdr:rowOff>
    </xdr:to>
    <xdr:sp macro="" textlink="Titles!B5">
      <xdr:nvSpPr>
        <xdr:cNvPr id="6" name="Round Same Side Corner Rectangle 5">
          <a:hlinkClick xmlns:r="http://schemas.openxmlformats.org/officeDocument/2006/relationships" r:id="rId4" tooltip="Click"/>
        </xdr:cNvPr>
        <xdr:cNvSpPr/>
      </xdr:nvSpPr>
      <xdr:spPr>
        <a:xfrm>
          <a:off x="4524375" y="66675"/>
          <a:ext cx="1463040" cy="27432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02ADCAE1-65B0-4E5C-BBF4-D5CB53B46012}" type="TxLink">
            <a:rPr lang="en-US" sz="1000" b="1">
              <a:solidFill>
                <a:schemeClr val="lt1"/>
              </a:solidFill>
              <a:latin typeface="+mn-lt"/>
              <a:ea typeface="+mn-ea"/>
              <a:cs typeface="+mn-cs"/>
            </a:rPr>
            <a:pPr marL="0" indent="0" algn="ctr"/>
            <a:t>Savings &amp; Participants</a:t>
          </a:fld>
          <a:endParaRPr lang="en-US" sz="1000" b="1">
            <a:solidFill>
              <a:schemeClr val="lt1"/>
            </a:solidFill>
            <a:latin typeface="+mn-lt"/>
            <a:ea typeface="+mn-ea"/>
            <a:cs typeface="+mn-cs"/>
          </a:endParaRPr>
        </a:p>
      </xdr:txBody>
    </xdr:sp>
    <xdr:clientData/>
  </xdr:twoCellAnchor>
  <xdr:twoCellAnchor editAs="absolute">
    <xdr:from>
      <xdr:col>7</xdr:col>
      <xdr:colOff>95250</xdr:colOff>
      <xdr:row>0</xdr:row>
      <xdr:rowOff>66675</xdr:rowOff>
    </xdr:from>
    <xdr:to>
      <xdr:col>8</xdr:col>
      <xdr:colOff>510540</xdr:colOff>
      <xdr:row>0</xdr:row>
      <xdr:rowOff>340995</xdr:rowOff>
    </xdr:to>
    <xdr:sp macro="" textlink="Titles!B6">
      <xdr:nvSpPr>
        <xdr:cNvPr id="7" name="Round Same Side Corner Rectangle 6"/>
        <xdr:cNvSpPr/>
      </xdr:nvSpPr>
      <xdr:spPr>
        <a:xfrm>
          <a:off x="6000750" y="66675"/>
          <a:ext cx="1463040" cy="274320"/>
        </a:xfrm>
        <a:prstGeom prst="round2Same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fld id="{B8BD59F8-7719-4A82-954B-8FF0F5E43D6F}" type="TxLink">
            <a:rPr lang="en-US" sz="1000" b="1">
              <a:solidFill>
                <a:sysClr val="windowText" lastClr="000000"/>
              </a:solidFill>
              <a:latin typeface="+mn-lt"/>
              <a:ea typeface="+mn-ea"/>
              <a:cs typeface="+mn-cs"/>
            </a:rPr>
            <a:pPr marL="0" indent="0" algn="ctr"/>
            <a:t>Training</a:t>
          </a:fld>
          <a:endParaRPr lang="en-US" sz="1000" b="1">
            <a:solidFill>
              <a:sysClr val="windowText" lastClr="000000"/>
            </a:solidFill>
            <a:latin typeface="+mn-lt"/>
            <a:ea typeface="+mn-ea"/>
            <a:cs typeface="+mn-cs"/>
          </a:endParaRPr>
        </a:p>
      </xdr:txBody>
    </xdr:sp>
    <xdr:clientData/>
  </xdr:twoCellAnchor>
  <xdr:twoCellAnchor editAs="absolute">
    <xdr:from>
      <xdr:col>8</xdr:col>
      <xdr:colOff>523874</xdr:colOff>
      <xdr:row>0</xdr:row>
      <xdr:rowOff>66675</xdr:rowOff>
    </xdr:from>
    <xdr:to>
      <xdr:col>10</xdr:col>
      <xdr:colOff>704849</xdr:colOff>
      <xdr:row>0</xdr:row>
      <xdr:rowOff>342900</xdr:rowOff>
    </xdr:to>
    <xdr:sp macro="" textlink="Titles!B7">
      <xdr:nvSpPr>
        <xdr:cNvPr id="8" name="Round Same Side Corner Rectangle 8"/>
        <xdr:cNvSpPr>
          <a:spLocks/>
        </xdr:cNvSpPr>
      </xdr:nvSpPr>
      <xdr:spPr bwMode="auto">
        <a:xfrm>
          <a:off x="7477124" y="66675"/>
          <a:ext cx="1457325" cy="276225"/>
        </a:xfrm>
        <a:custGeom>
          <a:avLst/>
          <a:gdLst>
            <a:gd name="T0" fmla="*/ 45721 w 1447800"/>
            <a:gd name="T1" fmla="*/ 0 h 274320"/>
            <a:gd name="T2" fmla="*/ 1402079 w 1447800"/>
            <a:gd name="T3" fmla="*/ 0 h 274320"/>
            <a:gd name="T4" fmla="*/ 1447800 w 1447800"/>
            <a:gd name="T5" fmla="*/ 45721 h 274320"/>
            <a:gd name="T6" fmla="*/ 1447800 w 1447800"/>
            <a:gd name="T7" fmla="*/ 274320 h 274320"/>
            <a:gd name="T8" fmla="*/ 1447800 w 1447800"/>
            <a:gd name="T9" fmla="*/ 274320 h 274320"/>
            <a:gd name="T10" fmla="*/ 0 w 1447800"/>
            <a:gd name="T11" fmla="*/ 274320 h 274320"/>
            <a:gd name="T12" fmla="*/ 0 w 1447800"/>
            <a:gd name="T13" fmla="*/ 274320 h 274320"/>
            <a:gd name="T14" fmla="*/ 0 w 1447800"/>
            <a:gd name="T15" fmla="*/ 45721 h 274320"/>
            <a:gd name="T16" fmla="*/ 45721 w 1447800"/>
            <a:gd name="T17" fmla="*/ 0 h 274320"/>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47800"/>
            <a:gd name="T28" fmla="*/ 0 h 274320"/>
            <a:gd name="T29" fmla="*/ 1447800 w 1447800"/>
            <a:gd name="T30" fmla="*/ 274320 h 274320"/>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47800" h="274320">
              <a:moveTo>
                <a:pt x="45721" y="0"/>
              </a:moveTo>
              <a:lnTo>
                <a:pt x="1402079" y="0"/>
              </a:lnTo>
              <a:cubicBezTo>
                <a:pt x="1427330" y="0"/>
                <a:pt x="1447800" y="20470"/>
                <a:pt x="1447800" y="45721"/>
              </a:cubicBezTo>
              <a:lnTo>
                <a:pt x="1447800" y="274320"/>
              </a:lnTo>
              <a:lnTo>
                <a:pt x="0" y="274320"/>
              </a:lnTo>
              <a:lnTo>
                <a:pt x="0" y="45721"/>
              </a:lnTo>
              <a:cubicBezTo>
                <a:pt x="0" y="20470"/>
                <a:pt x="20470" y="0"/>
                <a:pt x="45721" y="0"/>
              </a:cubicBezTo>
              <a:close/>
            </a:path>
          </a:pathLst>
        </a:custGeom>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rtl="0">
            <a:defRPr sz="1000"/>
          </a:pPr>
          <a:fld id="{369A1120-9668-45C2-88A5-D8C7EB2F89D1}" type="TxLink">
            <a:rPr lang="en-US" sz="1000" b="1">
              <a:solidFill>
                <a:schemeClr val="lt1"/>
              </a:solidFill>
              <a:latin typeface="+mn-lt"/>
              <a:ea typeface="+mn-ea"/>
              <a:cs typeface="+mn-cs"/>
            </a:rPr>
            <a:pPr marL="0" indent="0" algn="ctr" rtl="0">
              <a:defRPr sz="1000"/>
            </a:pPr>
            <a:t>Not Used</a:t>
          </a:fld>
          <a:endParaRPr lang="en-US" sz="1000" b="1">
            <a:solidFill>
              <a:schemeClr val="lt1"/>
            </a:solidFill>
            <a:latin typeface="+mn-lt"/>
            <a:ea typeface="+mn-ea"/>
            <a:cs typeface="+mn-cs"/>
          </a:endParaRPr>
        </a:p>
      </xdr:txBody>
    </xdr:sp>
    <xdr:clientData/>
  </xdr:twoCellAnchor>
  <xdr:twoCellAnchor editAs="absolute">
    <xdr:from>
      <xdr:col>1</xdr:col>
      <xdr:colOff>114300</xdr:colOff>
      <xdr:row>1</xdr:row>
      <xdr:rowOff>76200</xdr:rowOff>
    </xdr:from>
    <xdr:to>
      <xdr:col>2</xdr:col>
      <xdr:colOff>866775</xdr:colOff>
      <xdr:row>1</xdr:row>
      <xdr:rowOff>304800</xdr:rowOff>
    </xdr:to>
    <xdr:sp macro="" textlink="">
      <xdr:nvSpPr>
        <xdr:cNvPr id="9" name="Rounded Rectangle 8">
          <a:hlinkClick xmlns:r="http://schemas.openxmlformats.org/officeDocument/2006/relationships" r:id="rId5" tooltip="Click"/>
        </xdr:cNvPr>
        <xdr:cNvSpPr/>
      </xdr:nvSpPr>
      <xdr:spPr>
        <a:xfrm>
          <a:off x="180975" y="438150"/>
          <a:ext cx="10001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a:solidFill>
                <a:sysClr val="windowText" lastClr="000000"/>
              </a:solidFill>
            </a:rPr>
            <a:t>Main Menu</a:t>
          </a:r>
        </a:p>
      </xdr:txBody>
    </xdr:sp>
    <xdr:clientData/>
  </xdr:twoCellAnchor>
  <xdr:twoCellAnchor editAs="absolute">
    <xdr:from>
      <xdr:col>1</xdr:col>
      <xdr:colOff>85725</xdr:colOff>
      <xdr:row>1</xdr:row>
      <xdr:rowOff>447674</xdr:rowOff>
    </xdr:from>
    <xdr:to>
      <xdr:col>10</xdr:col>
      <xdr:colOff>647700</xdr:colOff>
      <xdr:row>1</xdr:row>
      <xdr:rowOff>781049</xdr:rowOff>
    </xdr:to>
    <xdr:sp macro="" textlink="">
      <xdr:nvSpPr>
        <xdr:cNvPr id="10" name="Rounded Rectangle 6"/>
        <xdr:cNvSpPr>
          <a:spLocks noChangeArrowheads="1"/>
        </xdr:cNvSpPr>
      </xdr:nvSpPr>
      <xdr:spPr bwMode="auto">
        <a:xfrm>
          <a:off x="152400" y="809624"/>
          <a:ext cx="8724900" cy="333375"/>
        </a:xfrm>
        <a:prstGeom prst="roundRect">
          <a:avLst>
            <a:gd name="adj" fmla="val 16667"/>
          </a:avLst>
        </a:prstGeom>
        <a:gradFill rotWithShape="1">
          <a:gsLst>
            <a:gs pos="0">
              <a:srgbClr val="A3C4FF"/>
            </a:gs>
            <a:gs pos="35001">
              <a:srgbClr val="BFD5FF"/>
            </a:gs>
            <a:gs pos="100000">
              <a:srgbClr val="E5EEFF"/>
            </a:gs>
          </a:gsLst>
          <a:lin ang="16200000" scaled="1"/>
        </a:gradFill>
        <a:ln w="9525" algn="ctr">
          <a:solidFill>
            <a:srgbClr val="4A7EBB"/>
          </a:solidFill>
          <a:round/>
          <a:headEnd/>
          <a:tailEnd/>
        </a:ln>
        <a:effectLst>
          <a:outerShdw blurRad="40000" dist="20000" dir="5400000" rotWithShape="0">
            <a:srgbClr val="000000">
              <a:alpha val="37999"/>
            </a:srgbClr>
          </a:outerShdw>
        </a:effectLst>
      </xdr:spPr>
      <xdr:txBody>
        <a:bodyPr vertOverflow="clip" wrap="square" lIns="27432" tIns="22860" rIns="0" bIns="22860" anchor="ctr" upright="1"/>
        <a:lstStyle/>
        <a:p>
          <a:pPr algn="l" rtl="0">
            <a:defRPr sz="1000"/>
          </a:pPr>
          <a:r>
            <a:rPr lang="en-US" sz="1000" b="1" i="0" u="none" strike="noStrike" baseline="0">
              <a:solidFill>
                <a:srgbClr val="000000"/>
              </a:solidFill>
              <a:latin typeface="Calibri"/>
              <a:cs typeface="Calibri"/>
            </a:rPr>
            <a:t>Instructions:  </a:t>
          </a:r>
          <a:r>
            <a:rPr lang="en-US" sz="900" b="0" i="0" u="none" strike="noStrike" baseline="0">
              <a:solidFill>
                <a:srgbClr val="000000"/>
              </a:solidFill>
              <a:latin typeface="Calibri"/>
              <a:cs typeface="Calibri"/>
            </a:rPr>
            <a:t>Provide details for both External and Internal Training by clicking the "Details" button.  Provide the Cost associated with the training.</a:t>
          </a:r>
          <a:endParaRPr lang="en-US" sz="900"/>
        </a:p>
      </xdr:txBody>
    </xdr:sp>
    <xdr:clientData/>
  </xdr:twoCellAnchor>
  <xdr:twoCellAnchor editAs="absolute">
    <xdr:from>
      <xdr:col>2</xdr:col>
      <xdr:colOff>1228725</xdr:colOff>
      <xdr:row>0</xdr:row>
      <xdr:rowOff>303787</xdr:rowOff>
    </xdr:from>
    <xdr:to>
      <xdr:col>8</xdr:col>
      <xdr:colOff>533400</xdr:colOff>
      <xdr:row>1</xdr:row>
      <xdr:rowOff>284623</xdr:rowOff>
    </xdr:to>
    <xdr:sp macro="" textlink="Titles!F4">
      <xdr:nvSpPr>
        <xdr:cNvPr id="11" name="TextBox 10"/>
        <xdr:cNvSpPr txBox="1"/>
      </xdr:nvSpPr>
      <xdr:spPr>
        <a:xfrm>
          <a:off x="1543050" y="303787"/>
          <a:ext cx="5943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D559BE9E-6648-436B-949D-3F6578C2ED43}" type="TxLink">
            <a:rPr lang="en-US" sz="1600" b="1" i="1" u="none"/>
            <a:pPr algn="ctr"/>
            <a:t>Energy Efficiency Arkansas - 2016 EE Portfolio Information</a:t>
          </a:fld>
          <a:endParaRPr lang="en-US" sz="1600" b="1" i="1" u="none"/>
        </a:p>
      </xdr:txBody>
    </xdr:sp>
    <xdr:clientData/>
  </xdr:twoCellAnchor>
  <xdr:twoCellAnchor editAs="absolute">
    <xdr:from>
      <xdr:col>3</xdr:col>
      <xdr:colOff>523875</xdr:colOff>
      <xdr:row>1</xdr:row>
      <xdr:rowOff>142875</xdr:rowOff>
    </xdr:from>
    <xdr:to>
      <xdr:col>7</xdr:col>
      <xdr:colOff>885824</xdr:colOff>
      <xdr:row>1</xdr:row>
      <xdr:rowOff>423080</xdr:rowOff>
    </xdr:to>
    <xdr:sp macro="" textlink="Titles!B6">
      <xdr:nvSpPr>
        <xdr:cNvPr id="12" name="TextBox 11"/>
        <xdr:cNvSpPr txBox="1"/>
      </xdr:nvSpPr>
      <xdr:spPr>
        <a:xfrm>
          <a:off x="2238375" y="504825"/>
          <a:ext cx="455294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58F31C3C-2445-486E-9211-6E08EF018B14}" type="TxLink">
            <a:rPr lang="en-US" sz="1200" b="0"/>
            <a:pPr algn="ctr"/>
            <a:t>Training</a:t>
          </a:fld>
          <a:endParaRPr lang="en-US" sz="1200" b="0"/>
        </a:p>
      </xdr:txBody>
    </xdr:sp>
    <xdr:clientData/>
  </xdr:twoCellAnchor>
  <xdr:twoCellAnchor editAs="absolute">
    <xdr:from>
      <xdr:col>8</xdr:col>
      <xdr:colOff>590550</xdr:colOff>
      <xdr:row>1</xdr:row>
      <xdr:rowOff>95250</xdr:rowOff>
    </xdr:from>
    <xdr:to>
      <xdr:col>9</xdr:col>
      <xdr:colOff>344805</xdr:colOff>
      <xdr:row>1</xdr:row>
      <xdr:rowOff>323850</xdr:rowOff>
    </xdr:to>
    <xdr:sp macro="" textlink="">
      <xdr:nvSpPr>
        <xdr:cNvPr id="13" name="Rounded Rectangle 12">
          <a:hlinkClick xmlns:r="http://schemas.openxmlformats.org/officeDocument/2006/relationships" r:id="rId4" tooltip="Click"/>
        </xdr:cNvPr>
        <xdr:cNvSpPr/>
      </xdr:nvSpPr>
      <xdr:spPr>
        <a:xfrm>
          <a:off x="75438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latin typeface="+mn-lt"/>
            </a:rPr>
            <a:t>&lt;&lt; Back</a:t>
          </a:r>
        </a:p>
      </xdr:txBody>
    </xdr:sp>
    <xdr:clientData/>
  </xdr:twoCellAnchor>
  <xdr:twoCellAnchor editAs="absolute">
    <xdr:from>
      <xdr:col>10</xdr:col>
      <xdr:colOff>0</xdr:colOff>
      <xdr:row>1</xdr:row>
      <xdr:rowOff>95250</xdr:rowOff>
    </xdr:from>
    <xdr:to>
      <xdr:col>10</xdr:col>
      <xdr:colOff>640080</xdr:colOff>
      <xdr:row>1</xdr:row>
      <xdr:rowOff>323850</xdr:rowOff>
    </xdr:to>
    <xdr:sp macro="" textlink="">
      <xdr:nvSpPr>
        <xdr:cNvPr id="14" name="Rounded Rectangle 13">
          <a:hlinkClick xmlns:r="http://schemas.openxmlformats.org/officeDocument/2006/relationships" r:id="rId5" tooltip="Click"/>
        </xdr:cNvPr>
        <xdr:cNvSpPr/>
      </xdr:nvSpPr>
      <xdr:spPr>
        <a:xfrm>
          <a:off x="8229600" y="457200"/>
          <a:ext cx="640080" cy="2286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bg1"/>
              </a:solidFill>
            </a:rPr>
            <a:t>Next</a:t>
          </a:r>
          <a:r>
            <a:rPr lang="en-US" sz="1000" baseline="0">
              <a:solidFill>
                <a:schemeClr val="bg1"/>
              </a:solidFill>
            </a:rPr>
            <a:t> &gt;&gt;</a:t>
          </a:r>
          <a:endParaRPr lang="en-US" sz="1000">
            <a:solidFill>
              <a:schemeClr val="bg1"/>
            </a:solidFill>
          </a:endParaRPr>
        </a:p>
      </xdr:txBody>
    </xdr:sp>
    <xdr:clientData/>
  </xdr:twoCellAnchor>
  <xdr:twoCellAnchor editAs="absolute">
    <xdr:from>
      <xdr:col>2</xdr:col>
      <xdr:colOff>19050</xdr:colOff>
      <xdr:row>6</xdr:row>
      <xdr:rowOff>9526</xdr:rowOff>
    </xdr:from>
    <xdr:to>
      <xdr:col>2</xdr:col>
      <xdr:colOff>1095375</xdr:colOff>
      <xdr:row>7</xdr:row>
      <xdr:rowOff>47626</xdr:rowOff>
    </xdr:to>
    <xdr:sp macro="" textlink="">
      <xdr:nvSpPr>
        <xdr:cNvPr id="15" name="Rounded Rectangle 14">
          <a:hlinkClick xmlns:r="http://schemas.openxmlformats.org/officeDocument/2006/relationships" r:id="rId6" tooltip="Click"/>
        </xdr:cNvPr>
        <xdr:cNvSpPr/>
      </xdr:nvSpPr>
      <xdr:spPr>
        <a:xfrm>
          <a:off x="333375" y="1857376"/>
          <a:ext cx="10763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baseline="0">
              <a:solidFill>
                <a:sysClr val="windowText" lastClr="000000"/>
              </a:solidFill>
            </a:rPr>
            <a:t>Details</a:t>
          </a:r>
          <a:endParaRPr lang="en-US" b="1">
            <a:solidFill>
              <a:sysClr val="windowText" lastClr="000000"/>
            </a:solidFill>
          </a:endParaRPr>
        </a:p>
      </xdr:txBody>
    </xdr:sp>
    <xdr:clientData/>
  </xdr:twoCellAnchor>
  <xdr:twoCellAnchor editAs="absolute">
    <xdr:from>
      <xdr:col>2</xdr:col>
      <xdr:colOff>9525</xdr:colOff>
      <xdr:row>12</xdr:row>
      <xdr:rowOff>9525</xdr:rowOff>
    </xdr:from>
    <xdr:to>
      <xdr:col>2</xdr:col>
      <xdr:colOff>1085850</xdr:colOff>
      <xdr:row>13</xdr:row>
      <xdr:rowOff>47625</xdr:rowOff>
    </xdr:to>
    <xdr:sp macro="" textlink="">
      <xdr:nvSpPr>
        <xdr:cNvPr id="16" name="Rounded Rectangle 15">
          <a:hlinkClick xmlns:r="http://schemas.openxmlformats.org/officeDocument/2006/relationships" r:id="rId7" tooltip="Click"/>
        </xdr:cNvPr>
        <xdr:cNvSpPr/>
      </xdr:nvSpPr>
      <xdr:spPr>
        <a:xfrm>
          <a:off x="323850" y="3000375"/>
          <a:ext cx="1076325" cy="22860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b="1" baseline="0">
              <a:solidFill>
                <a:sysClr val="windowText" lastClr="000000"/>
              </a:solidFill>
            </a:rPr>
            <a:t>Details</a:t>
          </a:r>
          <a:endParaRPr lang="en-US"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F81BD"/>
        </a:solidFill>
        <a:ln w="25400" cap="flat" cmpd="sng" algn="ctr">
          <a:solidFill>
            <a:srgbClr val="385D8A"/>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F81BD"/>
        </a:solidFill>
        <a:ln w="25400" cap="flat" cmpd="sng" algn="ctr">
          <a:solidFill>
            <a:srgbClr val="385D8A"/>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6"/>
  <sheetViews>
    <sheetView showGridLines="0" workbookViewId="0">
      <selection activeCell="D3" sqref="D3"/>
    </sheetView>
  </sheetViews>
  <sheetFormatPr defaultRowHeight="12.5" x14ac:dyDescent="0.25"/>
  <cols>
    <col min="1" max="1" width="1" customWidth="1"/>
    <col min="2" max="11" width="12.7265625" customWidth="1"/>
    <col min="12" max="12" width="1.54296875" customWidth="1"/>
    <col min="15" max="15" width="10.26953125" customWidth="1"/>
    <col min="16" max="16" width="2.453125" customWidth="1"/>
  </cols>
  <sheetData>
    <row r="1" spans="2:11" ht="56.25" customHeight="1" x14ac:dyDescent="0.25">
      <c r="D1" s="91" t="s">
        <v>110</v>
      </c>
      <c r="E1" s="91"/>
    </row>
    <row r="2" spans="2:11" ht="56.25" customHeight="1" x14ac:dyDescent="0.25">
      <c r="D2" s="92" t="s">
        <v>343</v>
      </c>
      <c r="E2" s="92"/>
    </row>
    <row r="3" spans="2:11" ht="13" thickBot="1" x14ac:dyDescent="0.3">
      <c r="B3" s="93"/>
      <c r="C3" s="93"/>
      <c r="D3" s="93"/>
      <c r="E3" s="93"/>
      <c r="F3" s="93"/>
      <c r="G3" s="93"/>
      <c r="H3" s="93"/>
      <c r="I3" s="93"/>
      <c r="J3" s="93"/>
      <c r="K3" s="93"/>
    </row>
    <row r="4" spans="2:11" ht="15.5" x14ac:dyDescent="0.35">
      <c r="B4" s="269" t="s">
        <v>108</v>
      </c>
      <c r="C4" s="270"/>
      <c r="D4" s="271" t="s">
        <v>109</v>
      </c>
      <c r="E4" s="271"/>
      <c r="F4" s="271"/>
      <c r="G4" s="271"/>
      <c r="H4" s="271"/>
      <c r="I4" s="271"/>
      <c r="J4" s="271"/>
      <c r="K4" s="270"/>
    </row>
    <row r="5" spans="2:11" x14ac:dyDescent="0.25">
      <c r="B5" s="186"/>
      <c r="C5" s="187"/>
      <c r="D5" s="106"/>
      <c r="E5" s="106"/>
      <c r="F5" s="106"/>
      <c r="G5" s="106"/>
      <c r="H5" s="106"/>
      <c r="I5" s="106"/>
      <c r="J5" s="106"/>
      <c r="K5" s="187"/>
    </row>
    <row r="6" spans="2:11" x14ac:dyDescent="0.25">
      <c r="B6" s="188"/>
      <c r="C6" s="189"/>
      <c r="D6" s="107"/>
      <c r="E6" s="107"/>
      <c r="F6" s="107"/>
      <c r="G6" s="107"/>
      <c r="H6" s="107"/>
      <c r="I6" s="107"/>
      <c r="J6" s="107"/>
      <c r="K6" s="189"/>
    </row>
    <row r="7" spans="2:11" x14ac:dyDescent="0.25">
      <c r="B7" s="188"/>
      <c r="C7" s="189"/>
      <c r="D7" s="107"/>
      <c r="E7" s="107"/>
      <c r="F7" s="107"/>
      <c r="G7" s="107"/>
      <c r="H7" s="107"/>
      <c r="I7" s="107"/>
      <c r="J7" s="107"/>
      <c r="K7" s="189"/>
    </row>
    <row r="8" spans="2:11" x14ac:dyDescent="0.25">
      <c r="B8" s="188"/>
      <c r="C8" s="189"/>
      <c r="D8" s="107"/>
      <c r="E8" s="107"/>
      <c r="F8" s="107"/>
      <c r="G8" s="107"/>
      <c r="H8" s="107"/>
      <c r="I8" s="107"/>
      <c r="J8" s="107"/>
      <c r="K8" s="189"/>
    </row>
    <row r="9" spans="2:11" x14ac:dyDescent="0.25">
      <c r="B9" s="188"/>
      <c r="C9" s="189"/>
      <c r="D9" s="107"/>
      <c r="E9" s="107"/>
      <c r="F9" s="107"/>
      <c r="G9" s="107"/>
      <c r="H9" s="107"/>
      <c r="I9" s="107"/>
      <c r="J9" s="107"/>
      <c r="K9" s="189"/>
    </row>
    <row r="10" spans="2:11" ht="13" thickBot="1" x14ac:dyDescent="0.3">
      <c r="B10" s="190"/>
      <c r="C10" s="191"/>
      <c r="D10" s="192"/>
      <c r="E10" s="192"/>
      <c r="F10" s="192"/>
      <c r="G10" s="192"/>
      <c r="H10" s="192"/>
      <c r="I10" s="192"/>
      <c r="J10" s="192"/>
      <c r="K10" s="191"/>
    </row>
    <row r="13" spans="2:11" ht="13" thickBot="1" x14ac:dyDescent="0.3"/>
    <row r="14" spans="2:11" ht="15.5" x14ac:dyDescent="0.35">
      <c r="B14" s="272" t="s">
        <v>222</v>
      </c>
      <c r="C14" s="273"/>
      <c r="D14" s="273"/>
      <c r="E14" s="273"/>
      <c r="F14" s="274"/>
      <c r="G14" s="269" t="s">
        <v>236</v>
      </c>
      <c r="H14" s="271"/>
      <c r="I14" s="270"/>
      <c r="J14" s="271" t="s">
        <v>230</v>
      </c>
      <c r="K14" s="270"/>
    </row>
    <row r="15" spans="2:11" ht="48" customHeight="1" x14ac:dyDescent="0.25">
      <c r="B15" s="181" t="s">
        <v>264</v>
      </c>
      <c r="C15" s="172" t="s">
        <v>265</v>
      </c>
      <c r="D15" s="172" t="s">
        <v>261</v>
      </c>
      <c r="E15" s="172" t="s">
        <v>262</v>
      </c>
      <c r="F15" s="182" t="s">
        <v>181</v>
      </c>
      <c r="G15" s="258" t="s">
        <v>266</v>
      </c>
      <c r="H15" s="172" t="s">
        <v>267</v>
      </c>
      <c r="I15" s="182" t="s">
        <v>235</v>
      </c>
      <c r="J15" s="231" t="s">
        <v>231</v>
      </c>
      <c r="K15" s="182" t="s">
        <v>226</v>
      </c>
    </row>
    <row r="16" spans="2:11" ht="25.5" customHeight="1" thickBot="1" x14ac:dyDescent="0.3">
      <c r="B16" s="183"/>
      <c r="C16" s="184"/>
      <c r="D16" s="184"/>
      <c r="E16" s="184"/>
      <c r="F16" s="185"/>
      <c r="G16" s="183"/>
      <c r="H16" s="184"/>
      <c r="I16" s="185"/>
      <c r="J16" s="232"/>
      <c r="K16" s="185"/>
    </row>
  </sheetData>
  <sheetProtection password="C925" sheet="1" objects="1" scenarios="1" selectLockedCells="1"/>
  <mergeCells count="5">
    <mergeCell ref="B4:C4"/>
    <mergeCell ref="D4:K4"/>
    <mergeCell ref="B14:F14"/>
    <mergeCell ref="G14:I14"/>
    <mergeCell ref="J14:K14"/>
  </mergeCells>
  <pageMargins left="0.5" right="0.5"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showGridLines="0" workbookViewId="0">
      <pane ySplit="3" topLeftCell="A4" activePane="bottomLeft" state="frozen"/>
      <selection pane="bottomLeft" activeCell="Q5" sqref="Q5"/>
    </sheetView>
  </sheetViews>
  <sheetFormatPr defaultColWidth="9.1796875" defaultRowHeight="13" x14ac:dyDescent="0.3"/>
  <cols>
    <col min="1" max="1" width="1" style="2" customWidth="1"/>
    <col min="2" max="2" width="1.81640625" style="2" customWidth="1"/>
    <col min="3" max="3" width="6.1796875" style="2" customWidth="1"/>
    <col min="4" max="4" width="19.1796875" style="2" bestFit="1" customWidth="1"/>
    <col min="5" max="5" width="16.7265625" style="2" customWidth="1"/>
    <col min="6" max="6" width="21.81640625" style="2" customWidth="1"/>
    <col min="7" max="7" width="12.453125" style="2" customWidth="1"/>
    <col min="8" max="8" width="16.7265625" style="2" customWidth="1"/>
    <col min="9" max="9" width="9.1796875" style="2" customWidth="1"/>
    <col min="10" max="10" width="9" style="2" customWidth="1"/>
    <col min="11" max="11" width="9.7265625" style="2" customWidth="1"/>
    <col min="12" max="12" width="10.1796875" style="2" customWidth="1"/>
    <col min="13" max="13" width="9.81640625" style="2" customWidth="1"/>
    <col min="14" max="14" width="1.453125" style="2" customWidth="1"/>
    <col min="15" max="15" width="1" style="2" customWidth="1"/>
    <col min="16" max="16384" width="9.1796875" style="2"/>
  </cols>
  <sheetData>
    <row r="1" spans="2:14" ht="38.25" customHeight="1" x14ac:dyDescent="0.3"/>
    <row r="2" spans="2:14" x14ac:dyDescent="0.3">
      <c r="B2" s="10"/>
      <c r="C2" s="11"/>
      <c r="D2" s="11"/>
      <c r="E2" s="11"/>
      <c r="F2" s="11"/>
      <c r="G2" s="11"/>
      <c r="H2" s="11"/>
      <c r="I2" s="11"/>
      <c r="J2" s="11"/>
      <c r="K2" s="11"/>
      <c r="L2" s="11"/>
      <c r="M2" s="11"/>
      <c r="N2" s="12"/>
    </row>
    <row r="3" spans="2:14" ht="52" x14ac:dyDescent="0.3">
      <c r="B3" s="3"/>
      <c r="C3" s="88" t="s">
        <v>88</v>
      </c>
      <c r="D3" s="88" t="s">
        <v>89</v>
      </c>
      <c r="E3" s="88" t="s">
        <v>90</v>
      </c>
      <c r="F3" s="88" t="s">
        <v>91</v>
      </c>
      <c r="G3" s="88" t="s">
        <v>92</v>
      </c>
      <c r="H3" s="88" t="s">
        <v>93</v>
      </c>
      <c r="I3" s="88" t="s">
        <v>98</v>
      </c>
      <c r="J3" s="88" t="s">
        <v>99</v>
      </c>
      <c r="K3" s="88" t="s">
        <v>100</v>
      </c>
      <c r="L3" s="88" t="s">
        <v>295</v>
      </c>
      <c r="M3" s="89" t="s">
        <v>94</v>
      </c>
      <c r="N3" s="5"/>
    </row>
    <row r="4" spans="2:14" ht="78" x14ac:dyDescent="0.3">
      <c r="B4" s="3"/>
      <c r="C4" s="76">
        <f>IF(ISBLANK(D4),"",ROW()-3)</f>
        <v>1</v>
      </c>
      <c r="D4" s="75">
        <v>42423</v>
      </c>
      <c r="E4" s="74" t="s">
        <v>302</v>
      </c>
      <c r="F4" s="65" t="s">
        <v>303</v>
      </c>
      <c r="G4" s="74" t="s">
        <v>304</v>
      </c>
      <c r="H4" s="74" t="s">
        <v>305</v>
      </c>
      <c r="I4" s="77">
        <v>9</v>
      </c>
      <c r="J4" s="77">
        <v>7</v>
      </c>
      <c r="K4" s="78">
        <f>I4*J4</f>
        <v>63</v>
      </c>
      <c r="L4" s="74" t="s">
        <v>97</v>
      </c>
      <c r="M4" s="74">
        <v>9</v>
      </c>
      <c r="N4" s="5"/>
    </row>
    <row r="5" spans="2:14" ht="78" x14ac:dyDescent="0.3">
      <c r="B5" s="3"/>
      <c r="C5" s="76">
        <f>IF(ISBLANK(D5),"",ROW()-3)</f>
        <v>2</v>
      </c>
      <c r="D5" s="75">
        <v>42424</v>
      </c>
      <c r="E5" s="74" t="s">
        <v>306</v>
      </c>
      <c r="F5" s="65" t="s">
        <v>307</v>
      </c>
      <c r="G5" s="74" t="s">
        <v>308</v>
      </c>
      <c r="H5" s="74" t="s">
        <v>305</v>
      </c>
      <c r="I5" s="77">
        <v>13</v>
      </c>
      <c r="J5" s="77">
        <v>6</v>
      </c>
      <c r="K5" s="78">
        <f t="shared" ref="K5:K26" si="0">I5*J5</f>
        <v>78</v>
      </c>
      <c r="L5" s="74" t="s">
        <v>97</v>
      </c>
      <c r="M5" s="74">
        <v>13</v>
      </c>
      <c r="N5" s="5"/>
    </row>
    <row r="6" spans="2:14" ht="130" x14ac:dyDescent="0.3">
      <c r="B6" s="3"/>
      <c r="C6" s="76">
        <f t="shared" ref="C6:C26" si="1">IF(ISBLANK(D6),"",ROW()-3)</f>
        <v>3</v>
      </c>
      <c r="D6" s="75">
        <v>42425</v>
      </c>
      <c r="E6" s="74" t="s">
        <v>309</v>
      </c>
      <c r="F6" s="65" t="s">
        <v>310</v>
      </c>
      <c r="G6" s="74" t="s">
        <v>311</v>
      </c>
      <c r="H6" s="74" t="s">
        <v>305</v>
      </c>
      <c r="I6" s="77">
        <v>30</v>
      </c>
      <c r="J6" s="77">
        <v>7</v>
      </c>
      <c r="K6" s="78">
        <f t="shared" si="0"/>
        <v>210</v>
      </c>
      <c r="L6" s="74" t="s">
        <v>97</v>
      </c>
      <c r="M6" s="74">
        <v>30</v>
      </c>
      <c r="N6" s="5"/>
    </row>
    <row r="7" spans="2:14" ht="130" x14ac:dyDescent="0.3">
      <c r="B7" s="3"/>
      <c r="C7" s="76">
        <f t="shared" si="1"/>
        <v>4</v>
      </c>
      <c r="D7" s="75">
        <v>42431</v>
      </c>
      <c r="E7" s="74" t="s">
        <v>312</v>
      </c>
      <c r="F7" s="65" t="s">
        <v>313</v>
      </c>
      <c r="G7" s="74" t="s">
        <v>304</v>
      </c>
      <c r="H7" s="74" t="s">
        <v>314</v>
      </c>
      <c r="I7" s="77">
        <v>21</v>
      </c>
      <c r="J7" s="77">
        <v>7</v>
      </c>
      <c r="K7" s="78">
        <f t="shared" si="0"/>
        <v>147</v>
      </c>
      <c r="L7" s="74" t="s">
        <v>97</v>
      </c>
      <c r="M7" s="74">
        <v>21</v>
      </c>
      <c r="N7" s="5"/>
    </row>
    <row r="8" spans="2:14" ht="78" x14ac:dyDescent="0.3">
      <c r="B8" s="3"/>
      <c r="C8" s="76">
        <f t="shared" si="1"/>
        <v>5</v>
      </c>
      <c r="D8" s="75">
        <v>42473</v>
      </c>
      <c r="E8" s="74" t="s">
        <v>315</v>
      </c>
      <c r="F8" s="65" t="s">
        <v>316</v>
      </c>
      <c r="G8" s="74" t="s">
        <v>317</v>
      </c>
      <c r="H8" s="74" t="s">
        <v>314</v>
      </c>
      <c r="I8" s="77">
        <v>43</v>
      </c>
      <c r="J8" s="77">
        <v>7</v>
      </c>
      <c r="K8" s="78">
        <f t="shared" si="0"/>
        <v>301</v>
      </c>
      <c r="L8" s="74" t="s">
        <v>97</v>
      </c>
      <c r="M8" s="74">
        <v>43</v>
      </c>
      <c r="N8" s="5"/>
    </row>
    <row r="9" spans="2:14" ht="117" x14ac:dyDescent="0.3">
      <c r="B9" s="3"/>
      <c r="C9" s="76">
        <f t="shared" si="1"/>
        <v>6</v>
      </c>
      <c r="D9" s="75">
        <v>42474</v>
      </c>
      <c r="E9" s="74" t="s">
        <v>318</v>
      </c>
      <c r="F9" s="65" t="s">
        <v>319</v>
      </c>
      <c r="G9" s="74" t="s">
        <v>317</v>
      </c>
      <c r="H9" s="74" t="s">
        <v>305</v>
      </c>
      <c r="I9" s="77">
        <v>23</v>
      </c>
      <c r="J9" s="77">
        <v>7</v>
      </c>
      <c r="K9" s="78">
        <f t="shared" si="0"/>
        <v>161</v>
      </c>
      <c r="L9" s="74" t="s">
        <v>97</v>
      </c>
      <c r="M9" s="74">
        <v>23</v>
      </c>
      <c r="N9" s="5"/>
    </row>
    <row r="10" spans="2:14" ht="65" x14ac:dyDescent="0.3">
      <c r="B10" s="3"/>
      <c r="C10" s="76">
        <f t="shared" si="1"/>
        <v>7</v>
      </c>
      <c r="D10" s="75">
        <v>42485</v>
      </c>
      <c r="E10" s="74" t="s">
        <v>320</v>
      </c>
      <c r="F10" s="65" t="s">
        <v>321</v>
      </c>
      <c r="G10" s="74" t="s">
        <v>322</v>
      </c>
      <c r="H10" s="74" t="s">
        <v>305</v>
      </c>
      <c r="I10" s="77">
        <v>15</v>
      </c>
      <c r="J10" s="77">
        <v>40</v>
      </c>
      <c r="K10" s="78">
        <f t="shared" si="0"/>
        <v>600</v>
      </c>
      <c r="L10" s="74" t="s">
        <v>97</v>
      </c>
      <c r="M10" s="74">
        <v>15</v>
      </c>
      <c r="N10" s="5"/>
    </row>
    <row r="11" spans="2:14" ht="130" x14ac:dyDescent="0.3">
      <c r="B11" s="3"/>
      <c r="C11" s="76">
        <f t="shared" si="1"/>
        <v>8</v>
      </c>
      <c r="D11" s="75">
        <v>42521</v>
      </c>
      <c r="E11" s="74" t="s">
        <v>312</v>
      </c>
      <c r="F11" s="65" t="s">
        <v>313</v>
      </c>
      <c r="G11" s="74" t="s">
        <v>308</v>
      </c>
      <c r="H11" s="74" t="s">
        <v>314</v>
      </c>
      <c r="I11" s="77">
        <v>9</v>
      </c>
      <c r="J11" s="77">
        <v>7</v>
      </c>
      <c r="K11" s="78">
        <f t="shared" si="0"/>
        <v>63</v>
      </c>
      <c r="L11" s="74" t="s">
        <v>97</v>
      </c>
      <c r="M11" s="74">
        <v>9</v>
      </c>
      <c r="N11" s="5"/>
    </row>
    <row r="12" spans="2:14" ht="65" x14ac:dyDescent="0.3">
      <c r="B12" s="3"/>
      <c r="C12" s="76">
        <f t="shared" si="1"/>
        <v>9</v>
      </c>
      <c r="D12" s="75">
        <v>42600</v>
      </c>
      <c r="E12" s="74" t="s">
        <v>323</v>
      </c>
      <c r="F12" s="65" t="s">
        <v>324</v>
      </c>
      <c r="G12" s="74" t="s">
        <v>325</v>
      </c>
      <c r="H12" s="74" t="s">
        <v>305</v>
      </c>
      <c r="I12" s="77">
        <v>11</v>
      </c>
      <c r="J12" s="77">
        <v>20</v>
      </c>
      <c r="K12" s="78">
        <f t="shared" si="0"/>
        <v>220</v>
      </c>
      <c r="L12" s="74" t="s">
        <v>97</v>
      </c>
      <c r="M12" s="74">
        <v>11</v>
      </c>
      <c r="N12" s="5"/>
    </row>
    <row r="13" spans="2:14" ht="104" x14ac:dyDescent="0.3">
      <c r="B13" s="3"/>
      <c r="C13" s="76">
        <f t="shared" si="1"/>
        <v>10</v>
      </c>
      <c r="D13" s="75">
        <v>42612</v>
      </c>
      <c r="E13" s="74" t="s">
        <v>326</v>
      </c>
      <c r="F13" s="65" t="s">
        <v>327</v>
      </c>
      <c r="G13" s="74" t="s">
        <v>304</v>
      </c>
      <c r="H13" s="74" t="s">
        <v>314</v>
      </c>
      <c r="I13" s="77">
        <v>10</v>
      </c>
      <c r="J13" s="77">
        <v>7</v>
      </c>
      <c r="K13" s="78">
        <f t="shared" si="0"/>
        <v>70</v>
      </c>
      <c r="L13" s="74" t="s">
        <v>97</v>
      </c>
      <c r="M13" s="74">
        <v>10</v>
      </c>
      <c r="N13" s="5"/>
    </row>
    <row r="14" spans="2:14" ht="91" x14ac:dyDescent="0.3">
      <c r="B14" s="3"/>
      <c r="C14" s="76">
        <f t="shared" si="1"/>
        <v>11</v>
      </c>
      <c r="D14" s="75">
        <v>42613</v>
      </c>
      <c r="E14" s="74" t="s">
        <v>328</v>
      </c>
      <c r="F14" s="65" t="s">
        <v>329</v>
      </c>
      <c r="G14" s="74" t="s">
        <v>317</v>
      </c>
      <c r="H14" s="74" t="s">
        <v>314</v>
      </c>
      <c r="I14" s="77">
        <v>41</v>
      </c>
      <c r="J14" s="77">
        <v>7</v>
      </c>
      <c r="K14" s="78">
        <f t="shared" si="0"/>
        <v>287</v>
      </c>
      <c r="L14" s="74" t="s">
        <v>97</v>
      </c>
      <c r="M14" s="74">
        <v>41</v>
      </c>
      <c r="N14" s="5"/>
    </row>
    <row r="15" spans="2:14" ht="104" x14ac:dyDescent="0.3">
      <c r="B15" s="3"/>
      <c r="C15" s="76">
        <f t="shared" si="1"/>
        <v>12</v>
      </c>
      <c r="D15" s="75">
        <v>42625</v>
      </c>
      <c r="E15" s="74" t="s">
        <v>330</v>
      </c>
      <c r="F15" s="65" t="s">
        <v>331</v>
      </c>
      <c r="G15" s="74" t="s">
        <v>311</v>
      </c>
      <c r="H15" s="74" t="s">
        <v>314</v>
      </c>
      <c r="I15" s="77">
        <v>10</v>
      </c>
      <c r="J15" s="77">
        <v>40</v>
      </c>
      <c r="K15" s="78">
        <f t="shared" si="0"/>
        <v>400</v>
      </c>
      <c r="L15" s="74" t="s">
        <v>97</v>
      </c>
      <c r="M15" s="74">
        <v>10</v>
      </c>
      <c r="N15" s="5"/>
    </row>
    <row r="16" spans="2:14" ht="130" x14ac:dyDescent="0.3">
      <c r="B16" s="3"/>
      <c r="C16" s="76">
        <f t="shared" si="1"/>
        <v>13</v>
      </c>
      <c r="D16" s="75">
        <v>42641</v>
      </c>
      <c r="E16" s="74" t="s">
        <v>332</v>
      </c>
      <c r="F16" s="65" t="s">
        <v>333</v>
      </c>
      <c r="G16" s="74" t="s">
        <v>317</v>
      </c>
      <c r="H16" s="74" t="s">
        <v>314</v>
      </c>
      <c r="I16" s="77">
        <v>27</v>
      </c>
      <c r="J16" s="77">
        <v>7</v>
      </c>
      <c r="K16" s="78">
        <f t="shared" si="0"/>
        <v>189</v>
      </c>
      <c r="L16" s="74" t="s">
        <v>97</v>
      </c>
      <c r="M16" s="74">
        <v>27</v>
      </c>
      <c r="N16" s="5"/>
    </row>
    <row r="17" spans="2:14" ht="104" x14ac:dyDescent="0.3">
      <c r="B17" s="3"/>
      <c r="C17" s="76">
        <f t="shared" si="1"/>
        <v>14</v>
      </c>
      <c r="D17" s="75">
        <v>42661</v>
      </c>
      <c r="E17" s="74" t="s">
        <v>326</v>
      </c>
      <c r="F17" s="65" t="s">
        <v>327</v>
      </c>
      <c r="G17" s="74" t="s">
        <v>311</v>
      </c>
      <c r="H17" s="74" t="s">
        <v>314</v>
      </c>
      <c r="I17" s="77">
        <v>23</v>
      </c>
      <c r="J17" s="77">
        <v>7</v>
      </c>
      <c r="K17" s="78">
        <f t="shared" si="0"/>
        <v>161</v>
      </c>
      <c r="L17" s="74" t="s">
        <v>97</v>
      </c>
      <c r="M17" s="74">
        <v>23</v>
      </c>
      <c r="N17" s="5"/>
    </row>
    <row r="18" spans="2:14" ht="130" x14ac:dyDescent="0.3">
      <c r="B18" s="3"/>
      <c r="C18" s="76">
        <f t="shared" si="1"/>
        <v>15</v>
      </c>
      <c r="D18" s="75">
        <v>42662</v>
      </c>
      <c r="E18" s="74" t="s">
        <v>312</v>
      </c>
      <c r="F18" s="65" t="s">
        <v>313</v>
      </c>
      <c r="G18" s="74" t="s">
        <v>317</v>
      </c>
      <c r="H18" s="74" t="s">
        <v>314</v>
      </c>
      <c r="I18" s="77">
        <v>6</v>
      </c>
      <c r="J18" s="77">
        <v>7</v>
      </c>
      <c r="K18" s="78">
        <f t="shared" si="0"/>
        <v>42</v>
      </c>
      <c r="L18" s="74" t="s">
        <v>97</v>
      </c>
      <c r="M18" s="74">
        <v>6</v>
      </c>
      <c r="N18" s="5"/>
    </row>
    <row r="19" spans="2:14" ht="117" x14ac:dyDescent="0.3">
      <c r="B19" s="3"/>
      <c r="C19" s="76">
        <f t="shared" si="1"/>
        <v>16</v>
      </c>
      <c r="D19" s="75">
        <v>42669</v>
      </c>
      <c r="E19" s="74" t="s">
        <v>334</v>
      </c>
      <c r="F19" s="65" t="s">
        <v>335</v>
      </c>
      <c r="G19" s="74" t="s">
        <v>317</v>
      </c>
      <c r="H19" s="74" t="s">
        <v>314</v>
      </c>
      <c r="I19" s="77">
        <v>31</v>
      </c>
      <c r="J19" s="77">
        <v>7</v>
      </c>
      <c r="K19" s="78">
        <f t="shared" si="0"/>
        <v>217</v>
      </c>
      <c r="L19" s="74" t="s">
        <v>97</v>
      </c>
      <c r="M19" s="74">
        <v>31</v>
      </c>
      <c r="N19" s="5"/>
    </row>
    <row r="20" spans="2:14" ht="91" x14ac:dyDescent="0.3">
      <c r="B20" s="3"/>
      <c r="C20" s="76">
        <f t="shared" si="1"/>
        <v>17</v>
      </c>
      <c r="D20" s="75" t="s">
        <v>336</v>
      </c>
      <c r="E20" s="74" t="s">
        <v>337</v>
      </c>
      <c r="F20" s="65" t="s">
        <v>338</v>
      </c>
      <c r="G20" s="74" t="s">
        <v>339</v>
      </c>
      <c r="H20" s="74" t="s">
        <v>314</v>
      </c>
      <c r="I20" s="77">
        <v>18</v>
      </c>
      <c r="J20" s="77">
        <v>7</v>
      </c>
      <c r="K20" s="78">
        <f t="shared" si="0"/>
        <v>126</v>
      </c>
      <c r="L20" s="74"/>
      <c r="M20" s="74">
        <v>18</v>
      </c>
      <c r="N20" s="5"/>
    </row>
    <row r="21" spans="2:14" x14ac:dyDescent="0.3">
      <c r="B21" s="3"/>
      <c r="C21" s="76" t="str">
        <f t="shared" si="1"/>
        <v/>
      </c>
      <c r="D21" s="75"/>
      <c r="E21" s="74"/>
      <c r="F21" s="65"/>
      <c r="G21" s="74"/>
      <c r="H21" s="74"/>
      <c r="I21" s="77"/>
      <c r="J21" s="77"/>
      <c r="K21" s="78">
        <f t="shared" si="0"/>
        <v>0</v>
      </c>
      <c r="L21" s="74"/>
      <c r="M21" s="74"/>
      <c r="N21" s="5"/>
    </row>
    <row r="22" spans="2:14" x14ac:dyDescent="0.3">
      <c r="B22" s="3"/>
      <c r="C22" s="76" t="str">
        <f t="shared" si="1"/>
        <v/>
      </c>
      <c r="D22" s="75"/>
      <c r="E22" s="74"/>
      <c r="F22" s="65"/>
      <c r="G22" s="74"/>
      <c r="H22" s="74"/>
      <c r="I22" s="77"/>
      <c r="J22" s="77"/>
      <c r="K22" s="78">
        <f t="shared" si="0"/>
        <v>0</v>
      </c>
      <c r="L22" s="74"/>
      <c r="M22" s="74"/>
      <c r="N22" s="5"/>
    </row>
    <row r="23" spans="2:14" x14ac:dyDescent="0.3">
      <c r="B23" s="3"/>
      <c r="C23" s="76" t="str">
        <f t="shared" si="1"/>
        <v/>
      </c>
      <c r="D23" s="75"/>
      <c r="E23" s="74"/>
      <c r="F23" s="65"/>
      <c r="G23" s="74"/>
      <c r="H23" s="74"/>
      <c r="I23" s="77"/>
      <c r="J23" s="77"/>
      <c r="K23" s="78">
        <f t="shared" si="0"/>
        <v>0</v>
      </c>
      <c r="L23" s="74"/>
      <c r="M23" s="74"/>
      <c r="N23" s="5"/>
    </row>
    <row r="24" spans="2:14" x14ac:dyDescent="0.3">
      <c r="B24" s="3"/>
      <c r="C24" s="76" t="str">
        <f t="shared" si="1"/>
        <v/>
      </c>
      <c r="D24" s="75"/>
      <c r="E24" s="74"/>
      <c r="F24" s="65"/>
      <c r="G24" s="74"/>
      <c r="H24" s="74"/>
      <c r="I24" s="77"/>
      <c r="J24" s="77"/>
      <c r="K24" s="78">
        <f t="shared" si="0"/>
        <v>0</v>
      </c>
      <c r="L24" s="74"/>
      <c r="M24" s="74"/>
      <c r="N24" s="5"/>
    </row>
    <row r="25" spans="2:14" x14ac:dyDescent="0.3">
      <c r="B25" s="3"/>
      <c r="C25" s="76" t="str">
        <f t="shared" si="1"/>
        <v/>
      </c>
      <c r="D25" s="75"/>
      <c r="E25" s="74"/>
      <c r="F25" s="65"/>
      <c r="G25" s="74"/>
      <c r="H25" s="74"/>
      <c r="I25" s="77"/>
      <c r="J25" s="77"/>
      <c r="K25" s="78">
        <f t="shared" si="0"/>
        <v>0</v>
      </c>
      <c r="L25" s="74"/>
      <c r="M25" s="74"/>
      <c r="N25" s="5"/>
    </row>
    <row r="26" spans="2:14" ht="13.5" thickBot="1" x14ac:dyDescent="0.35">
      <c r="B26" s="3"/>
      <c r="C26" s="76" t="str">
        <f t="shared" si="1"/>
        <v/>
      </c>
      <c r="D26" s="79"/>
      <c r="E26" s="80"/>
      <c r="F26" s="70"/>
      <c r="G26" s="80"/>
      <c r="H26" s="80"/>
      <c r="I26" s="81"/>
      <c r="J26" s="81"/>
      <c r="K26" s="82">
        <f t="shared" si="0"/>
        <v>0</v>
      </c>
      <c r="L26" s="80"/>
      <c r="M26" s="80"/>
      <c r="N26" s="5"/>
    </row>
    <row r="27" spans="2:14" ht="13.5" thickBot="1" x14ac:dyDescent="0.35">
      <c r="B27" s="3"/>
      <c r="C27" s="83" t="s">
        <v>95</v>
      </c>
      <c r="D27" s="87" t="s">
        <v>96</v>
      </c>
      <c r="E27" s="84">
        <f>MAX(C4:C27)</f>
        <v>17</v>
      </c>
      <c r="F27" s="85"/>
      <c r="G27" s="85"/>
      <c r="H27" s="85"/>
      <c r="I27" s="84">
        <f>SUM(I4:I26)</f>
        <v>340</v>
      </c>
      <c r="J27" s="85"/>
      <c r="K27" s="84">
        <f>SUM(K4:K26)</f>
        <v>3335</v>
      </c>
      <c r="L27" s="85"/>
      <c r="M27" s="86">
        <f>SUM(M4:M26)</f>
        <v>340</v>
      </c>
      <c r="N27" s="5"/>
    </row>
    <row r="28" spans="2:14" x14ac:dyDescent="0.3">
      <c r="B28" s="3"/>
      <c r="C28" s="4"/>
      <c r="D28" s="4"/>
      <c r="E28" s="4"/>
      <c r="F28" s="4"/>
      <c r="G28" s="4"/>
      <c r="H28" s="4"/>
      <c r="I28" s="4"/>
      <c r="J28" s="4"/>
      <c r="K28" s="4"/>
      <c r="L28" s="4"/>
      <c r="M28" s="4"/>
      <c r="N28" s="5"/>
    </row>
    <row r="29" spans="2:14" x14ac:dyDescent="0.3">
      <c r="B29" s="6"/>
      <c r="C29" s="7"/>
      <c r="D29" s="7"/>
      <c r="E29" s="7"/>
      <c r="F29" s="7"/>
      <c r="G29" s="7"/>
      <c r="H29" s="7"/>
      <c r="I29" s="7"/>
      <c r="J29" s="7"/>
      <c r="K29" s="7"/>
      <c r="L29" s="7"/>
      <c r="M29" s="7"/>
      <c r="N29" s="8"/>
    </row>
  </sheetData>
  <pageMargins left="0.25" right="0.25" top="0.5" bottom="0.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
  <sheetViews>
    <sheetView showGridLines="0" workbookViewId="0">
      <pane ySplit="3" topLeftCell="A4" activePane="bottomLeft" state="frozen"/>
      <selection pane="bottomLeft" activeCell="R14" sqref="R14"/>
    </sheetView>
  </sheetViews>
  <sheetFormatPr defaultColWidth="9.1796875" defaultRowHeight="13" x14ac:dyDescent="0.3"/>
  <cols>
    <col min="1" max="1" width="1" style="2" customWidth="1"/>
    <col min="2" max="2" width="1.81640625" style="2" customWidth="1"/>
    <col min="3" max="3" width="6.1796875" style="2" customWidth="1"/>
    <col min="4" max="4" width="8.1796875" style="2" customWidth="1"/>
    <col min="5" max="5" width="16.7265625" style="2" customWidth="1"/>
    <col min="6" max="6" width="21.81640625" style="2" customWidth="1"/>
    <col min="7" max="7" width="12.453125" style="2" customWidth="1"/>
    <col min="8" max="8" width="16.7265625" style="2" customWidth="1"/>
    <col min="9" max="9" width="9.1796875" style="2" customWidth="1"/>
    <col min="10" max="10" width="9" style="2" customWidth="1"/>
    <col min="11" max="11" width="9.7265625" style="2" customWidth="1"/>
    <col min="12" max="12" width="10.1796875" style="2" customWidth="1"/>
    <col min="13" max="13" width="9.81640625" style="2" customWidth="1"/>
    <col min="14" max="14" width="1.453125" style="2" customWidth="1"/>
    <col min="15" max="15" width="1" style="2" customWidth="1"/>
    <col min="16" max="16384" width="9.1796875" style="2"/>
  </cols>
  <sheetData>
    <row r="1" spans="2:14" ht="38.25" customHeight="1" x14ac:dyDescent="0.3"/>
    <row r="2" spans="2:14" x14ac:dyDescent="0.3">
      <c r="B2" s="10"/>
      <c r="C2" s="11"/>
      <c r="D2" s="11"/>
      <c r="E2" s="11"/>
      <c r="F2" s="11"/>
      <c r="G2" s="11"/>
      <c r="H2" s="11"/>
      <c r="I2" s="11"/>
      <c r="J2" s="11"/>
      <c r="K2" s="11"/>
      <c r="L2" s="11"/>
      <c r="M2" s="11"/>
      <c r="N2" s="12"/>
    </row>
    <row r="3" spans="2:14" ht="52" x14ac:dyDescent="0.3">
      <c r="B3" s="3"/>
      <c r="C3" s="88" t="s">
        <v>88</v>
      </c>
      <c r="D3" s="88" t="s">
        <v>89</v>
      </c>
      <c r="E3" s="88" t="s">
        <v>90</v>
      </c>
      <c r="F3" s="88" t="s">
        <v>91</v>
      </c>
      <c r="G3" s="88" t="s">
        <v>92</v>
      </c>
      <c r="H3" s="88" t="s">
        <v>93</v>
      </c>
      <c r="I3" s="88" t="s">
        <v>98</v>
      </c>
      <c r="J3" s="88" t="s">
        <v>99</v>
      </c>
      <c r="K3" s="88" t="s">
        <v>100</v>
      </c>
      <c r="L3" s="88" t="s">
        <v>295</v>
      </c>
      <c r="M3" s="89" t="s">
        <v>94</v>
      </c>
      <c r="N3" s="5"/>
    </row>
    <row r="4" spans="2:14" x14ac:dyDescent="0.3">
      <c r="B4" s="3"/>
      <c r="C4" s="76"/>
      <c r="D4" s="75"/>
      <c r="E4" s="74"/>
      <c r="F4" s="65"/>
      <c r="G4" s="74"/>
      <c r="H4" s="74"/>
      <c r="I4" s="77"/>
      <c r="J4" s="77"/>
      <c r="K4" s="78">
        <f>I4*J4</f>
        <v>0</v>
      </c>
      <c r="L4" s="74"/>
      <c r="M4" s="74"/>
      <c r="N4" s="5"/>
    </row>
    <row r="5" spans="2:14" x14ac:dyDescent="0.3">
      <c r="B5" s="3"/>
      <c r="C5" s="76"/>
      <c r="D5" s="75"/>
      <c r="E5" s="74"/>
      <c r="F5" s="65"/>
      <c r="G5" s="74"/>
      <c r="H5" s="74"/>
      <c r="I5" s="77"/>
      <c r="J5" s="77"/>
      <c r="K5" s="78">
        <f t="shared" ref="K5:K11" si="0">I5*J5</f>
        <v>0</v>
      </c>
      <c r="L5" s="74"/>
      <c r="M5" s="74"/>
      <c r="N5" s="5"/>
    </row>
    <row r="6" spans="2:14" x14ac:dyDescent="0.3">
      <c r="B6" s="3"/>
      <c r="C6" s="76" t="str">
        <f t="shared" ref="C6:C11" si="1">IF(ISBLANK(D6),"",ROW()-3)</f>
        <v/>
      </c>
      <c r="D6" s="75"/>
      <c r="E6" s="74"/>
      <c r="F6" s="65"/>
      <c r="G6" s="74"/>
      <c r="H6" s="74"/>
      <c r="I6" s="77"/>
      <c r="J6" s="77"/>
      <c r="K6" s="78">
        <f t="shared" si="0"/>
        <v>0</v>
      </c>
      <c r="L6" s="74"/>
      <c r="M6" s="74"/>
      <c r="N6" s="5"/>
    </row>
    <row r="7" spans="2:14" x14ac:dyDescent="0.3">
      <c r="B7" s="3"/>
      <c r="C7" s="76" t="str">
        <f t="shared" si="1"/>
        <v/>
      </c>
      <c r="D7" s="75"/>
      <c r="E7" s="74"/>
      <c r="F7" s="65"/>
      <c r="G7" s="74"/>
      <c r="H7" s="74"/>
      <c r="I7" s="77"/>
      <c r="J7" s="77"/>
      <c r="K7" s="78">
        <f t="shared" si="0"/>
        <v>0</v>
      </c>
      <c r="L7" s="74"/>
      <c r="M7" s="74"/>
      <c r="N7" s="5"/>
    </row>
    <row r="8" spans="2:14" x14ac:dyDescent="0.3">
      <c r="B8" s="3"/>
      <c r="C8" s="76" t="str">
        <f t="shared" si="1"/>
        <v/>
      </c>
      <c r="D8" s="75"/>
      <c r="E8" s="74"/>
      <c r="F8" s="65"/>
      <c r="G8" s="74"/>
      <c r="H8" s="74"/>
      <c r="I8" s="77"/>
      <c r="J8" s="77"/>
      <c r="K8" s="78">
        <f t="shared" si="0"/>
        <v>0</v>
      </c>
      <c r="L8" s="74"/>
      <c r="M8" s="74"/>
      <c r="N8" s="5"/>
    </row>
    <row r="9" spans="2:14" x14ac:dyDescent="0.3">
      <c r="B9" s="3"/>
      <c r="C9" s="76" t="str">
        <f t="shared" si="1"/>
        <v/>
      </c>
      <c r="D9" s="75"/>
      <c r="E9" s="74"/>
      <c r="F9" s="65"/>
      <c r="G9" s="74"/>
      <c r="H9" s="74"/>
      <c r="I9" s="77"/>
      <c r="J9" s="77"/>
      <c r="K9" s="78">
        <f t="shared" si="0"/>
        <v>0</v>
      </c>
      <c r="L9" s="74"/>
      <c r="M9" s="74"/>
      <c r="N9" s="5"/>
    </row>
    <row r="10" spans="2:14" x14ac:dyDescent="0.3">
      <c r="B10" s="3"/>
      <c r="C10" s="76" t="str">
        <f t="shared" si="1"/>
        <v/>
      </c>
      <c r="D10" s="75"/>
      <c r="E10" s="74"/>
      <c r="F10" s="65"/>
      <c r="G10" s="74"/>
      <c r="H10" s="74"/>
      <c r="I10" s="77"/>
      <c r="J10" s="77"/>
      <c r="K10" s="78">
        <f t="shared" si="0"/>
        <v>0</v>
      </c>
      <c r="L10" s="74"/>
      <c r="M10" s="74"/>
      <c r="N10" s="5"/>
    </row>
    <row r="11" spans="2:14" ht="13.5" thickBot="1" x14ac:dyDescent="0.35">
      <c r="B11" s="3"/>
      <c r="C11" s="76" t="str">
        <f t="shared" si="1"/>
        <v/>
      </c>
      <c r="D11" s="79"/>
      <c r="E11" s="80"/>
      <c r="F11" s="70"/>
      <c r="G11" s="80"/>
      <c r="H11" s="80"/>
      <c r="I11" s="81"/>
      <c r="J11" s="81"/>
      <c r="K11" s="82">
        <f t="shared" si="0"/>
        <v>0</v>
      </c>
      <c r="L11" s="80"/>
      <c r="M11" s="80"/>
      <c r="N11" s="5"/>
    </row>
    <row r="12" spans="2:14" ht="13.5" thickBot="1" x14ac:dyDescent="0.35">
      <c r="B12" s="3"/>
      <c r="C12" s="83" t="s">
        <v>95</v>
      </c>
      <c r="D12" s="87" t="s">
        <v>96</v>
      </c>
      <c r="E12" s="84">
        <f>MAX(C4:C12)</f>
        <v>0</v>
      </c>
      <c r="F12" s="85"/>
      <c r="G12" s="85"/>
      <c r="H12" s="85"/>
      <c r="I12" s="84">
        <f>SUM(I4:I11)</f>
        <v>0</v>
      </c>
      <c r="J12" s="85"/>
      <c r="K12" s="84">
        <f>SUM(K4:K11)</f>
        <v>0</v>
      </c>
      <c r="L12" s="85"/>
      <c r="M12" s="86">
        <f>SUM(M4:M11)</f>
        <v>0</v>
      </c>
      <c r="N12" s="5"/>
    </row>
    <row r="13" spans="2:14" x14ac:dyDescent="0.3">
      <c r="B13" s="3"/>
      <c r="C13" s="4"/>
      <c r="D13" s="4"/>
      <c r="E13" s="4"/>
      <c r="F13" s="4"/>
      <c r="G13" s="4"/>
      <c r="H13" s="4"/>
      <c r="I13" s="4"/>
      <c r="J13" s="4"/>
      <c r="K13" s="4"/>
      <c r="L13" s="4"/>
      <c r="M13" s="4"/>
      <c r="N13" s="5"/>
    </row>
    <row r="14" spans="2:14" x14ac:dyDescent="0.3">
      <c r="B14" s="6"/>
      <c r="C14" s="7"/>
      <c r="D14" s="7"/>
      <c r="E14" s="7"/>
      <c r="F14" s="7"/>
      <c r="G14" s="7"/>
      <c r="H14" s="7"/>
      <c r="I14" s="7"/>
      <c r="J14" s="7"/>
      <c r="K14" s="7"/>
      <c r="L14" s="7"/>
      <c r="M14" s="7"/>
      <c r="N14" s="8"/>
    </row>
  </sheetData>
  <pageMargins left="0.25" right="0.25" top="0.5" bottom="0.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1"/>
  <sheetViews>
    <sheetView showGridLines="0" workbookViewId="0">
      <pane ySplit="2" topLeftCell="A3" activePane="bottomLeft" state="frozen"/>
      <selection pane="bottomLeft" activeCell="I21" sqref="I21"/>
    </sheetView>
  </sheetViews>
  <sheetFormatPr defaultColWidth="9.1796875" defaultRowHeight="13" x14ac:dyDescent="0.3"/>
  <cols>
    <col min="1" max="1" width="1" style="2" customWidth="1"/>
    <col min="2" max="2" width="4.453125" style="2" customWidth="1"/>
    <col min="3" max="9" width="10.7265625" style="2" customWidth="1"/>
    <col min="10" max="10" width="9.1796875" style="2" customWidth="1"/>
    <col min="11" max="11" width="10.7265625" style="2" customWidth="1"/>
    <col min="12" max="12" width="9.1796875" style="2" customWidth="1"/>
    <col min="13" max="13" width="10.7265625" style="2" customWidth="1"/>
    <col min="14" max="14" width="9.1796875" style="2" customWidth="1"/>
    <col min="15" max="15" width="4.7265625" style="2" customWidth="1"/>
    <col min="16" max="16" width="1" style="2" customWidth="1"/>
    <col min="17" max="17" width="16" style="2" customWidth="1"/>
    <col min="18" max="16384" width="9.1796875" style="2"/>
  </cols>
  <sheetData>
    <row r="1" spans="2:15" ht="28.5" customHeight="1" x14ac:dyDescent="0.3"/>
    <row r="2" spans="2:15" s="9" customFormat="1" ht="64.5" customHeight="1" x14ac:dyDescent="0.3">
      <c r="B2" s="18"/>
      <c r="C2" s="19"/>
      <c r="D2" s="19"/>
      <c r="E2" s="19"/>
      <c r="F2" s="19"/>
      <c r="G2" s="19"/>
      <c r="H2" s="19"/>
      <c r="I2" s="19"/>
      <c r="J2" s="19"/>
      <c r="K2" s="19"/>
      <c r="L2" s="19"/>
      <c r="M2" s="19"/>
      <c r="N2" s="19"/>
      <c r="O2" s="20"/>
    </row>
    <row r="3" spans="2:15" ht="7.5" customHeight="1" x14ac:dyDescent="0.3">
      <c r="B3" s="10"/>
      <c r="C3" s="11"/>
      <c r="D3" s="11"/>
      <c r="E3" s="11"/>
      <c r="F3" s="11"/>
      <c r="G3" s="11"/>
      <c r="H3" s="11"/>
      <c r="I3" s="11"/>
      <c r="J3" s="11"/>
      <c r="K3" s="11"/>
      <c r="L3" s="11"/>
      <c r="M3" s="11"/>
      <c r="N3" s="11"/>
      <c r="O3" s="12"/>
    </row>
    <row r="4" spans="2:15" ht="15" customHeight="1" x14ac:dyDescent="0.3">
      <c r="B4" s="6"/>
      <c r="C4" s="7"/>
      <c r="D4" s="7"/>
      <c r="E4" s="7"/>
      <c r="F4" s="7"/>
      <c r="G4" s="7"/>
      <c r="H4" s="7"/>
      <c r="I4" s="7"/>
      <c r="J4" s="7"/>
      <c r="K4" s="7"/>
      <c r="L4" s="7"/>
      <c r="M4" s="7"/>
      <c r="N4" s="7"/>
      <c r="O4" s="8"/>
    </row>
    <row r="5" spans="2:15" s="4" customFormat="1" ht="15" customHeight="1" x14ac:dyDescent="0.3"/>
    <row r="6" spans="2:15" ht="15" customHeight="1" x14ac:dyDescent="0.3">
      <c r="B6" s="4"/>
      <c r="C6" s="4"/>
      <c r="D6" s="4"/>
      <c r="E6" s="4"/>
      <c r="F6" s="4"/>
      <c r="G6" s="4"/>
      <c r="H6" s="4"/>
      <c r="I6" s="4"/>
      <c r="J6" s="4"/>
      <c r="K6" s="4"/>
      <c r="L6" s="4"/>
      <c r="M6" s="4"/>
      <c r="N6" s="4"/>
      <c r="O6" s="4"/>
    </row>
    <row r="7" spans="2:15" ht="15" customHeight="1" x14ac:dyDescent="0.3">
      <c r="B7" s="4"/>
      <c r="C7" s="4"/>
      <c r="D7" s="4"/>
      <c r="E7" s="4"/>
      <c r="F7" s="4"/>
      <c r="G7" s="4"/>
      <c r="H7" s="4"/>
      <c r="I7" s="4"/>
      <c r="J7" s="4"/>
      <c r="K7" s="4"/>
      <c r="L7" s="4"/>
      <c r="M7" s="4"/>
      <c r="N7" s="4"/>
      <c r="O7" s="4"/>
    </row>
    <row r="8" spans="2:15" ht="15" customHeight="1" x14ac:dyDescent="0.3">
      <c r="B8" s="4"/>
      <c r="C8" s="4"/>
      <c r="D8" s="4"/>
      <c r="E8" s="4"/>
      <c r="F8" s="4"/>
      <c r="G8" s="4"/>
      <c r="H8" s="4"/>
      <c r="I8" s="4"/>
      <c r="J8" s="4"/>
      <c r="K8" s="4"/>
      <c r="L8" s="4"/>
      <c r="M8" s="4"/>
      <c r="N8" s="4"/>
      <c r="O8" s="4"/>
    </row>
    <row r="9" spans="2:15" ht="15" customHeight="1" x14ac:dyDescent="0.3"/>
    <row r="10" spans="2:15" ht="15" customHeight="1" x14ac:dyDescent="0.3"/>
    <row r="11" spans="2:15" ht="15" customHeight="1" x14ac:dyDescent="0.3"/>
    <row r="12" spans="2:15" ht="15" customHeight="1" x14ac:dyDescent="0.3"/>
    <row r="13" spans="2:15" ht="15" customHeight="1" x14ac:dyDescent="0.3"/>
    <row r="14" spans="2:15" ht="15" customHeight="1" x14ac:dyDescent="0.3"/>
    <row r="15" spans="2:15" ht="15" customHeight="1" x14ac:dyDescent="0.3"/>
    <row r="16" spans="2:15"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sheetData>
  <sheetProtection formatRows="0"/>
  <pageMargins left="0.25" right="0.25" top="0.25" bottom="0.2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6"/>
  <sheetViews>
    <sheetView showGridLines="0" workbookViewId="0">
      <pane ySplit="4" topLeftCell="A25" activePane="bottomLeft" state="frozen"/>
      <selection pane="bottomLeft"/>
    </sheetView>
  </sheetViews>
  <sheetFormatPr defaultColWidth="9.1796875" defaultRowHeight="13" x14ac:dyDescent="0.3"/>
  <cols>
    <col min="1" max="1" width="1" style="2" customWidth="1"/>
    <col min="2" max="2" width="3.7265625" style="2" customWidth="1"/>
    <col min="3" max="3" width="36.453125" style="2" customWidth="1"/>
    <col min="4" max="9" width="12.7265625" style="2" customWidth="1"/>
    <col min="10" max="10" width="13.81640625" style="2" customWidth="1"/>
    <col min="11" max="11" width="2.7265625" style="2" customWidth="1"/>
    <col min="12" max="12" width="1" style="2" customWidth="1"/>
    <col min="13" max="13" width="16" style="2" customWidth="1"/>
    <col min="14" max="16384" width="9.1796875" style="2"/>
  </cols>
  <sheetData>
    <row r="1" spans="2:11" ht="28.5" customHeight="1" x14ac:dyDescent="0.3"/>
    <row r="2" spans="2:11" s="9" customFormat="1" ht="64.5" customHeight="1" x14ac:dyDescent="0.3">
      <c r="B2" s="18"/>
      <c r="C2" s="19"/>
      <c r="D2" s="19"/>
      <c r="E2" s="19"/>
      <c r="F2" s="19"/>
      <c r="G2" s="19"/>
      <c r="H2" s="19"/>
      <c r="I2" s="19"/>
      <c r="J2" s="19"/>
      <c r="K2" s="20"/>
    </row>
    <row r="3" spans="2:11" ht="7.5" customHeight="1" x14ac:dyDescent="0.3">
      <c r="B3" s="10"/>
      <c r="C3" s="11"/>
      <c r="D3" s="11"/>
      <c r="E3" s="11"/>
      <c r="F3" s="11"/>
      <c r="G3" s="11"/>
      <c r="H3" s="11"/>
      <c r="I3" s="11"/>
      <c r="J3" s="11"/>
      <c r="K3" s="12"/>
    </row>
    <row r="4" spans="2:11" ht="24" customHeight="1" x14ac:dyDescent="0.35">
      <c r="B4" s="3"/>
      <c r="C4" s="14"/>
      <c r="D4" s="22" t="str">
        <f>Cost!B3</f>
        <v>Planning / Design</v>
      </c>
      <c r="E4" s="22" t="str">
        <f>Cost!C3</f>
        <v>Marketing &amp; Delivery</v>
      </c>
      <c r="F4" s="22" t="str">
        <f>Cost!B13</f>
        <v>Incentives / Direct Install Costs</v>
      </c>
      <c r="G4" s="22" t="str">
        <f>Cost!C18</f>
        <v>EM&amp;V</v>
      </c>
      <c r="H4" s="22" t="str">
        <f>Cost!B24</f>
        <v>Administration</v>
      </c>
      <c r="I4" s="26" t="s">
        <v>4</v>
      </c>
      <c r="J4" s="26"/>
      <c r="K4" s="5"/>
    </row>
    <row r="5" spans="2:11" ht="15" customHeight="1" x14ac:dyDescent="0.35">
      <c r="B5" s="94"/>
      <c r="C5" s="14" t="str">
        <f>'Program Descriptions'!C5</f>
        <v>Electric Utilities</v>
      </c>
      <c r="D5" s="4"/>
      <c r="E5" s="4"/>
      <c r="F5" s="4"/>
      <c r="G5" s="4"/>
      <c r="H5" s="4"/>
      <c r="I5" s="25">
        <f t="shared" ref="I5:I37" si="0">SUM(D5:H5)</f>
        <v>0</v>
      </c>
      <c r="J5" s="25"/>
      <c r="K5" s="5"/>
    </row>
    <row r="6" spans="2:11" ht="15" customHeight="1" x14ac:dyDescent="0.3">
      <c r="B6" s="94">
        <v>1</v>
      </c>
      <c r="C6" s="21" t="str">
        <f>'Program Descriptions'!C6</f>
        <v xml:space="preserve">Entergy </v>
      </c>
      <c r="D6" s="96">
        <f>SUM(D7:D9)</f>
        <v>0</v>
      </c>
      <c r="E6" s="96">
        <f>SUM(E7:E9)</f>
        <v>186665</v>
      </c>
      <c r="F6" s="96">
        <f>SUM(F7:F9)</f>
        <v>0</v>
      </c>
      <c r="G6" s="96">
        <f>SUM(G7:G9)</f>
        <v>0</v>
      </c>
      <c r="H6" s="96">
        <f>SUM(H7:H9)</f>
        <v>0</v>
      </c>
      <c r="I6" s="25">
        <f t="shared" si="0"/>
        <v>186665</v>
      </c>
      <c r="J6" s="25"/>
      <c r="K6" s="5"/>
    </row>
    <row r="7" spans="2:11" ht="15" customHeight="1" x14ac:dyDescent="0.3">
      <c r="B7" s="3"/>
      <c r="C7" s="97" t="s">
        <v>2</v>
      </c>
      <c r="D7" s="23"/>
      <c r="E7" s="23">
        <v>186665</v>
      </c>
      <c r="F7" s="23"/>
      <c r="G7" s="23"/>
      <c r="H7" s="23"/>
      <c r="I7" s="95">
        <f t="shared" si="0"/>
        <v>186665</v>
      </c>
      <c r="J7" s="95"/>
      <c r="K7" s="5"/>
    </row>
    <row r="8" spans="2:11" ht="15" customHeight="1" x14ac:dyDescent="0.3">
      <c r="B8" s="3"/>
      <c r="C8" s="97" t="s">
        <v>112</v>
      </c>
      <c r="D8" s="23"/>
      <c r="E8" s="23"/>
      <c r="F8" s="23"/>
      <c r="G8" s="23"/>
      <c r="H8" s="23"/>
      <c r="I8" s="95">
        <f t="shared" si="0"/>
        <v>0</v>
      </c>
      <c r="J8" s="95"/>
      <c r="K8" s="5"/>
    </row>
    <row r="9" spans="2:11" ht="15" customHeight="1" x14ac:dyDescent="0.3">
      <c r="B9" s="3"/>
      <c r="C9" s="97" t="s">
        <v>113</v>
      </c>
      <c r="D9" s="23"/>
      <c r="E9" s="23"/>
      <c r="F9" s="23"/>
      <c r="G9" s="23"/>
      <c r="H9" s="23"/>
      <c r="I9" s="95">
        <f t="shared" si="0"/>
        <v>0</v>
      </c>
      <c r="J9" s="95"/>
      <c r="K9" s="5"/>
    </row>
    <row r="10" spans="2:11" ht="15" customHeight="1" x14ac:dyDescent="0.3">
      <c r="B10" s="94">
        <v>2</v>
      </c>
      <c r="C10" s="21" t="str">
        <f>'Program Descriptions'!C7</f>
        <v>SWEPCO</v>
      </c>
      <c r="D10" s="96">
        <f>SUM(D11:D13)</f>
        <v>0</v>
      </c>
      <c r="E10" s="96">
        <f>SUM(E11:E13)</f>
        <v>28375</v>
      </c>
      <c r="F10" s="96">
        <f>SUM(F11:F13)</f>
        <v>0</v>
      </c>
      <c r="G10" s="96">
        <f>SUM(G11:G13)</f>
        <v>0</v>
      </c>
      <c r="H10" s="96">
        <f>SUM(H11:H13)</f>
        <v>0</v>
      </c>
      <c r="I10" s="25">
        <f t="shared" si="0"/>
        <v>28375</v>
      </c>
      <c r="J10" s="25"/>
      <c r="K10" s="5"/>
    </row>
    <row r="11" spans="2:11" ht="15" customHeight="1" x14ac:dyDescent="0.3">
      <c r="B11" s="3"/>
      <c r="C11" s="97" t="s">
        <v>2</v>
      </c>
      <c r="D11" s="23"/>
      <c r="E11" s="23">
        <v>28375</v>
      </c>
      <c r="F11" s="23"/>
      <c r="G11" s="23"/>
      <c r="H11" s="23"/>
      <c r="I11" s="95">
        <f t="shared" si="0"/>
        <v>28375</v>
      </c>
      <c r="J11" s="95"/>
      <c r="K11" s="5"/>
    </row>
    <row r="12" spans="2:11" ht="15" customHeight="1" x14ac:dyDescent="0.3">
      <c r="B12" s="3"/>
      <c r="C12" s="97" t="s">
        <v>112</v>
      </c>
      <c r="D12" s="23"/>
      <c r="E12" s="23"/>
      <c r="F12" s="23"/>
      <c r="G12" s="23"/>
      <c r="H12" s="23"/>
      <c r="I12" s="95">
        <f t="shared" si="0"/>
        <v>0</v>
      </c>
      <c r="J12" s="95"/>
      <c r="K12" s="5"/>
    </row>
    <row r="13" spans="2:11" ht="15" customHeight="1" x14ac:dyDescent="0.3">
      <c r="B13" s="3"/>
      <c r="C13" s="97" t="s">
        <v>113</v>
      </c>
      <c r="D13" s="23"/>
      <c r="E13" s="23"/>
      <c r="F13" s="23"/>
      <c r="G13" s="23"/>
      <c r="H13" s="23"/>
      <c r="I13" s="95">
        <f t="shared" si="0"/>
        <v>0</v>
      </c>
      <c r="J13" s="95"/>
      <c r="K13" s="5"/>
    </row>
    <row r="14" spans="2:11" ht="15" customHeight="1" x14ac:dyDescent="0.3">
      <c r="B14" s="94">
        <v>3</v>
      </c>
      <c r="C14" s="21" t="str">
        <f>'Program Descriptions'!C8</f>
        <v>OG&amp;E</v>
      </c>
      <c r="D14" s="96">
        <f>SUM(D15:D17)</f>
        <v>0</v>
      </c>
      <c r="E14" s="96">
        <f>SUM(E15:E17)</f>
        <v>15222</v>
      </c>
      <c r="F14" s="96">
        <f>SUM(F15:F17)</f>
        <v>0</v>
      </c>
      <c r="G14" s="96">
        <f>SUM(G15:G17)</f>
        <v>0</v>
      </c>
      <c r="H14" s="96">
        <f>SUM(H15:H17)</f>
        <v>0</v>
      </c>
      <c r="I14" s="25">
        <f t="shared" si="0"/>
        <v>15222</v>
      </c>
      <c r="J14" s="25"/>
      <c r="K14" s="5"/>
    </row>
    <row r="15" spans="2:11" ht="15" customHeight="1" x14ac:dyDescent="0.3">
      <c r="B15" s="3"/>
      <c r="C15" s="97" t="s">
        <v>2</v>
      </c>
      <c r="D15" s="23"/>
      <c r="E15" s="23">
        <v>15222</v>
      </c>
      <c r="F15" s="23"/>
      <c r="G15" s="23"/>
      <c r="H15" s="23"/>
      <c r="I15" s="95">
        <f t="shared" si="0"/>
        <v>15222</v>
      </c>
      <c r="J15" s="95"/>
      <c r="K15" s="5"/>
    </row>
    <row r="16" spans="2:11" ht="15" customHeight="1" x14ac:dyDescent="0.3">
      <c r="B16" s="3"/>
      <c r="C16" s="97" t="s">
        <v>112</v>
      </c>
      <c r="D16" s="23"/>
      <c r="E16" s="23"/>
      <c r="F16" s="23"/>
      <c r="G16" s="23"/>
      <c r="H16" s="23"/>
      <c r="I16" s="95">
        <f t="shared" si="0"/>
        <v>0</v>
      </c>
      <c r="J16" s="95"/>
      <c r="K16" s="5"/>
    </row>
    <row r="17" spans="2:11" ht="15" customHeight="1" x14ac:dyDescent="0.3">
      <c r="B17" s="3"/>
      <c r="C17" s="97" t="s">
        <v>113</v>
      </c>
      <c r="D17" s="23"/>
      <c r="E17" s="23"/>
      <c r="F17" s="23"/>
      <c r="G17" s="23"/>
      <c r="H17" s="23"/>
      <c r="I17" s="95">
        <f t="shared" si="0"/>
        <v>0</v>
      </c>
      <c r="J17" s="95"/>
      <c r="K17" s="5"/>
    </row>
    <row r="18" spans="2:11" ht="15" customHeight="1" x14ac:dyDescent="0.3">
      <c r="B18" s="94">
        <v>4</v>
      </c>
      <c r="C18" s="21" t="str">
        <f>'Program Descriptions'!C9</f>
        <v>Empire</v>
      </c>
      <c r="D18" s="96">
        <f>SUM(D19:D21)</f>
        <v>0</v>
      </c>
      <c r="E18" s="96">
        <f>SUM(E19:E21)</f>
        <v>1049</v>
      </c>
      <c r="F18" s="96">
        <f>SUM(F19:F21)</f>
        <v>0</v>
      </c>
      <c r="G18" s="96">
        <f>SUM(G19:G21)</f>
        <v>0</v>
      </c>
      <c r="H18" s="96">
        <f>SUM(H19:H21)</f>
        <v>0</v>
      </c>
      <c r="I18" s="25">
        <f t="shared" si="0"/>
        <v>1049</v>
      </c>
      <c r="J18" s="25"/>
      <c r="K18" s="5"/>
    </row>
    <row r="19" spans="2:11" ht="15" customHeight="1" x14ac:dyDescent="0.3">
      <c r="B19" s="3"/>
      <c r="C19" s="97" t="s">
        <v>2</v>
      </c>
      <c r="D19" s="23"/>
      <c r="E19" s="23">
        <v>1049</v>
      </c>
      <c r="F19" s="23"/>
      <c r="G19" s="23"/>
      <c r="H19" s="23"/>
      <c r="I19" s="95">
        <f t="shared" si="0"/>
        <v>1049</v>
      </c>
      <c r="J19" s="95"/>
      <c r="K19" s="5"/>
    </row>
    <row r="20" spans="2:11" ht="15" customHeight="1" x14ac:dyDescent="0.3">
      <c r="B20" s="3"/>
      <c r="C20" s="97" t="s">
        <v>112</v>
      </c>
      <c r="D20" s="23"/>
      <c r="E20" s="23"/>
      <c r="F20" s="23"/>
      <c r="G20" s="23"/>
      <c r="H20" s="23"/>
      <c r="I20" s="95">
        <f t="shared" si="0"/>
        <v>0</v>
      </c>
      <c r="J20" s="95"/>
      <c r="K20" s="5"/>
    </row>
    <row r="21" spans="2:11" ht="15" customHeight="1" x14ac:dyDescent="0.3">
      <c r="B21" s="3"/>
      <c r="C21" s="97" t="s">
        <v>113</v>
      </c>
      <c r="D21" s="23"/>
      <c r="E21" s="23"/>
      <c r="F21" s="23"/>
      <c r="G21" s="23"/>
      <c r="H21" s="23"/>
      <c r="I21" s="95">
        <f t="shared" si="0"/>
        <v>0</v>
      </c>
      <c r="J21" s="95"/>
      <c r="K21" s="5"/>
    </row>
    <row r="22" spans="2:11" ht="15" customHeight="1" x14ac:dyDescent="0.3">
      <c r="B22" s="3"/>
      <c r="C22" s="97"/>
      <c r="D22" s="21"/>
      <c r="E22" s="21"/>
      <c r="F22" s="21"/>
      <c r="G22" s="21"/>
      <c r="H22" s="21"/>
      <c r="I22" s="95"/>
      <c r="J22" s="95"/>
      <c r="K22" s="5"/>
    </row>
    <row r="23" spans="2:11" ht="39.5" x14ac:dyDescent="0.35">
      <c r="B23" s="3"/>
      <c r="C23" s="14" t="s">
        <v>255</v>
      </c>
      <c r="D23" s="22" t="str">
        <f>D4</f>
        <v>Planning / Design</v>
      </c>
      <c r="E23" s="22" t="str">
        <f>E4</f>
        <v>Marketing &amp; Delivery</v>
      </c>
      <c r="F23" s="22" t="str">
        <f>F4</f>
        <v>Incentives / Direct Install Costs</v>
      </c>
      <c r="G23" s="22" t="str">
        <f>G4</f>
        <v>EM&amp;V</v>
      </c>
      <c r="H23" s="22" t="str">
        <f>H4</f>
        <v>Administration</v>
      </c>
      <c r="I23" s="22" t="str">
        <f>Cost!C24</f>
        <v>Regulatory</v>
      </c>
      <c r="J23" s="22" t="s">
        <v>4</v>
      </c>
      <c r="K23" s="5"/>
    </row>
    <row r="24" spans="2:11" ht="15" customHeight="1" x14ac:dyDescent="0.3">
      <c r="B24" s="3"/>
      <c r="C24" s="97" t="s">
        <v>2</v>
      </c>
      <c r="D24" s="98">
        <f>D7+D11+D15+D19</f>
        <v>0</v>
      </c>
      <c r="E24" s="98">
        <f>E7+E11+E15+E19</f>
        <v>231311</v>
      </c>
      <c r="F24" s="98">
        <f>F7+F11+F15+F19</f>
        <v>0</v>
      </c>
      <c r="G24" s="98">
        <f>G7+G11+G15+G19</f>
        <v>0</v>
      </c>
      <c r="H24" s="98">
        <f>H7+H11+H15+H19</f>
        <v>0</v>
      </c>
      <c r="I24" s="23">
        <v>0</v>
      </c>
      <c r="J24" s="25">
        <f>SUM(D24:I24)</f>
        <v>231311</v>
      </c>
      <c r="K24" s="5"/>
    </row>
    <row r="25" spans="2:11" ht="15" customHeight="1" x14ac:dyDescent="0.3">
      <c r="B25" s="3"/>
      <c r="C25" s="97" t="s">
        <v>112</v>
      </c>
      <c r="D25" s="98">
        <f t="shared" ref="D25:H26" si="1">D8+D12+D16+D20</f>
        <v>0</v>
      </c>
      <c r="E25" s="98">
        <f t="shared" si="1"/>
        <v>0</v>
      </c>
      <c r="F25" s="98">
        <f t="shared" si="1"/>
        <v>0</v>
      </c>
      <c r="G25" s="98">
        <f t="shared" si="1"/>
        <v>0</v>
      </c>
      <c r="H25" s="98">
        <f t="shared" si="1"/>
        <v>0</v>
      </c>
      <c r="I25" s="23">
        <v>0</v>
      </c>
      <c r="J25" s="25">
        <f>SUM(D25:I25)</f>
        <v>0</v>
      </c>
      <c r="K25" s="5"/>
    </row>
    <row r="26" spans="2:11" ht="15" customHeight="1" thickBot="1" x14ac:dyDescent="0.35">
      <c r="B26" s="3"/>
      <c r="C26" s="97" t="s">
        <v>113</v>
      </c>
      <c r="D26" s="98">
        <f t="shared" si="1"/>
        <v>0</v>
      </c>
      <c r="E26" s="98">
        <f t="shared" si="1"/>
        <v>0</v>
      </c>
      <c r="F26" s="98">
        <f t="shared" si="1"/>
        <v>0</v>
      </c>
      <c r="G26" s="98">
        <f t="shared" si="1"/>
        <v>0</v>
      </c>
      <c r="H26" s="98">
        <f t="shared" si="1"/>
        <v>0</v>
      </c>
      <c r="I26" s="29">
        <v>0</v>
      </c>
      <c r="J26" s="25">
        <f>SUM(D26:I26)</f>
        <v>0</v>
      </c>
      <c r="K26" s="5"/>
    </row>
    <row r="27" spans="2:11" ht="15" customHeight="1" x14ac:dyDescent="0.35">
      <c r="B27" s="3"/>
      <c r="C27" s="99" t="s">
        <v>51</v>
      </c>
      <c r="D27" s="30">
        <f>SUM(D24:D26)</f>
        <v>0</v>
      </c>
      <c r="E27" s="30">
        <f t="shared" ref="E27:J27" si="2">SUM(E24:E26)</f>
        <v>231311</v>
      </c>
      <c r="F27" s="30">
        <f t="shared" si="2"/>
        <v>0</v>
      </c>
      <c r="G27" s="30">
        <f t="shared" si="2"/>
        <v>0</v>
      </c>
      <c r="H27" s="30">
        <f t="shared" si="2"/>
        <v>0</v>
      </c>
      <c r="I27" s="30">
        <f t="shared" si="2"/>
        <v>0</v>
      </c>
      <c r="J27" s="30">
        <f t="shared" si="2"/>
        <v>231311</v>
      </c>
      <c r="K27" s="5"/>
    </row>
    <row r="28" spans="2:11" ht="15" customHeight="1" x14ac:dyDescent="0.3">
      <c r="B28" s="94"/>
      <c r="C28" s="21"/>
      <c r="D28" s="21"/>
      <c r="E28" s="21"/>
      <c r="F28" s="21"/>
      <c r="G28" s="21"/>
      <c r="H28" s="21"/>
      <c r="I28" s="21"/>
      <c r="J28" s="25"/>
      <c r="K28" s="5"/>
    </row>
    <row r="29" spans="2:11" ht="15" customHeight="1" x14ac:dyDescent="0.35">
      <c r="B29" s="3"/>
      <c r="C29" s="14" t="str">
        <f>'Program Descriptions'!C11</f>
        <v>Natural Gas Utilities</v>
      </c>
      <c r="D29" s="97"/>
      <c r="E29" s="97"/>
      <c r="F29" s="97"/>
      <c r="G29" s="97"/>
      <c r="H29" s="97"/>
      <c r="I29" s="97"/>
      <c r="J29" s="95"/>
      <c r="K29" s="5"/>
    </row>
    <row r="30" spans="2:11" ht="15" customHeight="1" x14ac:dyDescent="0.3">
      <c r="B30" s="94">
        <f>B28+1</f>
        <v>1</v>
      </c>
      <c r="C30" s="21" t="str">
        <f>'Program Descriptions'!C12</f>
        <v>CenterPoint</v>
      </c>
      <c r="D30" s="96">
        <f>SUM(D31:D33)</f>
        <v>0</v>
      </c>
      <c r="E30" s="96">
        <f>SUM(E31:E33)</f>
        <v>88334</v>
      </c>
      <c r="F30" s="96">
        <f>SUM(F31:F33)</f>
        <v>0</v>
      </c>
      <c r="G30" s="96">
        <f>SUM(G31:G33)</f>
        <v>0</v>
      </c>
      <c r="H30" s="96">
        <f>SUM(H31:H33)</f>
        <v>0</v>
      </c>
      <c r="I30" s="25">
        <f t="shared" si="0"/>
        <v>88334</v>
      </c>
      <c r="J30" s="25"/>
      <c r="K30" s="5"/>
    </row>
    <row r="31" spans="2:11" ht="15" customHeight="1" x14ac:dyDescent="0.3">
      <c r="B31" s="3"/>
      <c r="C31" s="97" t="s">
        <v>2</v>
      </c>
      <c r="D31" s="23"/>
      <c r="E31" s="23">
        <v>88334</v>
      </c>
      <c r="F31" s="23"/>
      <c r="G31" s="23"/>
      <c r="H31" s="23"/>
      <c r="I31" s="95">
        <f t="shared" si="0"/>
        <v>88334</v>
      </c>
      <c r="J31" s="95"/>
      <c r="K31" s="5"/>
    </row>
    <row r="32" spans="2:11" ht="15" customHeight="1" x14ac:dyDescent="0.3">
      <c r="B32" s="3"/>
      <c r="C32" s="97" t="s">
        <v>112</v>
      </c>
      <c r="D32" s="23"/>
      <c r="E32" s="23"/>
      <c r="F32" s="23"/>
      <c r="G32" s="23"/>
      <c r="H32" s="23"/>
      <c r="I32" s="95">
        <f t="shared" si="0"/>
        <v>0</v>
      </c>
      <c r="J32" s="95"/>
      <c r="K32" s="5"/>
    </row>
    <row r="33" spans="2:11" ht="15" customHeight="1" x14ac:dyDescent="0.3">
      <c r="B33" s="3"/>
      <c r="C33" s="97" t="s">
        <v>113</v>
      </c>
      <c r="D33" s="23"/>
      <c r="E33" s="23"/>
      <c r="F33" s="23"/>
      <c r="G33" s="23"/>
      <c r="H33" s="23"/>
      <c r="I33" s="95">
        <f t="shared" si="0"/>
        <v>0</v>
      </c>
      <c r="J33" s="95"/>
      <c r="K33" s="5"/>
    </row>
    <row r="34" spans="2:11" ht="15" customHeight="1" x14ac:dyDescent="0.3">
      <c r="B34" s="94">
        <f>B30+1</f>
        <v>2</v>
      </c>
      <c r="C34" s="21" t="str">
        <f>'Program Descriptions'!C13</f>
        <v>Black Hills</v>
      </c>
      <c r="D34" s="96">
        <f>SUM(D35:D37)</f>
        <v>0</v>
      </c>
      <c r="E34" s="96">
        <f>SUM(E35:E37)</f>
        <v>32219</v>
      </c>
      <c r="F34" s="96">
        <f>SUM(F35:F37)</f>
        <v>0</v>
      </c>
      <c r="G34" s="96">
        <f>SUM(G35:G37)</f>
        <v>0</v>
      </c>
      <c r="H34" s="96">
        <f>SUM(H35:H37)</f>
        <v>0</v>
      </c>
      <c r="I34" s="25">
        <f t="shared" si="0"/>
        <v>32219</v>
      </c>
      <c r="J34" s="25"/>
      <c r="K34" s="5"/>
    </row>
    <row r="35" spans="2:11" ht="15" customHeight="1" x14ac:dyDescent="0.3">
      <c r="B35" s="3"/>
      <c r="C35" s="97" t="s">
        <v>2</v>
      </c>
      <c r="D35" s="23"/>
      <c r="E35" s="23">
        <v>32219</v>
      </c>
      <c r="F35" s="23"/>
      <c r="G35" s="23"/>
      <c r="H35" s="23"/>
      <c r="I35" s="95">
        <f t="shared" si="0"/>
        <v>32219</v>
      </c>
      <c r="J35" s="95"/>
      <c r="K35" s="5"/>
    </row>
    <row r="36" spans="2:11" ht="15" customHeight="1" x14ac:dyDescent="0.3">
      <c r="B36" s="3"/>
      <c r="C36" s="97" t="s">
        <v>112</v>
      </c>
      <c r="D36" s="23"/>
      <c r="E36" s="23"/>
      <c r="F36" s="23"/>
      <c r="G36" s="23"/>
      <c r="H36" s="23"/>
      <c r="I36" s="95">
        <f t="shared" si="0"/>
        <v>0</v>
      </c>
      <c r="J36" s="95"/>
      <c r="K36" s="5"/>
    </row>
    <row r="37" spans="2:11" ht="15" customHeight="1" x14ac:dyDescent="0.3">
      <c r="B37" s="3"/>
      <c r="C37" s="97" t="s">
        <v>113</v>
      </c>
      <c r="D37" s="23"/>
      <c r="E37" s="23"/>
      <c r="F37" s="23"/>
      <c r="G37" s="23"/>
      <c r="H37" s="23"/>
      <c r="I37" s="95">
        <f t="shared" si="0"/>
        <v>0</v>
      </c>
      <c r="J37" s="95"/>
      <c r="K37" s="5"/>
    </row>
    <row r="38" spans="2:11" ht="15" customHeight="1" x14ac:dyDescent="0.3">
      <c r="B38" s="94">
        <f>B34+1</f>
        <v>3</v>
      </c>
      <c r="C38" s="21" t="str">
        <f>'Program Descriptions'!C14</f>
        <v>AOG</v>
      </c>
      <c r="D38" s="96">
        <f>SUM(D39:D41)</f>
        <v>0</v>
      </c>
      <c r="E38" s="96">
        <f>SUM(E39:E41)</f>
        <v>9772</v>
      </c>
      <c r="F38" s="96">
        <f>SUM(F39:F41)</f>
        <v>0</v>
      </c>
      <c r="G38" s="96">
        <f>SUM(G39:G41)</f>
        <v>0</v>
      </c>
      <c r="H38" s="96">
        <f>SUM(H39:H41)</f>
        <v>0</v>
      </c>
      <c r="I38" s="25">
        <f>SUM(D38:H38)</f>
        <v>9772</v>
      </c>
      <c r="J38" s="25"/>
      <c r="K38" s="5"/>
    </row>
    <row r="39" spans="2:11" ht="15" customHeight="1" x14ac:dyDescent="0.3">
      <c r="B39" s="3"/>
      <c r="C39" s="97" t="s">
        <v>2</v>
      </c>
      <c r="D39" s="23"/>
      <c r="E39" s="23">
        <v>9772</v>
      </c>
      <c r="F39" s="23"/>
      <c r="G39" s="23"/>
      <c r="H39" s="23"/>
      <c r="I39" s="95">
        <f>SUM(D39:H39)</f>
        <v>9772</v>
      </c>
      <c r="J39" s="95"/>
      <c r="K39" s="5"/>
    </row>
    <row r="40" spans="2:11" ht="15" customHeight="1" x14ac:dyDescent="0.3">
      <c r="B40" s="3"/>
      <c r="C40" s="97" t="s">
        <v>112</v>
      </c>
      <c r="D40" s="23"/>
      <c r="E40" s="23"/>
      <c r="F40" s="23"/>
      <c r="G40" s="23"/>
      <c r="H40" s="23"/>
      <c r="I40" s="95">
        <f>SUM(D40:H40)</f>
        <v>0</v>
      </c>
      <c r="J40" s="95"/>
      <c r="K40" s="5"/>
    </row>
    <row r="41" spans="2:11" ht="15" customHeight="1" x14ac:dyDescent="0.3">
      <c r="B41" s="3"/>
      <c r="C41" s="97" t="s">
        <v>113</v>
      </c>
      <c r="D41" s="23"/>
      <c r="E41" s="23"/>
      <c r="F41" s="23"/>
      <c r="G41" s="23"/>
      <c r="H41" s="23"/>
      <c r="I41" s="95">
        <f>SUM(D41:H41)</f>
        <v>0</v>
      </c>
      <c r="J41" s="95"/>
      <c r="K41" s="5"/>
    </row>
    <row r="42" spans="2:11" ht="15" customHeight="1" x14ac:dyDescent="0.3">
      <c r="B42" s="3"/>
      <c r="C42" s="4"/>
      <c r="D42" s="4"/>
      <c r="E42" s="4"/>
      <c r="F42" s="4"/>
      <c r="G42" s="4"/>
      <c r="H42" s="4"/>
      <c r="I42" s="4"/>
      <c r="J42" s="4"/>
      <c r="K42" s="5"/>
    </row>
    <row r="43" spans="2:11" ht="15" customHeight="1" x14ac:dyDescent="0.3">
      <c r="B43" s="3"/>
      <c r="C43" s="4"/>
      <c r="D43" s="4"/>
      <c r="E43" s="4"/>
      <c r="F43" s="4"/>
      <c r="G43" s="4"/>
      <c r="H43" s="4"/>
      <c r="I43" s="4"/>
      <c r="J43" s="4"/>
      <c r="K43" s="5"/>
    </row>
    <row r="44" spans="2:11" ht="39.5" x14ac:dyDescent="0.35">
      <c r="B44" s="3"/>
      <c r="C44" s="14" t="s">
        <v>256</v>
      </c>
      <c r="D44" s="22" t="str">
        <f>D4</f>
        <v>Planning / Design</v>
      </c>
      <c r="E44" s="22" t="str">
        <f>E4</f>
        <v>Marketing &amp; Delivery</v>
      </c>
      <c r="F44" s="22" t="str">
        <f>F4</f>
        <v>Incentives / Direct Install Costs</v>
      </c>
      <c r="G44" s="22" t="str">
        <f>G4</f>
        <v>EM&amp;V</v>
      </c>
      <c r="H44" s="22" t="str">
        <f>H4</f>
        <v>Administration</v>
      </c>
      <c r="I44" s="22" t="str">
        <f>Cost!C24</f>
        <v>Regulatory</v>
      </c>
      <c r="J44" s="22" t="s">
        <v>4</v>
      </c>
      <c r="K44" s="5"/>
    </row>
    <row r="45" spans="2:11" ht="15" customHeight="1" x14ac:dyDescent="0.3">
      <c r="B45" s="3"/>
      <c r="C45" s="97" t="s">
        <v>2</v>
      </c>
      <c r="D45" s="98">
        <f>D31+D35+D39</f>
        <v>0</v>
      </c>
      <c r="E45" s="98">
        <f>E31+E35+E39</f>
        <v>130325</v>
      </c>
      <c r="F45" s="98">
        <f>F31+F35+F39</f>
        <v>0</v>
      </c>
      <c r="G45" s="98">
        <f>G31+G35+G39</f>
        <v>0</v>
      </c>
      <c r="H45" s="98">
        <f>H31+H35+H39</f>
        <v>0</v>
      </c>
      <c r="I45" s="23">
        <v>0</v>
      </c>
      <c r="J45" s="25">
        <f>SUM(D45:I45)</f>
        <v>130325</v>
      </c>
      <c r="K45" s="5"/>
    </row>
    <row r="46" spans="2:11" ht="15" customHeight="1" x14ac:dyDescent="0.3">
      <c r="B46" s="3"/>
      <c r="C46" s="97" t="s">
        <v>112</v>
      </c>
      <c r="D46" s="98">
        <f t="shared" ref="D46:H47" si="3">D32+D36+D40</f>
        <v>0</v>
      </c>
      <c r="E46" s="98">
        <f t="shared" si="3"/>
        <v>0</v>
      </c>
      <c r="F46" s="98">
        <f t="shared" si="3"/>
        <v>0</v>
      </c>
      <c r="G46" s="98">
        <f t="shared" si="3"/>
        <v>0</v>
      </c>
      <c r="H46" s="98">
        <f t="shared" si="3"/>
        <v>0</v>
      </c>
      <c r="I46" s="23">
        <v>0</v>
      </c>
      <c r="J46" s="25">
        <f>SUM(D46:I46)</f>
        <v>0</v>
      </c>
      <c r="K46" s="5"/>
    </row>
    <row r="47" spans="2:11" ht="15" customHeight="1" thickBot="1" x14ac:dyDescent="0.35">
      <c r="B47" s="3"/>
      <c r="C47" s="97" t="s">
        <v>113</v>
      </c>
      <c r="D47" s="98">
        <f t="shared" si="3"/>
        <v>0</v>
      </c>
      <c r="E47" s="98">
        <f t="shared" si="3"/>
        <v>0</v>
      </c>
      <c r="F47" s="98">
        <f t="shared" si="3"/>
        <v>0</v>
      </c>
      <c r="G47" s="98">
        <f t="shared" si="3"/>
        <v>0</v>
      </c>
      <c r="H47" s="98">
        <f t="shared" si="3"/>
        <v>0</v>
      </c>
      <c r="I47" s="29">
        <v>0</v>
      </c>
      <c r="J47" s="25">
        <f>SUM(D47:I47)</f>
        <v>0</v>
      </c>
      <c r="K47" s="5"/>
    </row>
    <row r="48" spans="2:11" ht="15" customHeight="1" x14ac:dyDescent="0.35">
      <c r="B48" s="3"/>
      <c r="C48" s="99" t="s">
        <v>51</v>
      </c>
      <c r="D48" s="30">
        <f>SUM(D45:D47)</f>
        <v>0</v>
      </c>
      <c r="E48" s="30">
        <f t="shared" ref="E48:J48" si="4">SUM(E45:E47)</f>
        <v>130325</v>
      </c>
      <c r="F48" s="30">
        <f t="shared" si="4"/>
        <v>0</v>
      </c>
      <c r="G48" s="30">
        <f t="shared" si="4"/>
        <v>0</v>
      </c>
      <c r="H48" s="30">
        <f t="shared" si="4"/>
        <v>0</v>
      </c>
      <c r="I48" s="30">
        <f t="shared" si="4"/>
        <v>0</v>
      </c>
      <c r="J48" s="30">
        <f t="shared" si="4"/>
        <v>130325</v>
      </c>
      <c r="K48" s="5"/>
    </row>
    <row r="49" spans="2:11" ht="15" customHeight="1" x14ac:dyDescent="0.3">
      <c r="B49" s="6"/>
      <c r="C49" s="7"/>
      <c r="D49" s="7"/>
      <c r="E49" s="7"/>
      <c r="F49" s="7"/>
      <c r="G49" s="7"/>
      <c r="H49" s="7"/>
      <c r="I49" s="7"/>
      <c r="J49" s="7"/>
      <c r="K49" s="8"/>
    </row>
    <row r="50" spans="2:11" s="4" customFormat="1" ht="15" customHeight="1" x14ac:dyDescent="0.3"/>
    <row r="51" spans="2:11" ht="15" customHeight="1" x14ac:dyDescent="0.3">
      <c r="B51" s="4"/>
      <c r="C51" s="4"/>
      <c r="D51" s="4"/>
      <c r="E51" s="4"/>
      <c r="F51" s="4"/>
      <c r="G51" s="4"/>
      <c r="H51" s="4"/>
      <c r="I51" s="4"/>
      <c r="J51" s="4"/>
      <c r="K51" s="4"/>
    </row>
    <row r="52" spans="2:11" ht="15" customHeight="1" x14ac:dyDescent="0.3">
      <c r="B52" s="4"/>
      <c r="C52" s="4"/>
      <c r="D52" s="4"/>
      <c r="E52" s="4"/>
      <c r="F52" s="4"/>
      <c r="G52" s="4"/>
      <c r="H52" s="4"/>
      <c r="I52" s="4"/>
      <c r="J52" s="4"/>
      <c r="K52" s="4"/>
    </row>
    <row r="53" spans="2:11" ht="15" customHeight="1" x14ac:dyDescent="0.3">
      <c r="B53" s="4"/>
      <c r="C53" s="4"/>
      <c r="D53" s="4"/>
      <c r="E53" s="4"/>
      <c r="F53" s="4"/>
      <c r="G53" s="4"/>
      <c r="H53" s="4"/>
      <c r="I53" s="4"/>
      <c r="J53" s="4"/>
      <c r="K53" s="4"/>
    </row>
    <row r="54" spans="2:11" ht="15" customHeight="1" x14ac:dyDescent="0.3"/>
    <row r="55" spans="2:11" ht="15" customHeight="1" x14ac:dyDescent="0.3"/>
    <row r="56" spans="2:11" ht="15" customHeight="1" x14ac:dyDescent="0.3"/>
    <row r="57" spans="2:11" ht="15" customHeight="1" x14ac:dyDescent="0.3"/>
    <row r="58" spans="2:11" ht="15" customHeight="1" x14ac:dyDescent="0.3"/>
    <row r="59" spans="2:11" ht="15" customHeight="1" x14ac:dyDescent="0.3"/>
    <row r="60" spans="2:11" ht="15" customHeight="1" x14ac:dyDescent="0.3"/>
    <row r="61" spans="2:11" ht="15" customHeight="1" x14ac:dyDescent="0.3"/>
    <row r="62" spans="2:11" ht="15" customHeight="1" x14ac:dyDescent="0.3"/>
    <row r="63" spans="2:11" ht="15" customHeight="1" x14ac:dyDescent="0.3"/>
    <row r="64" spans="2:11"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sheetData>
  <sheetProtection password="C925" sheet="1" objects="1" formatRows="0"/>
  <pageMargins left="0.25" right="0.25" top="0.25" bottom="0.2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6"/>
  <sheetViews>
    <sheetView showGridLines="0" workbookViewId="0">
      <pane ySplit="3" topLeftCell="A4" activePane="bottomLeft" state="frozen"/>
      <selection pane="bottomLeft" activeCell="H30" sqref="H30"/>
    </sheetView>
  </sheetViews>
  <sheetFormatPr defaultColWidth="9.1796875" defaultRowHeight="13" x14ac:dyDescent="0.3"/>
  <cols>
    <col min="1" max="1" width="1" style="2" customWidth="1"/>
    <col min="2" max="2" width="1.81640625" style="2" customWidth="1"/>
    <col min="3" max="3" width="3.453125" style="2" customWidth="1"/>
    <col min="4" max="4" width="37" style="2" customWidth="1"/>
    <col min="5" max="7" width="12.7265625" style="2" customWidth="1"/>
    <col min="8" max="8" width="49.7265625" style="2" customWidth="1"/>
    <col min="9" max="9" width="3" style="2" customWidth="1"/>
    <col min="10" max="10" width="1" style="2" customWidth="1"/>
    <col min="11" max="16384" width="9.1796875" style="2"/>
  </cols>
  <sheetData>
    <row r="1" spans="2:9" ht="38.25" customHeight="1" x14ac:dyDescent="0.3"/>
    <row r="2" spans="2:9" x14ac:dyDescent="0.3">
      <c r="B2" s="10"/>
      <c r="C2" s="11"/>
      <c r="D2" s="11"/>
      <c r="E2" s="11"/>
      <c r="F2" s="11"/>
      <c r="G2" s="11"/>
      <c r="H2" s="11"/>
      <c r="I2" s="12"/>
    </row>
    <row r="3" spans="2:9" x14ac:dyDescent="0.3">
      <c r="B3" s="3"/>
      <c r="C3" s="4"/>
      <c r="D3" s="21" t="s">
        <v>0</v>
      </c>
      <c r="E3" s="64" t="s">
        <v>114</v>
      </c>
      <c r="F3" s="64" t="s">
        <v>2</v>
      </c>
      <c r="G3" s="64" t="s">
        <v>87</v>
      </c>
      <c r="H3" s="64" t="s">
        <v>115</v>
      </c>
      <c r="I3" s="5"/>
    </row>
    <row r="4" spans="2:9" x14ac:dyDescent="0.3">
      <c r="B4" s="3"/>
      <c r="C4" s="4"/>
      <c r="D4" s="21" t="str">
        <f>'Actual Expenses'!C5</f>
        <v>Electric Utilities</v>
      </c>
      <c r="E4" s="4"/>
      <c r="F4" s="4"/>
      <c r="G4" s="4"/>
      <c r="H4" s="4"/>
      <c r="I4" s="100"/>
    </row>
    <row r="5" spans="2:9" ht="52" x14ac:dyDescent="0.3">
      <c r="B5" s="3"/>
      <c r="C5" s="66">
        <v>1</v>
      </c>
      <c r="D5" s="67" t="str">
        <f>'Program Descriptions'!C6</f>
        <v xml:space="preserve">Entergy </v>
      </c>
      <c r="E5" s="68">
        <f>VLOOKUP(C5,'Actual Expenses'!$B$5:$I$41,8,FALSE)</f>
        <v>186665</v>
      </c>
      <c r="F5" s="260">
        <v>230642</v>
      </c>
      <c r="G5" s="68">
        <f t="shared" ref="G5:G13" si="0">E5-F5</f>
        <v>-43977</v>
      </c>
      <c r="H5" s="245" t="s">
        <v>340</v>
      </c>
      <c r="I5" s="100"/>
    </row>
    <row r="6" spans="2:9" ht="52" x14ac:dyDescent="0.3">
      <c r="B6" s="3"/>
      <c r="C6" s="66">
        <v>2</v>
      </c>
      <c r="D6" s="67" t="str">
        <f>'Program Descriptions'!C7</f>
        <v>SWEPCO</v>
      </c>
      <c r="E6" s="68">
        <f>VLOOKUP(C6,'Actual Expenses'!$B$5:$I$41,8,FALSE)</f>
        <v>28375</v>
      </c>
      <c r="F6" s="260">
        <v>35480</v>
      </c>
      <c r="G6" s="68">
        <f t="shared" si="0"/>
        <v>-7105</v>
      </c>
      <c r="H6" s="245" t="s">
        <v>340</v>
      </c>
      <c r="I6" s="100"/>
    </row>
    <row r="7" spans="2:9" ht="52" x14ac:dyDescent="0.3">
      <c r="B7" s="3"/>
      <c r="C7" s="66">
        <v>3</v>
      </c>
      <c r="D7" s="67" t="str">
        <f>'Program Descriptions'!C8</f>
        <v>OG&amp;E</v>
      </c>
      <c r="E7" s="68">
        <f>VLOOKUP(C7,'Actual Expenses'!$B$5:$I$41,8,FALSE)</f>
        <v>15222</v>
      </c>
      <c r="F7" s="260">
        <v>18411</v>
      </c>
      <c r="G7" s="68">
        <f t="shared" si="0"/>
        <v>-3189</v>
      </c>
      <c r="H7" s="245" t="s">
        <v>340</v>
      </c>
      <c r="I7" s="100"/>
    </row>
    <row r="8" spans="2:9" ht="52" x14ac:dyDescent="0.3">
      <c r="B8" s="3"/>
      <c r="C8" s="66">
        <v>4</v>
      </c>
      <c r="D8" s="67" t="str">
        <f>'Program Descriptions'!C9</f>
        <v>Empire</v>
      </c>
      <c r="E8" s="68">
        <f>VLOOKUP(C8,'Actual Expenses'!$B$5:$I$41,8,FALSE)</f>
        <v>1049</v>
      </c>
      <c r="F8" s="260">
        <v>1252</v>
      </c>
      <c r="G8" s="68">
        <f t="shared" si="0"/>
        <v>-203</v>
      </c>
      <c r="H8" s="245" t="s">
        <v>340</v>
      </c>
      <c r="I8" s="100"/>
    </row>
    <row r="9" spans="2:9" x14ac:dyDescent="0.3">
      <c r="B9" s="3"/>
      <c r="C9" s="4"/>
      <c r="D9" s="4"/>
      <c r="E9" s="4"/>
      <c r="F9" s="4"/>
      <c r="G9" s="4"/>
      <c r="H9" s="4"/>
      <c r="I9" s="100"/>
    </row>
    <row r="10" spans="2:9" x14ac:dyDescent="0.3">
      <c r="B10" s="3"/>
      <c r="C10" s="4"/>
      <c r="D10" s="21" t="str">
        <f>'Program Descriptions'!C11</f>
        <v>Natural Gas Utilities</v>
      </c>
      <c r="E10" s="4"/>
      <c r="F10" s="4"/>
      <c r="G10" s="4"/>
      <c r="H10" s="4"/>
      <c r="I10" s="100"/>
    </row>
    <row r="11" spans="2:9" ht="52" x14ac:dyDescent="0.3">
      <c r="B11" s="3"/>
      <c r="C11" s="66">
        <v>1</v>
      </c>
      <c r="D11" s="67" t="str">
        <f>'Program Descriptions'!C12</f>
        <v>CenterPoint</v>
      </c>
      <c r="E11" s="68">
        <f>VLOOKUP(C11,'Actual Expenses'!$B$5:$I$41,8,FALSE)</f>
        <v>186665</v>
      </c>
      <c r="F11" s="260">
        <v>120600</v>
      </c>
      <c r="G11" s="68">
        <f t="shared" si="0"/>
        <v>66065</v>
      </c>
      <c r="H11" s="245" t="s">
        <v>340</v>
      </c>
      <c r="I11" s="100"/>
    </row>
    <row r="12" spans="2:9" ht="52" x14ac:dyDescent="0.3">
      <c r="B12" s="3"/>
      <c r="C12" s="66">
        <v>2</v>
      </c>
      <c r="D12" s="67" t="str">
        <f>'Program Descriptions'!C13</f>
        <v>Black Hills</v>
      </c>
      <c r="E12" s="68">
        <f>VLOOKUP(C12,'Actual Expenses'!$B$5:$I$41,8,FALSE)</f>
        <v>28375</v>
      </c>
      <c r="F12" s="260">
        <v>44643</v>
      </c>
      <c r="G12" s="68">
        <f t="shared" si="0"/>
        <v>-16268</v>
      </c>
      <c r="H12" s="245" t="s">
        <v>340</v>
      </c>
      <c r="I12" s="100"/>
    </row>
    <row r="13" spans="2:9" x14ac:dyDescent="0.3">
      <c r="B13" s="3"/>
      <c r="C13" s="66">
        <v>3</v>
      </c>
      <c r="D13" s="67" t="str">
        <f>'Program Descriptions'!C14</f>
        <v>AOG</v>
      </c>
      <c r="E13" s="68">
        <f>VLOOKUP(C13,'Actual Expenses'!$B$5:$I$41,8,FALSE)</f>
        <v>15222</v>
      </c>
      <c r="F13" s="69" t="s">
        <v>341</v>
      </c>
      <c r="G13" s="68" t="e">
        <f t="shared" si="0"/>
        <v>#VALUE!</v>
      </c>
      <c r="H13" s="245" t="s">
        <v>342</v>
      </c>
      <c r="I13" s="100"/>
    </row>
    <row r="14" spans="2:9" x14ac:dyDescent="0.3">
      <c r="B14" s="3"/>
      <c r="C14" s="4"/>
      <c r="D14" s="4"/>
      <c r="E14" s="4"/>
      <c r="F14" s="4"/>
      <c r="G14" s="4"/>
      <c r="H14" s="4"/>
      <c r="I14" s="5"/>
    </row>
    <row r="15" spans="2:9" x14ac:dyDescent="0.3">
      <c r="B15" s="3"/>
      <c r="C15" s="4"/>
      <c r="D15" s="4"/>
      <c r="E15" s="4"/>
      <c r="F15" s="4"/>
      <c r="G15" s="4"/>
      <c r="H15" s="4"/>
      <c r="I15" s="5"/>
    </row>
    <row r="16" spans="2:9" x14ac:dyDescent="0.3">
      <c r="B16" s="6"/>
      <c r="C16" s="7"/>
      <c r="D16" s="7"/>
      <c r="E16" s="7"/>
      <c r="F16" s="7"/>
      <c r="G16" s="7"/>
      <c r="H16" s="7"/>
      <c r="I16" s="8"/>
    </row>
  </sheetData>
  <sheetProtection password="C925" sheet="1" objects="1" formatRows="0"/>
  <pageMargins left="0.25" right="0.25" top="0.5" bottom="0.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5"/>
  <sheetViews>
    <sheetView showGridLines="0" workbookViewId="0">
      <pane ySplit="2" topLeftCell="A3" activePane="bottomLeft" state="frozen"/>
      <selection pane="bottomLeft"/>
    </sheetView>
  </sheetViews>
  <sheetFormatPr defaultColWidth="9.1796875" defaultRowHeight="13" x14ac:dyDescent="0.3"/>
  <cols>
    <col min="1" max="1" width="1" style="2" customWidth="1"/>
    <col min="2" max="2" width="3.7265625" style="2" customWidth="1"/>
    <col min="3" max="3" width="36.1796875" style="2" customWidth="1"/>
    <col min="4" max="5" width="14.1796875" style="2" customWidth="1"/>
    <col min="6" max="6" width="9.1796875" style="2" customWidth="1"/>
    <col min="7" max="7" width="14.1796875" style="2" customWidth="1"/>
    <col min="8" max="10" width="9.1796875" style="2"/>
    <col min="11" max="11" width="14.26953125" style="2" customWidth="1"/>
    <col min="12" max="12" width="1" style="2" customWidth="1"/>
    <col min="13" max="13" width="16" style="2" customWidth="1"/>
    <col min="14" max="16384" width="9.1796875" style="2"/>
  </cols>
  <sheetData>
    <row r="1" spans="2:11" ht="28.5" customHeight="1" x14ac:dyDescent="0.3"/>
    <row r="2" spans="2:11" s="9" customFormat="1" ht="64.5" customHeight="1" x14ac:dyDescent="0.3">
      <c r="B2" s="18"/>
      <c r="C2" s="19"/>
      <c r="D2" s="19"/>
      <c r="E2" s="19"/>
      <c r="F2" s="19"/>
      <c r="G2" s="19"/>
      <c r="H2" s="19"/>
      <c r="I2" s="19"/>
      <c r="J2" s="19"/>
      <c r="K2" s="20"/>
    </row>
    <row r="3" spans="2:11" ht="7.5" customHeight="1" x14ac:dyDescent="0.3">
      <c r="B3" s="10"/>
      <c r="C3" s="11"/>
      <c r="D3" s="11"/>
      <c r="E3" s="11"/>
      <c r="F3" s="11"/>
      <c r="G3" s="11"/>
      <c r="H3" s="11"/>
      <c r="I3" s="11"/>
      <c r="J3" s="11"/>
      <c r="K3" s="12"/>
    </row>
    <row r="4" spans="2:11" x14ac:dyDescent="0.3">
      <c r="B4" s="3"/>
      <c r="C4" s="4"/>
      <c r="D4" s="22" t="s">
        <v>19</v>
      </c>
      <c r="E4" s="22" t="s">
        <v>7</v>
      </c>
      <c r="F4" s="4"/>
      <c r="G4" s="4"/>
      <c r="H4" s="4"/>
      <c r="I4" s="4"/>
      <c r="J4" s="4"/>
      <c r="K4" s="5"/>
    </row>
    <row r="5" spans="2:11" ht="15" customHeight="1" x14ac:dyDescent="0.35">
      <c r="B5" s="3"/>
      <c r="C5" s="14" t="str">
        <f>'Program Descriptions'!C5</f>
        <v>Electric Utilities</v>
      </c>
      <c r="D5" s="22" t="str">
        <f>"("&amp;Titles!B28&amp;")"</f>
        <v>(kW)</v>
      </c>
      <c r="E5" s="22" t="str">
        <f>"("&amp;Titles!B24&amp;")"</f>
        <v>(kWh)</v>
      </c>
      <c r="F5" s="4"/>
      <c r="G5" s="22" t="s">
        <v>49</v>
      </c>
      <c r="H5" s="4"/>
      <c r="I5" s="4"/>
      <c r="J5" s="4"/>
      <c r="K5" s="5"/>
    </row>
    <row r="6" spans="2:11" ht="15" customHeight="1" x14ac:dyDescent="0.3">
      <c r="B6" s="13">
        <v>1</v>
      </c>
      <c r="C6" s="15" t="str">
        <f>'Program Descriptions'!C6</f>
        <v xml:space="preserve">Entergy </v>
      </c>
      <c r="D6" s="32"/>
      <c r="E6" s="32"/>
      <c r="F6" s="4"/>
      <c r="G6" s="32"/>
      <c r="H6" s="4"/>
      <c r="I6" s="4"/>
      <c r="J6" s="4"/>
      <c r="K6" s="5"/>
    </row>
    <row r="7" spans="2:11" ht="15" customHeight="1" x14ac:dyDescent="0.3">
      <c r="B7" s="13">
        <v>2</v>
      </c>
      <c r="C7" s="15" t="str">
        <f>'Program Descriptions'!C7</f>
        <v>SWEPCO</v>
      </c>
      <c r="D7" s="32"/>
      <c r="E7" s="32"/>
      <c r="F7" s="4"/>
      <c r="G7" s="32"/>
      <c r="H7" s="4"/>
      <c r="I7" s="4"/>
      <c r="J7" s="4"/>
      <c r="K7" s="5"/>
    </row>
    <row r="8" spans="2:11" ht="15" customHeight="1" x14ac:dyDescent="0.3">
      <c r="B8" s="13">
        <v>3</v>
      </c>
      <c r="C8" s="15" t="str">
        <f>'Program Descriptions'!C8</f>
        <v>OG&amp;E</v>
      </c>
      <c r="D8" s="32"/>
      <c r="E8" s="32"/>
      <c r="F8" s="4"/>
      <c r="G8" s="32"/>
      <c r="H8" s="4"/>
      <c r="I8" s="4"/>
      <c r="J8" s="4"/>
      <c r="K8" s="5"/>
    </row>
    <row r="9" spans="2:11" ht="15" customHeight="1" thickBot="1" x14ac:dyDescent="0.35">
      <c r="B9" s="13">
        <v>4</v>
      </c>
      <c r="C9" s="15" t="str">
        <f>'Program Descriptions'!C9</f>
        <v>Empire</v>
      </c>
      <c r="D9" s="32"/>
      <c r="E9" s="32"/>
      <c r="F9" s="4"/>
      <c r="G9" s="32"/>
      <c r="H9" s="4"/>
      <c r="I9" s="4"/>
      <c r="J9" s="4"/>
      <c r="K9" s="5"/>
    </row>
    <row r="10" spans="2:11" ht="15" customHeight="1" x14ac:dyDescent="0.3">
      <c r="B10" s="13"/>
      <c r="C10" s="24" t="s">
        <v>51</v>
      </c>
      <c r="D10" s="33">
        <f>SUM(D6:D9)</f>
        <v>0</v>
      </c>
      <c r="E10" s="33">
        <f>SUM(E6:E9)</f>
        <v>0</v>
      </c>
      <c r="F10" s="4"/>
      <c r="G10" s="33">
        <f>SUM(G6:G9)</f>
        <v>0</v>
      </c>
      <c r="H10" s="4"/>
      <c r="I10" s="4"/>
      <c r="J10" s="4"/>
      <c r="K10" s="5"/>
    </row>
    <row r="11" spans="2:11" ht="15" customHeight="1" x14ac:dyDescent="0.3">
      <c r="B11" s="13"/>
      <c r="C11" s="24"/>
      <c r="D11" s="246"/>
      <c r="E11" s="246"/>
      <c r="F11" s="4"/>
      <c r="G11" s="246"/>
      <c r="H11" s="4"/>
      <c r="I11" s="4"/>
      <c r="J11" s="4"/>
      <c r="K11" s="5"/>
    </row>
    <row r="12" spans="2:11" ht="15" customHeight="1" x14ac:dyDescent="0.3">
      <c r="B12" s="13"/>
      <c r="C12" s="24"/>
      <c r="D12" s="22" t="s">
        <v>19</v>
      </c>
      <c r="E12" s="22" t="s">
        <v>7</v>
      </c>
      <c r="F12" s="4"/>
      <c r="G12" s="246"/>
      <c r="H12" s="4"/>
      <c r="I12" s="4"/>
      <c r="J12" s="4"/>
      <c r="K12" s="5"/>
    </row>
    <row r="13" spans="2:11" ht="15" customHeight="1" x14ac:dyDescent="0.35">
      <c r="B13" s="13"/>
      <c r="C13" s="14" t="str">
        <f>'Program Descriptions'!C11</f>
        <v>Natural Gas Utilities</v>
      </c>
      <c r="D13" s="22" t="str">
        <f>"("&amp;Titles!B29&amp;")"</f>
        <v>(Therms)</v>
      </c>
      <c r="E13" s="22" t="str">
        <f>"("&amp;Titles!B25&amp;")"</f>
        <v>(Therms)</v>
      </c>
      <c r="F13" s="4"/>
      <c r="G13" s="22" t="s">
        <v>49</v>
      </c>
      <c r="H13" s="4"/>
      <c r="I13" s="4"/>
      <c r="J13" s="4"/>
      <c r="K13" s="5"/>
    </row>
    <row r="14" spans="2:11" ht="15" customHeight="1" x14ac:dyDescent="0.3">
      <c r="B14" s="13">
        <v>1</v>
      </c>
      <c r="C14" s="15" t="str">
        <f>'Program Descriptions'!C12</f>
        <v>CenterPoint</v>
      </c>
      <c r="D14" s="32"/>
      <c r="E14" s="32"/>
      <c r="F14" s="4"/>
      <c r="G14" s="32"/>
      <c r="H14" s="4"/>
      <c r="I14" s="4"/>
      <c r="J14" s="4"/>
      <c r="K14" s="5"/>
    </row>
    <row r="15" spans="2:11" ht="15" customHeight="1" x14ac:dyDescent="0.3">
      <c r="B15" s="13">
        <v>2</v>
      </c>
      <c r="C15" s="15" t="str">
        <f>'Program Descriptions'!C13</f>
        <v>Black Hills</v>
      </c>
      <c r="D15" s="32"/>
      <c r="E15" s="32"/>
      <c r="F15" s="4"/>
      <c r="G15" s="32"/>
      <c r="H15" s="4"/>
      <c r="I15" s="4"/>
      <c r="J15" s="4"/>
      <c r="K15" s="5"/>
    </row>
    <row r="16" spans="2:11" ht="15" customHeight="1" thickBot="1" x14ac:dyDescent="0.35">
      <c r="B16" s="13">
        <v>3</v>
      </c>
      <c r="C16" s="15" t="str">
        <f>'Program Descriptions'!C14</f>
        <v>AOG</v>
      </c>
      <c r="D16" s="32"/>
      <c r="E16" s="32"/>
      <c r="F16" s="4"/>
      <c r="G16" s="32"/>
      <c r="H16" s="4"/>
      <c r="I16" s="4"/>
      <c r="J16" s="4"/>
      <c r="K16" s="5"/>
    </row>
    <row r="17" spans="2:11" ht="15" customHeight="1" x14ac:dyDescent="0.3">
      <c r="B17" s="3"/>
      <c r="C17" s="24" t="s">
        <v>51</v>
      </c>
      <c r="D17" s="33">
        <f>SUM(D14:D16)</f>
        <v>0</v>
      </c>
      <c r="E17" s="33">
        <f>SUM(E14:E16)</f>
        <v>0</v>
      </c>
      <c r="F17" s="4"/>
      <c r="G17" s="33">
        <f>SUM(G14:G16)</f>
        <v>0</v>
      </c>
      <c r="H17" s="4"/>
      <c r="I17" s="4"/>
      <c r="J17" s="4"/>
      <c r="K17" s="5"/>
    </row>
    <row r="18" spans="2:11" ht="15" customHeight="1" x14ac:dyDescent="0.3">
      <c r="B18" s="6"/>
      <c r="C18" s="7"/>
      <c r="D18" s="7"/>
      <c r="E18" s="7"/>
      <c r="F18" s="7"/>
      <c r="G18" s="7"/>
      <c r="H18" s="7"/>
      <c r="I18" s="7"/>
      <c r="J18" s="7"/>
      <c r="K18" s="8"/>
    </row>
    <row r="19" spans="2:11" s="4" customFormat="1" ht="15" customHeight="1" x14ac:dyDescent="0.3"/>
    <row r="20" spans="2:11" ht="15" customHeight="1" x14ac:dyDescent="0.3">
      <c r="B20" s="4"/>
      <c r="C20" s="4"/>
      <c r="D20" s="4"/>
      <c r="E20" s="4"/>
      <c r="F20" s="4"/>
      <c r="G20" s="4"/>
      <c r="H20" s="4"/>
      <c r="I20" s="4"/>
      <c r="J20" s="4"/>
      <c r="K20" s="4"/>
    </row>
    <row r="21" spans="2:11" ht="15" customHeight="1" x14ac:dyDescent="0.3">
      <c r="B21" s="4"/>
      <c r="C21" s="4"/>
      <c r="D21" s="4"/>
      <c r="E21" s="4"/>
      <c r="F21" s="4"/>
      <c r="G21" s="4"/>
      <c r="H21" s="4"/>
      <c r="I21" s="4"/>
      <c r="J21" s="4"/>
      <c r="K21" s="4"/>
    </row>
    <row r="22" spans="2:11" ht="15" customHeight="1" x14ac:dyDescent="0.3">
      <c r="B22" s="4"/>
      <c r="C22" s="4"/>
      <c r="D22" s="4"/>
      <c r="E22" s="4"/>
      <c r="F22" s="4"/>
      <c r="G22" s="4"/>
      <c r="H22" s="4"/>
      <c r="I22" s="4"/>
      <c r="J22" s="4"/>
      <c r="K22" s="4"/>
    </row>
    <row r="23" spans="2:11" ht="15" customHeight="1" x14ac:dyDescent="0.3"/>
    <row r="24" spans="2:11" ht="15" customHeight="1" x14ac:dyDescent="0.3"/>
    <row r="25" spans="2:11" ht="15" customHeight="1" x14ac:dyDescent="0.3"/>
    <row r="26" spans="2:11" ht="15" customHeight="1" x14ac:dyDescent="0.3"/>
    <row r="27" spans="2:11" ht="15" customHeight="1" x14ac:dyDescent="0.3"/>
    <row r="28" spans="2:11" ht="15" customHeight="1" x14ac:dyDescent="0.3"/>
    <row r="29" spans="2:11" ht="15" customHeight="1" x14ac:dyDescent="0.3"/>
    <row r="30" spans="2:11" ht="15" customHeight="1" x14ac:dyDescent="0.3"/>
    <row r="31" spans="2:11" ht="15" customHeight="1" x14ac:dyDescent="0.3"/>
    <row r="32" spans="2:11"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sheetData>
  <sheetProtection password="C925" sheet="1" objects="1" formatColumns="0"/>
  <pageMargins left="0.25" right="0.25" top="0.25" bottom="0.2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showGridLines="0" workbookViewId="0">
      <selection activeCell="E15" sqref="E15:E17"/>
    </sheetView>
  </sheetViews>
  <sheetFormatPr defaultColWidth="9.1796875" defaultRowHeight="13" x14ac:dyDescent="0.3"/>
  <cols>
    <col min="1" max="1" width="1" style="2" customWidth="1"/>
    <col min="2" max="2" width="1.81640625" style="2" customWidth="1"/>
    <col min="3" max="3" width="3.453125" style="2" customWidth="1"/>
    <col min="4" max="4" width="37" style="2" customWidth="1"/>
    <col min="5" max="8" width="17.26953125" style="2" customWidth="1"/>
    <col min="9" max="9" width="7.7265625" style="2" customWidth="1"/>
    <col min="10" max="10" width="7.26953125" style="2" customWidth="1"/>
    <col min="11" max="11" width="6.81640625" style="2" customWidth="1"/>
    <col min="12" max="12" width="1" style="2" customWidth="1"/>
    <col min="13" max="16384" width="9.1796875" style="2"/>
  </cols>
  <sheetData>
    <row r="1" spans="2:11" ht="38.25" customHeight="1" x14ac:dyDescent="0.3"/>
    <row r="2" spans="2:11" x14ac:dyDescent="0.3">
      <c r="B2" s="10"/>
      <c r="C2" s="11"/>
      <c r="D2" s="11"/>
      <c r="E2" s="11"/>
      <c r="F2" s="11"/>
      <c r="G2" s="11"/>
      <c r="H2" s="11"/>
      <c r="I2" s="11"/>
      <c r="J2" s="11"/>
      <c r="K2" s="12"/>
    </row>
    <row r="3" spans="2:11" x14ac:dyDescent="0.3">
      <c r="B3" s="3"/>
      <c r="C3" s="4"/>
      <c r="D3" s="4"/>
      <c r="E3" s="64" t="s">
        <v>116</v>
      </c>
      <c r="F3" s="64" t="s">
        <v>227</v>
      </c>
      <c r="G3" s="64" t="s">
        <v>117</v>
      </c>
      <c r="H3" s="64" t="s">
        <v>118</v>
      </c>
      <c r="I3" s="4"/>
      <c r="J3" s="4"/>
      <c r="K3" s="5"/>
    </row>
    <row r="4" spans="2:11" x14ac:dyDescent="0.3">
      <c r="B4" s="3"/>
      <c r="C4" s="4"/>
      <c r="D4" s="21" t="str">
        <f>'Program Descriptions'!C5</f>
        <v>Electric Utilities</v>
      </c>
      <c r="E4" s="64" t="str">
        <f>"("&amp;Titles!B24&amp;")"</f>
        <v>(kWh)</v>
      </c>
      <c r="F4" s="64" t="str">
        <f>E4</f>
        <v>(kWh)</v>
      </c>
      <c r="G4" s="64" t="str">
        <f>E4</f>
        <v>(kWh)</v>
      </c>
      <c r="H4" s="64" t="str">
        <f>E4</f>
        <v>(kWh)</v>
      </c>
      <c r="I4" s="64"/>
      <c r="J4" s="64"/>
      <c r="K4" s="5"/>
    </row>
    <row r="5" spans="2:11" x14ac:dyDescent="0.3">
      <c r="B5" s="3"/>
      <c r="C5" s="101">
        <v>1</v>
      </c>
      <c r="D5" s="15" t="str">
        <f>'Program Descriptions'!C6</f>
        <v xml:space="preserve">Entergy </v>
      </c>
      <c r="E5" s="32"/>
      <c r="F5" s="32"/>
      <c r="G5" s="32"/>
      <c r="H5" s="103">
        <f t="shared" ref="H5:H17" si="0">E5+F5+G5</f>
        <v>0</v>
      </c>
      <c r="I5" s="102"/>
      <c r="J5" s="102"/>
      <c r="K5" s="100"/>
    </row>
    <row r="6" spans="2:11" x14ac:dyDescent="0.3">
      <c r="B6" s="3"/>
      <c r="C6" s="101">
        <v>2</v>
      </c>
      <c r="D6" s="15" t="str">
        <f>'Program Descriptions'!C7</f>
        <v>SWEPCO</v>
      </c>
      <c r="E6" s="32"/>
      <c r="F6" s="32"/>
      <c r="G6" s="32"/>
      <c r="H6" s="103">
        <f t="shared" si="0"/>
        <v>0</v>
      </c>
      <c r="I6" s="102"/>
      <c r="J6" s="102"/>
      <c r="K6" s="100"/>
    </row>
    <row r="7" spans="2:11" x14ac:dyDescent="0.3">
      <c r="B7" s="3"/>
      <c r="C7" s="101">
        <v>3</v>
      </c>
      <c r="D7" s="15" t="str">
        <f>'Program Descriptions'!C8</f>
        <v>OG&amp;E</v>
      </c>
      <c r="E7" s="32"/>
      <c r="F7" s="32"/>
      <c r="G7" s="32"/>
      <c r="H7" s="103">
        <f t="shared" si="0"/>
        <v>0</v>
      </c>
      <c r="I7" s="102"/>
      <c r="J7" s="102"/>
      <c r="K7" s="100"/>
    </row>
    <row r="8" spans="2:11" ht="13.5" thickBot="1" x14ac:dyDescent="0.35">
      <c r="B8" s="3"/>
      <c r="C8" s="101">
        <v>4</v>
      </c>
      <c r="D8" s="15" t="str">
        <f>'Program Descriptions'!C9</f>
        <v>Empire</v>
      </c>
      <c r="E8" s="32"/>
      <c r="F8" s="32"/>
      <c r="G8" s="32"/>
      <c r="H8" s="103">
        <f t="shared" si="0"/>
        <v>0</v>
      </c>
      <c r="I8" s="102"/>
      <c r="J8" s="102"/>
      <c r="K8" s="100"/>
    </row>
    <row r="9" spans="2:11" x14ac:dyDescent="0.3">
      <c r="B9" s="3"/>
      <c r="C9" s="101"/>
      <c r="D9" s="72" t="s">
        <v>257</v>
      </c>
      <c r="E9" s="33">
        <f>SUM(E5:E8)</f>
        <v>0</v>
      </c>
      <c r="F9" s="33">
        <f>SUM(F5:F8)</f>
        <v>0</v>
      </c>
      <c r="G9" s="33">
        <f>SUM(G5:G8)</f>
        <v>0</v>
      </c>
      <c r="H9" s="33">
        <f>SUM(H5:H8)</f>
        <v>0</v>
      </c>
      <c r="I9" s="102"/>
      <c r="J9" s="102"/>
      <c r="K9" s="100"/>
    </row>
    <row r="10" spans="2:11" x14ac:dyDescent="0.3">
      <c r="B10" s="3"/>
      <c r="C10" s="101"/>
      <c r="D10" s="72"/>
      <c r="E10" s="246"/>
      <c r="F10" s="246"/>
      <c r="G10" s="246"/>
      <c r="H10" s="4"/>
      <c r="I10" s="102"/>
      <c r="J10" s="102"/>
      <c r="K10" s="100"/>
    </row>
    <row r="11" spans="2:11" x14ac:dyDescent="0.3">
      <c r="B11" s="3"/>
      <c r="C11" s="101"/>
      <c r="D11" s="72"/>
      <c r="E11" s="246"/>
      <c r="F11" s="246"/>
      <c r="G11" s="246"/>
      <c r="H11" s="4"/>
      <c r="I11" s="102"/>
      <c r="J11" s="102"/>
      <c r="K11" s="100"/>
    </row>
    <row r="12" spans="2:11" x14ac:dyDescent="0.3">
      <c r="B12" s="3"/>
      <c r="C12" s="101"/>
      <c r="D12" s="72"/>
      <c r="E12" s="246"/>
      <c r="F12" s="246"/>
      <c r="G12" s="246"/>
      <c r="H12" s="4"/>
      <c r="I12" s="102"/>
      <c r="J12" s="102"/>
      <c r="K12" s="100"/>
    </row>
    <row r="13" spans="2:11" x14ac:dyDescent="0.3">
      <c r="B13" s="3"/>
      <c r="C13" s="101"/>
      <c r="D13" s="72"/>
      <c r="E13" s="64" t="s">
        <v>116</v>
      </c>
      <c r="F13" s="64" t="s">
        <v>227</v>
      </c>
      <c r="G13" s="64" t="s">
        <v>117</v>
      </c>
      <c r="H13" s="64" t="s">
        <v>118</v>
      </c>
      <c r="I13" s="102"/>
      <c r="J13" s="102"/>
      <c r="K13" s="100"/>
    </row>
    <row r="14" spans="2:11" x14ac:dyDescent="0.3">
      <c r="B14" s="3"/>
      <c r="C14" s="101"/>
      <c r="D14" s="21" t="str">
        <f>'Program Descriptions'!C11</f>
        <v>Natural Gas Utilities</v>
      </c>
      <c r="E14" s="64" t="str">
        <f>"("&amp;Titles!B25&amp;")"</f>
        <v>(Therms)</v>
      </c>
      <c r="F14" s="64" t="str">
        <f>E14</f>
        <v>(Therms)</v>
      </c>
      <c r="G14" s="64" t="str">
        <f>E14</f>
        <v>(Therms)</v>
      </c>
      <c r="H14" s="64" t="str">
        <f>E14</f>
        <v>(Therms)</v>
      </c>
      <c r="I14" s="102"/>
      <c r="J14" s="102"/>
      <c r="K14" s="100"/>
    </row>
    <row r="15" spans="2:11" x14ac:dyDescent="0.3">
      <c r="B15" s="3"/>
      <c r="C15" s="101">
        <v>1</v>
      </c>
      <c r="D15" s="15" t="str">
        <f>'Program Descriptions'!C12</f>
        <v>CenterPoint</v>
      </c>
      <c r="E15" s="32"/>
      <c r="F15" s="32"/>
      <c r="G15" s="32"/>
      <c r="H15" s="103">
        <f t="shared" si="0"/>
        <v>0</v>
      </c>
      <c r="I15" s="102"/>
      <c r="J15" s="102"/>
      <c r="K15" s="100"/>
    </row>
    <row r="16" spans="2:11" x14ac:dyDescent="0.3">
      <c r="B16" s="3"/>
      <c r="C16" s="101">
        <v>2</v>
      </c>
      <c r="D16" s="15" t="str">
        <f>'Program Descriptions'!C13</f>
        <v>Black Hills</v>
      </c>
      <c r="E16" s="32"/>
      <c r="F16" s="32"/>
      <c r="G16" s="32"/>
      <c r="H16" s="103">
        <f t="shared" si="0"/>
        <v>0</v>
      </c>
      <c r="I16" s="102"/>
      <c r="J16" s="102"/>
      <c r="K16" s="100"/>
    </row>
    <row r="17" spans="2:11" ht="13.5" thickBot="1" x14ac:dyDescent="0.35">
      <c r="B17" s="3"/>
      <c r="C17" s="101">
        <v>3</v>
      </c>
      <c r="D17" s="15" t="str">
        <f>'Program Descriptions'!C14</f>
        <v>AOG</v>
      </c>
      <c r="E17" s="32"/>
      <c r="F17" s="32"/>
      <c r="G17" s="32"/>
      <c r="H17" s="103">
        <f t="shared" si="0"/>
        <v>0</v>
      </c>
      <c r="I17" s="102"/>
      <c r="J17" s="102"/>
      <c r="K17" s="100"/>
    </row>
    <row r="18" spans="2:11" x14ac:dyDescent="0.3">
      <c r="B18" s="3"/>
      <c r="C18" s="71"/>
      <c r="D18" s="72" t="s">
        <v>258</v>
      </c>
      <c r="E18" s="33">
        <f>SUM(E15:E17)</f>
        <v>0</v>
      </c>
      <c r="F18" s="33">
        <f>SUM(F15:F17)</f>
        <v>0</v>
      </c>
      <c r="G18" s="33">
        <f>SUM(G15:G17)</f>
        <v>0</v>
      </c>
      <c r="H18" s="33">
        <f>SUM(H15:H17)</f>
        <v>0</v>
      </c>
      <c r="I18" s="73"/>
      <c r="J18" s="73"/>
      <c r="K18" s="5"/>
    </row>
    <row r="19" spans="2:11" x14ac:dyDescent="0.3">
      <c r="B19" s="3"/>
      <c r="C19" s="4"/>
      <c r="D19" s="4"/>
      <c r="E19" s="4"/>
      <c r="F19" s="4"/>
      <c r="G19" s="4"/>
      <c r="H19" s="4"/>
      <c r="I19" s="4"/>
      <c r="J19" s="4"/>
      <c r="K19" s="5"/>
    </row>
    <row r="20" spans="2:11" x14ac:dyDescent="0.3">
      <c r="B20" s="3"/>
      <c r="C20" s="4"/>
      <c r="D20" s="4"/>
      <c r="E20" s="4"/>
      <c r="F20" s="4"/>
      <c r="G20" s="4"/>
      <c r="H20" s="4"/>
      <c r="I20" s="4"/>
      <c r="J20" s="4"/>
      <c r="K20" s="5"/>
    </row>
    <row r="21" spans="2:11" x14ac:dyDescent="0.3">
      <c r="B21" s="6"/>
      <c r="C21" s="7"/>
      <c r="D21" s="7"/>
      <c r="E21" s="7"/>
      <c r="F21" s="7"/>
      <c r="G21" s="7"/>
      <c r="H21" s="7"/>
      <c r="I21" s="7"/>
      <c r="J21" s="7"/>
      <c r="K21" s="8"/>
    </row>
  </sheetData>
  <sheetProtection password="C925" sheet="1" objects="1" formatColumns="0"/>
  <pageMargins left="0.25" right="0.25" top="0.5" bottom="0.5" header="0.3" footer="0.3"/>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1"/>
  <sheetViews>
    <sheetView showGridLines="0" workbookViewId="0">
      <pane ySplit="2" topLeftCell="A3" activePane="bottomLeft" state="frozen"/>
      <selection pane="bottomLeft" activeCell="H16" sqref="H16"/>
    </sheetView>
  </sheetViews>
  <sheetFormatPr defaultColWidth="9.1796875" defaultRowHeight="13" x14ac:dyDescent="0.3"/>
  <cols>
    <col min="1" max="1" width="1" style="2" customWidth="1"/>
    <col min="2" max="2" width="3.7265625" style="2" customWidth="1"/>
    <col min="3" max="3" width="7.81640625" style="2" customWidth="1"/>
    <col min="4" max="4" width="10" style="2" customWidth="1"/>
    <col min="5" max="6" width="18" style="2" customWidth="1"/>
    <col min="7" max="7" width="11.26953125" style="2" customWidth="1"/>
    <col min="8" max="8" width="18" style="2" customWidth="1"/>
    <col min="9" max="9" width="11.453125" style="2" customWidth="1"/>
    <col min="10" max="10" width="9.1796875" style="2"/>
    <col min="11" max="11" width="25.54296875" style="2" customWidth="1"/>
    <col min="12" max="12" width="1" style="2" customWidth="1"/>
    <col min="13" max="13" width="16" style="2" customWidth="1"/>
    <col min="14" max="16384" width="9.1796875" style="2"/>
  </cols>
  <sheetData>
    <row r="1" spans="2:11" ht="28.5" customHeight="1" x14ac:dyDescent="0.3"/>
    <row r="2" spans="2:11" s="9" customFormat="1" ht="64.5" customHeight="1" x14ac:dyDescent="0.3">
      <c r="B2" s="18"/>
      <c r="C2" s="19"/>
      <c r="D2" s="19"/>
      <c r="E2" s="19"/>
      <c r="F2" s="19"/>
      <c r="G2" s="19"/>
      <c r="H2" s="19"/>
      <c r="I2" s="19"/>
      <c r="J2" s="19"/>
      <c r="K2" s="20"/>
    </row>
    <row r="3" spans="2:11" ht="7.5" customHeight="1" x14ac:dyDescent="0.3">
      <c r="B3" s="10"/>
      <c r="C3" s="11"/>
      <c r="D3" s="11"/>
      <c r="E3" s="11"/>
      <c r="F3" s="11"/>
      <c r="G3" s="11"/>
      <c r="H3" s="11"/>
      <c r="I3" s="11"/>
      <c r="J3" s="11"/>
      <c r="K3" s="12"/>
    </row>
    <row r="4" spans="2:11" ht="15" customHeight="1" x14ac:dyDescent="0.3">
      <c r="B4" s="6"/>
      <c r="C4" s="7"/>
      <c r="D4" s="7"/>
      <c r="E4" s="7"/>
      <c r="F4" s="7"/>
      <c r="G4" s="7"/>
      <c r="H4" s="7"/>
      <c r="I4" s="7"/>
      <c r="J4" s="7"/>
      <c r="K4" s="8"/>
    </row>
    <row r="5" spans="2:11" s="4" customFormat="1" ht="15" customHeight="1" x14ac:dyDescent="0.3"/>
    <row r="6" spans="2:11" ht="15" customHeight="1" x14ac:dyDescent="0.3">
      <c r="B6" s="4"/>
      <c r="C6" s="4"/>
      <c r="D6" s="4"/>
      <c r="E6" s="4"/>
      <c r="F6" s="4"/>
      <c r="G6" s="4"/>
      <c r="H6" s="4"/>
      <c r="I6" s="4"/>
      <c r="J6" s="4"/>
      <c r="K6" s="4"/>
    </row>
    <row r="7" spans="2:11" ht="15" customHeight="1" x14ac:dyDescent="0.3">
      <c r="B7" s="4"/>
      <c r="C7" s="4"/>
      <c r="D7" s="4"/>
      <c r="E7" s="4"/>
      <c r="F7" s="4"/>
      <c r="G7" s="4"/>
      <c r="H7" s="4"/>
      <c r="I7" s="4"/>
      <c r="J7" s="4"/>
      <c r="K7" s="4"/>
    </row>
    <row r="8" spans="2:11" ht="15" customHeight="1" x14ac:dyDescent="0.3">
      <c r="B8" s="4"/>
      <c r="C8" s="4"/>
      <c r="D8" s="4"/>
      <c r="E8" s="4"/>
      <c r="F8" s="4"/>
      <c r="G8" s="4"/>
      <c r="H8" s="4"/>
      <c r="I8" s="4"/>
      <c r="J8" s="4"/>
      <c r="K8" s="4"/>
    </row>
    <row r="9" spans="2:11" ht="15" customHeight="1" x14ac:dyDescent="0.3"/>
    <row r="10" spans="2:11" ht="15" customHeight="1" x14ac:dyDescent="0.3"/>
    <row r="11" spans="2:11" ht="15" customHeight="1" x14ac:dyDescent="0.3"/>
    <row r="12" spans="2:11" ht="15" customHeight="1" x14ac:dyDescent="0.3"/>
    <row r="13" spans="2:11" ht="15" customHeight="1" x14ac:dyDescent="0.3"/>
    <row r="14" spans="2:11" ht="15" customHeight="1" x14ac:dyDescent="0.3"/>
    <row r="15" spans="2:11" ht="15" customHeight="1" x14ac:dyDescent="0.3"/>
    <row r="16" spans="2:11"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sheetData>
  <sheetProtection formatRows="0"/>
  <pageMargins left="0.25" right="0.25" top="0.25" bottom="0.2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3"/>
  <sheetViews>
    <sheetView showGridLines="0" workbookViewId="0">
      <pane ySplit="3" topLeftCell="A4" activePane="bottomLeft" state="frozen"/>
      <selection pane="bottomLeft" activeCell="G16" sqref="G16"/>
    </sheetView>
  </sheetViews>
  <sheetFormatPr defaultColWidth="9.1796875" defaultRowHeight="13" x14ac:dyDescent="0.3"/>
  <cols>
    <col min="1" max="1" width="1" style="2" customWidth="1"/>
    <col min="2" max="2" width="3.7265625" style="2" customWidth="1"/>
    <col min="3" max="3" width="35.81640625" style="2" customWidth="1"/>
    <col min="4" max="4" width="12.1796875" style="2" customWidth="1"/>
    <col min="5" max="5" width="9.1796875" style="2"/>
    <col min="6" max="6" width="12.81640625" style="2" customWidth="1"/>
    <col min="7" max="9" width="11.1796875" style="2" customWidth="1"/>
    <col min="10" max="10" width="9" style="2" customWidth="1"/>
    <col min="11" max="11" width="13.7265625" style="2" customWidth="1"/>
    <col min="12" max="12" width="3.26953125" style="2" customWidth="1"/>
    <col min="13" max="13" width="1" style="2" customWidth="1"/>
    <col min="14" max="14" width="16" style="2" customWidth="1"/>
    <col min="15" max="16384" width="9.1796875" style="2"/>
  </cols>
  <sheetData>
    <row r="1" spans="2:12" ht="28.5" customHeight="1" x14ac:dyDescent="0.3"/>
    <row r="2" spans="2:12" s="9" customFormat="1" ht="64.5" customHeight="1" x14ac:dyDescent="0.3">
      <c r="B2" s="18"/>
      <c r="C2" s="19"/>
      <c r="D2" s="19"/>
      <c r="E2" s="19"/>
      <c r="F2" s="19"/>
      <c r="G2" s="19"/>
      <c r="H2" s="19"/>
      <c r="I2" s="19"/>
      <c r="J2" s="19"/>
      <c r="K2" s="19"/>
      <c r="L2" s="20"/>
    </row>
    <row r="3" spans="2:12" ht="7.5" customHeight="1" x14ac:dyDescent="0.3">
      <c r="B3" s="10"/>
      <c r="C3" s="11"/>
      <c r="D3" s="11"/>
      <c r="E3" s="11"/>
      <c r="F3" s="11"/>
      <c r="G3" s="11"/>
      <c r="H3" s="11"/>
      <c r="I3" s="11"/>
      <c r="J3" s="11"/>
      <c r="K3" s="11"/>
      <c r="L3" s="12"/>
    </row>
    <row r="4" spans="2:12" ht="15" customHeight="1" x14ac:dyDescent="0.3">
      <c r="B4" s="3"/>
      <c r="D4" s="4"/>
      <c r="E4" s="4"/>
      <c r="F4" s="4"/>
      <c r="G4" s="4"/>
      <c r="H4" s="4"/>
      <c r="I4" s="4"/>
      <c r="J4" s="4"/>
      <c r="K4" s="4"/>
      <c r="L4" s="5"/>
    </row>
    <row r="5" spans="2:12" ht="15" customHeight="1" x14ac:dyDescent="0.3">
      <c r="B5" s="3"/>
      <c r="D5" s="4"/>
      <c r="E5" s="4"/>
      <c r="F5" s="4"/>
      <c r="G5" s="4"/>
      <c r="H5" s="4"/>
      <c r="I5" s="4"/>
      <c r="J5" s="4"/>
      <c r="K5" s="4"/>
      <c r="L5" s="5"/>
    </row>
    <row r="6" spans="2:12" ht="15" customHeight="1" x14ac:dyDescent="0.3">
      <c r="B6" s="6"/>
      <c r="C6" s="7"/>
      <c r="D6" s="7"/>
      <c r="E6" s="7"/>
      <c r="F6" s="7"/>
      <c r="G6" s="7"/>
      <c r="H6" s="7"/>
      <c r="I6" s="7"/>
      <c r="J6" s="7"/>
      <c r="K6" s="7"/>
      <c r="L6" s="8"/>
    </row>
    <row r="7" spans="2:12" s="4" customFormat="1" ht="15" customHeight="1" x14ac:dyDescent="0.3"/>
    <row r="8" spans="2:12" ht="15" customHeight="1" x14ac:dyDescent="0.3">
      <c r="B8" s="4"/>
      <c r="C8" s="4"/>
      <c r="D8" s="4"/>
      <c r="E8" s="4"/>
      <c r="F8" s="4"/>
      <c r="G8" s="4"/>
      <c r="H8" s="4"/>
      <c r="I8" s="4"/>
      <c r="J8" s="4"/>
      <c r="K8" s="4"/>
      <c r="L8" s="4"/>
    </row>
    <row r="9" spans="2:12" ht="15" customHeight="1" x14ac:dyDescent="0.3">
      <c r="B9" s="4"/>
      <c r="C9" s="4"/>
      <c r="D9" s="4"/>
      <c r="E9" s="4"/>
      <c r="F9" s="4"/>
      <c r="G9" s="4"/>
      <c r="H9" s="4"/>
      <c r="I9" s="4"/>
      <c r="J9" s="4"/>
      <c r="K9" s="4"/>
      <c r="L9" s="4"/>
    </row>
    <row r="10" spans="2:12" ht="15" customHeight="1" x14ac:dyDescent="0.3">
      <c r="B10" s="4"/>
      <c r="C10" s="4"/>
      <c r="D10" s="4"/>
      <c r="E10" s="4"/>
      <c r="F10" s="4"/>
      <c r="G10" s="4"/>
      <c r="H10" s="4"/>
      <c r="I10" s="4"/>
      <c r="J10" s="4"/>
      <c r="K10" s="4"/>
      <c r="L10" s="4"/>
    </row>
    <row r="11" spans="2:12" ht="15" customHeight="1" x14ac:dyDescent="0.3"/>
    <row r="12" spans="2:12" ht="15" customHeight="1" x14ac:dyDescent="0.3"/>
    <row r="13" spans="2:12" ht="15" customHeight="1" x14ac:dyDescent="0.3"/>
    <row r="14" spans="2:12" ht="15" customHeight="1" x14ac:dyDescent="0.3"/>
    <row r="15" spans="2:12" ht="15" customHeight="1" x14ac:dyDescent="0.3"/>
    <row r="16" spans="2:12"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sheetData>
  <sheetProtection formatColumns="0"/>
  <pageMargins left="0.25" right="0.25" top="0.25" bottom="0.2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2"/>
  <sheetViews>
    <sheetView showGridLines="0" workbookViewId="0">
      <pane ySplit="2" topLeftCell="A18" activePane="bottomLeft" state="frozen"/>
      <selection pane="bottomLeft" activeCell="H29" sqref="H29"/>
    </sheetView>
  </sheetViews>
  <sheetFormatPr defaultColWidth="9.1796875" defaultRowHeight="13" x14ac:dyDescent="0.3"/>
  <cols>
    <col min="1" max="1" width="1" style="2" customWidth="1"/>
    <col min="2" max="2" width="3.7265625" style="2" customWidth="1"/>
    <col min="3" max="3" width="35.81640625" style="2" customWidth="1"/>
    <col min="4" max="6" width="12.1796875" style="2" customWidth="1"/>
    <col min="7" max="7" width="10" style="2" customWidth="1"/>
    <col min="8" max="10" width="12.1796875" style="2" customWidth="1"/>
    <col min="11" max="11" width="1.7265625" style="2" customWidth="1"/>
    <col min="12" max="12" width="8.81640625" style="2" customWidth="1"/>
    <col min="13" max="13" width="1" style="2" customWidth="1"/>
    <col min="14" max="14" width="16" style="2" customWidth="1"/>
    <col min="15" max="16384" width="9.1796875" style="2"/>
  </cols>
  <sheetData>
    <row r="1" spans="2:12" ht="28.5" customHeight="1" x14ac:dyDescent="0.3"/>
    <row r="2" spans="2:12" s="9" customFormat="1" ht="64.5" customHeight="1" x14ac:dyDescent="0.3">
      <c r="B2" s="18"/>
      <c r="C2" s="19"/>
      <c r="D2" s="19"/>
      <c r="E2" s="19"/>
      <c r="F2" s="19"/>
      <c r="G2" s="19"/>
      <c r="H2" s="19"/>
      <c r="I2" s="19"/>
      <c r="J2" s="19"/>
      <c r="K2" s="19"/>
      <c r="L2" s="20"/>
    </row>
    <row r="3" spans="2:12" ht="7.5" customHeight="1" x14ac:dyDescent="0.3">
      <c r="B3" s="10"/>
      <c r="C3" s="11"/>
      <c r="D3" s="11"/>
      <c r="E3" s="11"/>
      <c r="F3" s="11"/>
      <c r="G3" s="11"/>
      <c r="H3" s="11"/>
      <c r="I3" s="11"/>
      <c r="J3" s="11"/>
      <c r="K3" s="11"/>
      <c r="L3" s="12"/>
    </row>
    <row r="4" spans="2:12" ht="15" customHeight="1" x14ac:dyDescent="0.3">
      <c r="B4" s="3"/>
      <c r="D4" s="4"/>
      <c r="E4" s="4"/>
      <c r="F4" s="4"/>
      <c r="G4" s="4"/>
      <c r="H4" s="4"/>
      <c r="I4" s="4"/>
      <c r="J4" s="4"/>
      <c r="K4" s="4"/>
      <c r="L4" s="5"/>
    </row>
    <row r="5" spans="2:12" ht="15" customHeight="1" x14ac:dyDescent="0.3">
      <c r="B5" s="6"/>
      <c r="C5" s="7"/>
      <c r="D5" s="7"/>
      <c r="E5" s="7"/>
      <c r="F5" s="7"/>
      <c r="G5" s="7"/>
      <c r="H5" s="7"/>
      <c r="I5" s="7"/>
      <c r="J5" s="7"/>
      <c r="K5" s="7"/>
      <c r="L5" s="8"/>
    </row>
    <row r="6" spans="2:12" s="4" customFormat="1" ht="15" customHeight="1" x14ac:dyDescent="0.3"/>
    <row r="7" spans="2:12" ht="15" customHeight="1" x14ac:dyDescent="0.3">
      <c r="B7" s="4"/>
      <c r="C7" s="4"/>
      <c r="D7" s="4"/>
      <c r="E7" s="4"/>
      <c r="F7" s="4"/>
      <c r="G7" s="4"/>
      <c r="H7" s="4"/>
      <c r="I7" s="4"/>
      <c r="J7" s="4"/>
      <c r="K7" s="4"/>
      <c r="L7" s="4"/>
    </row>
    <row r="8" spans="2:12" ht="15" customHeight="1" x14ac:dyDescent="0.3">
      <c r="B8" s="4"/>
      <c r="C8" s="4"/>
      <c r="D8" s="4"/>
      <c r="E8" s="4"/>
      <c r="F8" s="4"/>
      <c r="G8" s="4"/>
      <c r="H8" s="4"/>
      <c r="I8" s="4"/>
      <c r="J8" s="4"/>
      <c r="K8" s="4"/>
      <c r="L8" s="4"/>
    </row>
    <row r="9" spans="2:12" ht="15" customHeight="1" x14ac:dyDescent="0.3">
      <c r="B9" s="4"/>
      <c r="C9" s="4"/>
      <c r="D9" s="4"/>
      <c r="E9" s="4"/>
      <c r="F9" s="4"/>
      <c r="G9" s="4"/>
      <c r="H9" s="4"/>
      <c r="I9" s="4"/>
      <c r="J9" s="4"/>
      <c r="K9" s="4"/>
      <c r="L9" s="4"/>
    </row>
    <row r="10" spans="2:12" ht="15" customHeight="1" x14ac:dyDescent="0.3"/>
    <row r="11" spans="2:12" ht="15" customHeight="1" x14ac:dyDescent="0.3"/>
    <row r="12" spans="2:12" ht="15" customHeight="1" x14ac:dyDescent="0.3"/>
    <row r="13" spans="2:12" ht="15" customHeight="1" x14ac:dyDescent="0.3"/>
    <row r="14" spans="2:12" ht="15" customHeight="1" x14ac:dyDescent="0.3"/>
    <row r="15" spans="2:12" ht="15" customHeight="1" x14ac:dyDescent="0.3"/>
    <row r="16" spans="2:12"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sheetData>
  <sheetProtection formatRows="0"/>
  <pageMargins left="0.25" right="0.25" top="0.25" bottom="0.2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2"/>
  <sheetViews>
    <sheetView showGridLines="0" workbookViewId="0">
      <pane ySplit="1" topLeftCell="A2" activePane="bottomLeft" state="frozen"/>
      <selection pane="bottomLeft"/>
    </sheetView>
  </sheetViews>
  <sheetFormatPr defaultColWidth="9.1796875" defaultRowHeight="13" x14ac:dyDescent="0.3"/>
  <cols>
    <col min="1" max="1" width="1" style="2" customWidth="1"/>
    <col min="2" max="2" width="6.81640625" style="2" customWidth="1"/>
    <col min="3" max="3" width="119.81640625" style="2" customWidth="1"/>
    <col min="4" max="4" width="6.26953125" style="2" customWidth="1"/>
    <col min="5" max="5" width="1" style="2" customWidth="1"/>
    <col min="6" max="16384" width="9.1796875" style="2"/>
  </cols>
  <sheetData>
    <row r="1" spans="2:4" ht="38.25" customHeight="1" x14ac:dyDescent="0.3"/>
    <row r="2" spans="2:4" s="1" customFormat="1" ht="12.5" x14ac:dyDescent="0.25">
      <c r="B2" s="40"/>
      <c r="C2" s="46"/>
      <c r="D2" s="41"/>
    </row>
    <row r="3" spans="2:4" s="1" customFormat="1" ht="25" x14ac:dyDescent="0.25">
      <c r="B3" s="43"/>
      <c r="C3" s="105" t="s">
        <v>288</v>
      </c>
      <c r="D3" s="42"/>
    </row>
    <row r="4" spans="2:4" s="1" customFormat="1" ht="12.5" x14ac:dyDescent="0.25">
      <c r="B4" s="43"/>
      <c r="C4" s="47"/>
      <c r="D4" s="42"/>
    </row>
    <row r="5" spans="2:4" s="1" customFormat="1" ht="50" x14ac:dyDescent="0.25">
      <c r="B5" s="43"/>
      <c r="C5" s="105" t="s">
        <v>289</v>
      </c>
      <c r="D5" s="42"/>
    </row>
    <row r="6" spans="2:4" s="1" customFormat="1" x14ac:dyDescent="0.3">
      <c r="B6" s="43"/>
      <c r="C6" s="53" t="s">
        <v>164</v>
      </c>
      <c r="D6" s="42"/>
    </row>
    <row r="7" spans="2:4" s="1" customFormat="1" x14ac:dyDescent="0.3">
      <c r="B7" s="43"/>
      <c r="C7" s="53" t="s">
        <v>232</v>
      </c>
      <c r="D7" s="42"/>
    </row>
    <row r="8" spans="2:4" s="1" customFormat="1" x14ac:dyDescent="0.3">
      <c r="B8" s="43"/>
      <c r="C8" s="53" t="s">
        <v>290</v>
      </c>
      <c r="D8" s="42"/>
    </row>
    <row r="9" spans="2:4" s="1" customFormat="1" ht="12.5" x14ac:dyDescent="0.25">
      <c r="B9" s="43"/>
      <c r="C9" s="47"/>
      <c r="D9" s="42"/>
    </row>
    <row r="10" spans="2:4" s="1" customFormat="1" x14ac:dyDescent="0.3">
      <c r="B10" s="50"/>
      <c r="C10" s="49" t="s">
        <v>233</v>
      </c>
      <c r="D10" s="51"/>
    </row>
    <row r="11" spans="2:4" s="1" customFormat="1" x14ac:dyDescent="0.3">
      <c r="B11" s="52"/>
      <c r="C11" s="53" t="s">
        <v>59</v>
      </c>
      <c r="D11" s="54"/>
    </row>
    <row r="12" spans="2:4" s="1" customFormat="1" x14ac:dyDescent="0.3">
      <c r="B12" s="52"/>
      <c r="C12" s="53" t="s">
        <v>234</v>
      </c>
      <c r="D12" s="54"/>
    </row>
    <row r="13" spans="2:4" s="1" customFormat="1" ht="25.5" x14ac:dyDescent="0.25">
      <c r="B13" s="52"/>
      <c r="C13" s="259" t="s">
        <v>291</v>
      </c>
      <c r="D13" s="54"/>
    </row>
    <row r="14" spans="2:4" s="1" customFormat="1" ht="12.5" x14ac:dyDescent="0.25">
      <c r="B14" s="52"/>
      <c r="C14" s="55"/>
      <c r="D14" s="54"/>
    </row>
    <row r="15" spans="2:4" s="1" customFormat="1" ht="50" x14ac:dyDescent="0.25">
      <c r="B15" s="52"/>
      <c r="C15" s="57" t="s">
        <v>60</v>
      </c>
      <c r="D15" s="54"/>
    </row>
    <row r="16" spans="2:4" s="1" customFormat="1" ht="12.5" x14ac:dyDescent="0.25">
      <c r="B16" s="52"/>
      <c r="C16" s="55"/>
      <c r="D16" s="54"/>
    </row>
    <row r="17" spans="2:4" s="1" customFormat="1" x14ac:dyDescent="0.3">
      <c r="B17" s="52"/>
      <c r="C17" s="58" t="s">
        <v>61</v>
      </c>
      <c r="D17" s="54"/>
    </row>
    <row r="18" spans="2:4" s="1" customFormat="1" ht="25" x14ac:dyDescent="0.25">
      <c r="B18" s="52"/>
      <c r="C18" s="57" t="s">
        <v>62</v>
      </c>
      <c r="D18" s="54"/>
    </row>
    <row r="19" spans="2:4" s="1" customFormat="1" ht="12.5" x14ac:dyDescent="0.25">
      <c r="B19" s="52"/>
      <c r="C19" s="55"/>
      <c r="D19" s="54"/>
    </row>
    <row r="20" spans="2:4" s="1" customFormat="1" x14ac:dyDescent="0.3">
      <c r="B20" s="52"/>
      <c r="C20" s="58" t="s">
        <v>63</v>
      </c>
      <c r="D20" s="54"/>
    </row>
    <row r="21" spans="2:4" s="1" customFormat="1" ht="12.5" x14ac:dyDescent="0.25">
      <c r="B21" s="52"/>
      <c r="C21" s="55" t="s">
        <v>64</v>
      </c>
      <c r="D21" s="54"/>
    </row>
    <row r="22" spans="2:4" s="1" customFormat="1" ht="12.5" x14ac:dyDescent="0.25">
      <c r="B22" s="52"/>
      <c r="C22" s="55"/>
      <c r="D22" s="54"/>
    </row>
    <row r="23" spans="2:4" s="1" customFormat="1" x14ac:dyDescent="0.3">
      <c r="B23" s="52"/>
      <c r="C23" s="58" t="s">
        <v>65</v>
      </c>
      <c r="D23" s="42"/>
    </row>
    <row r="24" spans="2:4" s="1" customFormat="1" ht="12.5" x14ac:dyDescent="0.25">
      <c r="B24" s="43"/>
      <c r="C24" s="60" t="s">
        <v>66</v>
      </c>
      <c r="D24" s="42"/>
    </row>
    <row r="25" spans="2:4" s="1" customFormat="1" x14ac:dyDescent="0.3">
      <c r="B25" s="50"/>
      <c r="C25" s="56" t="str">
        <f>"- "&amp;Cost!B3</f>
        <v>- Planning / Design</v>
      </c>
      <c r="D25" s="51"/>
    </row>
    <row r="26" spans="2:4" s="1" customFormat="1" x14ac:dyDescent="0.3">
      <c r="B26" s="52"/>
      <c r="C26" s="56" t="str">
        <f>"- "&amp;Cost!C3</f>
        <v>- Marketing &amp; Delivery</v>
      </c>
      <c r="D26" s="54"/>
    </row>
    <row r="27" spans="2:4" s="1" customFormat="1" x14ac:dyDescent="0.3">
      <c r="B27" s="52"/>
      <c r="C27" s="56" t="str">
        <f>"- "&amp;Cost!B13</f>
        <v>- Incentives / Direct Install Costs</v>
      </c>
      <c r="D27" s="54"/>
    </row>
    <row r="28" spans="2:4" s="1" customFormat="1" x14ac:dyDescent="0.3">
      <c r="B28" s="52"/>
      <c r="C28" s="56" t="str">
        <f>"- "&amp;Cost!C18</f>
        <v>- EM&amp;V</v>
      </c>
      <c r="D28" s="54"/>
    </row>
    <row r="29" spans="2:4" s="1" customFormat="1" x14ac:dyDescent="0.3">
      <c r="B29" s="43"/>
      <c r="C29" s="56" t="str">
        <f>"- "&amp;Cost!B24</f>
        <v>- Administration</v>
      </c>
      <c r="D29" s="42"/>
    </row>
    <row r="30" spans="2:4" s="1" customFormat="1" x14ac:dyDescent="0.3">
      <c r="B30" s="50"/>
      <c r="C30" s="56" t="str">
        <f>"- "&amp;Cost!C24</f>
        <v>- Regulatory</v>
      </c>
      <c r="D30" s="51"/>
    </row>
    <row r="31" spans="2:4" s="1" customFormat="1" ht="12.5" x14ac:dyDescent="0.25">
      <c r="B31" s="52"/>
      <c r="C31" s="55" t="s">
        <v>67</v>
      </c>
      <c r="D31" s="54"/>
    </row>
    <row r="32" spans="2:4" s="1" customFormat="1" ht="12.5" x14ac:dyDescent="0.25">
      <c r="B32" s="44"/>
      <c r="C32" s="48"/>
      <c r="D32" s="45"/>
    </row>
  </sheetData>
  <sheetProtection password="C925" sheet="1" objects="1"/>
  <pageMargins left="0.25" right="0.25" top="0.5" bottom="0.5" header="0.3" footer="0.3"/>
  <pageSetup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1"/>
  <sheetViews>
    <sheetView showGridLines="0" workbookViewId="0">
      <pane ySplit="2" topLeftCell="A3" activePane="bottomLeft" state="frozen"/>
      <selection pane="bottomLeft" activeCell="I14" sqref="I14"/>
    </sheetView>
  </sheetViews>
  <sheetFormatPr defaultColWidth="9.1796875" defaultRowHeight="13" x14ac:dyDescent="0.3"/>
  <cols>
    <col min="1" max="1" width="1" style="2" customWidth="1"/>
    <col min="2" max="2" width="3.7265625" style="2" customWidth="1"/>
    <col min="3" max="3" width="28.54296875" style="2" customWidth="1"/>
    <col min="4" max="6" width="12.1796875" style="2" customWidth="1"/>
    <col min="7" max="7" width="3.81640625" style="2" customWidth="1"/>
    <col min="8" max="8" width="23" style="2" customWidth="1"/>
    <col min="9" max="11" width="12.1796875" style="2" customWidth="1"/>
    <col min="12" max="12" width="1.1796875" style="2" customWidth="1"/>
    <col min="13" max="13" width="1" style="2" customWidth="1"/>
    <col min="14" max="14" width="16" style="2" customWidth="1"/>
    <col min="15" max="16384" width="9.1796875" style="2"/>
  </cols>
  <sheetData>
    <row r="1" spans="2:12" ht="28.5" customHeight="1" x14ac:dyDescent="0.3"/>
    <row r="2" spans="2:12" s="9" customFormat="1" ht="64.5" customHeight="1" x14ac:dyDescent="0.3">
      <c r="B2" s="18"/>
      <c r="C2" s="19"/>
      <c r="D2" s="19"/>
      <c r="E2" s="19"/>
      <c r="F2" s="19"/>
      <c r="G2" s="19"/>
      <c r="H2" s="19"/>
      <c r="I2" s="19"/>
      <c r="J2" s="19"/>
      <c r="K2" s="19"/>
      <c r="L2" s="20"/>
    </row>
    <row r="3" spans="2:12" ht="7.5" customHeight="1" x14ac:dyDescent="0.3">
      <c r="B3" s="10"/>
      <c r="C3" s="11"/>
      <c r="D3" s="11"/>
      <c r="E3" s="11"/>
      <c r="F3" s="11"/>
      <c r="G3" s="11"/>
      <c r="H3" s="11"/>
      <c r="I3" s="11"/>
      <c r="J3" s="11"/>
      <c r="K3" s="11"/>
      <c r="L3" s="12"/>
    </row>
    <row r="4" spans="2:12" ht="15" customHeight="1" x14ac:dyDescent="0.3">
      <c r="B4" s="6"/>
      <c r="C4" s="7"/>
      <c r="D4" s="7"/>
      <c r="E4" s="7"/>
      <c r="F4" s="7"/>
      <c r="G4" s="7"/>
      <c r="H4" s="7"/>
      <c r="I4" s="7"/>
      <c r="J4" s="7"/>
      <c r="K4" s="7"/>
      <c r="L4" s="8"/>
    </row>
    <row r="5" spans="2:12" s="4" customFormat="1" ht="15" customHeight="1" x14ac:dyDescent="0.3"/>
    <row r="6" spans="2:12" ht="15" customHeight="1" x14ac:dyDescent="0.3">
      <c r="B6" s="4"/>
      <c r="C6" s="4"/>
      <c r="D6" s="4"/>
      <c r="E6" s="4"/>
      <c r="F6" s="4"/>
      <c r="G6" s="4"/>
      <c r="H6" s="4"/>
      <c r="I6" s="4"/>
      <c r="J6" s="4"/>
      <c r="K6" s="4"/>
      <c r="L6" s="4"/>
    </row>
    <row r="7" spans="2:12" ht="15" customHeight="1" x14ac:dyDescent="0.3">
      <c r="B7" s="4"/>
      <c r="C7" s="4"/>
      <c r="D7" s="4"/>
      <c r="E7" s="4"/>
      <c r="F7" s="4"/>
      <c r="G7" s="4"/>
      <c r="H7" s="4"/>
      <c r="I7" s="4"/>
      <c r="J7" s="4"/>
      <c r="K7" s="4"/>
      <c r="L7" s="4"/>
    </row>
    <row r="8" spans="2:12" ht="15" customHeight="1" x14ac:dyDescent="0.3">
      <c r="B8" s="4"/>
      <c r="C8" s="4"/>
      <c r="D8" s="4"/>
      <c r="E8" s="4"/>
      <c r="F8" s="4"/>
      <c r="G8" s="4"/>
      <c r="H8" s="4"/>
      <c r="I8" s="4"/>
      <c r="J8" s="4"/>
      <c r="K8" s="4"/>
      <c r="L8" s="4"/>
    </row>
    <row r="9" spans="2:12" ht="15" customHeight="1" x14ac:dyDescent="0.3"/>
    <row r="10" spans="2:12" ht="15" customHeight="1" x14ac:dyDescent="0.3"/>
    <row r="11" spans="2:12" ht="15" customHeight="1" x14ac:dyDescent="0.3"/>
    <row r="12" spans="2:12" ht="15" customHeight="1" x14ac:dyDescent="0.3"/>
    <row r="13" spans="2:12" ht="15" customHeight="1" x14ac:dyDescent="0.3"/>
    <row r="14" spans="2:12" ht="15" customHeight="1" x14ac:dyDescent="0.3"/>
    <row r="15" spans="2:12" ht="15" customHeight="1" x14ac:dyDescent="0.3"/>
    <row r="16" spans="2:12"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sheetData>
  <sheetProtection formatRows="0"/>
  <pageMargins left="0.25" right="0.25" top="0.25" bottom="0.2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0"/>
  <sheetViews>
    <sheetView showGridLines="0" workbookViewId="0">
      <pane ySplit="1" topLeftCell="A2" activePane="bottomLeft" state="frozen"/>
      <selection pane="bottomLeft" activeCell="I14" sqref="I14"/>
    </sheetView>
  </sheetViews>
  <sheetFormatPr defaultColWidth="9.1796875" defaultRowHeight="13" x14ac:dyDescent="0.3"/>
  <cols>
    <col min="1" max="1" width="1" style="2" customWidth="1"/>
    <col min="2" max="2" width="4" style="2" customWidth="1"/>
    <col min="3" max="3" width="35.7265625" style="2" customWidth="1"/>
    <col min="4" max="7" width="13.7265625" style="2" customWidth="1"/>
    <col min="8" max="10" width="10.7265625" style="2" customWidth="1"/>
    <col min="11" max="11" width="6.453125" style="2" customWidth="1"/>
    <col min="12" max="12" width="1" style="2" customWidth="1"/>
    <col min="13" max="16384" width="9.1796875" style="2"/>
  </cols>
  <sheetData>
    <row r="1" spans="2:11" ht="38.25" customHeight="1" x14ac:dyDescent="0.3"/>
    <row r="2" spans="2:11" ht="13.5" thickBot="1" x14ac:dyDescent="0.35">
      <c r="B2" s="10"/>
      <c r="C2" s="11"/>
      <c r="D2" s="11"/>
      <c r="E2" s="11"/>
      <c r="F2" s="11"/>
      <c r="G2" s="11"/>
      <c r="H2" s="11"/>
      <c r="I2" s="11"/>
      <c r="J2" s="11"/>
      <c r="K2" s="12"/>
    </row>
    <row r="3" spans="2:11" x14ac:dyDescent="0.3">
      <c r="B3" s="3"/>
      <c r="C3" s="4"/>
      <c r="D3" s="275">
        <f>Titles!F2-2</f>
        <v>2014</v>
      </c>
      <c r="E3" s="276"/>
      <c r="F3" s="275">
        <f>D3+1</f>
        <v>2015</v>
      </c>
      <c r="G3" s="276"/>
      <c r="H3" s="4"/>
      <c r="I3" s="4"/>
      <c r="J3" s="4"/>
      <c r="K3" s="5"/>
    </row>
    <row r="4" spans="2:11" ht="12.75" customHeight="1" x14ac:dyDescent="0.35">
      <c r="B4" s="36"/>
      <c r="C4" s="62" t="s">
        <v>174</v>
      </c>
      <c r="D4" s="146" t="s">
        <v>169</v>
      </c>
      <c r="E4" s="147" t="s">
        <v>170</v>
      </c>
      <c r="F4" s="146" t="s">
        <v>169</v>
      </c>
      <c r="G4" s="147" t="s">
        <v>170</v>
      </c>
      <c r="H4" s="62"/>
      <c r="I4" s="62"/>
      <c r="J4" s="62"/>
      <c r="K4" s="5"/>
    </row>
    <row r="5" spans="2:11" ht="12.75" customHeight="1" x14ac:dyDescent="0.35">
      <c r="B5" s="13"/>
      <c r="C5" s="247" t="str">
        <f>'Program Descriptions'!C5</f>
        <v>Electric Utilities</v>
      </c>
      <c r="D5" s="249"/>
      <c r="E5" s="248"/>
      <c r="F5" s="249"/>
      <c r="G5" s="248"/>
      <c r="H5" s="62"/>
      <c r="I5" s="62"/>
      <c r="J5" s="62"/>
      <c r="K5" s="5"/>
    </row>
    <row r="6" spans="2:11" ht="12.75" customHeight="1" x14ac:dyDescent="0.35">
      <c r="B6" s="13">
        <v>1</v>
      </c>
      <c r="C6" s="15" t="str">
        <f>'Program Descriptions'!C6</f>
        <v xml:space="preserve">Entergy </v>
      </c>
      <c r="D6" s="261">
        <v>317952</v>
      </c>
      <c r="E6" s="262">
        <v>268137</v>
      </c>
      <c r="F6" s="261">
        <v>224639</v>
      </c>
      <c r="G6" s="262">
        <v>408086</v>
      </c>
      <c r="H6" s="62"/>
      <c r="I6" s="62"/>
      <c r="J6" s="62"/>
      <c r="K6" s="5"/>
    </row>
    <row r="7" spans="2:11" ht="12.75" customHeight="1" x14ac:dyDescent="0.35">
      <c r="B7" s="13">
        <v>2</v>
      </c>
      <c r="C7" s="15" t="str">
        <f>'Program Descriptions'!C7</f>
        <v>SWEPCO</v>
      </c>
      <c r="D7" s="263">
        <v>48332</v>
      </c>
      <c r="E7" s="264">
        <v>40760</v>
      </c>
      <c r="F7" s="263">
        <v>34147</v>
      </c>
      <c r="G7" s="264">
        <v>62033</v>
      </c>
      <c r="H7" s="62"/>
      <c r="I7" s="62"/>
      <c r="J7" s="62"/>
      <c r="K7" s="5"/>
    </row>
    <row r="8" spans="2:11" ht="12.75" customHeight="1" x14ac:dyDescent="0.35">
      <c r="B8" s="13">
        <v>3</v>
      </c>
      <c r="C8" s="15" t="str">
        <f>'Program Descriptions'!C8</f>
        <v>OG&amp;E</v>
      </c>
      <c r="D8" s="263">
        <v>25929</v>
      </c>
      <c r="E8" s="264">
        <v>21867</v>
      </c>
      <c r="F8" s="263">
        <v>18319</v>
      </c>
      <c r="G8" s="264">
        <v>33279</v>
      </c>
      <c r="H8" s="62"/>
      <c r="I8" s="62"/>
      <c r="J8" s="62"/>
      <c r="K8" s="5"/>
    </row>
    <row r="9" spans="2:11" ht="12.75" customHeight="1" x14ac:dyDescent="0.35">
      <c r="B9" s="13">
        <v>4</v>
      </c>
      <c r="C9" s="15" t="str">
        <f>'Program Descriptions'!C9</f>
        <v>Empire</v>
      </c>
      <c r="D9" s="263">
        <v>1787</v>
      </c>
      <c r="E9" s="264">
        <v>1507</v>
      </c>
      <c r="F9" s="263">
        <v>1263</v>
      </c>
      <c r="G9" s="264">
        <v>2294</v>
      </c>
      <c r="H9" s="62"/>
      <c r="I9" s="62"/>
      <c r="J9" s="62"/>
      <c r="K9" s="5"/>
    </row>
    <row r="10" spans="2:11" ht="12.75" customHeight="1" x14ac:dyDescent="0.35">
      <c r="B10" s="13"/>
      <c r="C10" s="145" t="s">
        <v>33</v>
      </c>
      <c r="D10" s="265">
        <v>0</v>
      </c>
      <c r="E10" s="266">
        <v>0</v>
      </c>
      <c r="F10" s="265">
        <v>0</v>
      </c>
      <c r="G10" s="266">
        <v>0</v>
      </c>
      <c r="H10" s="62"/>
      <c r="I10" s="62"/>
      <c r="J10" s="62"/>
      <c r="K10" s="5"/>
    </row>
    <row r="11" spans="2:11" ht="12.75" customHeight="1" x14ac:dyDescent="0.35">
      <c r="B11" s="13"/>
      <c r="C11" s="15"/>
      <c r="D11" s="249"/>
      <c r="E11" s="248"/>
      <c r="F11" s="249"/>
      <c r="G11" s="248"/>
      <c r="H11" s="62"/>
      <c r="I11" s="62"/>
      <c r="J11" s="62"/>
      <c r="K11" s="5"/>
    </row>
    <row r="12" spans="2:11" ht="12.75" customHeight="1" x14ac:dyDescent="0.35">
      <c r="B12" s="13"/>
      <c r="C12" s="247" t="str">
        <f>'Program Descriptions'!C11</f>
        <v>Natural Gas Utilities</v>
      </c>
      <c r="D12" s="249"/>
      <c r="E12" s="248"/>
      <c r="F12" s="249"/>
      <c r="G12" s="248"/>
      <c r="H12" s="62"/>
      <c r="I12" s="62"/>
      <c r="J12" s="62"/>
      <c r="K12" s="5"/>
    </row>
    <row r="13" spans="2:11" ht="12.75" customHeight="1" x14ac:dyDescent="0.35">
      <c r="B13" s="13">
        <v>1</v>
      </c>
      <c r="C13" s="15" t="str">
        <f>'Program Descriptions'!C12</f>
        <v>CenterPoint</v>
      </c>
      <c r="D13" s="263">
        <v>150462</v>
      </c>
      <c r="E13" s="264">
        <v>126889</v>
      </c>
      <c r="F13" s="263">
        <v>106304</v>
      </c>
      <c r="G13" s="264">
        <v>193116</v>
      </c>
      <c r="H13" s="62"/>
      <c r="I13" s="62"/>
      <c r="J13" s="62"/>
      <c r="K13" s="5"/>
    </row>
    <row r="14" spans="2:11" ht="12.75" customHeight="1" x14ac:dyDescent="0.35">
      <c r="B14" s="13">
        <v>2</v>
      </c>
      <c r="C14" s="15" t="str">
        <f>'Program Descriptions'!C13</f>
        <v>Black Hills</v>
      </c>
      <c r="D14" s="263">
        <v>54879</v>
      </c>
      <c r="E14" s="264">
        <v>46281</v>
      </c>
      <c r="F14" s="263">
        <v>38773</v>
      </c>
      <c r="G14" s="264">
        <v>70436</v>
      </c>
      <c r="H14" s="62"/>
      <c r="I14" s="62"/>
      <c r="J14" s="62"/>
      <c r="K14" s="5"/>
    </row>
    <row r="15" spans="2:11" ht="12.75" customHeight="1" x14ac:dyDescent="0.35">
      <c r="B15" s="13">
        <v>3</v>
      </c>
      <c r="C15" s="15" t="str">
        <f>'Program Descriptions'!C14</f>
        <v>AOG</v>
      </c>
      <c r="D15" s="263">
        <v>16645</v>
      </c>
      <c r="E15" s="264">
        <v>14037</v>
      </c>
      <c r="F15" s="263">
        <v>11760</v>
      </c>
      <c r="G15" s="264">
        <v>21363</v>
      </c>
      <c r="H15" s="62"/>
      <c r="I15" s="62"/>
      <c r="J15" s="62"/>
      <c r="K15" s="5"/>
    </row>
    <row r="16" spans="2:11" ht="12.75" customHeight="1" thickBot="1" x14ac:dyDescent="0.4">
      <c r="B16" s="13"/>
      <c r="C16" s="145" t="s">
        <v>33</v>
      </c>
      <c r="D16" s="267">
        <v>0</v>
      </c>
      <c r="E16" s="268">
        <v>0</v>
      </c>
      <c r="F16" s="267">
        <v>0</v>
      </c>
      <c r="G16" s="268">
        <v>0</v>
      </c>
      <c r="H16" s="62"/>
      <c r="I16" s="62"/>
      <c r="J16" s="62"/>
      <c r="K16" s="5"/>
    </row>
    <row r="17" spans="2:11" ht="12.75" customHeight="1" x14ac:dyDescent="0.35">
      <c r="B17" s="36"/>
      <c r="C17" s="144"/>
      <c r="D17" s="25"/>
      <c r="E17" s="25"/>
      <c r="F17" s="25"/>
      <c r="G17" s="25"/>
      <c r="H17" s="4"/>
      <c r="I17" s="4"/>
      <c r="J17" s="4"/>
      <c r="K17" s="5"/>
    </row>
    <row r="18" spans="2:11" ht="12.75" customHeight="1" thickBot="1" x14ac:dyDescent="0.35">
      <c r="B18" s="36"/>
      <c r="C18" s="59"/>
      <c r="D18" s="4"/>
      <c r="E18" s="4"/>
      <c r="F18" s="4"/>
      <c r="G18" s="4"/>
      <c r="H18" s="4"/>
      <c r="I18" s="4"/>
      <c r="J18" s="4"/>
      <c r="K18" s="5"/>
    </row>
    <row r="19" spans="2:11" ht="12.75" customHeight="1" x14ac:dyDescent="0.3">
      <c r="B19" s="36"/>
      <c r="C19" s="59"/>
      <c r="D19" s="275">
        <f>D3</f>
        <v>2014</v>
      </c>
      <c r="E19" s="276"/>
      <c r="F19" s="275">
        <f>F3</f>
        <v>2015</v>
      </c>
      <c r="G19" s="276"/>
      <c r="H19" s="4"/>
      <c r="I19" s="4"/>
      <c r="J19" s="4"/>
      <c r="K19" s="5"/>
    </row>
    <row r="20" spans="2:11" ht="12.75" customHeight="1" x14ac:dyDescent="0.35">
      <c r="B20" s="36"/>
      <c r="C20" s="62" t="s">
        <v>259</v>
      </c>
      <c r="D20" s="146" t="s">
        <v>175</v>
      </c>
      <c r="E20" s="147" t="s">
        <v>176</v>
      </c>
      <c r="F20" s="146" t="s">
        <v>175</v>
      </c>
      <c r="G20" s="147" t="s">
        <v>176</v>
      </c>
      <c r="H20" s="4"/>
      <c r="I20" s="4"/>
      <c r="J20" s="4"/>
      <c r="K20" s="5"/>
    </row>
    <row r="21" spans="2:11" ht="12.75" customHeight="1" x14ac:dyDescent="0.3">
      <c r="B21" s="13"/>
      <c r="C21" s="247" t="str">
        <f>C5&amp;" ("&amp;Titles!B24&amp;")"</f>
        <v>Electric Utilities (kWh)</v>
      </c>
      <c r="D21" s="249"/>
      <c r="E21" s="248"/>
      <c r="F21" s="249"/>
      <c r="G21" s="248"/>
      <c r="H21" s="4"/>
      <c r="I21" s="4"/>
      <c r="J21" s="4"/>
      <c r="K21" s="5"/>
    </row>
    <row r="22" spans="2:11" ht="12.75" customHeight="1" x14ac:dyDescent="0.3">
      <c r="B22" s="13">
        <v>1</v>
      </c>
      <c r="C22" s="59" t="str">
        <f>C6</f>
        <v xml:space="preserve">Entergy </v>
      </c>
      <c r="D22" s="142"/>
      <c r="E22" s="130"/>
      <c r="F22" s="142"/>
      <c r="G22" s="130"/>
      <c r="H22" s="4"/>
      <c r="I22" s="4"/>
      <c r="J22" s="4"/>
      <c r="K22" s="5"/>
    </row>
    <row r="23" spans="2:11" ht="12.75" customHeight="1" x14ac:dyDescent="0.3">
      <c r="B23" s="13">
        <v>2</v>
      </c>
      <c r="C23" s="59" t="str">
        <f>C7</f>
        <v>SWEPCO</v>
      </c>
      <c r="D23" s="142"/>
      <c r="E23" s="130"/>
      <c r="F23" s="142"/>
      <c r="G23" s="130"/>
      <c r="H23" s="4"/>
      <c r="I23" s="4"/>
      <c r="J23" s="4"/>
      <c r="K23" s="5"/>
    </row>
    <row r="24" spans="2:11" ht="12.75" customHeight="1" x14ac:dyDescent="0.3">
      <c r="B24" s="13">
        <v>3</v>
      </c>
      <c r="C24" s="59" t="str">
        <f>C8</f>
        <v>OG&amp;E</v>
      </c>
      <c r="D24" s="142"/>
      <c r="E24" s="130"/>
      <c r="F24" s="142"/>
      <c r="G24" s="130"/>
      <c r="H24" s="4"/>
      <c r="I24" s="4"/>
      <c r="J24" s="4"/>
      <c r="K24" s="5"/>
    </row>
    <row r="25" spans="2:11" ht="12.75" customHeight="1" x14ac:dyDescent="0.3">
      <c r="B25" s="13">
        <v>4</v>
      </c>
      <c r="C25" s="59" t="str">
        <f>C9</f>
        <v>Empire</v>
      </c>
      <c r="D25" s="142"/>
      <c r="E25" s="130"/>
      <c r="F25" s="142"/>
      <c r="G25" s="130"/>
      <c r="H25" s="4"/>
      <c r="I25" s="4"/>
      <c r="J25" s="4"/>
      <c r="K25" s="5"/>
    </row>
    <row r="26" spans="2:11" ht="12.75" customHeight="1" x14ac:dyDescent="0.3">
      <c r="B26" s="13"/>
      <c r="C26" s="59"/>
      <c r="D26" s="249"/>
      <c r="E26" s="248"/>
      <c r="F26" s="249"/>
      <c r="G26" s="248"/>
      <c r="H26" s="4"/>
      <c r="I26" s="4"/>
      <c r="J26" s="4"/>
      <c r="K26" s="5"/>
    </row>
    <row r="27" spans="2:11" ht="12.75" customHeight="1" x14ac:dyDescent="0.3">
      <c r="B27" s="13"/>
      <c r="C27" s="247" t="str">
        <f>C12&amp;" ("&amp;Titles!B25&amp;")"</f>
        <v>Natural Gas Utilities (Therms)</v>
      </c>
      <c r="D27" s="249"/>
      <c r="E27" s="248"/>
      <c r="F27" s="249"/>
      <c r="G27" s="248"/>
      <c r="H27" s="4"/>
      <c r="I27" s="4"/>
      <c r="J27" s="4"/>
      <c r="K27" s="5"/>
    </row>
    <row r="28" spans="2:11" ht="12.75" customHeight="1" x14ac:dyDescent="0.3">
      <c r="B28" s="13">
        <v>1</v>
      </c>
      <c r="C28" s="59" t="str">
        <f>C13</f>
        <v>CenterPoint</v>
      </c>
      <c r="D28" s="142"/>
      <c r="E28" s="130"/>
      <c r="F28" s="142"/>
      <c r="G28" s="130"/>
      <c r="H28" s="4"/>
      <c r="I28" s="4"/>
      <c r="J28" s="4"/>
      <c r="K28" s="5"/>
    </row>
    <row r="29" spans="2:11" ht="12.75" customHeight="1" x14ac:dyDescent="0.3">
      <c r="B29" s="13">
        <v>2</v>
      </c>
      <c r="C29" s="59" t="str">
        <f>C14</f>
        <v>Black Hills</v>
      </c>
      <c r="D29" s="142"/>
      <c r="E29" s="130"/>
      <c r="F29" s="142"/>
      <c r="G29" s="130"/>
      <c r="H29" s="4"/>
      <c r="I29" s="4"/>
      <c r="J29" s="4"/>
      <c r="K29" s="5"/>
    </row>
    <row r="30" spans="2:11" ht="12.75" customHeight="1" thickBot="1" x14ac:dyDescent="0.35">
      <c r="B30" s="13">
        <v>3</v>
      </c>
      <c r="C30" s="59" t="str">
        <f>C15</f>
        <v>AOG</v>
      </c>
      <c r="D30" s="143"/>
      <c r="E30" s="131"/>
      <c r="F30" s="143"/>
      <c r="G30" s="131"/>
      <c r="H30" s="4"/>
      <c r="I30" s="4"/>
      <c r="J30" s="4"/>
      <c r="K30" s="5"/>
    </row>
    <row r="31" spans="2:11" ht="12.75" customHeight="1" x14ac:dyDescent="0.35">
      <c r="B31" s="36"/>
      <c r="C31" s="144"/>
      <c r="D31" s="148"/>
      <c r="E31" s="148"/>
      <c r="F31" s="148"/>
      <c r="G31" s="148"/>
      <c r="H31" s="4"/>
      <c r="I31" s="4"/>
      <c r="J31" s="4"/>
      <c r="K31" s="5"/>
    </row>
    <row r="32" spans="2:11" ht="12.75" customHeight="1" thickBot="1" x14ac:dyDescent="0.35">
      <c r="B32" s="36"/>
      <c r="C32" s="59"/>
      <c r="D32" s="4"/>
      <c r="E32" s="4"/>
      <c r="F32" s="4"/>
      <c r="G32" s="4"/>
      <c r="H32" s="4"/>
      <c r="I32" s="4"/>
      <c r="J32" s="4"/>
      <c r="K32" s="5"/>
    </row>
    <row r="33" spans="2:11" ht="12.75" customHeight="1" x14ac:dyDescent="0.3">
      <c r="B33" s="36"/>
      <c r="C33" s="59"/>
      <c r="D33" s="275">
        <f>D19</f>
        <v>2014</v>
      </c>
      <c r="E33" s="276"/>
      <c r="F33" s="275">
        <f>F19</f>
        <v>2015</v>
      </c>
      <c r="G33" s="276"/>
      <c r="H33" s="4"/>
      <c r="I33" s="4"/>
      <c r="J33" s="4"/>
      <c r="K33" s="5"/>
    </row>
    <row r="34" spans="2:11" ht="12.75" customHeight="1" x14ac:dyDescent="0.35">
      <c r="B34" s="36"/>
      <c r="C34" s="62" t="s">
        <v>260</v>
      </c>
      <c r="D34" s="146" t="s">
        <v>175</v>
      </c>
      <c r="E34" s="147" t="s">
        <v>176</v>
      </c>
      <c r="F34" s="146" t="s">
        <v>175</v>
      </c>
      <c r="G34" s="147" t="s">
        <v>176</v>
      </c>
      <c r="H34" s="4"/>
      <c r="I34" s="4"/>
      <c r="J34" s="4"/>
      <c r="K34" s="5"/>
    </row>
    <row r="35" spans="2:11" ht="12.75" customHeight="1" x14ac:dyDescent="0.3">
      <c r="B35" s="13"/>
      <c r="C35" s="247" t="str">
        <f>C5&amp;" ("&amp;Titles!B28&amp;")"</f>
        <v>Electric Utilities (kW)</v>
      </c>
      <c r="D35" s="249"/>
      <c r="E35" s="248"/>
      <c r="F35" s="249"/>
      <c r="G35" s="248"/>
      <c r="H35" s="4"/>
      <c r="I35" s="4"/>
      <c r="J35" s="4"/>
      <c r="K35" s="5"/>
    </row>
    <row r="36" spans="2:11" ht="12.75" customHeight="1" x14ac:dyDescent="0.3">
      <c r="B36" s="13">
        <v>1</v>
      </c>
      <c r="C36" s="59" t="str">
        <f>C22</f>
        <v xml:space="preserve">Entergy </v>
      </c>
      <c r="D36" s="142"/>
      <c r="E36" s="130"/>
      <c r="F36" s="142"/>
      <c r="G36" s="130"/>
      <c r="H36" s="4"/>
      <c r="I36" s="4"/>
      <c r="J36" s="4"/>
      <c r="K36" s="5"/>
    </row>
    <row r="37" spans="2:11" ht="12.75" customHeight="1" x14ac:dyDescent="0.3">
      <c r="B37" s="13">
        <v>2</v>
      </c>
      <c r="C37" s="59" t="str">
        <f>C23</f>
        <v>SWEPCO</v>
      </c>
      <c r="D37" s="142"/>
      <c r="E37" s="130"/>
      <c r="F37" s="142"/>
      <c r="G37" s="130"/>
      <c r="H37" s="4"/>
      <c r="I37" s="4"/>
      <c r="J37" s="4"/>
      <c r="K37" s="5"/>
    </row>
    <row r="38" spans="2:11" ht="12.75" customHeight="1" x14ac:dyDescent="0.3">
      <c r="B38" s="13">
        <v>3</v>
      </c>
      <c r="C38" s="59" t="str">
        <f>C24</f>
        <v>OG&amp;E</v>
      </c>
      <c r="D38" s="142"/>
      <c r="E38" s="130"/>
      <c r="F38" s="142"/>
      <c r="G38" s="130"/>
      <c r="H38" s="4"/>
      <c r="I38" s="4"/>
      <c r="J38" s="4"/>
      <c r="K38" s="5"/>
    </row>
    <row r="39" spans="2:11" ht="12.75" customHeight="1" x14ac:dyDescent="0.3">
      <c r="B39" s="13">
        <v>4</v>
      </c>
      <c r="C39" s="59" t="str">
        <f>C25</f>
        <v>Empire</v>
      </c>
      <c r="D39" s="142"/>
      <c r="E39" s="130"/>
      <c r="F39" s="142"/>
      <c r="G39" s="130"/>
      <c r="H39" s="4"/>
      <c r="I39" s="4"/>
      <c r="J39" s="4"/>
      <c r="K39" s="5"/>
    </row>
    <row r="40" spans="2:11" ht="12.75" customHeight="1" x14ac:dyDescent="0.3">
      <c r="B40" s="13"/>
      <c r="C40" s="59"/>
      <c r="D40" s="249"/>
      <c r="E40" s="248"/>
      <c r="F40" s="249"/>
      <c r="G40" s="248"/>
      <c r="H40" s="4"/>
      <c r="I40" s="4"/>
      <c r="J40" s="4"/>
      <c r="K40" s="5"/>
    </row>
    <row r="41" spans="2:11" ht="12.75" customHeight="1" x14ac:dyDescent="0.3">
      <c r="B41" s="13"/>
      <c r="C41" s="247" t="str">
        <f>C12&amp;" ("&amp;Titles!B29&amp;")"</f>
        <v>Natural Gas Utilities (Therms)</v>
      </c>
      <c r="D41" s="249"/>
      <c r="E41" s="248"/>
      <c r="F41" s="249"/>
      <c r="G41" s="248"/>
      <c r="H41" s="4"/>
      <c r="I41" s="4"/>
      <c r="J41" s="4"/>
      <c r="K41" s="5"/>
    </row>
    <row r="42" spans="2:11" ht="12.75" customHeight="1" x14ac:dyDescent="0.3">
      <c r="B42" s="13">
        <v>1</v>
      </c>
      <c r="C42" s="59" t="str">
        <f>C28</f>
        <v>CenterPoint</v>
      </c>
      <c r="D42" s="142"/>
      <c r="E42" s="130"/>
      <c r="F42" s="142"/>
      <c r="G42" s="130"/>
      <c r="H42" s="4"/>
      <c r="I42" s="4"/>
      <c r="J42" s="4"/>
      <c r="K42" s="5"/>
    </row>
    <row r="43" spans="2:11" ht="12.75" customHeight="1" x14ac:dyDescent="0.3">
      <c r="B43" s="13">
        <v>2</v>
      </c>
      <c r="C43" s="59" t="str">
        <f>C29</f>
        <v>Black Hills</v>
      </c>
      <c r="D43" s="142"/>
      <c r="E43" s="130"/>
      <c r="F43" s="142"/>
      <c r="G43" s="130"/>
      <c r="H43" s="4"/>
      <c r="I43" s="4"/>
      <c r="J43" s="4"/>
      <c r="K43" s="5"/>
    </row>
    <row r="44" spans="2:11" ht="12.75" customHeight="1" thickBot="1" x14ac:dyDescent="0.35">
      <c r="B44" s="13">
        <v>3</v>
      </c>
      <c r="C44" s="59" t="str">
        <f>C30</f>
        <v>AOG</v>
      </c>
      <c r="D44" s="143"/>
      <c r="E44" s="131"/>
      <c r="F44" s="143"/>
      <c r="G44" s="131"/>
      <c r="H44" s="4"/>
      <c r="I44" s="4"/>
      <c r="J44" s="4"/>
      <c r="K44" s="5"/>
    </row>
    <row r="45" spans="2:11" ht="12.75" customHeight="1" x14ac:dyDescent="0.35">
      <c r="B45" s="36"/>
      <c r="C45" s="144"/>
      <c r="D45" s="148"/>
      <c r="E45" s="148"/>
      <c r="F45" s="148"/>
      <c r="G45" s="148"/>
      <c r="H45" s="4"/>
      <c r="I45" s="4"/>
      <c r="J45" s="4"/>
      <c r="K45" s="5"/>
    </row>
    <row r="46" spans="2:11" ht="12.75" customHeight="1" thickBot="1" x14ac:dyDescent="0.35">
      <c r="B46" s="36"/>
      <c r="C46" s="59"/>
      <c r="D46" s="4"/>
      <c r="E46" s="4"/>
      <c r="F46" s="4"/>
      <c r="G46" s="4"/>
      <c r="H46" s="4"/>
      <c r="I46" s="4"/>
      <c r="J46" s="4"/>
      <c r="K46" s="5"/>
    </row>
    <row r="47" spans="2:11" ht="12.75" customHeight="1" x14ac:dyDescent="0.3">
      <c r="B47" s="36"/>
      <c r="C47" s="59"/>
      <c r="D47" s="275">
        <f>D33</f>
        <v>2014</v>
      </c>
      <c r="E47" s="276"/>
      <c r="F47" s="275">
        <f>F33</f>
        <v>2015</v>
      </c>
      <c r="G47" s="276"/>
      <c r="H47" s="4"/>
      <c r="I47" s="4"/>
      <c r="J47" s="4"/>
      <c r="K47" s="5"/>
    </row>
    <row r="48" spans="2:11" ht="12.75" customHeight="1" x14ac:dyDescent="0.35">
      <c r="B48" s="36"/>
      <c r="C48" s="62" t="s">
        <v>177</v>
      </c>
      <c r="D48" s="146" t="s">
        <v>175</v>
      </c>
      <c r="E48" s="147" t="s">
        <v>176</v>
      </c>
      <c r="F48" s="146" t="s">
        <v>175</v>
      </c>
      <c r="G48" s="147" t="s">
        <v>176</v>
      </c>
      <c r="H48" s="4"/>
      <c r="I48" s="4"/>
      <c r="J48" s="4"/>
      <c r="K48" s="5"/>
    </row>
    <row r="49" spans="2:11" ht="12.75" customHeight="1" x14ac:dyDescent="0.3">
      <c r="B49" s="13"/>
      <c r="C49" s="247" t="str">
        <f>C5</f>
        <v>Electric Utilities</v>
      </c>
      <c r="D49" s="249"/>
      <c r="E49" s="248"/>
      <c r="F49" s="249"/>
      <c r="G49" s="248"/>
      <c r="H49" s="4"/>
      <c r="I49" s="4"/>
      <c r="J49" s="4"/>
      <c r="K49" s="5"/>
    </row>
    <row r="50" spans="2:11" ht="12.75" customHeight="1" x14ac:dyDescent="0.3">
      <c r="B50" s="13">
        <v>1</v>
      </c>
      <c r="C50" s="59" t="str">
        <f>C6</f>
        <v xml:space="preserve">Entergy </v>
      </c>
      <c r="D50" s="142"/>
      <c r="E50" s="130"/>
      <c r="F50" s="142"/>
      <c r="G50" s="130"/>
      <c r="H50" s="4"/>
      <c r="I50" s="4"/>
      <c r="J50" s="4"/>
      <c r="K50" s="5"/>
    </row>
    <row r="51" spans="2:11" ht="12.75" customHeight="1" x14ac:dyDescent="0.3">
      <c r="B51" s="13">
        <v>2</v>
      </c>
      <c r="C51" s="59" t="str">
        <f>C7</f>
        <v>SWEPCO</v>
      </c>
      <c r="D51" s="142"/>
      <c r="E51" s="130"/>
      <c r="F51" s="142"/>
      <c r="G51" s="130"/>
      <c r="H51" s="4"/>
      <c r="I51" s="4"/>
      <c r="J51" s="4"/>
      <c r="K51" s="5"/>
    </row>
    <row r="52" spans="2:11" ht="12.75" customHeight="1" x14ac:dyDescent="0.3">
      <c r="B52" s="13">
        <v>3</v>
      </c>
      <c r="C52" s="59" t="str">
        <f>C8</f>
        <v>OG&amp;E</v>
      </c>
      <c r="D52" s="142"/>
      <c r="E52" s="130"/>
      <c r="F52" s="142"/>
      <c r="G52" s="130"/>
      <c r="H52" s="4"/>
      <c r="I52" s="4"/>
      <c r="J52" s="4"/>
      <c r="K52" s="5"/>
    </row>
    <row r="53" spans="2:11" ht="12.75" customHeight="1" x14ac:dyDescent="0.3">
      <c r="B53" s="13">
        <v>4</v>
      </c>
      <c r="C53" s="59" t="str">
        <f>C9</f>
        <v>Empire</v>
      </c>
      <c r="D53" s="142"/>
      <c r="E53" s="130"/>
      <c r="F53" s="142"/>
      <c r="G53" s="130"/>
      <c r="H53" s="4"/>
      <c r="I53" s="4"/>
      <c r="J53" s="4"/>
      <c r="K53" s="5"/>
    </row>
    <row r="54" spans="2:11" ht="12.75" customHeight="1" x14ac:dyDescent="0.3">
      <c r="B54" s="13"/>
      <c r="C54" s="59"/>
      <c r="D54" s="249"/>
      <c r="E54" s="248"/>
      <c r="F54" s="249"/>
      <c r="G54" s="248"/>
      <c r="H54" s="4"/>
      <c r="I54" s="4"/>
      <c r="J54" s="4"/>
      <c r="K54" s="5"/>
    </row>
    <row r="55" spans="2:11" ht="12.75" customHeight="1" x14ac:dyDescent="0.3">
      <c r="B55" s="13"/>
      <c r="C55" s="247" t="str">
        <f>C12</f>
        <v>Natural Gas Utilities</v>
      </c>
      <c r="D55" s="249"/>
      <c r="E55" s="248"/>
      <c r="F55" s="249"/>
      <c r="G55" s="248"/>
      <c r="H55" s="4"/>
      <c r="I55" s="4"/>
      <c r="J55" s="4"/>
      <c r="K55" s="5"/>
    </row>
    <row r="56" spans="2:11" ht="12.75" customHeight="1" x14ac:dyDescent="0.3">
      <c r="B56" s="13">
        <v>1</v>
      </c>
      <c r="C56" s="59" t="str">
        <f>C13</f>
        <v>CenterPoint</v>
      </c>
      <c r="D56" s="142"/>
      <c r="E56" s="130"/>
      <c r="F56" s="142"/>
      <c r="G56" s="130"/>
      <c r="H56" s="4"/>
      <c r="I56" s="4"/>
      <c r="J56" s="4"/>
      <c r="K56" s="5"/>
    </row>
    <row r="57" spans="2:11" ht="12.75" customHeight="1" x14ac:dyDescent="0.3">
      <c r="B57" s="13">
        <v>2</v>
      </c>
      <c r="C57" s="59" t="str">
        <f>C14</f>
        <v>Black Hills</v>
      </c>
      <c r="D57" s="142"/>
      <c r="E57" s="130"/>
      <c r="F57" s="142"/>
      <c r="G57" s="130"/>
      <c r="H57" s="4"/>
      <c r="I57" s="4"/>
      <c r="J57" s="4"/>
      <c r="K57" s="5"/>
    </row>
    <row r="58" spans="2:11" ht="12.75" customHeight="1" thickBot="1" x14ac:dyDescent="0.35">
      <c r="B58" s="13">
        <v>3</v>
      </c>
      <c r="C58" s="59" t="str">
        <f>C15</f>
        <v>AOG</v>
      </c>
      <c r="D58" s="143"/>
      <c r="E58" s="131"/>
      <c r="F58" s="143"/>
      <c r="G58" s="131"/>
      <c r="H58" s="4"/>
      <c r="I58" s="4"/>
      <c r="J58" s="4"/>
      <c r="K58" s="5"/>
    </row>
    <row r="59" spans="2:11" ht="12.75" customHeight="1" x14ac:dyDescent="0.35">
      <c r="B59" s="36"/>
      <c r="C59" s="144"/>
      <c r="D59" s="148"/>
      <c r="E59" s="148"/>
      <c r="F59" s="148"/>
      <c r="G59" s="148"/>
      <c r="H59" s="4"/>
      <c r="I59" s="4"/>
      <c r="J59" s="4"/>
      <c r="K59" s="5"/>
    </row>
    <row r="60" spans="2:11" ht="12.75" customHeight="1" x14ac:dyDescent="0.3">
      <c r="B60" s="6"/>
      <c r="C60" s="7"/>
      <c r="D60" s="7"/>
      <c r="E60" s="7"/>
      <c r="F60" s="7"/>
      <c r="G60" s="7"/>
      <c r="H60" s="7"/>
      <c r="I60" s="7"/>
      <c r="J60" s="7"/>
      <c r="K60" s="8"/>
    </row>
  </sheetData>
  <sheetProtection password="C925" sheet="1" objects="1" scenarios="1"/>
  <mergeCells count="8">
    <mergeCell ref="D47:E47"/>
    <mergeCell ref="F47:G47"/>
    <mergeCell ref="D3:E3"/>
    <mergeCell ref="F3:G3"/>
    <mergeCell ref="D19:E19"/>
    <mergeCell ref="F19:G19"/>
    <mergeCell ref="D33:E33"/>
    <mergeCell ref="F33:G33"/>
  </mergeCells>
  <pageMargins left="0.25" right="0.25" top="0.5" bottom="0.5" header="0.3" footer="0.3"/>
  <pageSetup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8"/>
  <sheetViews>
    <sheetView showGridLines="0" workbookViewId="0">
      <selection activeCell="D18" sqref="D18"/>
    </sheetView>
  </sheetViews>
  <sheetFormatPr defaultColWidth="9.1796875" defaultRowHeight="13" x14ac:dyDescent="0.3"/>
  <cols>
    <col min="1" max="1" width="1" style="2" customWidth="1"/>
    <col min="2" max="2" width="21.81640625" style="2" customWidth="1"/>
    <col min="3" max="3" width="6.7265625" style="2" bestFit="1" customWidth="1"/>
    <col min="4" max="4" width="25.7265625" style="2" customWidth="1"/>
    <col min="5" max="5" width="29" style="2" bestFit="1" customWidth="1"/>
    <col min="6" max="6" width="2.1796875" style="2" customWidth="1"/>
    <col min="7" max="7" width="21.453125" style="2" customWidth="1"/>
    <col min="8" max="8" width="2.26953125" style="2" customWidth="1"/>
    <col min="9" max="9" width="19" style="2" customWidth="1"/>
    <col min="10" max="10" width="5.26953125" style="2" customWidth="1"/>
    <col min="11" max="11" width="1" style="2" customWidth="1"/>
    <col min="12" max="16384" width="9.1796875" style="2"/>
  </cols>
  <sheetData>
    <row r="1" spans="2:10" ht="38.25" customHeight="1" x14ac:dyDescent="0.3"/>
    <row r="2" spans="2:10" x14ac:dyDescent="0.3">
      <c r="B2" s="10"/>
      <c r="C2" s="11"/>
      <c r="D2" s="11"/>
      <c r="E2" s="11"/>
      <c r="F2" s="11"/>
      <c r="G2" s="11"/>
      <c r="H2" s="11"/>
      <c r="I2" s="11"/>
      <c r="J2" s="12"/>
    </row>
    <row r="3" spans="2:10" ht="15.5" x14ac:dyDescent="0.35">
      <c r="B3" s="38" t="s">
        <v>68</v>
      </c>
      <c r="C3" s="62"/>
      <c r="D3" s="62" t="s">
        <v>1</v>
      </c>
      <c r="E3" s="62" t="s">
        <v>209</v>
      </c>
      <c r="G3" s="241"/>
      <c r="H3" s="241"/>
      <c r="I3" s="241"/>
      <c r="J3" s="5"/>
    </row>
    <row r="4" spans="2:10" x14ac:dyDescent="0.3">
      <c r="B4" s="36" t="s">
        <v>11</v>
      </c>
      <c r="C4" s="59"/>
      <c r="D4" s="59" t="s">
        <v>206</v>
      </c>
      <c r="E4" s="59" t="s">
        <v>210</v>
      </c>
      <c r="G4" s="242"/>
      <c r="H4" s="242"/>
      <c r="I4" s="242"/>
      <c r="J4" s="5"/>
    </row>
    <row r="5" spans="2:10" x14ac:dyDescent="0.3">
      <c r="B5" s="36" t="s">
        <v>20</v>
      </c>
      <c r="C5" s="59"/>
      <c r="D5" s="59" t="s">
        <v>78</v>
      </c>
      <c r="E5" s="59" t="s">
        <v>202</v>
      </c>
      <c r="G5" s="242"/>
      <c r="H5" s="242"/>
      <c r="I5" s="242"/>
      <c r="J5" s="5"/>
    </row>
    <row r="6" spans="2:10" x14ac:dyDescent="0.3">
      <c r="B6" s="36" t="s">
        <v>69</v>
      </c>
      <c r="C6" s="59"/>
      <c r="D6" s="59" t="s">
        <v>201</v>
      </c>
      <c r="E6" s="59" t="s">
        <v>211</v>
      </c>
      <c r="G6" s="242"/>
      <c r="H6" s="242"/>
      <c r="I6" s="242"/>
      <c r="J6" s="5"/>
    </row>
    <row r="7" spans="2:10" x14ac:dyDescent="0.3">
      <c r="B7" s="36" t="s">
        <v>15</v>
      </c>
      <c r="C7" s="59"/>
      <c r="D7" s="59" t="s">
        <v>107</v>
      </c>
      <c r="E7" s="59" t="s">
        <v>212</v>
      </c>
      <c r="G7" s="242"/>
      <c r="H7" s="242"/>
      <c r="I7" s="9"/>
      <c r="J7" s="5"/>
    </row>
    <row r="8" spans="2:10" x14ac:dyDescent="0.3">
      <c r="B8" s="36" t="s">
        <v>70</v>
      </c>
      <c r="C8" s="59"/>
      <c r="D8" s="59" t="s">
        <v>13</v>
      </c>
      <c r="E8" s="59" t="s">
        <v>213</v>
      </c>
      <c r="G8" s="242"/>
      <c r="H8" s="242"/>
      <c r="I8" s="242"/>
      <c r="J8" s="5"/>
    </row>
    <row r="9" spans="2:10" x14ac:dyDescent="0.3">
      <c r="B9" s="36" t="s">
        <v>71</v>
      </c>
      <c r="C9" s="59"/>
      <c r="D9" s="59" t="s">
        <v>79</v>
      </c>
      <c r="E9" s="59" t="s">
        <v>214</v>
      </c>
      <c r="G9" s="242"/>
      <c r="H9" s="242"/>
      <c r="I9" s="242"/>
      <c r="J9" s="5"/>
    </row>
    <row r="10" spans="2:10" x14ac:dyDescent="0.3">
      <c r="B10" s="36" t="s">
        <v>72</v>
      </c>
      <c r="C10" s="59"/>
      <c r="D10" s="59" t="s">
        <v>207</v>
      </c>
      <c r="E10" s="59" t="s">
        <v>215</v>
      </c>
      <c r="G10" s="242"/>
      <c r="H10" s="242"/>
      <c r="I10" s="242"/>
      <c r="J10" s="5"/>
    </row>
    <row r="11" spans="2:10" x14ac:dyDescent="0.3">
      <c r="B11" s="36" t="s">
        <v>12</v>
      </c>
      <c r="C11" s="59"/>
      <c r="D11" s="59" t="s">
        <v>105</v>
      </c>
      <c r="E11" s="59" t="s">
        <v>217</v>
      </c>
      <c r="G11" s="242"/>
      <c r="H11" s="242"/>
      <c r="I11" s="242"/>
      <c r="J11" s="5"/>
    </row>
    <row r="12" spans="2:10" x14ac:dyDescent="0.3">
      <c r="B12" s="36" t="s">
        <v>77</v>
      </c>
      <c r="C12" s="59"/>
      <c r="D12" s="59" t="s">
        <v>12</v>
      </c>
      <c r="E12" s="59" t="s">
        <v>216</v>
      </c>
      <c r="G12" s="242"/>
      <c r="H12" s="242"/>
      <c r="I12" s="242"/>
      <c r="J12" s="5"/>
    </row>
    <row r="13" spans="2:10" x14ac:dyDescent="0.3">
      <c r="B13" s="36" t="s">
        <v>73</v>
      </c>
      <c r="C13" s="59"/>
      <c r="D13" s="59" t="s">
        <v>106</v>
      </c>
      <c r="E13" s="59"/>
      <c r="G13" s="242"/>
      <c r="H13" s="242"/>
      <c r="I13" s="242"/>
      <c r="J13" s="5"/>
    </row>
    <row r="14" spans="2:10" x14ac:dyDescent="0.3">
      <c r="B14" s="36" t="s">
        <v>74</v>
      </c>
      <c r="C14" s="59"/>
      <c r="D14" s="59" t="s">
        <v>208</v>
      </c>
      <c r="E14" s="59"/>
      <c r="G14" s="242"/>
      <c r="H14" s="242"/>
      <c r="I14" s="242"/>
      <c r="J14" s="5"/>
    </row>
    <row r="15" spans="2:10" x14ac:dyDescent="0.3">
      <c r="B15" s="36" t="s">
        <v>75</v>
      </c>
      <c r="C15" s="59"/>
      <c r="D15" s="59" t="s">
        <v>80</v>
      </c>
      <c r="E15" s="59"/>
      <c r="G15" s="9"/>
      <c r="H15" s="9"/>
      <c r="I15" s="9"/>
      <c r="J15" s="5"/>
    </row>
    <row r="16" spans="2:10" x14ac:dyDescent="0.3">
      <c r="B16" s="36" t="s">
        <v>76</v>
      </c>
      <c r="C16" s="59"/>
      <c r="D16" s="59"/>
      <c r="E16" s="59"/>
      <c r="G16" s="243"/>
      <c r="H16" s="242"/>
      <c r="I16" s="243"/>
      <c r="J16" s="5"/>
    </row>
    <row r="17" spans="2:10" x14ac:dyDescent="0.3">
      <c r="B17" s="36"/>
      <c r="C17" s="59"/>
      <c r="D17" s="59"/>
      <c r="E17" s="59"/>
      <c r="G17" s="242"/>
      <c r="H17" s="242"/>
      <c r="I17" s="242"/>
      <c r="J17" s="5"/>
    </row>
    <row r="18" spans="2:10" x14ac:dyDescent="0.3">
      <c r="B18" s="36"/>
      <c r="C18" s="59"/>
      <c r="D18" s="59"/>
      <c r="E18" s="59"/>
      <c r="G18" s="9"/>
      <c r="H18" s="9"/>
      <c r="I18" s="9"/>
      <c r="J18" s="5"/>
    </row>
    <row r="19" spans="2:10" x14ac:dyDescent="0.3">
      <c r="B19" s="36"/>
      <c r="C19" s="59"/>
      <c r="D19" s="59"/>
      <c r="E19" s="59"/>
      <c r="G19" s="9"/>
      <c r="H19" s="9"/>
      <c r="I19" s="9"/>
      <c r="J19" s="5"/>
    </row>
    <row r="20" spans="2:10" x14ac:dyDescent="0.3">
      <c r="B20" s="36"/>
      <c r="C20" s="59"/>
      <c r="D20" s="59"/>
      <c r="E20" s="59"/>
      <c r="G20" s="9"/>
      <c r="H20" s="9"/>
      <c r="I20" s="242"/>
      <c r="J20" s="5"/>
    </row>
    <row r="21" spans="2:10" x14ac:dyDescent="0.3">
      <c r="B21" s="36"/>
      <c r="C21" s="59"/>
      <c r="D21" s="59"/>
      <c r="E21" s="59"/>
      <c r="G21" s="243"/>
      <c r="H21" s="9"/>
      <c r="I21" s="243"/>
      <c r="J21" s="5"/>
    </row>
    <row r="22" spans="2:10" x14ac:dyDescent="0.3">
      <c r="B22" s="36"/>
      <c r="C22" s="59"/>
      <c r="D22" s="4"/>
      <c r="E22" s="4"/>
      <c r="G22" s="242"/>
      <c r="H22" s="9"/>
      <c r="I22" s="242"/>
      <c r="J22" s="5"/>
    </row>
    <row r="23" spans="2:10" x14ac:dyDescent="0.3">
      <c r="B23" s="36"/>
      <c r="C23" s="59"/>
      <c r="D23" s="4"/>
      <c r="E23" s="4"/>
      <c r="G23" s="9"/>
      <c r="H23" s="9"/>
      <c r="I23" s="9"/>
      <c r="J23" s="5"/>
    </row>
    <row r="24" spans="2:10" x14ac:dyDescent="0.3">
      <c r="B24" s="36"/>
      <c r="C24" s="59"/>
      <c r="D24" s="4"/>
      <c r="E24" s="4"/>
      <c r="G24" s="9"/>
      <c r="H24" s="9"/>
      <c r="I24" s="9"/>
      <c r="J24" s="5"/>
    </row>
    <row r="25" spans="2:10" x14ac:dyDescent="0.3">
      <c r="B25" s="36"/>
      <c r="C25" s="59"/>
      <c r="D25" s="4"/>
      <c r="E25" s="4"/>
      <c r="G25" s="9"/>
      <c r="H25" s="9"/>
      <c r="I25" s="9"/>
      <c r="J25" s="5"/>
    </row>
    <row r="26" spans="2:10" x14ac:dyDescent="0.3">
      <c r="B26" s="3"/>
      <c r="C26" s="59"/>
      <c r="D26" s="4"/>
      <c r="E26" s="4"/>
      <c r="G26" s="9"/>
      <c r="H26" s="9"/>
      <c r="I26" s="9"/>
      <c r="J26" s="5"/>
    </row>
    <row r="27" spans="2:10" x14ac:dyDescent="0.3">
      <c r="B27" s="3"/>
      <c r="C27" s="59"/>
      <c r="D27" s="4"/>
      <c r="E27" s="4"/>
      <c r="G27" s="9"/>
      <c r="H27" s="9"/>
      <c r="I27" s="9"/>
      <c r="J27" s="5"/>
    </row>
    <row r="28" spans="2:10" x14ac:dyDescent="0.3">
      <c r="B28" s="6"/>
      <c r="C28" s="7"/>
      <c r="D28" s="7"/>
      <c r="E28" s="7"/>
      <c r="F28" s="7"/>
      <c r="G28" s="7"/>
      <c r="H28" s="7"/>
      <c r="I28" s="7"/>
      <c r="J28" s="8"/>
    </row>
  </sheetData>
  <sheetProtection password="C925" sheet="1" objects="1"/>
  <pageMargins left="0.25" right="0.25" top="0.5" bottom="0.5" header="0.3" footer="0.3"/>
  <pageSetup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0"/>
  <sheetViews>
    <sheetView showGridLines="0" workbookViewId="0">
      <selection activeCell="C27" sqref="C27"/>
    </sheetView>
  </sheetViews>
  <sheetFormatPr defaultColWidth="9.1796875" defaultRowHeight="13" x14ac:dyDescent="0.3"/>
  <cols>
    <col min="1" max="1" width="1" style="2" customWidth="1"/>
    <col min="2" max="2" width="66.7265625" style="2" customWidth="1"/>
    <col min="3" max="3" width="66.54296875" style="2" customWidth="1"/>
    <col min="4" max="4" width="1" style="2" customWidth="1"/>
    <col min="5" max="16384" width="9.1796875" style="2"/>
  </cols>
  <sheetData>
    <row r="1" spans="2:3" ht="38.25" customHeight="1" x14ac:dyDescent="0.3"/>
    <row r="2" spans="2:3" x14ac:dyDescent="0.3">
      <c r="B2" s="10"/>
      <c r="C2" s="12"/>
    </row>
    <row r="3" spans="2:3" ht="15.5" x14ac:dyDescent="0.35">
      <c r="B3" s="38" t="s">
        <v>111</v>
      </c>
      <c r="C3" s="39" t="s">
        <v>123</v>
      </c>
    </row>
    <row r="4" spans="2:3" x14ac:dyDescent="0.3">
      <c r="B4" s="36" t="s">
        <v>40</v>
      </c>
      <c r="C4" s="37" t="s">
        <v>182</v>
      </c>
    </row>
    <row r="5" spans="2:3" x14ac:dyDescent="0.3">
      <c r="B5" s="36" t="s">
        <v>41</v>
      </c>
      <c r="C5" s="174" t="s">
        <v>183</v>
      </c>
    </row>
    <row r="6" spans="2:3" x14ac:dyDescent="0.3">
      <c r="B6" s="36" t="s">
        <v>42</v>
      </c>
      <c r="C6" s="37" t="s">
        <v>184</v>
      </c>
    </row>
    <row r="7" spans="2:3" x14ac:dyDescent="0.3">
      <c r="B7" s="36" t="s">
        <v>43</v>
      </c>
      <c r="C7" s="37" t="s">
        <v>122</v>
      </c>
    </row>
    <row r="8" spans="2:3" x14ac:dyDescent="0.3">
      <c r="B8" s="36" t="s">
        <v>44</v>
      </c>
      <c r="C8" s="37" t="s">
        <v>220</v>
      </c>
    </row>
    <row r="9" spans="2:3" x14ac:dyDescent="0.3">
      <c r="B9" s="36" t="s">
        <v>219</v>
      </c>
      <c r="C9" s="37" t="s">
        <v>185</v>
      </c>
    </row>
    <row r="10" spans="2:3" x14ac:dyDescent="0.3">
      <c r="B10" s="173" t="s">
        <v>218</v>
      </c>
      <c r="C10" s="37" t="s">
        <v>186</v>
      </c>
    </row>
    <row r="11" spans="2:3" x14ac:dyDescent="0.3">
      <c r="B11" s="36"/>
      <c r="C11" s="37" t="s">
        <v>187</v>
      </c>
    </row>
    <row r="12" spans="2:3" x14ac:dyDescent="0.3">
      <c r="B12" s="36"/>
      <c r="C12" s="37" t="s">
        <v>188</v>
      </c>
    </row>
    <row r="13" spans="2:3" ht="15.5" x14ac:dyDescent="0.35">
      <c r="B13" s="38" t="s">
        <v>192</v>
      </c>
      <c r="C13" s="37" t="s">
        <v>189</v>
      </c>
    </row>
    <row r="14" spans="2:3" x14ac:dyDescent="0.3">
      <c r="B14" s="36" t="s">
        <v>193</v>
      </c>
      <c r="C14" s="37" t="s">
        <v>280</v>
      </c>
    </row>
    <row r="15" spans="2:3" x14ac:dyDescent="0.3">
      <c r="B15" s="36" t="s">
        <v>194</v>
      </c>
      <c r="C15" s="175" t="s">
        <v>190</v>
      </c>
    </row>
    <row r="16" spans="2:3" x14ac:dyDescent="0.3">
      <c r="B16" s="36" t="s">
        <v>45</v>
      </c>
      <c r="C16" s="175" t="s">
        <v>191</v>
      </c>
    </row>
    <row r="17" spans="2:3" x14ac:dyDescent="0.3">
      <c r="B17" s="36" t="s">
        <v>121</v>
      </c>
      <c r="C17" s="5"/>
    </row>
    <row r="18" spans="2:3" ht="15.5" x14ac:dyDescent="0.35">
      <c r="B18" s="36" t="s">
        <v>195</v>
      </c>
      <c r="C18" s="39" t="s">
        <v>32</v>
      </c>
    </row>
    <row r="19" spans="2:3" x14ac:dyDescent="0.3">
      <c r="B19" s="36" t="s">
        <v>196</v>
      </c>
      <c r="C19" s="37" t="s">
        <v>281</v>
      </c>
    </row>
    <row r="20" spans="2:3" x14ac:dyDescent="0.3">
      <c r="B20" s="36" t="s">
        <v>197</v>
      </c>
      <c r="C20" s="174" t="s">
        <v>199</v>
      </c>
    </row>
    <row r="21" spans="2:3" x14ac:dyDescent="0.3">
      <c r="B21" s="36" t="s">
        <v>198</v>
      </c>
      <c r="C21" s="37" t="s">
        <v>282</v>
      </c>
    </row>
    <row r="22" spans="2:3" x14ac:dyDescent="0.3">
      <c r="B22" s="36"/>
      <c r="C22" s="37"/>
    </row>
    <row r="23" spans="2:3" x14ac:dyDescent="0.3">
      <c r="B23" s="3"/>
      <c r="C23" s="5"/>
    </row>
    <row r="24" spans="2:3" ht="15.5" x14ac:dyDescent="0.35">
      <c r="B24" s="38" t="s">
        <v>3</v>
      </c>
      <c r="C24" s="39" t="s">
        <v>33</v>
      </c>
    </row>
    <row r="25" spans="2:3" x14ac:dyDescent="0.3">
      <c r="B25" s="36" t="s">
        <v>46</v>
      </c>
      <c r="C25" s="37" t="s">
        <v>47</v>
      </c>
    </row>
    <row r="26" spans="2:3" x14ac:dyDescent="0.3">
      <c r="B26" s="36" t="s">
        <v>283</v>
      </c>
      <c r="C26" s="37" t="s">
        <v>48</v>
      </c>
    </row>
    <row r="27" spans="2:3" x14ac:dyDescent="0.3">
      <c r="B27" s="36" t="s">
        <v>284</v>
      </c>
      <c r="C27" s="37" t="s">
        <v>285</v>
      </c>
    </row>
    <row r="28" spans="2:3" x14ac:dyDescent="0.3">
      <c r="B28" s="3"/>
      <c r="C28" s="174" t="s">
        <v>221</v>
      </c>
    </row>
    <row r="29" spans="2:3" x14ac:dyDescent="0.3">
      <c r="B29" s="3"/>
      <c r="C29" s="5" t="s">
        <v>200</v>
      </c>
    </row>
    <row r="30" spans="2:3" x14ac:dyDescent="0.3">
      <c r="B30" s="6"/>
      <c r="C30" s="8"/>
    </row>
  </sheetData>
  <sheetProtection password="C925" sheet="1" objects="1"/>
  <phoneticPr fontId="0" type="noConversion"/>
  <dataValidations count="6">
    <dataValidation allowBlank="1" showInputMessage="1" showErrorMessage="1" prompt="Costs to develop and plan Energy Efficiency Programs." sqref="B3"/>
    <dataValidation allowBlank="1" showInputMessage="1" showErrorMessage="1" prompt="Costs to communicate the benefits an delivery resources of energy efficiency programs and services to customers and trade allies designed to seek participation in EE programs." sqref="C3"/>
    <dataValidation allowBlank="1" showInputMessage="1" showErrorMessage="1" prompt="Amounts paid to program participants, contractors or other third parties for energy efficient equipment, products and/or services.  Incentive costs include rebates, direct install costs, and up stream payments." sqref="B13"/>
    <dataValidation allowBlank="1" showInputMessage="1" showErrorMessage="1" prompt="Costs incurred to determine deemed savings or other program-specific savings and other effects from EE program EM&amp;V." sqref="C18"/>
    <dataValidation allowBlank="1" showInputMessage="1" showErrorMessage="1" prompt="Incremental costs incurred to be compliant with EE rules set forth by the APSC; should not include LCFC or Utility Performance Incentives.  " sqref="C24"/>
    <dataValidation allowBlank="1" showInputMessage="1" showErrorMessage="1" prompt="Costs incurred to manage and/or support EE programs.  " sqref="B24"/>
  </dataValidations>
  <pageMargins left="0.25" right="0.25" top="0.5" bottom="0.5" header="0.3" footer="0.3"/>
  <pageSetup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5"/>
  <sheetViews>
    <sheetView topLeftCell="E1" zoomScale="75" zoomScaleNormal="75" workbookViewId="0">
      <selection activeCell="O13" sqref="O13"/>
    </sheetView>
  </sheetViews>
  <sheetFormatPr defaultRowHeight="12.5" x14ac:dyDescent="0.25"/>
  <cols>
    <col min="1" max="1" width="1.7265625" customWidth="1"/>
    <col min="2" max="2" width="36.7265625" bestFit="1" customWidth="1"/>
    <col min="3" max="3" width="21" bestFit="1" customWidth="1"/>
    <col min="4" max="4" width="26.81640625" bestFit="1" customWidth="1"/>
    <col min="5" max="5" width="11" customWidth="1"/>
    <col min="6" max="6" width="13.453125" bestFit="1" customWidth="1"/>
    <col min="7" max="7" width="11" customWidth="1"/>
    <col min="8" max="8" width="11.26953125" bestFit="1" customWidth="1"/>
    <col min="9" max="9" width="16.1796875" customWidth="1"/>
    <col min="10" max="10" width="12.26953125" bestFit="1" customWidth="1"/>
    <col min="11" max="11" width="10.81640625" customWidth="1"/>
    <col min="12" max="12" width="12" customWidth="1"/>
    <col min="13" max="13" width="14.453125" customWidth="1"/>
    <col min="14" max="14" width="10.7265625" customWidth="1"/>
    <col min="15" max="15" width="10.81640625" customWidth="1"/>
    <col min="16" max="16" width="11.1796875" bestFit="1" customWidth="1"/>
    <col min="17" max="17" width="14.1796875" customWidth="1"/>
    <col min="18" max="18" width="11.1796875" bestFit="1" customWidth="1"/>
    <col min="19" max="20" width="11.26953125" bestFit="1" customWidth="1"/>
    <col min="22" max="22" width="11.1796875" bestFit="1" customWidth="1"/>
    <col min="24" max="24" width="11.1796875" bestFit="1" customWidth="1"/>
  </cols>
  <sheetData>
    <row r="2" spans="2:15" ht="13" x14ac:dyDescent="0.3">
      <c r="B2" s="108" t="s">
        <v>228</v>
      </c>
    </row>
    <row r="3" spans="2:15" ht="52" x14ac:dyDescent="0.3">
      <c r="B3" s="132" t="s">
        <v>21</v>
      </c>
      <c r="C3" s="132" t="s">
        <v>172</v>
      </c>
      <c r="D3" s="132" t="s">
        <v>173</v>
      </c>
      <c r="E3" s="133" t="str">
        <f>Budgets!D4</f>
        <v>Planning / Design</v>
      </c>
      <c r="F3" s="133" t="str">
        <f>Budgets!E4</f>
        <v>Marketing &amp; Delivery</v>
      </c>
      <c r="G3" s="133" t="str">
        <f>Budgets!F4</f>
        <v>Incentives / Direct Install Costs</v>
      </c>
      <c r="H3" s="133" t="str">
        <f>Budgets!G4</f>
        <v>EM&amp;V</v>
      </c>
      <c r="I3" s="133" t="str">
        <f>Budgets!H4</f>
        <v>Administration</v>
      </c>
      <c r="J3" s="133" t="str">
        <f>Budgets!I4</f>
        <v>Total</v>
      </c>
      <c r="K3" s="133" t="str">
        <f>'Savings &amp; Participants'!D4</f>
        <v>Demand Savings</v>
      </c>
      <c r="L3" s="133" t="str">
        <f>'Savings &amp; Participants'!E4</f>
        <v>Energy Savings</v>
      </c>
      <c r="M3" s="133" t="str">
        <f>'Savings &amp; Participants'!G5</f>
        <v>Participants</v>
      </c>
    </row>
    <row r="4" spans="2:15" x14ac:dyDescent="0.25">
      <c r="B4" s="134" t="str">
        <f>'Program Descriptions'!C6</f>
        <v xml:space="preserve">Entergy </v>
      </c>
      <c r="C4" s="134" t="str">
        <f>'Program Descriptions'!E6</f>
        <v>All Classes</v>
      </c>
      <c r="D4" s="134" t="str">
        <f>'Program Descriptions'!F6</f>
        <v>Behavior/Education</v>
      </c>
      <c r="E4" s="135">
        <f>Budgets!D6</f>
        <v>0</v>
      </c>
      <c r="F4" s="135">
        <f>Budgets!E6</f>
        <v>224638.8</v>
      </c>
      <c r="G4" s="135">
        <f>Budgets!F6</f>
        <v>0</v>
      </c>
      <c r="H4" s="135">
        <f>Budgets!G6</f>
        <v>0</v>
      </c>
      <c r="I4" s="135">
        <f>Budgets!H6</f>
        <v>0</v>
      </c>
      <c r="J4" s="136">
        <f>SUM(E4:I4)</f>
        <v>224638.8</v>
      </c>
      <c r="K4" s="137">
        <f>'Savings &amp; Participants'!D6</f>
        <v>0</v>
      </c>
      <c r="L4" s="137">
        <f>'Savings &amp; Participants'!E6</f>
        <v>0</v>
      </c>
      <c r="M4" s="137">
        <f>'Savings &amp; Participants'!G6</f>
        <v>0</v>
      </c>
      <c r="N4" t="str">
        <f>Titles!B24</f>
        <v>kWh</v>
      </c>
      <c r="O4" t="str">
        <f>Titles!B28</f>
        <v>kW</v>
      </c>
    </row>
    <row r="5" spans="2:15" x14ac:dyDescent="0.25">
      <c r="B5" s="134" t="str">
        <f>'Program Descriptions'!C7</f>
        <v>SWEPCO</v>
      </c>
      <c r="C5" s="134" t="str">
        <f t="shared" ref="C5:D10" si="0">C4</f>
        <v>All Classes</v>
      </c>
      <c r="D5" s="134" t="str">
        <f t="shared" si="0"/>
        <v>Behavior/Education</v>
      </c>
      <c r="E5" s="135">
        <f>Budgets!D7</f>
        <v>0</v>
      </c>
      <c r="F5" s="135">
        <f>Budgets!E7</f>
        <v>34147.43</v>
      </c>
      <c r="G5" s="135">
        <f>Budgets!F7</f>
        <v>0</v>
      </c>
      <c r="H5" s="135">
        <f>Budgets!G7</f>
        <v>0</v>
      </c>
      <c r="I5" s="135">
        <f>Budgets!H7</f>
        <v>0</v>
      </c>
      <c r="J5" s="136">
        <f t="shared" ref="J5:J10" si="1">SUM(E5:I5)</f>
        <v>34147.43</v>
      </c>
      <c r="K5" s="137">
        <f>'Savings &amp; Participants'!D7</f>
        <v>0</v>
      </c>
      <c r="L5" s="137">
        <f>'Savings &amp; Participants'!E7</f>
        <v>0</v>
      </c>
      <c r="M5" s="137">
        <f>'Savings &amp; Participants'!G7</f>
        <v>0</v>
      </c>
      <c r="N5" t="str">
        <f t="shared" ref="N5:O7" si="2">N4</f>
        <v>kWh</v>
      </c>
      <c r="O5" t="str">
        <f t="shared" si="2"/>
        <v>kW</v>
      </c>
    </row>
    <row r="6" spans="2:15" x14ac:dyDescent="0.25">
      <c r="B6" s="134" t="str">
        <f>'Program Descriptions'!C8</f>
        <v>OG&amp;E</v>
      </c>
      <c r="C6" s="134" t="str">
        <f t="shared" si="0"/>
        <v>All Classes</v>
      </c>
      <c r="D6" s="134" t="str">
        <f t="shared" si="0"/>
        <v>Behavior/Education</v>
      </c>
      <c r="E6" s="135">
        <f>Budgets!D8</f>
        <v>0</v>
      </c>
      <c r="F6" s="135">
        <f>Budgets!E8</f>
        <v>18319.259999999998</v>
      </c>
      <c r="G6" s="135">
        <f>Budgets!F8</f>
        <v>0</v>
      </c>
      <c r="H6" s="135">
        <f>Budgets!G8</f>
        <v>0</v>
      </c>
      <c r="I6" s="135">
        <f>Budgets!H8</f>
        <v>0</v>
      </c>
      <c r="J6" s="136">
        <f t="shared" si="1"/>
        <v>18319.259999999998</v>
      </c>
      <c r="K6" s="137">
        <f>'Savings &amp; Participants'!D8</f>
        <v>0</v>
      </c>
      <c r="L6" s="137">
        <f>'Savings &amp; Participants'!E8</f>
        <v>0</v>
      </c>
      <c r="M6" s="137">
        <f>'Savings &amp; Participants'!G8</f>
        <v>0</v>
      </c>
      <c r="N6" t="str">
        <f t="shared" si="2"/>
        <v>kWh</v>
      </c>
      <c r="O6" t="str">
        <f t="shared" si="2"/>
        <v>kW</v>
      </c>
    </row>
    <row r="7" spans="2:15" x14ac:dyDescent="0.25">
      <c r="B7" s="134" t="str">
        <f>'Program Descriptions'!C9</f>
        <v>Empire</v>
      </c>
      <c r="C7" s="134" t="str">
        <f t="shared" si="0"/>
        <v>All Classes</v>
      </c>
      <c r="D7" s="134" t="str">
        <f t="shared" si="0"/>
        <v>Behavior/Education</v>
      </c>
      <c r="E7" s="135">
        <f>Budgets!D9</f>
        <v>0</v>
      </c>
      <c r="F7" s="135">
        <f>Budgets!E9</f>
        <v>1262.52</v>
      </c>
      <c r="G7" s="135">
        <f>Budgets!F9</f>
        <v>0</v>
      </c>
      <c r="H7" s="135">
        <f>Budgets!G9</f>
        <v>0</v>
      </c>
      <c r="I7" s="135">
        <f>Budgets!H9</f>
        <v>0</v>
      </c>
      <c r="J7" s="136">
        <f t="shared" si="1"/>
        <v>1262.52</v>
      </c>
      <c r="K7" s="137">
        <f>'Savings &amp; Participants'!D9</f>
        <v>0</v>
      </c>
      <c r="L7" s="137">
        <f>'Savings &amp; Participants'!E9</f>
        <v>0</v>
      </c>
      <c r="M7" s="137">
        <f>'Savings &amp; Participants'!G9</f>
        <v>0</v>
      </c>
      <c r="N7" t="str">
        <f t="shared" si="2"/>
        <v>kWh</v>
      </c>
      <c r="O7" t="str">
        <f t="shared" si="2"/>
        <v>kW</v>
      </c>
    </row>
    <row r="8" spans="2:15" x14ac:dyDescent="0.25">
      <c r="B8" s="134" t="str">
        <f>'Program Descriptions'!C12</f>
        <v>CenterPoint</v>
      </c>
      <c r="C8" s="134" t="str">
        <f t="shared" si="0"/>
        <v>All Classes</v>
      </c>
      <c r="D8" s="134" t="str">
        <f t="shared" si="0"/>
        <v>Behavior/Education</v>
      </c>
      <c r="E8" s="135">
        <f>Budgets!D15</f>
        <v>0</v>
      </c>
      <c r="F8" s="135">
        <f>Budgets!E15</f>
        <v>106304.23</v>
      </c>
      <c r="G8" s="135">
        <f>Budgets!F15</f>
        <v>0</v>
      </c>
      <c r="H8" s="135">
        <f>Budgets!G15</f>
        <v>0</v>
      </c>
      <c r="I8" s="135">
        <f>Budgets!H15</f>
        <v>0</v>
      </c>
      <c r="J8" s="136">
        <f t="shared" si="1"/>
        <v>106304.23</v>
      </c>
      <c r="K8" s="137">
        <f>'Savings &amp; Participants'!D14</f>
        <v>0</v>
      </c>
      <c r="L8" s="137">
        <f>'Savings &amp; Participants'!E14</f>
        <v>0</v>
      </c>
      <c r="M8" s="137">
        <f>'Savings &amp; Participants'!G14</f>
        <v>0</v>
      </c>
      <c r="N8" t="str">
        <f>Titles!B25</f>
        <v>Therms</v>
      </c>
      <c r="O8" t="str">
        <f>Titles!B29</f>
        <v>Therms</v>
      </c>
    </row>
    <row r="9" spans="2:15" x14ac:dyDescent="0.25">
      <c r="B9" s="134" t="str">
        <f>'Program Descriptions'!C13</f>
        <v>Black Hills</v>
      </c>
      <c r="C9" s="134" t="str">
        <f t="shared" si="0"/>
        <v>All Classes</v>
      </c>
      <c r="D9" s="134" t="str">
        <f t="shared" si="0"/>
        <v>Behavior/Education</v>
      </c>
      <c r="E9" s="135">
        <f>Budgets!D16</f>
        <v>0</v>
      </c>
      <c r="F9" s="135">
        <f>Budgets!E16</f>
        <v>38772.81</v>
      </c>
      <c r="G9" s="135">
        <f>Budgets!F16</f>
        <v>0</v>
      </c>
      <c r="H9" s="135">
        <f>Budgets!G16</f>
        <v>0</v>
      </c>
      <c r="I9" s="135">
        <f>Budgets!H16</f>
        <v>0</v>
      </c>
      <c r="J9" s="136">
        <f t="shared" si="1"/>
        <v>38772.81</v>
      </c>
      <c r="K9" s="137">
        <f>'Savings &amp; Participants'!D15</f>
        <v>0</v>
      </c>
      <c r="L9" s="137">
        <f>'Savings &amp; Participants'!E15</f>
        <v>0</v>
      </c>
      <c r="M9" s="137">
        <f>'Savings &amp; Participants'!G15</f>
        <v>0</v>
      </c>
      <c r="N9" t="str">
        <f>N8</f>
        <v>Therms</v>
      </c>
      <c r="O9" t="str">
        <f>O8</f>
        <v>Therms</v>
      </c>
    </row>
    <row r="10" spans="2:15" x14ac:dyDescent="0.25">
      <c r="B10" s="134" t="str">
        <f>'Program Descriptions'!C14</f>
        <v>AOG</v>
      </c>
      <c r="C10" s="134" t="str">
        <f t="shared" si="0"/>
        <v>All Classes</v>
      </c>
      <c r="D10" s="134" t="str">
        <f t="shared" si="0"/>
        <v>Behavior/Education</v>
      </c>
      <c r="E10" s="135">
        <f>Budgets!D17</f>
        <v>0</v>
      </c>
      <c r="F10" s="135">
        <f>Budgets!E17</f>
        <v>11759.92</v>
      </c>
      <c r="G10" s="135">
        <f>Budgets!F17</f>
        <v>0</v>
      </c>
      <c r="H10" s="135">
        <f>Budgets!G17</f>
        <v>0</v>
      </c>
      <c r="I10" s="135">
        <f>Budgets!H17</f>
        <v>0</v>
      </c>
      <c r="J10" s="136">
        <f t="shared" si="1"/>
        <v>11759.92</v>
      </c>
      <c r="K10" s="137">
        <f>'Savings &amp; Participants'!D16</f>
        <v>0</v>
      </c>
      <c r="L10" s="137">
        <f>'Savings &amp; Participants'!E16</f>
        <v>0</v>
      </c>
      <c r="M10" s="137">
        <f>'Savings &amp; Participants'!G16</f>
        <v>0</v>
      </c>
      <c r="N10" t="str">
        <f>N9</f>
        <v>Therms</v>
      </c>
      <c r="O10" t="str">
        <f>O9</f>
        <v>Therms</v>
      </c>
    </row>
    <row r="11" spans="2:15" x14ac:dyDescent="0.25">
      <c r="B11" s="193"/>
      <c r="C11" s="193"/>
      <c r="D11" s="47" t="s">
        <v>17</v>
      </c>
      <c r="E11" s="135">
        <f>SUM(E4:E7)</f>
        <v>0</v>
      </c>
      <c r="F11" s="135">
        <f>SUM(F4:F7)</f>
        <v>278368.01</v>
      </c>
      <c r="G11" s="135">
        <f>SUM(G4:G7)</f>
        <v>0</v>
      </c>
      <c r="H11" s="135">
        <f>SUM(H4:H7)</f>
        <v>0</v>
      </c>
      <c r="I11" s="135">
        <f>SUM(I4:I7)</f>
        <v>0</v>
      </c>
      <c r="J11" s="136">
        <f>SUM(E11:I11)</f>
        <v>278368.01</v>
      </c>
      <c r="K11" s="252"/>
      <c r="L11" s="252"/>
      <c r="M11" s="252"/>
    </row>
    <row r="12" spans="2:15" x14ac:dyDescent="0.25">
      <c r="D12" s="1" t="s">
        <v>38</v>
      </c>
      <c r="E12" s="135">
        <f>SUM(E8:E10)</f>
        <v>0</v>
      </c>
      <c r="F12" s="135">
        <f>SUM(F8:F10)</f>
        <v>156836.96</v>
      </c>
      <c r="G12" s="135">
        <f>SUM(G8:G10)</f>
        <v>0</v>
      </c>
      <c r="H12" s="135">
        <f>SUM(H8:H10)</f>
        <v>0</v>
      </c>
      <c r="I12" s="135">
        <f>SUM(I8:I10)</f>
        <v>0</v>
      </c>
      <c r="J12" s="136">
        <f>SUM(E12:I12)</f>
        <v>156836.96</v>
      </c>
    </row>
    <row r="14" spans="2:15" ht="13" x14ac:dyDescent="0.3">
      <c r="B14" s="108" t="s">
        <v>35</v>
      </c>
    </row>
    <row r="15" spans="2:15" ht="52" x14ac:dyDescent="0.3">
      <c r="B15" s="132" t="str">
        <f t="shared" ref="B15:M15" si="3">B3</f>
        <v>Utility Name</v>
      </c>
      <c r="C15" s="132" t="str">
        <f t="shared" si="3"/>
        <v>Sector</v>
      </c>
      <c r="D15" s="132" t="str">
        <f t="shared" si="3"/>
        <v>Type</v>
      </c>
      <c r="E15" s="133" t="str">
        <f t="shared" si="3"/>
        <v>Planning / Design</v>
      </c>
      <c r="F15" s="133" t="str">
        <f t="shared" si="3"/>
        <v>Marketing &amp; Delivery</v>
      </c>
      <c r="G15" s="133" t="str">
        <f t="shared" si="3"/>
        <v>Incentives / Direct Install Costs</v>
      </c>
      <c r="H15" s="133" t="str">
        <f t="shared" si="3"/>
        <v>EM&amp;V</v>
      </c>
      <c r="I15" s="133" t="str">
        <f t="shared" si="3"/>
        <v>Administration</v>
      </c>
      <c r="J15" s="133" t="str">
        <f t="shared" si="3"/>
        <v>Total</v>
      </c>
      <c r="K15" s="133" t="str">
        <f t="shared" si="3"/>
        <v>Demand Savings</v>
      </c>
      <c r="L15" s="133" t="str">
        <f t="shared" si="3"/>
        <v>Energy Savings</v>
      </c>
      <c r="M15" s="133" t="str">
        <f t="shared" si="3"/>
        <v>Participants</v>
      </c>
    </row>
    <row r="16" spans="2:15" x14ac:dyDescent="0.25">
      <c r="B16" s="134" t="str">
        <f t="shared" ref="B16:D22" si="4">B4</f>
        <v xml:space="preserve">Entergy </v>
      </c>
      <c r="C16" s="134" t="str">
        <f t="shared" si="4"/>
        <v>All Classes</v>
      </c>
      <c r="D16" s="134" t="str">
        <f t="shared" si="4"/>
        <v>Behavior/Education</v>
      </c>
      <c r="E16" s="135">
        <f>'Actual Expenses'!D6</f>
        <v>0</v>
      </c>
      <c r="F16" s="135">
        <f>'Actual Expenses'!E6</f>
        <v>186665</v>
      </c>
      <c r="G16" s="135">
        <f>'Actual Expenses'!F6</f>
        <v>0</v>
      </c>
      <c r="H16" s="135">
        <f>'Actual Expenses'!G6</f>
        <v>0</v>
      </c>
      <c r="I16" s="135">
        <f>'Actual Expenses'!H6</f>
        <v>0</v>
      </c>
      <c r="J16" s="136">
        <f t="shared" ref="J16:J24" si="5">SUM(E16:I16)</f>
        <v>186665</v>
      </c>
      <c r="K16" s="137">
        <f>'Evaluated Savings'!D6</f>
        <v>0</v>
      </c>
      <c r="L16" s="137">
        <f>'Evaluated Savings'!E6</f>
        <v>0</v>
      </c>
      <c r="M16" s="137">
        <f>'Evaluated Savings'!G6</f>
        <v>0</v>
      </c>
    </row>
    <row r="17" spans="2:18" x14ac:dyDescent="0.25">
      <c r="B17" s="134" t="str">
        <f t="shared" si="4"/>
        <v>SWEPCO</v>
      </c>
      <c r="C17" s="134" t="str">
        <f t="shared" si="4"/>
        <v>All Classes</v>
      </c>
      <c r="D17" s="134" t="str">
        <f t="shared" si="4"/>
        <v>Behavior/Education</v>
      </c>
      <c r="E17" s="135">
        <f>'Actual Expenses'!D10</f>
        <v>0</v>
      </c>
      <c r="F17" s="135">
        <f>'Actual Expenses'!E10</f>
        <v>28375</v>
      </c>
      <c r="G17" s="135">
        <f>'Actual Expenses'!F10</f>
        <v>0</v>
      </c>
      <c r="H17" s="135">
        <f>'Actual Expenses'!G10</f>
        <v>0</v>
      </c>
      <c r="I17" s="135">
        <f>'Actual Expenses'!H10</f>
        <v>0</v>
      </c>
      <c r="J17" s="136">
        <f t="shared" si="5"/>
        <v>28375</v>
      </c>
      <c r="K17" s="137">
        <f>'Evaluated Savings'!D7</f>
        <v>0</v>
      </c>
      <c r="L17" s="137">
        <f>'Evaluated Savings'!E7</f>
        <v>0</v>
      </c>
      <c r="M17" s="137">
        <f>'Evaluated Savings'!G7</f>
        <v>0</v>
      </c>
    </row>
    <row r="18" spans="2:18" x14ac:dyDescent="0.25">
      <c r="B18" s="134" t="str">
        <f t="shared" si="4"/>
        <v>OG&amp;E</v>
      </c>
      <c r="C18" s="134" t="str">
        <f t="shared" si="4"/>
        <v>All Classes</v>
      </c>
      <c r="D18" s="134" t="str">
        <f t="shared" si="4"/>
        <v>Behavior/Education</v>
      </c>
      <c r="E18" s="135">
        <f>'Actual Expenses'!D14</f>
        <v>0</v>
      </c>
      <c r="F18" s="135">
        <f>'Actual Expenses'!E14</f>
        <v>15222</v>
      </c>
      <c r="G18" s="135">
        <f>'Actual Expenses'!F14</f>
        <v>0</v>
      </c>
      <c r="H18" s="135">
        <f>'Actual Expenses'!G14</f>
        <v>0</v>
      </c>
      <c r="I18" s="135">
        <f>'Actual Expenses'!H14</f>
        <v>0</v>
      </c>
      <c r="J18" s="136">
        <f t="shared" si="5"/>
        <v>15222</v>
      </c>
      <c r="K18" s="137">
        <f>'Evaluated Savings'!D8</f>
        <v>0</v>
      </c>
      <c r="L18" s="137">
        <f>'Evaluated Savings'!E8</f>
        <v>0</v>
      </c>
      <c r="M18" s="137">
        <f>'Evaluated Savings'!G8</f>
        <v>0</v>
      </c>
    </row>
    <row r="19" spans="2:18" x14ac:dyDescent="0.25">
      <c r="B19" s="134" t="str">
        <f t="shared" si="4"/>
        <v>Empire</v>
      </c>
      <c r="C19" s="134" t="str">
        <f t="shared" si="4"/>
        <v>All Classes</v>
      </c>
      <c r="D19" s="134" t="str">
        <f t="shared" si="4"/>
        <v>Behavior/Education</v>
      </c>
      <c r="E19" s="135">
        <f>'Actual Expenses'!D18</f>
        <v>0</v>
      </c>
      <c r="F19" s="135">
        <f>'Actual Expenses'!E18</f>
        <v>1049</v>
      </c>
      <c r="G19" s="135">
        <f>'Actual Expenses'!F18</f>
        <v>0</v>
      </c>
      <c r="H19" s="135">
        <f>'Actual Expenses'!G18</f>
        <v>0</v>
      </c>
      <c r="I19" s="135">
        <f>'Actual Expenses'!H18</f>
        <v>0</v>
      </c>
      <c r="J19" s="136">
        <f t="shared" si="5"/>
        <v>1049</v>
      </c>
      <c r="K19" s="137">
        <f>'Evaluated Savings'!D9</f>
        <v>0</v>
      </c>
      <c r="L19" s="137">
        <f>'Evaluated Savings'!E9</f>
        <v>0</v>
      </c>
      <c r="M19" s="137">
        <f>'Evaluated Savings'!G9</f>
        <v>0</v>
      </c>
    </row>
    <row r="20" spans="2:18" x14ac:dyDescent="0.25">
      <c r="B20" s="134" t="str">
        <f t="shared" si="4"/>
        <v>CenterPoint</v>
      </c>
      <c r="C20" s="134" t="str">
        <f t="shared" si="4"/>
        <v>All Classes</v>
      </c>
      <c r="D20" s="134" t="str">
        <f t="shared" si="4"/>
        <v>Behavior/Education</v>
      </c>
      <c r="E20" s="135">
        <f>'Actual Expenses'!D30</f>
        <v>0</v>
      </c>
      <c r="F20" s="135">
        <f>'Actual Expenses'!E30</f>
        <v>88334</v>
      </c>
      <c r="G20" s="135">
        <f>'Actual Expenses'!F30</f>
        <v>0</v>
      </c>
      <c r="H20" s="135">
        <f>'Actual Expenses'!G30</f>
        <v>0</v>
      </c>
      <c r="I20" s="135">
        <f>'Actual Expenses'!H30</f>
        <v>0</v>
      </c>
      <c r="J20" s="136">
        <f t="shared" si="5"/>
        <v>88334</v>
      </c>
      <c r="K20" s="137">
        <f>'Evaluated Savings'!D14</f>
        <v>0</v>
      </c>
      <c r="L20" s="137">
        <f>'Evaluated Savings'!E14</f>
        <v>0</v>
      </c>
      <c r="M20" s="137">
        <f>'Evaluated Savings'!G14</f>
        <v>0</v>
      </c>
    </row>
    <row r="21" spans="2:18" x14ac:dyDescent="0.25">
      <c r="B21" s="134" t="str">
        <f t="shared" si="4"/>
        <v>Black Hills</v>
      </c>
      <c r="C21" s="134" t="str">
        <f t="shared" si="4"/>
        <v>All Classes</v>
      </c>
      <c r="D21" s="134" t="str">
        <f t="shared" si="4"/>
        <v>Behavior/Education</v>
      </c>
      <c r="E21" s="135">
        <f>'Actual Expenses'!D34</f>
        <v>0</v>
      </c>
      <c r="F21" s="135">
        <f>'Actual Expenses'!E34</f>
        <v>32219</v>
      </c>
      <c r="G21" s="135">
        <f>'Actual Expenses'!F34</f>
        <v>0</v>
      </c>
      <c r="H21" s="135">
        <f>'Actual Expenses'!G34</f>
        <v>0</v>
      </c>
      <c r="I21" s="135">
        <f>'Actual Expenses'!H34</f>
        <v>0</v>
      </c>
      <c r="J21" s="136">
        <f t="shared" si="5"/>
        <v>32219</v>
      </c>
      <c r="K21" s="137">
        <f>'Evaluated Savings'!D15</f>
        <v>0</v>
      </c>
      <c r="L21" s="137">
        <f>'Evaluated Savings'!E15</f>
        <v>0</v>
      </c>
      <c r="M21" s="137">
        <f>'Evaluated Savings'!G15</f>
        <v>0</v>
      </c>
    </row>
    <row r="22" spans="2:18" x14ac:dyDescent="0.25">
      <c r="B22" s="134" t="str">
        <f t="shared" si="4"/>
        <v>AOG</v>
      </c>
      <c r="C22" s="134" t="str">
        <f t="shared" si="4"/>
        <v>All Classes</v>
      </c>
      <c r="D22" s="134" t="str">
        <f t="shared" si="4"/>
        <v>Behavior/Education</v>
      </c>
      <c r="E22" s="135">
        <f>'Actual Expenses'!D38</f>
        <v>0</v>
      </c>
      <c r="F22" s="135">
        <f>'Actual Expenses'!E38</f>
        <v>9772</v>
      </c>
      <c r="G22" s="135">
        <f>'Actual Expenses'!F38</f>
        <v>0</v>
      </c>
      <c r="H22" s="135">
        <f>'Actual Expenses'!G38</f>
        <v>0</v>
      </c>
      <c r="I22" s="135">
        <f>'Actual Expenses'!H38</f>
        <v>0</v>
      </c>
      <c r="J22" s="136">
        <f t="shared" si="5"/>
        <v>9772</v>
      </c>
      <c r="K22" s="137">
        <f>'Evaluated Savings'!D16</f>
        <v>0</v>
      </c>
      <c r="L22" s="137">
        <f>'Evaluated Savings'!E16</f>
        <v>0</v>
      </c>
      <c r="M22" s="137">
        <f>'Evaluated Savings'!G16</f>
        <v>0</v>
      </c>
    </row>
    <row r="23" spans="2:18" x14ac:dyDescent="0.25">
      <c r="D23" s="47" t="s">
        <v>17</v>
      </c>
      <c r="E23" s="135">
        <f>SUM(E16:E19)</f>
        <v>0</v>
      </c>
      <c r="F23" s="135">
        <f>SUM(F16:F19)</f>
        <v>231311</v>
      </c>
      <c r="G23" s="135">
        <f>SUM(G16:G19)</f>
        <v>0</v>
      </c>
      <c r="H23" s="135">
        <f>SUM(H16:H19)</f>
        <v>0</v>
      </c>
      <c r="I23" s="135">
        <f>SUM(I16:I19)</f>
        <v>0</v>
      </c>
      <c r="J23" s="136">
        <f t="shared" si="5"/>
        <v>231311</v>
      </c>
    </row>
    <row r="24" spans="2:18" x14ac:dyDescent="0.25">
      <c r="D24" s="1" t="s">
        <v>38</v>
      </c>
      <c r="E24" s="135">
        <f>SUM(E20:E22)</f>
        <v>0</v>
      </c>
      <c r="F24" s="135">
        <f>SUM(F20:F22)</f>
        <v>130325</v>
      </c>
      <c r="G24" s="135">
        <f>SUM(G20:G22)</f>
        <v>0</v>
      </c>
      <c r="H24" s="135">
        <f>SUM(H20:H22)</f>
        <v>0</v>
      </c>
      <c r="I24" s="135">
        <f>SUM(I20:I22)</f>
        <v>0</v>
      </c>
      <c r="J24" s="136">
        <f t="shared" si="5"/>
        <v>130325</v>
      </c>
    </row>
    <row r="27" spans="2:18" ht="13" x14ac:dyDescent="0.3">
      <c r="B27" s="108" t="s">
        <v>229</v>
      </c>
      <c r="C27" s="277" t="s">
        <v>27</v>
      </c>
      <c r="D27" s="278"/>
      <c r="E27" s="278"/>
      <c r="F27" s="279"/>
      <c r="G27" s="277" t="s">
        <v>223</v>
      </c>
      <c r="H27" s="278"/>
      <c r="I27" s="278"/>
      <c r="J27" s="279"/>
      <c r="K27" s="277" t="s">
        <v>224</v>
      </c>
      <c r="L27" s="278"/>
      <c r="M27" s="278"/>
      <c r="N27" s="279"/>
      <c r="O27" s="280" t="s">
        <v>49</v>
      </c>
      <c r="P27" s="280"/>
      <c r="Q27" s="280"/>
      <c r="R27" s="280"/>
    </row>
    <row r="28" spans="2:18" ht="13" x14ac:dyDescent="0.3">
      <c r="B28" s="132" t="str">
        <f t="shared" ref="B28:B35" si="6">B3</f>
        <v>Utility Name</v>
      </c>
      <c r="C28" s="133" t="s">
        <v>169</v>
      </c>
      <c r="D28" s="133" t="s">
        <v>170</v>
      </c>
      <c r="E28" s="133" t="s">
        <v>169</v>
      </c>
      <c r="F28" s="133" t="s">
        <v>170</v>
      </c>
      <c r="G28" s="133" t="s">
        <v>175</v>
      </c>
      <c r="H28" s="133" t="s">
        <v>176</v>
      </c>
      <c r="I28" s="133" t="s">
        <v>175</v>
      </c>
      <c r="J28" s="133" t="s">
        <v>176</v>
      </c>
      <c r="K28" s="133" t="s">
        <v>175</v>
      </c>
      <c r="L28" s="133" t="s">
        <v>176</v>
      </c>
      <c r="M28" s="133" t="s">
        <v>175</v>
      </c>
      <c r="N28" s="133" t="s">
        <v>176</v>
      </c>
      <c r="O28" s="133" t="s">
        <v>175</v>
      </c>
      <c r="P28" s="133" t="s">
        <v>176</v>
      </c>
      <c r="Q28" s="133" t="s">
        <v>175</v>
      </c>
      <c r="R28" s="133" t="s">
        <v>176</v>
      </c>
    </row>
    <row r="29" spans="2:18" x14ac:dyDescent="0.25">
      <c r="B29" s="134" t="str">
        <f t="shared" si="6"/>
        <v xml:space="preserve">Entergy </v>
      </c>
      <c r="C29" s="135">
        <f>'Prior Years'!D6</f>
        <v>317952</v>
      </c>
      <c r="D29" s="135">
        <f>'Prior Years'!E6</f>
        <v>268137</v>
      </c>
      <c r="E29" s="135">
        <f>'Prior Years'!F6</f>
        <v>224639</v>
      </c>
      <c r="F29" s="135">
        <f>'Prior Years'!G6</f>
        <v>408086</v>
      </c>
      <c r="G29" s="137">
        <f>'Prior Years'!D22</f>
        <v>0</v>
      </c>
      <c r="H29" s="137">
        <f>'Prior Years'!E22</f>
        <v>0</v>
      </c>
      <c r="I29" s="137">
        <f>'Prior Years'!F22</f>
        <v>0</v>
      </c>
      <c r="J29" s="137">
        <f>'Prior Years'!G22</f>
        <v>0</v>
      </c>
      <c r="K29" s="137">
        <f>'Prior Years'!D36</f>
        <v>0</v>
      </c>
      <c r="L29" s="137">
        <f>'Prior Years'!E36</f>
        <v>0</v>
      </c>
      <c r="M29" s="137">
        <f>'Prior Years'!F36</f>
        <v>0</v>
      </c>
      <c r="N29" s="137">
        <f>'Prior Years'!G36</f>
        <v>0</v>
      </c>
      <c r="O29" s="137">
        <f>'Prior Years'!D50</f>
        <v>0</v>
      </c>
      <c r="P29" s="137">
        <f>'Prior Years'!E50</f>
        <v>0</v>
      </c>
      <c r="Q29" s="137">
        <f>'Prior Years'!F50</f>
        <v>0</v>
      </c>
      <c r="R29" s="137">
        <f>'Prior Years'!G50</f>
        <v>0</v>
      </c>
    </row>
    <row r="30" spans="2:18" x14ac:dyDescent="0.25">
      <c r="B30" s="134" t="str">
        <f t="shared" si="6"/>
        <v>SWEPCO</v>
      </c>
      <c r="C30" s="135">
        <f>'Prior Years'!D7</f>
        <v>48332</v>
      </c>
      <c r="D30" s="135">
        <f>'Prior Years'!E7</f>
        <v>40760</v>
      </c>
      <c r="E30" s="135">
        <f>'Prior Years'!F7</f>
        <v>34147</v>
      </c>
      <c r="F30" s="135">
        <f>'Prior Years'!G7</f>
        <v>62033</v>
      </c>
      <c r="G30" s="137">
        <f>'Prior Years'!D23</f>
        <v>0</v>
      </c>
      <c r="H30" s="137">
        <f>'Prior Years'!E23</f>
        <v>0</v>
      </c>
      <c r="I30" s="137">
        <f>'Prior Years'!F23</f>
        <v>0</v>
      </c>
      <c r="J30" s="137">
        <f>'Prior Years'!G23</f>
        <v>0</v>
      </c>
      <c r="K30" s="137">
        <f>'Prior Years'!D37</f>
        <v>0</v>
      </c>
      <c r="L30" s="137">
        <f>'Prior Years'!E37</f>
        <v>0</v>
      </c>
      <c r="M30" s="137">
        <f>'Prior Years'!F37</f>
        <v>0</v>
      </c>
      <c r="N30" s="137">
        <f>'Prior Years'!G37</f>
        <v>0</v>
      </c>
      <c r="O30" s="137">
        <f>'Prior Years'!D51</f>
        <v>0</v>
      </c>
      <c r="P30" s="137">
        <f>'Prior Years'!E51</f>
        <v>0</v>
      </c>
      <c r="Q30" s="137">
        <f>'Prior Years'!F51</f>
        <v>0</v>
      </c>
      <c r="R30" s="137">
        <f>'Prior Years'!G51</f>
        <v>0</v>
      </c>
    </row>
    <row r="31" spans="2:18" x14ac:dyDescent="0.25">
      <c r="B31" s="134" t="str">
        <f t="shared" si="6"/>
        <v>OG&amp;E</v>
      </c>
      <c r="C31" s="135">
        <f>'Prior Years'!D8</f>
        <v>25929</v>
      </c>
      <c r="D31" s="135">
        <f>'Prior Years'!E8</f>
        <v>21867</v>
      </c>
      <c r="E31" s="135">
        <f>'Prior Years'!F8</f>
        <v>18319</v>
      </c>
      <c r="F31" s="135">
        <f>'Prior Years'!G8</f>
        <v>33279</v>
      </c>
      <c r="G31" s="137">
        <f>'Prior Years'!D24</f>
        <v>0</v>
      </c>
      <c r="H31" s="137">
        <f>'Prior Years'!E24</f>
        <v>0</v>
      </c>
      <c r="I31" s="137">
        <f>'Prior Years'!F24</f>
        <v>0</v>
      </c>
      <c r="J31" s="137">
        <f>'Prior Years'!G24</f>
        <v>0</v>
      </c>
      <c r="K31" s="137">
        <f>'Prior Years'!D38</f>
        <v>0</v>
      </c>
      <c r="L31" s="137">
        <f>'Prior Years'!E38</f>
        <v>0</v>
      </c>
      <c r="M31" s="137">
        <f>'Prior Years'!F38</f>
        <v>0</v>
      </c>
      <c r="N31" s="137">
        <f>'Prior Years'!G38</f>
        <v>0</v>
      </c>
      <c r="O31" s="137">
        <f>'Prior Years'!D52</f>
        <v>0</v>
      </c>
      <c r="P31" s="137">
        <f>'Prior Years'!E52</f>
        <v>0</v>
      </c>
      <c r="Q31" s="137">
        <f>'Prior Years'!F52</f>
        <v>0</v>
      </c>
      <c r="R31" s="137">
        <f>'Prior Years'!G52</f>
        <v>0</v>
      </c>
    </row>
    <row r="32" spans="2:18" x14ac:dyDescent="0.25">
      <c r="B32" s="134" t="str">
        <f t="shared" si="6"/>
        <v>Empire</v>
      </c>
      <c r="C32" s="135">
        <f>'Prior Years'!D9</f>
        <v>1787</v>
      </c>
      <c r="D32" s="135">
        <f>'Prior Years'!E9</f>
        <v>1507</v>
      </c>
      <c r="E32" s="135">
        <f>'Prior Years'!F9</f>
        <v>1263</v>
      </c>
      <c r="F32" s="135">
        <f>'Prior Years'!G9</f>
        <v>2294</v>
      </c>
      <c r="G32" s="137">
        <f>'Prior Years'!D25</f>
        <v>0</v>
      </c>
      <c r="H32" s="137">
        <f>'Prior Years'!E25</f>
        <v>0</v>
      </c>
      <c r="I32" s="137">
        <f>'Prior Years'!F25</f>
        <v>0</v>
      </c>
      <c r="J32" s="137">
        <f>'Prior Years'!G25</f>
        <v>0</v>
      </c>
      <c r="K32" s="137">
        <f>'Prior Years'!D39</f>
        <v>0</v>
      </c>
      <c r="L32" s="137">
        <f>'Prior Years'!E39</f>
        <v>0</v>
      </c>
      <c r="M32" s="137">
        <f>'Prior Years'!F39</f>
        <v>0</v>
      </c>
      <c r="N32" s="137">
        <f>'Prior Years'!G39</f>
        <v>0</v>
      </c>
      <c r="O32" s="137">
        <f>'Prior Years'!D53</f>
        <v>0</v>
      </c>
      <c r="P32" s="137">
        <f>'Prior Years'!E53</f>
        <v>0</v>
      </c>
      <c r="Q32" s="137">
        <f>'Prior Years'!F53</f>
        <v>0</v>
      </c>
      <c r="R32" s="137">
        <f>'Prior Years'!G53</f>
        <v>0</v>
      </c>
    </row>
    <row r="33" spans="2:18" x14ac:dyDescent="0.25">
      <c r="B33" s="134" t="str">
        <f t="shared" si="6"/>
        <v>CenterPoint</v>
      </c>
      <c r="C33" s="135">
        <f>'Prior Years'!D13</f>
        <v>150462</v>
      </c>
      <c r="D33" s="135">
        <f>'Prior Years'!E13</f>
        <v>126889</v>
      </c>
      <c r="E33" s="135">
        <f>'Prior Years'!F11</f>
        <v>0</v>
      </c>
      <c r="F33" s="135">
        <f>'Prior Years'!G13</f>
        <v>193116</v>
      </c>
      <c r="G33" s="137">
        <f>'Prior Years'!D28</f>
        <v>0</v>
      </c>
      <c r="H33" s="137">
        <f>'Prior Years'!E28</f>
        <v>0</v>
      </c>
      <c r="I33" s="137">
        <f>'Prior Years'!F28</f>
        <v>0</v>
      </c>
      <c r="J33" s="137">
        <f>'Prior Years'!G28</f>
        <v>0</v>
      </c>
      <c r="K33" s="137">
        <f>'Prior Years'!D42</f>
        <v>0</v>
      </c>
      <c r="L33" s="137">
        <f>'Prior Years'!E42</f>
        <v>0</v>
      </c>
      <c r="M33" s="137">
        <f>'Prior Years'!F42</f>
        <v>0</v>
      </c>
      <c r="N33" s="137">
        <f>'Prior Years'!G42</f>
        <v>0</v>
      </c>
      <c r="O33" s="137">
        <f>'Prior Years'!D56</f>
        <v>0</v>
      </c>
      <c r="P33" s="137">
        <f>'Prior Years'!E56</f>
        <v>0</v>
      </c>
      <c r="Q33" s="137">
        <f>'Prior Years'!F56</f>
        <v>0</v>
      </c>
      <c r="R33" s="137">
        <f>'Prior Years'!G56</f>
        <v>0</v>
      </c>
    </row>
    <row r="34" spans="2:18" x14ac:dyDescent="0.25">
      <c r="B34" s="134" t="str">
        <f t="shared" si="6"/>
        <v>Black Hills</v>
      </c>
      <c r="C34" s="135">
        <f>'Prior Years'!D14</f>
        <v>54879</v>
      </c>
      <c r="D34" s="135">
        <f>'Prior Years'!E14</f>
        <v>46281</v>
      </c>
      <c r="E34" s="135">
        <f>'Prior Years'!F12</f>
        <v>0</v>
      </c>
      <c r="F34" s="135">
        <f>'Prior Years'!G14</f>
        <v>70436</v>
      </c>
      <c r="G34" s="137">
        <f>'Prior Years'!D29</f>
        <v>0</v>
      </c>
      <c r="H34" s="137">
        <f>'Prior Years'!E29</f>
        <v>0</v>
      </c>
      <c r="I34" s="137">
        <f>'Prior Years'!F29</f>
        <v>0</v>
      </c>
      <c r="J34" s="137">
        <f>'Prior Years'!G29</f>
        <v>0</v>
      </c>
      <c r="K34" s="137">
        <f>'Prior Years'!D43</f>
        <v>0</v>
      </c>
      <c r="L34" s="137">
        <f>'Prior Years'!E43</f>
        <v>0</v>
      </c>
      <c r="M34" s="137">
        <f>'Prior Years'!F43</f>
        <v>0</v>
      </c>
      <c r="N34" s="137">
        <f>'Prior Years'!G43</f>
        <v>0</v>
      </c>
      <c r="O34" s="137">
        <f>'Prior Years'!D57</f>
        <v>0</v>
      </c>
      <c r="P34" s="137">
        <f>'Prior Years'!E57</f>
        <v>0</v>
      </c>
      <c r="Q34" s="137">
        <f>'Prior Years'!F57</f>
        <v>0</v>
      </c>
      <c r="R34" s="137">
        <f>'Prior Years'!G57</f>
        <v>0</v>
      </c>
    </row>
    <row r="35" spans="2:18" x14ac:dyDescent="0.25">
      <c r="B35" s="134" t="str">
        <f t="shared" si="6"/>
        <v>AOG</v>
      </c>
      <c r="C35" s="135">
        <f>'Prior Years'!D15</f>
        <v>16645</v>
      </c>
      <c r="D35" s="135">
        <f>'Prior Years'!E15</f>
        <v>14037</v>
      </c>
      <c r="E35" s="135">
        <f>'Prior Years'!F13</f>
        <v>106304</v>
      </c>
      <c r="F35" s="135">
        <f>'Prior Years'!G15</f>
        <v>21363</v>
      </c>
      <c r="G35" s="137">
        <f>'Prior Years'!D30</f>
        <v>0</v>
      </c>
      <c r="H35" s="137">
        <f>'Prior Years'!E30</f>
        <v>0</v>
      </c>
      <c r="I35" s="137">
        <f>'Prior Years'!F30</f>
        <v>0</v>
      </c>
      <c r="J35" s="137">
        <f>'Prior Years'!G30</f>
        <v>0</v>
      </c>
      <c r="K35" s="137">
        <f>'Prior Years'!D44</f>
        <v>0</v>
      </c>
      <c r="L35" s="137">
        <f>'Prior Years'!E44</f>
        <v>0</v>
      </c>
      <c r="M35" s="137">
        <f>'Prior Years'!F44</f>
        <v>0</v>
      </c>
      <c r="N35" s="137">
        <f>'Prior Years'!G44</f>
        <v>0</v>
      </c>
      <c r="O35" s="137">
        <f>'Prior Years'!D58</f>
        <v>0</v>
      </c>
      <c r="P35" s="137">
        <f>'Prior Years'!E58</f>
        <v>0</v>
      </c>
      <c r="Q35" s="137">
        <f>'Prior Years'!F58</f>
        <v>0</v>
      </c>
      <c r="R35" s="137">
        <f>'Prior Years'!G58</f>
        <v>0</v>
      </c>
    </row>
  </sheetData>
  <mergeCells count="4">
    <mergeCell ref="C27:F27"/>
    <mergeCell ref="G27:J27"/>
    <mergeCell ref="K27:N27"/>
    <mergeCell ref="O27:R2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37"/>
  <sheetViews>
    <sheetView zoomScale="75" zoomScaleNormal="75" workbookViewId="0">
      <selection activeCell="C33" sqref="C33:H36"/>
    </sheetView>
  </sheetViews>
  <sheetFormatPr defaultRowHeight="12.5" x14ac:dyDescent="0.25"/>
  <cols>
    <col min="1" max="1" width="5" customWidth="1"/>
    <col min="2" max="2" width="36.453125" bestFit="1" customWidth="1"/>
    <col min="3" max="3" width="21" bestFit="1" customWidth="1"/>
    <col min="4" max="4" width="26.81640625" bestFit="1" customWidth="1"/>
    <col min="5" max="5" width="13.453125" customWidth="1"/>
    <col min="6" max="6" width="11.26953125" bestFit="1" customWidth="1"/>
    <col min="7" max="8" width="10.7265625" bestFit="1" customWidth="1"/>
    <col min="9" max="9" width="9.7265625" bestFit="1" customWidth="1"/>
    <col min="13" max="13" width="11.26953125" bestFit="1" customWidth="1"/>
    <col min="14" max="14" width="8.54296875" bestFit="1" customWidth="1"/>
    <col min="15" max="15" width="21" bestFit="1" customWidth="1"/>
  </cols>
  <sheetData>
    <row r="3" spans="2:6" ht="13" x14ac:dyDescent="0.3">
      <c r="B3" s="132" t="s">
        <v>203</v>
      </c>
      <c r="C3" s="132" t="s">
        <v>172</v>
      </c>
      <c r="D3" s="132" t="s">
        <v>173</v>
      </c>
      <c r="E3" s="138" t="s">
        <v>169</v>
      </c>
      <c r="F3" s="138" t="s">
        <v>170</v>
      </c>
    </row>
    <row r="4" spans="2:6" x14ac:dyDescent="0.25">
      <c r="B4" s="134" t="str">
        <f>Data!B4</f>
        <v xml:space="preserve">Entergy </v>
      </c>
      <c r="C4" s="134" t="str">
        <f>Data!C4</f>
        <v>All Classes</v>
      </c>
      <c r="D4" s="134" t="str">
        <f>Data!D4</f>
        <v>Behavior/Education</v>
      </c>
      <c r="E4" s="139">
        <f>Data!J4</f>
        <v>224638.8</v>
      </c>
      <c r="F4" s="139">
        <f>Data!J16</f>
        <v>186665</v>
      </c>
    </row>
    <row r="5" spans="2:6" x14ac:dyDescent="0.25">
      <c r="B5" s="134" t="str">
        <f>Data!B5</f>
        <v>SWEPCO</v>
      </c>
      <c r="C5" s="134" t="str">
        <f>Data!C5</f>
        <v>All Classes</v>
      </c>
      <c r="D5" s="134" t="str">
        <f>Data!D5</f>
        <v>Behavior/Education</v>
      </c>
      <c r="E5" s="139">
        <f>Data!J5</f>
        <v>34147.43</v>
      </c>
      <c r="F5" s="139">
        <f>Data!J17</f>
        <v>28375</v>
      </c>
    </row>
    <row r="6" spans="2:6" x14ac:dyDescent="0.25">
      <c r="B6" s="134" t="str">
        <f>Data!B6</f>
        <v>OG&amp;E</v>
      </c>
      <c r="C6" s="134" t="str">
        <f>Data!C6</f>
        <v>All Classes</v>
      </c>
      <c r="D6" s="134" t="str">
        <f>Data!D6</f>
        <v>Behavior/Education</v>
      </c>
      <c r="E6" s="139">
        <f>Data!J6</f>
        <v>18319.259999999998</v>
      </c>
      <c r="F6" s="139">
        <f>Data!J18</f>
        <v>15222</v>
      </c>
    </row>
    <row r="7" spans="2:6" x14ac:dyDescent="0.25">
      <c r="B7" s="134" t="str">
        <f>Data!B7</f>
        <v>Empire</v>
      </c>
      <c r="C7" s="134" t="str">
        <f>Data!C7</f>
        <v>All Classes</v>
      </c>
      <c r="D7" s="134" t="str">
        <f>Data!D7</f>
        <v>Behavior/Education</v>
      </c>
      <c r="E7" s="139">
        <f>Data!J7</f>
        <v>1262.52</v>
      </c>
      <c r="F7" s="139">
        <f>Data!J19</f>
        <v>1049</v>
      </c>
    </row>
    <row r="8" spans="2:6" x14ac:dyDescent="0.25">
      <c r="B8" s="134" t="str">
        <f>Data!B8</f>
        <v>CenterPoint</v>
      </c>
      <c r="C8" s="134" t="str">
        <f>Data!C8</f>
        <v>All Classes</v>
      </c>
      <c r="D8" s="134" t="str">
        <f>Data!D8</f>
        <v>Behavior/Education</v>
      </c>
      <c r="E8" s="139">
        <f>Data!J8</f>
        <v>106304.23</v>
      </c>
      <c r="F8" s="139">
        <f>Data!J20</f>
        <v>88334</v>
      </c>
    </row>
    <row r="9" spans="2:6" x14ac:dyDescent="0.25">
      <c r="B9" s="134" t="str">
        <f>Data!B9</f>
        <v>Black Hills</v>
      </c>
      <c r="C9" s="134" t="str">
        <f>Data!C9</f>
        <v>All Classes</v>
      </c>
      <c r="D9" s="134" t="str">
        <f>Data!D9</f>
        <v>Behavior/Education</v>
      </c>
      <c r="E9" s="139">
        <f>Data!J9</f>
        <v>38772.81</v>
      </c>
      <c r="F9" s="139">
        <f>Data!J21</f>
        <v>32219</v>
      </c>
    </row>
    <row r="10" spans="2:6" x14ac:dyDescent="0.25">
      <c r="B10" s="134" t="str">
        <f>Data!B10</f>
        <v>AOG</v>
      </c>
      <c r="C10" s="134" t="str">
        <f>Data!C10</f>
        <v>All Classes</v>
      </c>
      <c r="D10" s="134" t="str">
        <f>Data!D10</f>
        <v>Behavior/Education</v>
      </c>
      <c r="E10" s="139">
        <f>Data!J10</f>
        <v>11759.92</v>
      </c>
      <c r="F10" s="139">
        <f>Data!J22</f>
        <v>9772</v>
      </c>
    </row>
    <row r="12" spans="2:6" ht="13" x14ac:dyDescent="0.3">
      <c r="B12" s="132" t="s">
        <v>253</v>
      </c>
      <c r="C12" s="138" t="s">
        <v>169</v>
      </c>
      <c r="D12" s="138" t="s">
        <v>170</v>
      </c>
    </row>
    <row r="13" spans="2:6" x14ac:dyDescent="0.25">
      <c r="B13" s="134" t="str">
        <f>Data!E3</f>
        <v>Planning / Design</v>
      </c>
      <c r="C13" s="139">
        <f>Data!E11</f>
        <v>0</v>
      </c>
      <c r="D13" s="139">
        <f>Data!E23</f>
        <v>0</v>
      </c>
    </row>
    <row r="14" spans="2:6" x14ac:dyDescent="0.25">
      <c r="B14" s="134" t="str">
        <f>Data!F3</f>
        <v>Marketing &amp; Delivery</v>
      </c>
      <c r="C14" s="139">
        <f>Data!F11</f>
        <v>278368.01</v>
      </c>
      <c r="D14" s="139">
        <f>Data!F23</f>
        <v>231311</v>
      </c>
    </row>
    <row r="15" spans="2:6" x14ac:dyDescent="0.25">
      <c r="B15" s="134" t="str">
        <f>Data!G3</f>
        <v>Incentives / Direct Install Costs</v>
      </c>
      <c r="C15" s="139">
        <f>Data!G11</f>
        <v>0</v>
      </c>
      <c r="D15" s="139">
        <f>Data!G23</f>
        <v>0</v>
      </c>
    </row>
    <row r="16" spans="2:6" x14ac:dyDescent="0.25">
      <c r="B16" s="134" t="str">
        <f>Data!H3</f>
        <v>EM&amp;V</v>
      </c>
      <c r="C16" s="139">
        <f>Data!H11</f>
        <v>0</v>
      </c>
      <c r="D16" s="139">
        <f>Data!H23</f>
        <v>0</v>
      </c>
    </row>
    <row r="17" spans="2:8" x14ac:dyDescent="0.25">
      <c r="B17" s="134" t="str">
        <f>Data!I3</f>
        <v>Administration</v>
      </c>
      <c r="C17" s="139">
        <f>Data!I11</f>
        <v>0</v>
      </c>
      <c r="D17" s="139">
        <f>Data!I23</f>
        <v>0</v>
      </c>
    </row>
    <row r="18" spans="2:8" x14ac:dyDescent="0.25">
      <c r="B18" s="134" t="str">
        <f>Budgets!H19</f>
        <v>Regulatory</v>
      </c>
      <c r="C18" s="139"/>
      <c r="D18" s="139"/>
    </row>
    <row r="19" spans="2:8" x14ac:dyDescent="0.25">
      <c r="B19" s="193"/>
      <c r="C19" s="194"/>
      <c r="D19" s="194"/>
    </row>
    <row r="20" spans="2:8" ht="13" x14ac:dyDescent="0.3">
      <c r="B20" s="132" t="s">
        <v>263</v>
      </c>
      <c r="C20" s="138" t="s">
        <v>169</v>
      </c>
      <c r="D20" s="138" t="s">
        <v>170</v>
      </c>
    </row>
    <row r="21" spans="2:8" x14ac:dyDescent="0.25">
      <c r="B21" s="134" t="str">
        <f t="shared" ref="B21:B26" si="0">B13</f>
        <v>Planning / Design</v>
      </c>
      <c r="C21" s="139">
        <f>Data!E12</f>
        <v>0</v>
      </c>
      <c r="D21" s="139">
        <f>Data!E24</f>
        <v>0</v>
      </c>
    </row>
    <row r="22" spans="2:8" x14ac:dyDescent="0.25">
      <c r="B22" s="134" t="str">
        <f t="shared" si="0"/>
        <v>Marketing &amp; Delivery</v>
      </c>
      <c r="C22" s="139">
        <f>Data!F12</f>
        <v>156836.96</v>
      </c>
      <c r="D22" s="139">
        <f>Data!F24</f>
        <v>130325</v>
      </c>
    </row>
    <row r="23" spans="2:8" x14ac:dyDescent="0.25">
      <c r="B23" s="134" t="str">
        <f t="shared" si="0"/>
        <v>Incentives / Direct Install Costs</v>
      </c>
      <c r="C23" s="139">
        <f>Data!G12</f>
        <v>0</v>
      </c>
      <c r="D23" s="139">
        <f>Data!G24</f>
        <v>0</v>
      </c>
    </row>
    <row r="24" spans="2:8" x14ac:dyDescent="0.25">
      <c r="B24" s="134" t="str">
        <f t="shared" si="0"/>
        <v>EM&amp;V</v>
      </c>
      <c r="C24" s="139">
        <f>Data!G13</f>
        <v>0</v>
      </c>
      <c r="D24" s="139">
        <f>Data!H24</f>
        <v>0</v>
      </c>
    </row>
    <row r="25" spans="2:8" x14ac:dyDescent="0.25">
      <c r="B25" s="134" t="str">
        <f t="shared" si="0"/>
        <v>Administration</v>
      </c>
      <c r="C25" s="139">
        <f>Data!G14</f>
        <v>0</v>
      </c>
      <c r="D25" s="139">
        <f>Data!I24</f>
        <v>0</v>
      </c>
    </row>
    <row r="26" spans="2:8" x14ac:dyDescent="0.25">
      <c r="B26" s="134" t="str">
        <f t="shared" si="0"/>
        <v>Regulatory</v>
      </c>
      <c r="C26" s="139"/>
      <c r="D26" s="139"/>
    </row>
    <row r="27" spans="2:8" x14ac:dyDescent="0.25">
      <c r="B27" s="193"/>
      <c r="C27" s="194"/>
      <c r="D27" s="194"/>
    </row>
    <row r="28" spans="2:8" x14ac:dyDescent="0.25">
      <c r="B28" s="193"/>
      <c r="C28" s="194"/>
      <c r="D28" s="194"/>
    </row>
    <row r="29" spans="2:8" x14ac:dyDescent="0.25">
      <c r="B29" s="47"/>
      <c r="C29" s="251" t="s">
        <v>169</v>
      </c>
      <c r="D29" s="251" t="s">
        <v>170</v>
      </c>
      <c r="E29" s="1" t="s">
        <v>175</v>
      </c>
      <c r="F29" s="1" t="s">
        <v>176</v>
      </c>
      <c r="G29" s="1" t="s">
        <v>175</v>
      </c>
      <c r="H29" s="1" t="s">
        <v>170</v>
      </c>
    </row>
    <row r="30" spans="2:8" x14ac:dyDescent="0.25">
      <c r="B30" s="134" t="str">
        <f>B4</f>
        <v xml:space="preserve">Entergy </v>
      </c>
      <c r="C30" s="139">
        <f>Data!J4</f>
        <v>224638.8</v>
      </c>
      <c r="D30" s="139">
        <f>Data!J16</f>
        <v>186665</v>
      </c>
      <c r="E30" s="137">
        <f>Data!L4</f>
        <v>0</v>
      </c>
      <c r="F30" s="137">
        <f>Data!L16</f>
        <v>0</v>
      </c>
      <c r="G30" s="137">
        <f>Data!M4</f>
        <v>0</v>
      </c>
      <c r="H30" s="137">
        <f>Data!M16</f>
        <v>0</v>
      </c>
    </row>
    <row r="31" spans="2:8" x14ac:dyDescent="0.25">
      <c r="B31" s="134" t="str">
        <f t="shared" ref="B31:B36" si="1">B5</f>
        <v>SWEPCO</v>
      </c>
      <c r="C31" s="139">
        <f>Data!J5</f>
        <v>34147.43</v>
      </c>
      <c r="D31" s="139">
        <f>Data!J17</f>
        <v>28375</v>
      </c>
      <c r="E31" s="137">
        <f>Data!L5</f>
        <v>0</v>
      </c>
      <c r="F31" s="137">
        <f>Data!L17</f>
        <v>0</v>
      </c>
      <c r="G31" s="137">
        <f>Data!M5</f>
        <v>0</v>
      </c>
      <c r="H31" s="137">
        <f>Data!M17</f>
        <v>0</v>
      </c>
    </row>
    <row r="32" spans="2:8" x14ac:dyDescent="0.25">
      <c r="B32" s="134" t="str">
        <f t="shared" si="1"/>
        <v>OG&amp;E</v>
      </c>
      <c r="C32" s="139">
        <f>Data!J6</f>
        <v>18319.259999999998</v>
      </c>
      <c r="D32" s="139">
        <f>Data!J18</f>
        <v>15222</v>
      </c>
      <c r="E32" s="137">
        <f>Data!L6</f>
        <v>0</v>
      </c>
      <c r="F32" s="137">
        <f>Data!L18</f>
        <v>0</v>
      </c>
      <c r="G32" s="137">
        <f>Data!M6</f>
        <v>0</v>
      </c>
      <c r="H32" s="137">
        <f>Data!M18</f>
        <v>0</v>
      </c>
    </row>
    <row r="33" spans="2:8" x14ac:dyDescent="0.25">
      <c r="B33" s="134" t="str">
        <f t="shared" si="1"/>
        <v>Empire</v>
      </c>
      <c r="C33" s="139">
        <f>Data!J7</f>
        <v>1262.52</v>
      </c>
      <c r="D33" s="139">
        <f>Data!J19</f>
        <v>1049</v>
      </c>
      <c r="E33" s="137">
        <f>Data!L7</f>
        <v>0</v>
      </c>
      <c r="F33" s="137">
        <f>Data!L19</f>
        <v>0</v>
      </c>
      <c r="G33" s="137">
        <f>Data!M7</f>
        <v>0</v>
      </c>
      <c r="H33" s="137">
        <f>Data!M19</f>
        <v>0</v>
      </c>
    </row>
    <row r="34" spans="2:8" x14ac:dyDescent="0.25">
      <c r="B34" s="134" t="str">
        <f t="shared" si="1"/>
        <v>CenterPoint</v>
      </c>
      <c r="C34" s="139">
        <f>Data!J8</f>
        <v>106304.23</v>
      </c>
      <c r="D34" s="139">
        <f>Data!J20</f>
        <v>88334</v>
      </c>
      <c r="E34" s="137">
        <f>Data!L8</f>
        <v>0</v>
      </c>
      <c r="F34" s="137">
        <f>Data!L20</f>
        <v>0</v>
      </c>
      <c r="G34" s="137">
        <f>Data!M8</f>
        <v>0</v>
      </c>
      <c r="H34" s="137">
        <f>Data!M20</f>
        <v>0</v>
      </c>
    </row>
    <row r="35" spans="2:8" x14ac:dyDescent="0.25">
      <c r="B35" s="134" t="str">
        <f t="shared" si="1"/>
        <v>Black Hills</v>
      </c>
      <c r="C35" s="139">
        <f>Data!J9</f>
        <v>38772.81</v>
      </c>
      <c r="D35" s="139">
        <f>Data!J21</f>
        <v>32219</v>
      </c>
      <c r="E35" s="137">
        <f>Data!L9</f>
        <v>0</v>
      </c>
      <c r="F35" s="137">
        <f>Data!L21</f>
        <v>0</v>
      </c>
      <c r="G35" s="137">
        <f>Data!M9</f>
        <v>0</v>
      </c>
      <c r="H35" s="137">
        <f>Data!M21</f>
        <v>0</v>
      </c>
    </row>
    <row r="36" spans="2:8" x14ac:dyDescent="0.25">
      <c r="B36" s="134" t="str">
        <f t="shared" si="1"/>
        <v>AOG</v>
      </c>
      <c r="C36" s="139">
        <f>Data!J10</f>
        <v>11759.92</v>
      </c>
      <c r="D36" s="139">
        <f>Data!J22</f>
        <v>9772</v>
      </c>
      <c r="E36" s="137">
        <f>Data!L10</f>
        <v>0</v>
      </c>
      <c r="F36" s="137">
        <f>Data!L22</f>
        <v>0</v>
      </c>
      <c r="G36" s="137">
        <f>Data!M10</f>
        <v>0</v>
      </c>
      <c r="H36" s="137">
        <f>Data!M22</f>
        <v>0</v>
      </c>
    </row>
    <row r="37" spans="2:8" x14ac:dyDescent="0.25">
      <c r="B37" s="193"/>
      <c r="C37" s="194"/>
      <c r="D37" s="194"/>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pane ySplit="1" topLeftCell="A2" activePane="bottomLeft" state="frozen"/>
      <selection pane="bottomLeft"/>
    </sheetView>
  </sheetViews>
  <sheetFormatPr defaultColWidth="9.1796875" defaultRowHeight="13" x14ac:dyDescent="0.3"/>
  <cols>
    <col min="1" max="1" width="1" style="2" customWidth="1"/>
    <col min="2" max="2" width="25.7265625" style="2" customWidth="1"/>
    <col min="3" max="3" width="22" style="2" customWidth="1"/>
    <col min="4" max="4" width="26.26953125" style="2" customWidth="1"/>
    <col min="5" max="5" width="0.7265625" style="2" customWidth="1"/>
    <col min="6" max="7" width="12.7265625" style="2" customWidth="1"/>
    <col min="8" max="8" width="0.54296875" style="2" customWidth="1"/>
    <col min="9" max="9" width="11" style="2" customWidth="1"/>
    <col min="10" max="10" width="1.26953125" style="2" customWidth="1"/>
    <col min="11" max="16384" width="9.1796875" style="2"/>
  </cols>
  <sheetData>
    <row r="1" spans="1:10" ht="38.25" customHeight="1" x14ac:dyDescent="0.3"/>
    <row r="2" spans="1:10" ht="4.5" customHeight="1" thickBot="1" x14ac:dyDescent="0.35"/>
    <row r="3" spans="1:10" ht="23.5" thickBot="1" x14ac:dyDescent="0.55000000000000004">
      <c r="B3" s="286" t="s">
        <v>264</v>
      </c>
      <c r="C3" s="287"/>
      <c r="D3" s="287"/>
      <c r="E3" s="287"/>
      <c r="F3" s="287"/>
      <c r="G3" s="287"/>
      <c r="H3" s="287"/>
      <c r="I3" s="288"/>
    </row>
    <row r="4" spans="1:10" ht="4.5" customHeight="1" thickBot="1" x14ac:dyDescent="0.35"/>
    <row r="5" spans="1:10" ht="13.5" thickBot="1" x14ac:dyDescent="0.35">
      <c r="A5" s="1"/>
      <c r="B5" s="111"/>
      <c r="C5" s="111"/>
      <c r="D5" s="111"/>
      <c r="E5" s="1"/>
      <c r="F5" s="281">
        <f>Titles!F2</f>
        <v>2016</v>
      </c>
      <c r="G5" s="282"/>
      <c r="H5" s="1"/>
      <c r="I5" s="283" t="s">
        <v>171</v>
      </c>
      <c r="J5" s="1"/>
    </row>
    <row r="6" spans="1:10" ht="11.25" customHeight="1" x14ac:dyDescent="0.3">
      <c r="A6" s="1"/>
      <c r="B6" s="112"/>
      <c r="C6" s="112"/>
      <c r="D6" s="112"/>
      <c r="E6" s="1"/>
      <c r="F6" s="114" t="s">
        <v>169</v>
      </c>
      <c r="G6" s="115" t="s">
        <v>170</v>
      </c>
      <c r="H6" s="1"/>
      <c r="I6" s="284"/>
      <c r="J6" s="1"/>
    </row>
    <row r="7" spans="1:10" ht="11.25" customHeight="1" thickBot="1" x14ac:dyDescent="0.35">
      <c r="A7" s="1"/>
      <c r="B7" s="113" t="s">
        <v>242</v>
      </c>
      <c r="C7" s="113" t="s">
        <v>68</v>
      </c>
      <c r="D7" s="113" t="s">
        <v>1</v>
      </c>
      <c r="E7" s="1"/>
      <c r="F7" s="116" t="s">
        <v>168</v>
      </c>
      <c r="G7" s="117" t="s">
        <v>168</v>
      </c>
      <c r="H7" s="1"/>
      <c r="I7" s="285"/>
      <c r="J7" s="1"/>
    </row>
    <row r="8" spans="1:10" ht="12.75" customHeight="1" x14ac:dyDescent="0.3">
      <c r="A8" s="1"/>
      <c r="B8" s="125" t="str">
        <f>Tables!B4</f>
        <v xml:space="preserve">Entergy </v>
      </c>
      <c r="C8" s="110" t="str">
        <f>Tables!C4</f>
        <v>All Classes</v>
      </c>
      <c r="D8" s="110" t="str">
        <f>Tables!D4</f>
        <v>Behavior/Education</v>
      </c>
      <c r="E8" s="1"/>
      <c r="F8" s="119">
        <f>Tables!E4</f>
        <v>224638.8</v>
      </c>
      <c r="G8" s="120">
        <f>Tables!F4</f>
        <v>186665</v>
      </c>
      <c r="H8" s="1"/>
      <c r="I8" s="123">
        <f t="shared" ref="I8:I13" si="0">IF(ISERROR(G8/F8),"-",(G8/F8))</f>
        <v>0.83095618388274872</v>
      </c>
      <c r="J8" s="1"/>
    </row>
    <row r="9" spans="1:10" ht="12.75" customHeight="1" x14ac:dyDescent="0.3">
      <c r="A9" s="1"/>
      <c r="B9" s="125" t="str">
        <f>Tables!B5</f>
        <v>SWEPCO</v>
      </c>
      <c r="C9" s="110" t="str">
        <f>Tables!C5</f>
        <v>All Classes</v>
      </c>
      <c r="D9" s="110" t="str">
        <f>Tables!D5</f>
        <v>Behavior/Education</v>
      </c>
      <c r="E9" s="1"/>
      <c r="F9" s="121">
        <f>Tables!E5</f>
        <v>34147.43</v>
      </c>
      <c r="G9" s="122">
        <f>Tables!F5</f>
        <v>28375</v>
      </c>
      <c r="H9" s="1"/>
      <c r="I9" s="124">
        <f t="shared" si="0"/>
        <v>0.83095565317799902</v>
      </c>
      <c r="J9" s="1"/>
    </row>
    <row r="10" spans="1:10" ht="12.75" customHeight="1" x14ac:dyDescent="0.3">
      <c r="A10" s="1"/>
      <c r="B10" s="125" t="str">
        <f>Tables!B6</f>
        <v>OG&amp;E</v>
      </c>
      <c r="C10" s="110" t="str">
        <f>Tables!C6</f>
        <v>All Classes</v>
      </c>
      <c r="D10" s="110" t="str">
        <f>Tables!D6</f>
        <v>Behavior/Education</v>
      </c>
      <c r="E10" s="1"/>
      <c r="F10" s="121">
        <f>Tables!E6</f>
        <v>18319.259999999998</v>
      </c>
      <c r="G10" s="122">
        <f>Tables!F6</f>
        <v>15222</v>
      </c>
      <c r="H10" s="1"/>
      <c r="I10" s="124">
        <f t="shared" si="0"/>
        <v>0.83092876022284745</v>
      </c>
      <c r="J10" s="1"/>
    </row>
    <row r="11" spans="1:10" ht="12.75" customHeight="1" x14ac:dyDescent="0.3">
      <c r="A11" s="1"/>
      <c r="B11" s="125" t="str">
        <f>Tables!B7</f>
        <v>Empire</v>
      </c>
      <c r="C11" s="110" t="str">
        <f>Tables!C7</f>
        <v>All Classes</v>
      </c>
      <c r="D11" s="110" t="str">
        <f>Tables!D7</f>
        <v>Behavior/Education</v>
      </c>
      <c r="E11" s="1"/>
      <c r="F11" s="121">
        <f>Tables!E7</f>
        <v>1262.52</v>
      </c>
      <c r="G11" s="122">
        <f>Tables!F7</f>
        <v>1049</v>
      </c>
      <c r="H11" s="1"/>
      <c r="I11" s="124">
        <f t="shared" si="0"/>
        <v>0.83087792668630989</v>
      </c>
      <c r="J11" s="1"/>
    </row>
    <row r="12" spans="1:10" ht="12.75" customHeight="1" thickBot="1" x14ac:dyDescent="0.35">
      <c r="A12" s="1"/>
      <c r="B12" s="128" t="s">
        <v>33</v>
      </c>
      <c r="C12" s="129"/>
      <c r="D12" s="129"/>
      <c r="E12" s="1"/>
      <c r="F12" s="121">
        <f>Budgets!I11</f>
        <v>0</v>
      </c>
      <c r="G12" s="122">
        <f>'Actual Expenses'!I27</f>
        <v>0</v>
      </c>
      <c r="H12" s="1"/>
      <c r="I12" s="124" t="str">
        <f t="shared" si="0"/>
        <v>-</v>
      </c>
      <c r="J12" s="1"/>
    </row>
    <row r="13" spans="1:10" ht="12.75" customHeight="1" thickBot="1" x14ac:dyDescent="0.35">
      <c r="A13" s="1"/>
      <c r="B13" s="126"/>
      <c r="C13" s="126"/>
      <c r="D13" s="127" t="s">
        <v>4</v>
      </c>
      <c r="E13" s="1"/>
      <c r="F13" s="118">
        <f>SUM(F8:F12)</f>
        <v>278368.01</v>
      </c>
      <c r="G13" s="140">
        <f>SUM(G8:G12)</f>
        <v>231311</v>
      </c>
      <c r="H13" s="1"/>
      <c r="I13" s="141">
        <f t="shared" si="0"/>
        <v>0.83095395911333347</v>
      </c>
      <c r="J13" s="1"/>
    </row>
    <row r="14" spans="1:10" x14ac:dyDescent="0.3">
      <c r="A14" s="1"/>
      <c r="B14" s="1"/>
      <c r="C14" s="1"/>
      <c r="D14" s="1"/>
      <c r="E14" s="1"/>
      <c r="F14" s="1"/>
      <c r="G14" s="1"/>
      <c r="H14" s="1"/>
      <c r="I14" s="1"/>
      <c r="J14" s="1"/>
    </row>
    <row r="15" spans="1:10" x14ac:dyDescent="0.3">
      <c r="B15" s="1"/>
      <c r="C15" s="1"/>
      <c r="D15" s="1"/>
      <c r="E15" s="1"/>
      <c r="F15" s="1"/>
      <c r="G15" s="1"/>
      <c r="H15" s="1"/>
      <c r="I15" s="1"/>
      <c r="J15" s="1"/>
    </row>
    <row r="16" spans="1:10" x14ac:dyDescent="0.3">
      <c r="B16" s="1"/>
      <c r="C16" s="1"/>
      <c r="D16" s="1"/>
      <c r="E16" s="1"/>
      <c r="F16" s="1"/>
      <c r="G16" s="1"/>
      <c r="H16" s="1"/>
      <c r="I16" s="1"/>
      <c r="J16" s="1"/>
    </row>
    <row r="17" spans="2:10" x14ac:dyDescent="0.3">
      <c r="B17" s="1"/>
      <c r="C17" s="1"/>
      <c r="D17" s="1"/>
      <c r="E17" s="1"/>
      <c r="F17" s="1"/>
      <c r="G17" s="1"/>
      <c r="H17" s="1"/>
      <c r="I17" s="1"/>
      <c r="J17" s="1"/>
    </row>
    <row r="18" spans="2:10" x14ac:dyDescent="0.3">
      <c r="B18" s="1"/>
      <c r="C18" s="1"/>
      <c r="D18" s="1"/>
      <c r="E18" s="1"/>
      <c r="F18" s="1"/>
      <c r="G18" s="1"/>
      <c r="H18" s="1"/>
      <c r="I18" s="1"/>
      <c r="J18" s="1"/>
    </row>
    <row r="19" spans="2:10" x14ac:dyDescent="0.3">
      <c r="B19" s="1"/>
      <c r="C19" s="1"/>
      <c r="D19" s="1"/>
      <c r="E19" s="1"/>
      <c r="F19" s="1"/>
      <c r="G19" s="1"/>
      <c r="H19" s="1"/>
      <c r="I19" s="1"/>
      <c r="J19" s="1"/>
    </row>
    <row r="20" spans="2:10" x14ac:dyDescent="0.3">
      <c r="B20" s="1"/>
      <c r="C20" s="1"/>
      <c r="D20" s="1"/>
      <c r="E20" s="1"/>
      <c r="F20" s="1"/>
      <c r="G20" s="1"/>
      <c r="H20" s="1"/>
      <c r="I20" s="1"/>
      <c r="J20" s="1"/>
    </row>
    <row r="21" spans="2:10" x14ac:dyDescent="0.3">
      <c r="B21" s="1"/>
      <c r="C21" s="1"/>
      <c r="D21" s="1"/>
      <c r="E21" s="1"/>
      <c r="F21" s="1"/>
      <c r="G21" s="1"/>
      <c r="H21" s="1"/>
      <c r="I21" s="1"/>
      <c r="J21" s="1"/>
    </row>
    <row r="22" spans="2:10" x14ac:dyDescent="0.3">
      <c r="B22" s="1"/>
      <c r="C22" s="1"/>
      <c r="D22" s="1"/>
      <c r="E22" s="1"/>
      <c r="F22" s="1"/>
      <c r="G22" s="1"/>
      <c r="H22" s="1"/>
      <c r="I22" s="1"/>
      <c r="J22" s="1"/>
    </row>
    <row r="23" spans="2:10" x14ac:dyDescent="0.3">
      <c r="B23" s="1"/>
      <c r="C23" s="1"/>
      <c r="D23" s="1"/>
      <c r="E23" s="1"/>
      <c r="F23" s="1"/>
      <c r="G23" s="1"/>
      <c r="H23" s="1"/>
      <c r="I23" s="1"/>
      <c r="J23" s="1"/>
    </row>
  </sheetData>
  <sheetProtection formatColumns="0" formatRows="0"/>
  <mergeCells count="3">
    <mergeCell ref="F5:G5"/>
    <mergeCell ref="I5:I7"/>
    <mergeCell ref="B3:I3"/>
  </mergeCells>
  <pageMargins left="0.5" right="0.5" top="0.75" bottom="0.75" header="0.3" footer="0.3"/>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pane ySplit="1" topLeftCell="A2" activePane="bottomLeft" state="frozen"/>
      <selection pane="bottomLeft"/>
    </sheetView>
  </sheetViews>
  <sheetFormatPr defaultColWidth="9.1796875" defaultRowHeight="13" x14ac:dyDescent="0.3"/>
  <cols>
    <col min="1" max="1" width="1" style="2" customWidth="1"/>
    <col min="2" max="2" width="25.7265625" style="2" customWidth="1"/>
    <col min="3" max="3" width="22" style="2" customWidth="1"/>
    <col min="4" max="4" width="26.26953125" style="2" customWidth="1"/>
    <col min="5" max="5" width="0.7265625" style="2" customWidth="1"/>
    <col min="6" max="7" width="12.7265625" style="2" customWidth="1"/>
    <col min="8" max="8" width="0.54296875" style="2" customWidth="1"/>
    <col min="9" max="9" width="11" style="2" customWidth="1"/>
    <col min="10" max="10" width="1.26953125" style="2" customWidth="1"/>
    <col min="11" max="16384" width="9.1796875" style="2"/>
  </cols>
  <sheetData>
    <row r="1" spans="1:10" ht="38.25" customHeight="1" x14ac:dyDescent="0.3"/>
    <row r="2" spans="1:10" ht="4.5" customHeight="1" thickBot="1" x14ac:dyDescent="0.35"/>
    <row r="3" spans="1:10" ht="23.5" thickBot="1" x14ac:dyDescent="0.55000000000000004">
      <c r="B3" s="286" t="s">
        <v>265</v>
      </c>
      <c r="C3" s="287"/>
      <c r="D3" s="287"/>
      <c r="E3" s="287"/>
      <c r="F3" s="287"/>
      <c r="G3" s="287"/>
      <c r="H3" s="287"/>
      <c r="I3" s="288"/>
    </row>
    <row r="4" spans="1:10" ht="4.5" customHeight="1" thickBot="1" x14ac:dyDescent="0.35"/>
    <row r="5" spans="1:10" ht="13.5" thickBot="1" x14ac:dyDescent="0.35">
      <c r="A5" s="1"/>
      <c r="B5" s="111"/>
      <c r="C5" s="111"/>
      <c r="D5" s="111"/>
      <c r="E5" s="1"/>
      <c r="F5" s="281">
        <f>Titles!F2</f>
        <v>2016</v>
      </c>
      <c r="G5" s="282"/>
      <c r="H5" s="1"/>
      <c r="I5" s="283" t="s">
        <v>171</v>
      </c>
      <c r="J5" s="1"/>
    </row>
    <row r="6" spans="1:10" ht="11.25" customHeight="1" x14ac:dyDescent="0.3">
      <c r="A6" s="1"/>
      <c r="B6" s="112"/>
      <c r="C6" s="112"/>
      <c r="D6" s="112"/>
      <c r="E6" s="1"/>
      <c r="F6" s="114" t="s">
        <v>169</v>
      </c>
      <c r="G6" s="115" t="s">
        <v>170</v>
      </c>
      <c r="H6" s="1"/>
      <c r="I6" s="284"/>
      <c r="J6" s="1"/>
    </row>
    <row r="7" spans="1:10" ht="11.25" customHeight="1" thickBot="1" x14ac:dyDescent="0.35">
      <c r="A7" s="1"/>
      <c r="B7" s="113" t="s">
        <v>248</v>
      </c>
      <c r="C7" s="113" t="s">
        <v>68</v>
      </c>
      <c r="D7" s="113" t="s">
        <v>1</v>
      </c>
      <c r="E7" s="1"/>
      <c r="F7" s="116" t="s">
        <v>168</v>
      </c>
      <c r="G7" s="117" t="s">
        <v>168</v>
      </c>
      <c r="H7" s="1"/>
      <c r="I7" s="285"/>
      <c r="J7" s="1"/>
    </row>
    <row r="8" spans="1:10" ht="12.75" customHeight="1" x14ac:dyDescent="0.3">
      <c r="A8" s="1"/>
      <c r="B8" s="125" t="str">
        <f>Tables!B8</f>
        <v>CenterPoint</v>
      </c>
      <c r="C8" s="110" t="str">
        <f>Tables!C8</f>
        <v>All Classes</v>
      </c>
      <c r="D8" s="110" t="str">
        <f>Tables!D8</f>
        <v>Behavior/Education</v>
      </c>
      <c r="E8" s="1"/>
      <c r="F8" s="119">
        <f>Tables!E8</f>
        <v>106304.23</v>
      </c>
      <c r="G8" s="120">
        <f>Tables!F8</f>
        <v>88334</v>
      </c>
      <c r="H8" s="1"/>
      <c r="I8" s="123">
        <f>IF(ISERROR(G8/F8),"-",(G8/F8))</f>
        <v>0.83095470424836348</v>
      </c>
      <c r="J8" s="1"/>
    </row>
    <row r="9" spans="1:10" ht="12.75" customHeight="1" x14ac:dyDescent="0.3">
      <c r="A9" s="1"/>
      <c r="B9" s="125" t="str">
        <f>Tables!B9</f>
        <v>Black Hills</v>
      </c>
      <c r="C9" s="110" t="str">
        <f>Tables!C9</f>
        <v>All Classes</v>
      </c>
      <c r="D9" s="110" t="str">
        <f>Tables!D9</f>
        <v>Behavior/Education</v>
      </c>
      <c r="E9" s="1"/>
      <c r="F9" s="121">
        <f>Tables!E9</f>
        <v>38772.81</v>
      </c>
      <c r="G9" s="122">
        <f>Tables!F9</f>
        <v>32219</v>
      </c>
      <c r="H9" s="1"/>
      <c r="I9" s="124">
        <f>IF(ISERROR(G9/F9),"-",(G9/F9))</f>
        <v>0.83096891868296374</v>
      </c>
      <c r="J9" s="1"/>
    </row>
    <row r="10" spans="1:10" ht="12.75" customHeight="1" x14ac:dyDescent="0.3">
      <c r="A10" s="1"/>
      <c r="B10" s="125" t="str">
        <f>Tables!B10</f>
        <v>AOG</v>
      </c>
      <c r="C10" s="110" t="str">
        <f>Tables!C10</f>
        <v>All Classes</v>
      </c>
      <c r="D10" s="110" t="str">
        <f>Tables!D10</f>
        <v>Behavior/Education</v>
      </c>
      <c r="E10" s="1"/>
      <c r="F10" s="121">
        <f>Tables!E10</f>
        <v>11759.92</v>
      </c>
      <c r="G10" s="122">
        <f>Tables!F10</f>
        <v>9772</v>
      </c>
      <c r="H10" s="1"/>
      <c r="I10" s="124">
        <f>IF(ISERROR(G10/F10),"-",(G10/F10))</f>
        <v>0.8309580337281206</v>
      </c>
      <c r="J10" s="1"/>
    </row>
    <row r="11" spans="1:10" ht="12.75" customHeight="1" thickBot="1" x14ac:dyDescent="0.35">
      <c r="A11" s="1"/>
      <c r="B11" s="128" t="s">
        <v>33</v>
      </c>
      <c r="C11" s="129"/>
      <c r="D11" s="129"/>
      <c r="E11" s="1"/>
      <c r="F11" s="121">
        <f>Budgets!I19</f>
        <v>0</v>
      </c>
      <c r="G11" s="122">
        <f>'Actual Expenses'!I48</f>
        <v>0</v>
      </c>
      <c r="H11" s="1"/>
      <c r="I11" s="124" t="str">
        <f>IF(ISERROR(G11/F11),"-",(G11/F11))</f>
        <v>-</v>
      </c>
      <c r="J11" s="1"/>
    </row>
    <row r="12" spans="1:10" ht="12.75" customHeight="1" thickBot="1" x14ac:dyDescent="0.35">
      <c r="A12" s="1"/>
      <c r="B12" s="126"/>
      <c r="C12" s="126"/>
      <c r="D12" s="127" t="s">
        <v>4</v>
      </c>
      <c r="E12" s="1"/>
      <c r="F12" s="118">
        <f>SUM(F8:F11)</f>
        <v>156836.96</v>
      </c>
      <c r="G12" s="140">
        <f>SUM(G8:G11)</f>
        <v>130325</v>
      </c>
      <c r="H12" s="1"/>
      <c r="I12" s="141">
        <f>IF(ISERROR(G12/F12),"-",(G12/F12))</f>
        <v>0.83095846795296213</v>
      </c>
      <c r="J12" s="1"/>
    </row>
    <row r="13" spans="1:10" x14ac:dyDescent="0.3">
      <c r="A13" s="1"/>
      <c r="B13" s="1"/>
      <c r="C13" s="1"/>
      <c r="D13" s="1"/>
      <c r="E13" s="1"/>
      <c r="F13" s="1"/>
      <c r="G13" s="1"/>
      <c r="H13" s="1"/>
      <c r="I13" s="1"/>
      <c r="J13" s="1"/>
    </row>
    <row r="14" spans="1:10" x14ac:dyDescent="0.3">
      <c r="B14" s="1"/>
      <c r="C14" s="1"/>
      <c r="D14" s="1"/>
      <c r="E14" s="1"/>
      <c r="F14" s="1"/>
      <c r="G14" s="1"/>
      <c r="H14" s="1"/>
      <c r="I14" s="1"/>
      <c r="J14" s="1"/>
    </row>
    <row r="15" spans="1:10" x14ac:dyDescent="0.3">
      <c r="B15" s="1"/>
      <c r="C15" s="1"/>
      <c r="D15" s="1"/>
      <c r="E15" s="1"/>
      <c r="F15" s="1"/>
      <c r="G15" s="1"/>
      <c r="H15" s="1"/>
      <c r="I15" s="1"/>
      <c r="J15" s="1"/>
    </row>
    <row r="16" spans="1:10" x14ac:dyDescent="0.3">
      <c r="B16" s="1"/>
      <c r="C16" s="1"/>
      <c r="D16" s="1"/>
      <c r="E16" s="1"/>
      <c r="F16" s="1"/>
      <c r="G16" s="1"/>
      <c r="H16" s="1"/>
      <c r="I16" s="1"/>
      <c r="J16" s="1"/>
    </row>
    <row r="17" spans="2:10" x14ac:dyDescent="0.3">
      <c r="B17" s="1"/>
      <c r="C17" s="1"/>
      <c r="D17" s="1"/>
      <c r="E17" s="1"/>
      <c r="F17" s="1"/>
      <c r="G17" s="1"/>
      <c r="H17" s="1"/>
      <c r="I17" s="1"/>
      <c r="J17" s="1"/>
    </row>
    <row r="18" spans="2:10" x14ac:dyDescent="0.3">
      <c r="B18" s="1"/>
      <c r="C18" s="1"/>
      <c r="D18" s="1"/>
      <c r="E18" s="1"/>
      <c r="F18" s="1"/>
      <c r="G18" s="1"/>
      <c r="H18" s="1"/>
      <c r="I18" s="1"/>
      <c r="J18" s="1"/>
    </row>
    <row r="19" spans="2:10" x14ac:dyDescent="0.3">
      <c r="B19" s="1"/>
      <c r="C19" s="1"/>
      <c r="D19" s="1"/>
      <c r="E19" s="1"/>
      <c r="F19" s="1"/>
      <c r="G19" s="1"/>
      <c r="H19" s="1"/>
      <c r="I19" s="1"/>
      <c r="J19" s="1"/>
    </row>
    <row r="20" spans="2:10" x14ac:dyDescent="0.3">
      <c r="B20" s="1"/>
      <c r="C20" s="1"/>
      <c r="D20" s="1"/>
      <c r="E20" s="1"/>
      <c r="F20" s="1"/>
      <c r="G20" s="1"/>
      <c r="H20" s="1"/>
      <c r="I20" s="1"/>
      <c r="J20" s="1"/>
    </row>
    <row r="21" spans="2:10" x14ac:dyDescent="0.3">
      <c r="B21" s="1"/>
      <c r="C21" s="1"/>
      <c r="D21" s="1"/>
      <c r="E21" s="1"/>
      <c r="F21" s="1"/>
      <c r="G21" s="1"/>
      <c r="H21" s="1"/>
      <c r="I21" s="1"/>
      <c r="J21" s="1"/>
    </row>
    <row r="22" spans="2:10" x14ac:dyDescent="0.3">
      <c r="B22" s="1"/>
      <c r="C22" s="1"/>
      <c r="D22" s="1"/>
      <c r="E22" s="1"/>
      <c r="F22" s="1"/>
      <c r="G22" s="1"/>
      <c r="H22" s="1"/>
      <c r="I22" s="1"/>
      <c r="J22" s="1"/>
    </row>
  </sheetData>
  <sheetProtection formatColumns="0" formatRows="0"/>
  <mergeCells count="3">
    <mergeCell ref="B3:I3"/>
    <mergeCell ref="F5:G5"/>
    <mergeCell ref="I5:I7"/>
  </mergeCells>
  <pageMargins left="0.5" right="0.5" top="0.75" bottom="0.75" header="0.3" footer="0.3"/>
  <pageSetup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pane ySplit="1" topLeftCell="A2" activePane="bottomLeft" state="frozen"/>
      <selection pane="bottomLeft"/>
    </sheetView>
  </sheetViews>
  <sheetFormatPr defaultColWidth="9.1796875" defaultRowHeight="13" x14ac:dyDescent="0.3"/>
  <cols>
    <col min="1" max="1" width="1" style="2" customWidth="1"/>
    <col min="2" max="2" width="37.7265625" style="2" customWidth="1"/>
    <col min="3" max="3" width="1.1796875" style="2" customWidth="1"/>
    <col min="4" max="4" width="8.7265625" style="2" customWidth="1"/>
    <col min="5" max="6" width="12.7265625" style="2" customWidth="1"/>
    <col min="7" max="7" width="8.7265625" style="2" customWidth="1"/>
    <col min="8" max="8" width="1.26953125" style="2" customWidth="1"/>
    <col min="9" max="16384" width="9.1796875" style="2"/>
  </cols>
  <sheetData>
    <row r="1" spans="1:8" ht="38.25" customHeight="1" x14ac:dyDescent="0.3"/>
    <row r="2" spans="1:8" ht="4.5" customHeight="1" thickBot="1" x14ac:dyDescent="0.35"/>
    <row r="3" spans="1:8" ht="23.5" thickBot="1" x14ac:dyDescent="0.55000000000000004">
      <c r="B3" s="286" t="s">
        <v>261</v>
      </c>
      <c r="C3" s="287"/>
      <c r="D3" s="287"/>
      <c r="E3" s="287"/>
      <c r="F3" s="287"/>
      <c r="G3" s="288"/>
    </row>
    <row r="4" spans="1:8" ht="4.5" customHeight="1" thickBot="1" x14ac:dyDescent="0.35">
      <c r="B4" s="169"/>
      <c r="C4" s="4"/>
      <c r="D4" s="4"/>
      <c r="E4" s="4"/>
      <c r="F4" s="4"/>
      <c r="G4" s="170"/>
    </row>
    <row r="5" spans="1:8" ht="13.5" customHeight="1" thickBot="1" x14ac:dyDescent="0.35">
      <c r="A5" s="1"/>
      <c r="B5" s="149" t="s">
        <v>178</v>
      </c>
      <c r="C5" s="150"/>
      <c r="D5" s="281" t="str">
        <f>Titles!F2&amp;" Total Cost"</f>
        <v>2016 Total Cost</v>
      </c>
      <c r="E5" s="289"/>
      <c r="F5" s="289"/>
      <c r="G5" s="282"/>
      <c r="H5" s="1"/>
    </row>
    <row r="6" spans="1:8" ht="11.25" customHeight="1" x14ac:dyDescent="0.3">
      <c r="A6" s="1"/>
      <c r="B6" s="112"/>
      <c r="C6" s="151"/>
      <c r="D6" s="155" t="s">
        <v>180</v>
      </c>
      <c r="E6" s="114" t="s">
        <v>169</v>
      </c>
      <c r="F6" s="115" t="s">
        <v>170</v>
      </c>
      <c r="G6" s="156" t="s">
        <v>180</v>
      </c>
      <c r="H6" s="1"/>
    </row>
    <row r="7" spans="1:8" ht="11.25" customHeight="1" thickBot="1" x14ac:dyDescent="0.35">
      <c r="A7" s="1"/>
      <c r="B7" s="113" t="s">
        <v>179</v>
      </c>
      <c r="C7" s="150"/>
      <c r="D7" s="157" t="s">
        <v>4</v>
      </c>
      <c r="E7" s="158" t="s">
        <v>168</v>
      </c>
      <c r="F7" s="153" t="s">
        <v>168</v>
      </c>
      <c r="G7" s="152" t="s">
        <v>4</v>
      </c>
      <c r="H7" s="1"/>
    </row>
    <row r="8" spans="1:8" ht="12.75" customHeight="1" x14ac:dyDescent="0.3">
      <c r="A8" s="1"/>
      <c r="B8" s="109" t="str">
        <f>Tables!B13</f>
        <v>Planning / Design</v>
      </c>
      <c r="C8" s="151"/>
      <c r="D8" s="123">
        <f>IF(ISERROR(E8/$E$14),"-",(E8/$E$14))</f>
        <v>0</v>
      </c>
      <c r="E8" s="162">
        <f>Tables!C13</f>
        <v>0</v>
      </c>
      <c r="F8" s="162">
        <f>Tables!D13</f>
        <v>0</v>
      </c>
      <c r="G8" s="154">
        <f>IF(ISERROR(F8/$F$14),"-",(F8/$F$14))</f>
        <v>0</v>
      </c>
      <c r="H8" s="1"/>
    </row>
    <row r="9" spans="1:8" ht="12.75" customHeight="1" x14ac:dyDescent="0.3">
      <c r="A9" s="1"/>
      <c r="B9" s="110" t="str">
        <f>Tables!B14</f>
        <v>Marketing &amp; Delivery</v>
      </c>
      <c r="C9" s="151"/>
      <c r="D9" s="159">
        <f t="shared" ref="D9:D14" si="0">IF(ISERROR(E9/$E$14),"-",(E9/$E$14))</f>
        <v>1</v>
      </c>
      <c r="E9" s="163">
        <f>Tables!C14</f>
        <v>278368.01</v>
      </c>
      <c r="F9" s="163">
        <f>Tables!D14</f>
        <v>231311</v>
      </c>
      <c r="G9" s="166">
        <f t="shared" ref="G9:G14" si="1">IF(ISERROR(F9/$F$14),"-",(F9/$F$14))</f>
        <v>1</v>
      </c>
      <c r="H9" s="1"/>
    </row>
    <row r="10" spans="1:8" ht="12.75" customHeight="1" x14ac:dyDescent="0.3">
      <c r="A10" s="1"/>
      <c r="B10" s="110" t="str">
        <f>Tables!B15</f>
        <v>Incentives / Direct Install Costs</v>
      </c>
      <c r="C10" s="151"/>
      <c r="D10" s="159">
        <f t="shared" si="0"/>
        <v>0</v>
      </c>
      <c r="E10" s="163">
        <f>Tables!C15</f>
        <v>0</v>
      </c>
      <c r="F10" s="163">
        <f>Tables!D15</f>
        <v>0</v>
      </c>
      <c r="G10" s="166">
        <f t="shared" si="1"/>
        <v>0</v>
      </c>
      <c r="H10" s="1"/>
    </row>
    <row r="11" spans="1:8" ht="12.75" customHeight="1" x14ac:dyDescent="0.3">
      <c r="A11" s="1"/>
      <c r="B11" s="110" t="str">
        <f>Tables!B16</f>
        <v>EM&amp;V</v>
      </c>
      <c r="C11" s="151"/>
      <c r="D11" s="159">
        <f t="shared" si="0"/>
        <v>0</v>
      </c>
      <c r="E11" s="163">
        <f>Tables!C16</f>
        <v>0</v>
      </c>
      <c r="F11" s="163">
        <f>Tables!D16</f>
        <v>0</v>
      </c>
      <c r="G11" s="166">
        <f t="shared" si="1"/>
        <v>0</v>
      </c>
      <c r="H11" s="1"/>
    </row>
    <row r="12" spans="1:8" ht="12.75" customHeight="1" x14ac:dyDescent="0.3">
      <c r="A12" s="1"/>
      <c r="B12" s="110" t="str">
        <f>Tables!B17</f>
        <v>Administration</v>
      </c>
      <c r="C12" s="151"/>
      <c r="D12" s="159">
        <f t="shared" si="0"/>
        <v>0</v>
      </c>
      <c r="E12" s="163">
        <f>Tables!C17</f>
        <v>0</v>
      </c>
      <c r="F12" s="163">
        <f>Tables!D17</f>
        <v>0</v>
      </c>
      <c r="G12" s="166">
        <f t="shared" si="1"/>
        <v>0</v>
      </c>
      <c r="H12" s="1"/>
    </row>
    <row r="13" spans="1:8" ht="12.75" customHeight="1" thickBot="1" x14ac:dyDescent="0.35">
      <c r="A13" s="1"/>
      <c r="B13" s="110" t="str">
        <f>Tables!B18</f>
        <v>Regulatory</v>
      </c>
      <c r="C13" s="151"/>
      <c r="D13" s="160">
        <f t="shared" si="0"/>
        <v>0</v>
      </c>
      <c r="E13" s="164">
        <f>'Table 1'!F12</f>
        <v>0</v>
      </c>
      <c r="F13" s="164">
        <f>'Table 1'!G12</f>
        <v>0</v>
      </c>
      <c r="G13" s="167">
        <f t="shared" si="1"/>
        <v>0</v>
      </c>
      <c r="H13" s="1"/>
    </row>
    <row r="14" spans="1:8" ht="12.75" customHeight="1" thickBot="1" x14ac:dyDescent="0.35">
      <c r="A14" s="1"/>
      <c r="B14" s="126"/>
      <c r="C14" s="171"/>
      <c r="D14" s="161">
        <f t="shared" si="0"/>
        <v>1</v>
      </c>
      <c r="E14" s="165">
        <f>SUM(E8:E13)</f>
        <v>278368.01</v>
      </c>
      <c r="F14" s="165">
        <f>SUM(F8:F13)</f>
        <v>231311</v>
      </c>
      <c r="G14" s="168">
        <f t="shared" si="1"/>
        <v>1</v>
      </c>
      <c r="H14" s="1"/>
    </row>
    <row r="15" spans="1:8" x14ac:dyDescent="0.3">
      <c r="A15" s="1"/>
      <c r="B15" s="1"/>
      <c r="C15" s="1"/>
      <c r="D15" s="1"/>
      <c r="E15" s="1"/>
      <c r="F15" s="1"/>
      <c r="G15" s="1"/>
      <c r="H15" s="1"/>
    </row>
    <row r="16" spans="1:8" x14ac:dyDescent="0.3">
      <c r="B16" s="1"/>
      <c r="C16" s="1"/>
      <c r="D16" s="1"/>
      <c r="E16" s="1"/>
      <c r="F16" s="1"/>
      <c r="G16" s="1"/>
      <c r="H16" s="1"/>
    </row>
    <row r="17" spans="2:8" x14ac:dyDescent="0.3">
      <c r="B17" s="1"/>
      <c r="C17" s="1"/>
      <c r="D17" s="1"/>
      <c r="E17" s="1"/>
      <c r="F17" s="1"/>
      <c r="G17" s="1"/>
      <c r="H17" s="1"/>
    </row>
    <row r="18" spans="2:8" x14ac:dyDescent="0.3">
      <c r="B18" s="1"/>
      <c r="C18" s="1"/>
      <c r="D18" s="1"/>
      <c r="E18" s="1"/>
      <c r="F18" s="1"/>
      <c r="G18" s="1"/>
      <c r="H18" s="1"/>
    </row>
    <row r="19" spans="2:8" x14ac:dyDescent="0.3">
      <c r="B19" s="1"/>
      <c r="C19" s="1"/>
      <c r="D19" s="1"/>
      <c r="E19" s="1"/>
      <c r="F19" s="1"/>
      <c r="G19" s="1"/>
      <c r="H19" s="1"/>
    </row>
    <row r="20" spans="2:8" x14ac:dyDescent="0.3">
      <c r="B20" s="1"/>
      <c r="C20" s="1"/>
      <c r="D20" s="1"/>
      <c r="E20" s="1"/>
      <c r="F20" s="1"/>
      <c r="G20" s="1"/>
      <c r="H20" s="1"/>
    </row>
    <row r="21" spans="2:8" x14ac:dyDescent="0.3">
      <c r="B21" s="1"/>
      <c r="C21" s="1"/>
      <c r="D21" s="1"/>
      <c r="E21" s="1"/>
      <c r="F21" s="1"/>
      <c r="G21" s="1"/>
      <c r="H21" s="1"/>
    </row>
    <row r="22" spans="2:8" x14ac:dyDescent="0.3">
      <c r="B22" s="1"/>
      <c r="C22" s="1"/>
      <c r="D22" s="1"/>
      <c r="E22" s="1"/>
      <c r="F22" s="1"/>
      <c r="G22" s="1"/>
      <c r="H22" s="1"/>
    </row>
    <row r="23" spans="2:8" x14ac:dyDescent="0.3">
      <c r="B23" s="1"/>
      <c r="C23" s="1"/>
      <c r="D23" s="1"/>
      <c r="E23" s="1"/>
      <c r="F23" s="1"/>
      <c r="G23" s="1"/>
      <c r="H23" s="1"/>
    </row>
    <row r="24" spans="2:8" x14ac:dyDescent="0.3">
      <c r="B24" s="1"/>
      <c r="C24" s="1"/>
      <c r="D24" s="1"/>
      <c r="E24" s="1"/>
      <c r="F24" s="1"/>
      <c r="G24" s="1"/>
      <c r="H24" s="1"/>
    </row>
  </sheetData>
  <sheetProtection formatColumns="0" formatRows="0"/>
  <mergeCells count="2">
    <mergeCell ref="B3:G3"/>
    <mergeCell ref="D5:G5"/>
  </mergeCells>
  <pageMargins left="0.5" right="0.5" top="0.75" bottom="0.75" header="0.3" footer="0.3"/>
  <pageSetup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pane ySplit="1" topLeftCell="A2" activePane="bottomLeft" state="frozen"/>
      <selection pane="bottomLeft"/>
    </sheetView>
  </sheetViews>
  <sheetFormatPr defaultColWidth="9.1796875" defaultRowHeight="13" x14ac:dyDescent="0.3"/>
  <cols>
    <col min="1" max="1" width="1" style="2" customWidth="1"/>
    <col min="2" max="2" width="37.7265625" style="2" customWidth="1"/>
    <col min="3" max="3" width="1.1796875" style="2" customWidth="1"/>
    <col min="4" max="4" width="8.7265625" style="2" customWidth="1"/>
    <col min="5" max="6" width="12.7265625" style="2" customWidth="1"/>
    <col min="7" max="7" width="8.7265625" style="2" customWidth="1"/>
    <col min="8" max="8" width="1.26953125" style="2" customWidth="1"/>
    <col min="9" max="16384" width="9.1796875" style="2"/>
  </cols>
  <sheetData>
    <row r="1" spans="1:8" ht="38.25" customHeight="1" x14ac:dyDescent="0.3"/>
    <row r="2" spans="1:8" ht="4.5" customHeight="1" thickBot="1" x14ac:dyDescent="0.35"/>
    <row r="3" spans="1:8" ht="23.5" thickBot="1" x14ac:dyDescent="0.55000000000000004">
      <c r="B3" s="286" t="s">
        <v>262</v>
      </c>
      <c r="C3" s="287"/>
      <c r="D3" s="287"/>
      <c r="E3" s="287"/>
      <c r="F3" s="287"/>
      <c r="G3" s="288"/>
    </row>
    <row r="4" spans="1:8" ht="4.5" customHeight="1" thickBot="1" x14ac:dyDescent="0.35">
      <c r="B4" s="169"/>
      <c r="C4" s="4"/>
      <c r="D4" s="4"/>
      <c r="E4" s="4"/>
      <c r="F4" s="4"/>
      <c r="G4" s="170"/>
    </row>
    <row r="5" spans="1:8" ht="13.5" customHeight="1" thickBot="1" x14ac:dyDescent="0.35">
      <c r="A5" s="1"/>
      <c r="B5" s="149" t="s">
        <v>178</v>
      </c>
      <c r="C5" s="150"/>
      <c r="D5" s="281" t="str">
        <f>Titles!F2&amp;" Total Cost"</f>
        <v>2016 Total Cost</v>
      </c>
      <c r="E5" s="289"/>
      <c r="F5" s="289"/>
      <c r="G5" s="282"/>
      <c r="H5" s="1"/>
    </row>
    <row r="6" spans="1:8" ht="11.25" customHeight="1" x14ac:dyDescent="0.3">
      <c r="A6" s="1"/>
      <c r="B6" s="112"/>
      <c r="C6" s="151"/>
      <c r="D6" s="155" t="s">
        <v>180</v>
      </c>
      <c r="E6" s="114" t="s">
        <v>169</v>
      </c>
      <c r="F6" s="115" t="s">
        <v>170</v>
      </c>
      <c r="G6" s="156" t="s">
        <v>180</v>
      </c>
      <c r="H6" s="1"/>
    </row>
    <row r="7" spans="1:8" ht="11.25" customHeight="1" thickBot="1" x14ac:dyDescent="0.35">
      <c r="A7" s="1"/>
      <c r="B7" s="113" t="s">
        <v>179</v>
      </c>
      <c r="C7" s="150"/>
      <c r="D7" s="157" t="s">
        <v>4</v>
      </c>
      <c r="E7" s="158" t="s">
        <v>168</v>
      </c>
      <c r="F7" s="153" t="s">
        <v>168</v>
      </c>
      <c r="G7" s="152" t="s">
        <v>4</v>
      </c>
      <c r="H7" s="1"/>
    </row>
    <row r="8" spans="1:8" ht="12.75" customHeight="1" x14ac:dyDescent="0.3">
      <c r="A8" s="1"/>
      <c r="B8" s="109" t="str">
        <f>Tables!B13</f>
        <v>Planning / Design</v>
      </c>
      <c r="C8" s="151"/>
      <c r="D8" s="123">
        <f>IF(ISERROR(E8/$E$14),"-",(E8/$E$14))</f>
        <v>0</v>
      </c>
      <c r="E8" s="162">
        <f>Tables!C21</f>
        <v>0</v>
      </c>
      <c r="F8" s="162">
        <f>Tables!D21</f>
        <v>0</v>
      </c>
      <c r="G8" s="154">
        <f>IF(ISERROR(F8/$F$14),"-",(F8/$F$14))</f>
        <v>0</v>
      </c>
      <c r="H8" s="1"/>
    </row>
    <row r="9" spans="1:8" ht="12.75" customHeight="1" x14ac:dyDescent="0.3">
      <c r="A9" s="1"/>
      <c r="B9" s="110" t="str">
        <f>Tables!B14</f>
        <v>Marketing &amp; Delivery</v>
      </c>
      <c r="C9" s="151"/>
      <c r="D9" s="159">
        <f t="shared" ref="D9:D14" si="0">IF(ISERROR(E9/$E$14),"-",(E9/$E$14))</f>
        <v>1</v>
      </c>
      <c r="E9" s="163">
        <f>Tables!C22</f>
        <v>156836.96</v>
      </c>
      <c r="F9" s="163">
        <f>Tables!D22</f>
        <v>130325</v>
      </c>
      <c r="G9" s="166">
        <f t="shared" ref="G9:G14" si="1">IF(ISERROR(F9/$F$14),"-",(F9/$F$14))</f>
        <v>1</v>
      </c>
      <c r="H9" s="1"/>
    </row>
    <row r="10" spans="1:8" ht="12.75" customHeight="1" x14ac:dyDescent="0.3">
      <c r="A10" s="1"/>
      <c r="B10" s="110" t="str">
        <f>Tables!B15</f>
        <v>Incentives / Direct Install Costs</v>
      </c>
      <c r="C10" s="151"/>
      <c r="D10" s="159">
        <f t="shared" si="0"/>
        <v>0</v>
      </c>
      <c r="E10" s="163">
        <f>Tables!C23</f>
        <v>0</v>
      </c>
      <c r="F10" s="163">
        <f>Tables!D23</f>
        <v>0</v>
      </c>
      <c r="G10" s="166">
        <f t="shared" si="1"/>
        <v>0</v>
      </c>
      <c r="H10" s="1"/>
    </row>
    <row r="11" spans="1:8" ht="12.75" customHeight="1" x14ac:dyDescent="0.3">
      <c r="A11" s="1"/>
      <c r="B11" s="110" t="str">
        <f>Tables!B16</f>
        <v>EM&amp;V</v>
      </c>
      <c r="C11" s="151"/>
      <c r="D11" s="159">
        <f t="shared" si="0"/>
        <v>0</v>
      </c>
      <c r="E11" s="163">
        <f>Tables!C24</f>
        <v>0</v>
      </c>
      <c r="F11" s="163">
        <f>Tables!D24</f>
        <v>0</v>
      </c>
      <c r="G11" s="166">
        <f t="shared" si="1"/>
        <v>0</v>
      </c>
      <c r="H11" s="1"/>
    </row>
    <row r="12" spans="1:8" ht="12.75" customHeight="1" x14ac:dyDescent="0.3">
      <c r="A12" s="1"/>
      <c r="B12" s="110" t="str">
        <f>Tables!B17</f>
        <v>Administration</v>
      </c>
      <c r="C12" s="151"/>
      <c r="D12" s="159">
        <f t="shared" si="0"/>
        <v>0</v>
      </c>
      <c r="E12" s="163">
        <f>Tables!C25</f>
        <v>0</v>
      </c>
      <c r="F12" s="163">
        <f>Tables!D25</f>
        <v>0</v>
      </c>
      <c r="G12" s="166">
        <f t="shared" si="1"/>
        <v>0</v>
      </c>
      <c r="H12" s="1"/>
    </row>
    <row r="13" spans="1:8" ht="12.75" customHeight="1" thickBot="1" x14ac:dyDescent="0.35">
      <c r="A13" s="1"/>
      <c r="B13" s="110" t="str">
        <f>Tables!B18</f>
        <v>Regulatory</v>
      </c>
      <c r="C13" s="151"/>
      <c r="D13" s="160">
        <f t="shared" si="0"/>
        <v>0</v>
      </c>
      <c r="E13" s="164">
        <f>'Table 2'!F11</f>
        <v>0</v>
      </c>
      <c r="F13" s="164">
        <f>'Table 2'!G11</f>
        <v>0</v>
      </c>
      <c r="G13" s="167">
        <f t="shared" si="1"/>
        <v>0</v>
      </c>
      <c r="H13" s="1"/>
    </row>
    <row r="14" spans="1:8" ht="12.75" customHeight="1" thickBot="1" x14ac:dyDescent="0.35">
      <c r="A14" s="1"/>
      <c r="B14" s="126"/>
      <c r="C14" s="171"/>
      <c r="D14" s="161">
        <f t="shared" si="0"/>
        <v>1</v>
      </c>
      <c r="E14" s="165">
        <f>SUM(E8:E13)</f>
        <v>156836.96</v>
      </c>
      <c r="F14" s="165">
        <f>SUM(F8:F13)</f>
        <v>130325</v>
      </c>
      <c r="G14" s="168">
        <f t="shared" si="1"/>
        <v>1</v>
      </c>
      <c r="H14" s="1"/>
    </row>
    <row r="15" spans="1:8" x14ac:dyDescent="0.3">
      <c r="A15" s="1"/>
      <c r="B15" s="1"/>
      <c r="C15" s="1"/>
      <c r="D15" s="1"/>
      <c r="E15" s="1"/>
      <c r="F15" s="1"/>
      <c r="G15" s="1"/>
      <c r="H15" s="1"/>
    </row>
    <row r="16" spans="1:8" x14ac:dyDescent="0.3">
      <c r="B16" s="1"/>
      <c r="C16" s="1"/>
      <c r="D16" s="1"/>
      <c r="E16" s="1"/>
      <c r="F16" s="1"/>
      <c r="G16" s="1"/>
      <c r="H16" s="1"/>
    </row>
    <row r="17" spans="2:8" x14ac:dyDescent="0.3">
      <c r="B17" s="1"/>
      <c r="C17" s="1"/>
      <c r="D17" s="1"/>
      <c r="E17" s="1"/>
      <c r="F17" s="1"/>
      <c r="G17" s="1"/>
      <c r="H17" s="1"/>
    </row>
    <row r="18" spans="2:8" x14ac:dyDescent="0.3">
      <c r="B18" s="1"/>
      <c r="C18" s="1"/>
      <c r="D18" s="1"/>
      <c r="E18" s="1"/>
      <c r="F18" s="1"/>
      <c r="G18" s="1"/>
      <c r="H18" s="1"/>
    </row>
    <row r="19" spans="2:8" x14ac:dyDescent="0.3">
      <c r="B19" s="1"/>
      <c r="C19" s="1"/>
      <c r="D19" s="1"/>
      <c r="E19" s="1"/>
      <c r="F19" s="1"/>
      <c r="G19" s="1"/>
      <c r="H19" s="1"/>
    </row>
    <row r="20" spans="2:8" x14ac:dyDescent="0.3">
      <c r="B20" s="1"/>
      <c r="C20" s="1"/>
      <c r="D20" s="1"/>
      <c r="E20" s="1"/>
      <c r="F20" s="1"/>
      <c r="G20" s="1"/>
      <c r="H20" s="1"/>
    </row>
    <row r="21" spans="2:8" x14ac:dyDescent="0.3">
      <c r="B21" s="1"/>
      <c r="C21" s="1"/>
      <c r="D21" s="1"/>
      <c r="E21" s="1"/>
      <c r="F21" s="1"/>
      <c r="G21" s="1"/>
      <c r="H21" s="1"/>
    </row>
    <row r="22" spans="2:8" x14ac:dyDescent="0.3">
      <c r="B22" s="1"/>
      <c r="C22" s="1"/>
      <c r="D22" s="1"/>
      <c r="E22" s="1"/>
      <c r="F22" s="1"/>
      <c r="G22" s="1"/>
      <c r="H22" s="1"/>
    </row>
    <row r="23" spans="2:8" x14ac:dyDescent="0.3">
      <c r="B23" s="1"/>
      <c r="C23" s="1"/>
      <c r="D23" s="1"/>
      <c r="E23" s="1"/>
      <c r="F23" s="1"/>
      <c r="G23" s="1"/>
      <c r="H23" s="1"/>
    </row>
    <row r="24" spans="2:8" x14ac:dyDescent="0.3">
      <c r="B24" s="1"/>
      <c r="C24" s="1"/>
      <c r="D24" s="1"/>
      <c r="E24" s="1"/>
      <c r="F24" s="1"/>
      <c r="G24" s="1"/>
      <c r="H24" s="1"/>
    </row>
  </sheetData>
  <sheetProtection formatColumns="0" formatRows="0"/>
  <mergeCells count="2">
    <mergeCell ref="B3:G3"/>
    <mergeCell ref="D5:G5"/>
  </mergeCells>
  <pageMargins left="0.5" right="0.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7"/>
  <sheetViews>
    <sheetView showGridLines="0" workbookViewId="0">
      <pane ySplit="2" topLeftCell="A3" activePane="bottomLeft" state="frozen"/>
      <selection pane="bottomLeft" activeCell="C31" sqref="C31"/>
    </sheetView>
  </sheetViews>
  <sheetFormatPr defaultColWidth="9.1796875" defaultRowHeight="13" x14ac:dyDescent="0.3"/>
  <cols>
    <col min="1" max="1" width="1" style="2" customWidth="1"/>
    <col min="2" max="2" width="33.1796875" style="2" customWidth="1"/>
    <col min="3" max="3" width="100" style="2" customWidth="1"/>
    <col min="4" max="4" width="1" style="2" customWidth="1"/>
    <col min="5" max="16384" width="9.1796875" style="2"/>
  </cols>
  <sheetData>
    <row r="1" spans="2:3" ht="38.25" customHeight="1" x14ac:dyDescent="0.3"/>
    <row r="2" spans="2:3" s="1" customFormat="1" ht="15.5" x14ac:dyDescent="0.35">
      <c r="B2" s="63" t="s">
        <v>81</v>
      </c>
      <c r="C2" s="63" t="s">
        <v>82</v>
      </c>
    </row>
    <row r="3" spans="2:3" s="1" customFormat="1" x14ac:dyDescent="0.25">
      <c r="B3" s="90" t="s">
        <v>83</v>
      </c>
      <c r="C3" s="104" t="s">
        <v>84</v>
      </c>
    </row>
    <row r="4" spans="2:3" s="1" customFormat="1" x14ac:dyDescent="0.25">
      <c r="B4" s="90" t="s">
        <v>85</v>
      </c>
      <c r="C4" s="104" t="s">
        <v>86</v>
      </c>
    </row>
    <row r="5" spans="2:3" s="1" customFormat="1" x14ac:dyDescent="0.25">
      <c r="B5" s="90" t="s">
        <v>101</v>
      </c>
      <c r="C5" s="104" t="s">
        <v>102</v>
      </c>
    </row>
    <row r="6" spans="2:3" s="1" customFormat="1" x14ac:dyDescent="0.25">
      <c r="B6" s="90" t="s">
        <v>103</v>
      </c>
      <c r="C6" s="104" t="s">
        <v>104</v>
      </c>
    </row>
    <row r="7" spans="2:3" s="1" customFormat="1" ht="78.75" customHeight="1" x14ac:dyDescent="0.25">
      <c r="B7" s="90" t="s">
        <v>116</v>
      </c>
      <c r="C7" s="104" t="s">
        <v>292</v>
      </c>
    </row>
    <row r="8" spans="2:3" s="1" customFormat="1" ht="26" x14ac:dyDescent="0.25">
      <c r="B8" s="90" t="s">
        <v>16</v>
      </c>
      <c r="C8" s="104" t="s">
        <v>237</v>
      </c>
    </row>
    <row r="9" spans="2:3" s="1" customFormat="1" x14ac:dyDescent="0.25">
      <c r="B9" s="90" t="s">
        <v>19</v>
      </c>
      <c r="C9" s="104" t="s">
        <v>125</v>
      </c>
    </row>
    <row r="10" spans="2:3" s="1" customFormat="1" x14ac:dyDescent="0.25">
      <c r="B10" s="90" t="s">
        <v>126</v>
      </c>
      <c r="C10" s="104" t="s">
        <v>128</v>
      </c>
    </row>
    <row r="11" spans="2:3" s="1" customFormat="1" x14ac:dyDescent="0.25">
      <c r="B11" s="90" t="s">
        <v>7</v>
      </c>
      <c r="C11" s="104" t="s">
        <v>129</v>
      </c>
    </row>
    <row r="12" spans="2:3" s="1" customFormat="1" ht="26" x14ac:dyDescent="0.25">
      <c r="B12" s="90" t="s">
        <v>127</v>
      </c>
      <c r="C12" s="104" t="s">
        <v>130</v>
      </c>
    </row>
    <row r="13" spans="2:3" s="1" customFormat="1" x14ac:dyDescent="0.25">
      <c r="B13" s="90" t="s">
        <v>5</v>
      </c>
      <c r="C13" s="104" t="s">
        <v>134</v>
      </c>
    </row>
    <row r="14" spans="2:3" s="1" customFormat="1" ht="26" x14ac:dyDescent="0.25">
      <c r="B14" s="90" t="s">
        <v>6</v>
      </c>
      <c r="C14" s="104" t="s">
        <v>135</v>
      </c>
    </row>
    <row r="15" spans="2:3" s="1" customFormat="1" ht="52" x14ac:dyDescent="0.25">
      <c r="B15" s="90" t="s">
        <v>131</v>
      </c>
      <c r="C15" s="104" t="s">
        <v>136</v>
      </c>
    </row>
    <row r="16" spans="2:3" s="1" customFormat="1" x14ac:dyDescent="0.25">
      <c r="B16" s="90" t="s">
        <v>132</v>
      </c>
      <c r="C16" s="104" t="s">
        <v>137</v>
      </c>
    </row>
    <row r="17" spans="2:3" s="1" customFormat="1" x14ac:dyDescent="0.25">
      <c r="B17" s="90" t="s">
        <v>119</v>
      </c>
      <c r="C17" s="104" t="s">
        <v>133</v>
      </c>
    </row>
    <row r="18" spans="2:3" s="1" customFormat="1" ht="26" x14ac:dyDescent="0.25">
      <c r="B18" s="90" t="s">
        <v>138</v>
      </c>
      <c r="C18" s="104" t="s">
        <v>142</v>
      </c>
    </row>
    <row r="19" spans="2:3" s="1" customFormat="1" x14ac:dyDescent="0.25">
      <c r="B19" s="90" t="s">
        <v>139</v>
      </c>
      <c r="C19" s="104" t="s">
        <v>143</v>
      </c>
    </row>
    <row r="20" spans="2:3" s="1" customFormat="1" ht="43.5" customHeight="1" x14ac:dyDescent="0.25">
      <c r="B20" s="90" t="s">
        <v>140</v>
      </c>
      <c r="C20" s="104" t="s">
        <v>144</v>
      </c>
    </row>
    <row r="21" spans="2:3" s="1" customFormat="1" ht="26" x14ac:dyDescent="0.25">
      <c r="B21" s="90" t="s">
        <v>141</v>
      </c>
      <c r="C21" s="104" t="s">
        <v>145</v>
      </c>
    </row>
    <row r="22" spans="2:3" s="1" customFormat="1" x14ac:dyDescent="0.25">
      <c r="B22" s="90" t="s">
        <v>117</v>
      </c>
      <c r="C22" s="104" t="s">
        <v>146</v>
      </c>
    </row>
    <row r="23" spans="2:3" s="1" customFormat="1" ht="26" x14ac:dyDescent="0.25">
      <c r="B23" s="90" t="s">
        <v>147</v>
      </c>
      <c r="C23" s="104" t="s">
        <v>238</v>
      </c>
    </row>
    <row r="24" spans="2:3" s="1" customFormat="1" ht="52" x14ac:dyDescent="0.25">
      <c r="B24" s="90" t="s">
        <v>148</v>
      </c>
      <c r="C24" s="104" t="s">
        <v>239</v>
      </c>
    </row>
    <row r="25" spans="2:3" s="1" customFormat="1" x14ac:dyDescent="0.25">
      <c r="B25" s="90" t="s">
        <v>149</v>
      </c>
      <c r="C25" s="104" t="s">
        <v>153</v>
      </c>
    </row>
    <row r="26" spans="2:3" s="1" customFormat="1" ht="39" x14ac:dyDescent="0.25">
      <c r="B26" s="90" t="s">
        <v>150</v>
      </c>
      <c r="C26" s="104" t="s">
        <v>240</v>
      </c>
    </row>
    <row r="27" spans="2:3" s="1" customFormat="1" ht="39" x14ac:dyDescent="0.25">
      <c r="B27" s="90" t="s">
        <v>151</v>
      </c>
      <c r="C27" s="104" t="s">
        <v>154</v>
      </c>
    </row>
    <row r="28" spans="2:3" s="1" customFormat="1" ht="26" x14ac:dyDescent="0.25">
      <c r="B28" s="90" t="s">
        <v>8</v>
      </c>
      <c r="C28" s="104" t="s">
        <v>155</v>
      </c>
    </row>
    <row r="29" spans="2:3" s="1" customFormat="1" ht="39" x14ac:dyDescent="0.25">
      <c r="B29" s="90" t="s">
        <v>152</v>
      </c>
      <c r="C29" s="104" t="s">
        <v>156</v>
      </c>
    </row>
    <row r="30" spans="2:3" s="1" customFormat="1" ht="26" x14ac:dyDescent="0.25">
      <c r="B30" s="90" t="s">
        <v>157</v>
      </c>
      <c r="C30" s="104" t="s">
        <v>159</v>
      </c>
    </row>
    <row r="31" spans="2:3" s="1" customFormat="1" ht="26" x14ac:dyDescent="0.25">
      <c r="B31" s="90" t="s">
        <v>161</v>
      </c>
      <c r="C31" s="104" t="s">
        <v>293</v>
      </c>
    </row>
    <row r="32" spans="2:3" s="1" customFormat="1" ht="26" x14ac:dyDescent="0.25">
      <c r="B32" s="90" t="s">
        <v>158</v>
      </c>
      <c r="C32" s="104" t="s">
        <v>160</v>
      </c>
    </row>
    <row r="33" spans="2:3" s="1" customFormat="1" ht="26" x14ac:dyDescent="0.25">
      <c r="B33" s="90" t="s">
        <v>162</v>
      </c>
      <c r="C33" s="104" t="s">
        <v>163</v>
      </c>
    </row>
    <row r="34" spans="2:3" s="1" customFormat="1" ht="26" x14ac:dyDescent="0.25">
      <c r="B34" s="90" t="s">
        <v>120</v>
      </c>
      <c r="C34" s="104" t="s">
        <v>241</v>
      </c>
    </row>
    <row r="35" spans="2:3" s="1" customFormat="1" x14ac:dyDescent="0.3">
      <c r="B35" s="15"/>
      <c r="C35" s="15"/>
    </row>
    <row r="36" spans="2:3" s="1" customFormat="1" x14ac:dyDescent="0.3">
      <c r="B36" s="15"/>
      <c r="C36" s="15"/>
    </row>
    <row r="37" spans="2:3" s="1" customFormat="1" x14ac:dyDescent="0.3">
      <c r="B37" s="15"/>
      <c r="C37" s="15"/>
    </row>
  </sheetData>
  <sheetProtection password="C925" sheet="1" objects="1"/>
  <pageMargins left="0.25" right="0.25" top="0.5" bottom="0.5" header="0.3" footer="0.3"/>
  <pageSetup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showGridLines="0" workbookViewId="0">
      <pane ySplit="3" topLeftCell="A4" activePane="bottomLeft" state="frozen"/>
      <selection pane="bottomLeft" activeCell="B3" sqref="B3:D3"/>
    </sheetView>
  </sheetViews>
  <sheetFormatPr defaultColWidth="9.1796875" defaultRowHeight="13" x14ac:dyDescent="0.3"/>
  <cols>
    <col min="1" max="1" width="1" style="2" customWidth="1"/>
    <col min="2" max="2" width="17.54296875" style="2" customWidth="1"/>
    <col min="3" max="3" width="11.54296875" style="2" customWidth="1"/>
    <col min="4" max="4" width="11" style="2" customWidth="1"/>
    <col min="5" max="5" width="5.7265625" style="2" customWidth="1"/>
    <col min="6" max="6" width="11.453125" style="2" customWidth="1"/>
    <col min="7" max="7" width="11" style="2" customWidth="1"/>
    <col min="8" max="8" width="5.7265625" style="2" customWidth="1"/>
    <col min="9" max="10" width="11.54296875" style="2" customWidth="1"/>
    <col min="11" max="11" width="5.7265625" style="2" customWidth="1"/>
    <col min="12" max="13" width="10.453125" style="2" bestFit="1" customWidth="1"/>
    <col min="14" max="14" width="5.7265625" style="2" customWidth="1"/>
    <col min="15" max="15" width="1.26953125" style="2" customWidth="1"/>
    <col min="16" max="16384" width="9.1796875" style="2"/>
  </cols>
  <sheetData>
    <row r="1" spans="1:15" ht="38.25" customHeight="1" x14ac:dyDescent="0.3"/>
    <row r="2" spans="1:15" ht="4.5" customHeight="1" thickBot="1" x14ac:dyDescent="0.35"/>
    <row r="3" spans="1:15" ht="20.25" customHeight="1" thickBot="1" x14ac:dyDescent="0.35">
      <c r="B3" s="290" t="s">
        <v>244</v>
      </c>
      <c r="C3" s="291"/>
      <c r="D3" s="292"/>
      <c r="E3" s="196" t="s">
        <v>225</v>
      </c>
    </row>
    <row r="4" spans="1:15" ht="15.75" customHeight="1" thickBot="1" x14ac:dyDescent="0.35"/>
    <row r="5" spans="1:15" ht="23.5" thickBot="1" x14ac:dyDescent="0.55000000000000004">
      <c r="B5" s="286" t="str">
        <f>B3</f>
        <v xml:space="preserve">Entergy </v>
      </c>
      <c r="C5" s="287"/>
      <c r="D5" s="287"/>
      <c r="E5" s="287"/>
      <c r="F5" s="287"/>
      <c r="G5" s="287"/>
      <c r="H5" s="287"/>
      <c r="I5" s="287"/>
      <c r="J5" s="287"/>
      <c r="K5" s="287"/>
      <c r="L5" s="287"/>
      <c r="M5" s="287"/>
      <c r="N5" s="288"/>
    </row>
    <row r="6" spans="1:15" ht="4.5" customHeight="1" x14ac:dyDescent="0.3">
      <c r="B6" s="195"/>
      <c r="C6" s="4"/>
      <c r="D6" s="4"/>
      <c r="E6" s="4"/>
      <c r="F6" s="4"/>
      <c r="G6" s="4"/>
      <c r="H6" s="4"/>
      <c r="I6" s="4"/>
      <c r="J6" s="4"/>
      <c r="K6" s="4"/>
      <c r="L6" s="4"/>
      <c r="M6" s="4"/>
      <c r="N6" s="4"/>
    </row>
    <row r="7" spans="1:15" ht="14.25" customHeight="1" x14ac:dyDescent="0.3">
      <c r="B7" s="179"/>
      <c r="C7" s="293" t="s">
        <v>57</v>
      </c>
      <c r="D7" s="293"/>
      <c r="E7" s="293"/>
      <c r="F7" s="293" t="str">
        <f>"Energy Savings ("&amp;VLOOKUP($B$3,Data!$B$4:$N$10,13,FALSE)&amp;")"</f>
        <v>Energy Savings (kWh)</v>
      </c>
      <c r="G7" s="293"/>
      <c r="H7" s="293"/>
      <c r="I7" s="293" t="str">
        <f>"Demand Savings ("&amp;VLOOKUP($B$3,Data!$B$4:$O$10,14,FALSE)&amp;")"</f>
        <v>Demand Savings (kW)</v>
      </c>
      <c r="J7" s="293"/>
      <c r="K7" s="293"/>
      <c r="L7" s="293" t="s">
        <v>49</v>
      </c>
      <c r="M7" s="293"/>
      <c r="N7" s="293"/>
    </row>
    <row r="8" spans="1:15" ht="17.25" customHeight="1" x14ac:dyDescent="0.3">
      <c r="A8" s="1"/>
      <c r="B8" s="178" t="s">
        <v>152</v>
      </c>
      <c r="C8" s="178" t="s">
        <v>169</v>
      </c>
      <c r="D8" s="178" t="s">
        <v>170</v>
      </c>
      <c r="E8" s="178" t="s">
        <v>205</v>
      </c>
      <c r="F8" s="178" t="s">
        <v>175</v>
      </c>
      <c r="G8" s="178" t="s">
        <v>176</v>
      </c>
      <c r="H8" s="178" t="s">
        <v>205</v>
      </c>
      <c r="I8" s="178" t="s">
        <v>175</v>
      </c>
      <c r="J8" s="178" t="s">
        <v>176</v>
      </c>
      <c r="K8" s="178" t="s">
        <v>205</v>
      </c>
      <c r="L8" s="178" t="s">
        <v>175</v>
      </c>
      <c r="M8" s="178" t="s">
        <v>204</v>
      </c>
      <c r="N8" s="178" t="s">
        <v>205</v>
      </c>
      <c r="O8" s="1"/>
    </row>
    <row r="9" spans="1:15" ht="20.149999999999999" customHeight="1" x14ac:dyDescent="0.3">
      <c r="B9" s="211" t="str">
        <f>"Program Year "&amp;Titles!F2-2</f>
        <v>Program Year 2014</v>
      </c>
      <c r="C9" s="211">
        <f>VLOOKUP($B$3,Data!$B$29:$R$35,2,FALSE)</f>
        <v>317952</v>
      </c>
      <c r="D9" s="211">
        <f>VLOOKUP($B$3,Data!$B$29:$R$35,3,FALSE)</f>
        <v>268137</v>
      </c>
      <c r="E9" s="212">
        <f>IF(ISERROR(D9/C9),"-",D9/C9)</f>
        <v>0.84332540760869568</v>
      </c>
      <c r="F9" s="177">
        <f>VLOOKUP($B$3,Data!$B$29:$R$35,6,FALSE)</f>
        <v>0</v>
      </c>
      <c r="G9" s="177">
        <f>VLOOKUP($B$3,Data!$B$29:$R$35,7,FALSE)</f>
        <v>0</v>
      </c>
      <c r="H9" s="212" t="str">
        <f>IF(ISERROR(G9/F9),"-",G9/F9)</f>
        <v>-</v>
      </c>
      <c r="I9" s="177">
        <f>VLOOKUP($B$3,Data!$B$29:$R$35,10,FALSE)</f>
        <v>0</v>
      </c>
      <c r="J9" s="177">
        <f>VLOOKUP($B$3,Data!$B$29:$R$35,11,FALSE)</f>
        <v>0</v>
      </c>
      <c r="K9" s="212" t="str">
        <f>IF(ISERROR(J9/I9),"-",J9/I9)</f>
        <v>-</v>
      </c>
      <c r="L9" s="177">
        <f>VLOOKUP($B$3,Data!$B$29:$R$35,14,FALSE)</f>
        <v>0</v>
      </c>
      <c r="M9" s="177">
        <f>VLOOKUP($B$3,Data!$B$29:$R$35,15,FALSE)</f>
        <v>0</v>
      </c>
      <c r="N9" s="212" t="str">
        <f>IF(ISERROR(M9/L9),"-",M9/L9)</f>
        <v>-</v>
      </c>
      <c r="O9" s="1"/>
    </row>
    <row r="10" spans="1:15" ht="20.149999999999999" customHeight="1" x14ac:dyDescent="0.3">
      <c r="B10" s="211" t="str">
        <f>"Program Year "&amp;Titles!F2-1</f>
        <v>Program Year 2015</v>
      </c>
      <c r="C10" s="211">
        <f>VLOOKUP($B$3,Data!$B$29:$R$35,4,FALSE)</f>
        <v>224639</v>
      </c>
      <c r="D10" s="211">
        <f>VLOOKUP($B$3,Data!$B$29:$R$35,5,FALSE)</f>
        <v>408086</v>
      </c>
      <c r="E10" s="212">
        <f>IF(ISERROR(D10/C10),"-",D10/C10)</f>
        <v>1.816630237848281</v>
      </c>
      <c r="F10" s="177">
        <f>VLOOKUP($B$3,Data!$B$29:$R$35,8,FALSE)</f>
        <v>0</v>
      </c>
      <c r="G10" s="177">
        <f>VLOOKUP($B$3,Data!$B$29:$R$35,9,FALSE)</f>
        <v>0</v>
      </c>
      <c r="H10" s="212" t="str">
        <f>IF(ISERROR(G10/F10),"-",G10/F10)</f>
        <v>-</v>
      </c>
      <c r="I10" s="177">
        <f>VLOOKUP($B$3,Data!$B$29:$R$35,12,FALSE)</f>
        <v>0</v>
      </c>
      <c r="J10" s="177">
        <f>VLOOKUP($B$3,Data!$B$29:$R$35,13,FALSE)</f>
        <v>0</v>
      </c>
      <c r="K10" s="212" t="str">
        <f>IF(ISERROR(J10/I10),"-",J10/I10)</f>
        <v>-</v>
      </c>
      <c r="L10" s="177">
        <f>VLOOKUP($B$3,Data!$B$29:$R$35,16,FALSE)</f>
        <v>0</v>
      </c>
      <c r="M10" s="177">
        <f>VLOOKUP($B$3,Data!$B$29:$R$35,17,FALSE)</f>
        <v>0</v>
      </c>
      <c r="N10" s="212" t="str">
        <f>IF(ISERROR(M10/L10),"-",M10/L10)</f>
        <v>-</v>
      </c>
      <c r="O10" s="1"/>
    </row>
    <row r="11" spans="1:15" ht="20.149999999999999" customHeight="1" x14ac:dyDescent="0.3">
      <c r="B11" s="213" t="str">
        <f>"Program Year "&amp;Titles!F2</f>
        <v>Program Year 2016</v>
      </c>
      <c r="C11" s="213">
        <f>VLOOKUP($B$3,Data!$B$4:$M$10,9,FALSE)</f>
        <v>224638.8</v>
      </c>
      <c r="D11" s="213">
        <f>VLOOKUP($B$3,Data!$B$16:$M$22,9,FALSE)</f>
        <v>186665</v>
      </c>
      <c r="E11" s="214">
        <f>IF(ISERROR(D11/C11),"-",D11/C11)</f>
        <v>0.83095618388274872</v>
      </c>
      <c r="F11" s="215">
        <f>VLOOKUP($B$3,Data!$B$4:$M$10,11,FALSE)</f>
        <v>0</v>
      </c>
      <c r="G11" s="215">
        <f>VLOOKUP($B$3,Data!$B$16:$M$22,11,FALSE)</f>
        <v>0</v>
      </c>
      <c r="H11" s="214" t="str">
        <f>IF(ISERROR(G11/F11),"-",G11/F11)</f>
        <v>-</v>
      </c>
      <c r="I11" s="215">
        <f>VLOOKUP($B$3,Data!$B$4:$M$10,10,FALSE)</f>
        <v>0</v>
      </c>
      <c r="J11" s="215">
        <f>VLOOKUP($B$3,Data!$B$16:$M$22,10,FALSE)</f>
        <v>0</v>
      </c>
      <c r="K11" s="214" t="str">
        <f>IF(ISERROR(J11/I11),"-",J11/I11)</f>
        <v>-</v>
      </c>
      <c r="L11" s="215">
        <f>VLOOKUP($B$3,Data!$B$4:$M$10,12,FALSE)</f>
        <v>0</v>
      </c>
      <c r="M11" s="215">
        <f>VLOOKUP($B$3,Data!$B$16:$M$22,12,FALSE)</f>
        <v>0</v>
      </c>
      <c r="N11" s="214" t="str">
        <f>IF(ISERROR(M11/L11),"-",M11/L11)</f>
        <v>-</v>
      </c>
      <c r="O11" s="1"/>
    </row>
  </sheetData>
  <mergeCells count="6">
    <mergeCell ref="B3:D3"/>
    <mergeCell ref="B5:N5"/>
    <mergeCell ref="C7:E7"/>
    <mergeCell ref="F7:H7"/>
    <mergeCell ref="L7:N7"/>
    <mergeCell ref="I7:K7"/>
  </mergeCells>
  <dataValidations count="1">
    <dataValidation type="list" allowBlank="1" showInputMessage="1" showErrorMessage="1" sqref="B3">
      <formula1>Prg_Names</formula1>
    </dataValidation>
  </dataValidations>
  <pageMargins left="0.3" right="0.3" top="0.75" bottom="0.75" header="0.3" footer="0.3"/>
  <pageSetup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showGridLines="0" zoomScale="85" zoomScaleNormal="85" workbookViewId="0">
      <pane ySplit="1" topLeftCell="A5" activePane="bottomLeft" state="frozen"/>
      <selection pane="bottomLeft" activeCell="F19" sqref="F19"/>
    </sheetView>
  </sheetViews>
  <sheetFormatPr defaultColWidth="9.1796875" defaultRowHeight="13" x14ac:dyDescent="0.3"/>
  <cols>
    <col min="1" max="1" width="1" style="2" customWidth="1"/>
    <col min="2" max="2" width="36" style="2" customWidth="1"/>
    <col min="3" max="4" width="12.7265625" style="2" customWidth="1"/>
    <col min="5" max="5" width="5.81640625" style="2" bestFit="1" customWidth="1"/>
    <col min="6" max="7" width="12.7265625" style="2" customWidth="1"/>
    <col min="8" max="8" width="5.81640625" style="2" bestFit="1" customWidth="1"/>
    <col min="9" max="10" width="9.7265625" style="2" customWidth="1"/>
    <col min="11" max="11" width="5.81640625" style="2" bestFit="1" customWidth="1"/>
    <col min="12" max="12" width="1.26953125" style="2" customWidth="1"/>
    <col min="13" max="16384" width="9.1796875" style="2"/>
  </cols>
  <sheetData>
    <row r="1" spans="1:12" ht="38.25" customHeight="1" x14ac:dyDescent="0.3"/>
    <row r="2" spans="1:12" ht="4.5" customHeight="1" x14ac:dyDescent="0.3"/>
    <row r="3" spans="1:12" ht="23" x14ac:dyDescent="0.5">
      <c r="B3" s="294" t="str">
        <f>Titles!F2&amp;" Portfolio Results Detail"</f>
        <v>2016 Portfolio Results Detail</v>
      </c>
      <c r="C3" s="294"/>
      <c r="D3" s="294"/>
      <c r="E3" s="294"/>
      <c r="F3" s="294"/>
      <c r="G3" s="294"/>
      <c r="H3" s="294"/>
      <c r="I3" s="294"/>
      <c r="J3" s="294"/>
      <c r="K3" s="294"/>
    </row>
    <row r="4" spans="1:12" ht="4.5" customHeight="1" thickBot="1" x14ac:dyDescent="0.35">
      <c r="C4" s="4"/>
      <c r="D4" s="4"/>
      <c r="E4" s="4"/>
      <c r="F4" s="4"/>
      <c r="G4" s="4"/>
      <c r="H4" s="4"/>
      <c r="I4" s="4"/>
      <c r="J4" s="4"/>
      <c r="K4" s="4"/>
    </row>
    <row r="5" spans="1:12" ht="14.25" customHeight="1" thickBot="1" x14ac:dyDescent="0.35">
      <c r="C5" s="295" t="s">
        <v>57</v>
      </c>
      <c r="D5" s="296"/>
      <c r="E5" s="297"/>
      <c r="F5" s="295" t="str">
        <f>"Savings ("&amp;Titles!B24&amp;")"</f>
        <v>Savings (kWh)</v>
      </c>
      <c r="G5" s="296"/>
      <c r="H5" s="297"/>
      <c r="I5" s="295" t="s">
        <v>49</v>
      </c>
      <c r="J5" s="296"/>
      <c r="K5" s="297"/>
    </row>
    <row r="6" spans="1:12" ht="17.25" customHeight="1" thickBot="1" x14ac:dyDescent="0.35">
      <c r="A6" s="1"/>
      <c r="B6" s="204" t="s">
        <v>278</v>
      </c>
      <c r="C6" s="235" t="s">
        <v>169</v>
      </c>
      <c r="D6" s="201" t="s">
        <v>170</v>
      </c>
      <c r="E6" s="202" t="s">
        <v>205</v>
      </c>
      <c r="F6" s="200" t="s">
        <v>175</v>
      </c>
      <c r="G6" s="201" t="s">
        <v>176</v>
      </c>
      <c r="H6" s="202" t="s">
        <v>205</v>
      </c>
      <c r="I6" s="200" t="s">
        <v>175</v>
      </c>
      <c r="J6" s="201" t="s">
        <v>170</v>
      </c>
      <c r="K6" s="202" t="s">
        <v>205</v>
      </c>
      <c r="L6" s="1"/>
    </row>
    <row r="7" spans="1:12" x14ac:dyDescent="0.3">
      <c r="B7" s="203" t="str">
        <f>Tables!B30</f>
        <v xml:space="preserve">Entergy </v>
      </c>
      <c r="C7" s="236">
        <f>Tables!C30</f>
        <v>224638.8</v>
      </c>
      <c r="D7" s="222">
        <f>Tables!D30</f>
        <v>186665</v>
      </c>
      <c r="E7" s="223">
        <f>IF(ISERROR(D7/C7),"-",D7/C7)</f>
        <v>0.83095618388274872</v>
      </c>
      <c r="F7" s="224">
        <f>Tables!E30</f>
        <v>0</v>
      </c>
      <c r="G7" s="225">
        <f>Tables!F30</f>
        <v>0</v>
      </c>
      <c r="H7" s="223" t="str">
        <f t="shared" ref="H7:H13" si="0">IF(ISERROR(G7/F7),"-",G7/F7)</f>
        <v>-</v>
      </c>
      <c r="I7" s="224">
        <f>Tables!G30</f>
        <v>0</v>
      </c>
      <c r="J7" s="225">
        <f>Tables!H30</f>
        <v>0</v>
      </c>
      <c r="K7" s="223" t="str">
        <f t="shared" ref="K7:K13" si="1">IF(ISERROR(J7/I7),"-",J7/I7)</f>
        <v>-</v>
      </c>
      <c r="L7" s="1"/>
    </row>
    <row r="8" spans="1:12" x14ac:dyDescent="0.3">
      <c r="B8" s="199" t="str">
        <f>Tables!B31</f>
        <v>SWEPCO</v>
      </c>
      <c r="C8" s="234">
        <f>Tables!C31</f>
        <v>34147.43</v>
      </c>
      <c r="D8" s="176">
        <f>Tables!D31</f>
        <v>28375</v>
      </c>
      <c r="E8" s="197">
        <f>IF(ISERROR(D8/C8),"-",D8/C8)</f>
        <v>0.83095565317799902</v>
      </c>
      <c r="F8" s="198">
        <f>Tables!E31</f>
        <v>0</v>
      </c>
      <c r="G8" s="177">
        <f>Tables!F31</f>
        <v>0</v>
      </c>
      <c r="H8" s="197" t="str">
        <f t="shared" si="0"/>
        <v>-</v>
      </c>
      <c r="I8" s="198">
        <f>Tables!G31</f>
        <v>0</v>
      </c>
      <c r="J8" s="177">
        <f>Tables!H31</f>
        <v>0</v>
      </c>
      <c r="K8" s="197" t="str">
        <f t="shared" si="1"/>
        <v>-</v>
      </c>
      <c r="L8" s="1"/>
    </row>
    <row r="9" spans="1:12" x14ac:dyDescent="0.3">
      <c r="B9" s="199" t="str">
        <f>Tables!B32</f>
        <v>OG&amp;E</v>
      </c>
      <c r="C9" s="234">
        <f>Tables!C32</f>
        <v>18319.259999999998</v>
      </c>
      <c r="D9" s="176">
        <f>Tables!D32</f>
        <v>15222</v>
      </c>
      <c r="E9" s="197">
        <f>IF(ISERROR(D9/C9),"-",D9/C9)</f>
        <v>0.83092876022284745</v>
      </c>
      <c r="F9" s="198">
        <f>Tables!E32</f>
        <v>0</v>
      </c>
      <c r="G9" s="177">
        <f>Tables!F32</f>
        <v>0</v>
      </c>
      <c r="H9" s="197" t="str">
        <f t="shared" si="0"/>
        <v>-</v>
      </c>
      <c r="I9" s="198">
        <f>Tables!G32</f>
        <v>0</v>
      </c>
      <c r="J9" s="177">
        <f>Tables!H32</f>
        <v>0</v>
      </c>
      <c r="K9" s="197" t="str">
        <f t="shared" si="1"/>
        <v>-</v>
      </c>
      <c r="L9" s="1"/>
    </row>
    <row r="10" spans="1:12" x14ac:dyDescent="0.3">
      <c r="B10" s="199" t="str">
        <f>Tables!B33</f>
        <v>Empire</v>
      </c>
      <c r="C10" s="234">
        <f>Tables!C33</f>
        <v>1262.52</v>
      </c>
      <c r="D10" s="176">
        <f>Tables!D33</f>
        <v>1049</v>
      </c>
      <c r="E10" s="197">
        <f>IF(ISERROR(D10/C10),"-",D10/C10)</f>
        <v>0.83087792668630989</v>
      </c>
      <c r="F10" s="198">
        <f>Tables!E33</f>
        <v>0</v>
      </c>
      <c r="G10" s="177">
        <f>Tables!F33</f>
        <v>0</v>
      </c>
      <c r="H10" s="197" t="str">
        <f t="shared" si="0"/>
        <v>-</v>
      </c>
      <c r="I10" s="198">
        <f>Tables!G33</f>
        <v>0</v>
      </c>
      <c r="J10" s="177">
        <f>Tables!H33</f>
        <v>0</v>
      </c>
      <c r="K10" s="197" t="str">
        <f t="shared" si="1"/>
        <v>-</v>
      </c>
      <c r="L10" s="1"/>
    </row>
    <row r="11" spans="1:12" x14ac:dyDescent="0.3">
      <c r="B11" s="199"/>
      <c r="C11" s="234"/>
      <c r="D11" s="176"/>
      <c r="E11" s="197" t="str">
        <f>IF(ISERROR(D11/C11),"-",D11/C11)</f>
        <v>-</v>
      </c>
      <c r="F11" s="198"/>
      <c r="G11" s="177"/>
      <c r="H11" s="197" t="str">
        <f t="shared" si="0"/>
        <v>-</v>
      </c>
      <c r="I11" s="198"/>
      <c r="J11" s="177"/>
      <c r="K11" s="197" t="str">
        <f t="shared" si="1"/>
        <v>-</v>
      </c>
      <c r="L11" s="1"/>
    </row>
    <row r="12" spans="1:12" ht="13.5" thickBot="1" x14ac:dyDescent="0.35">
      <c r="B12" s="237" t="str">
        <f>Budgets!H19</f>
        <v>Regulatory</v>
      </c>
      <c r="C12" s="233">
        <v>0</v>
      </c>
      <c r="D12" s="218">
        <v>0</v>
      </c>
      <c r="E12" s="219"/>
      <c r="F12" s="220"/>
      <c r="G12" s="221"/>
      <c r="H12" s="219"/>
      <c r="I12" s="220"/>
      <c r="J12" s="221"/>
      <c r="K12" s="219"/>
    </row>
    <row r="13" spans="1:12" ht="13.5" thickBot="1" x14ac:dyDescent="0.35">
      <c r="B13" s="4"/>
      <c r="C13" s="226">
        <f>SUM(C7:C12)</f>
        <v>278368.01</v>
      </c>
      <c r="D13" s="227">
        <f>SUM(D7:D12)</f>
        <v>231311</v>
      </c>
      <c r="E13" s="228">
        <f>IF(ISERROR(D13/C13),"-",D13/C13)</f>
        <v>0.83095395911333347</v>
      </c>
      <c r="F13" s="229">
        <f>SUM(F7:F11)</f>
        <v>0</v>
      </c>
      <c r="G13" s="230">
        <f>SUM(G7:G11)</f>
        <v>0</v>
      </c>
      <c r="H13" s="228" t="str">
        <f t="shared" si="0"/>
        <v>-</v>
      </c>
      <c r="I13" s="229">
        <f>SUM(I7:I11)</f>
        <v>0</v>
      </c>
      <c r="J13" s="230">
        <f>SUM(J7:J11)</f>
        <v>0</v>
      </c>
      <c r="K13" s="228" t="str">
        <f t="shared" si="1"/>
        <v>-</v>
      </c>
    </row>
  </sheetData>
  <sheetProtection formatColumns="0" formatRows="0"/>
  <mergeCells count="4">
    <mergeCell ref="B3:K3"/>
    <mergeCell ref="C5:E5"/>
    <mergeCell ref="I5:K5"/>
    <mergeCell ref="F5:H5"/>
  </mergeCells>
  <pageMargins left="0.25" right="0.25" top="0.75" bottom="0.75" header="0.3" footer="0.3"/>
  <pageSetup scale="75"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showGridLines="0" zoomScale="85" zoomScaleNormal="85" workbookViewId="0">
      <pane ySplit="1" topLeftCell="A5" activePane="bottomLeft" state="frozen"/>
      <selection pane="bottomLeft"/>
    </sheetView>
  </sheetViews>
  <sheetFormatPr defaultColWidth="9.1796875" defaultRowHeight="13" x14ac:dyDescent="0.3"/>
  <cols>
    <col min="1" max="1" width="1" style="2" customWidth="1"/>
    <col min="2" max="2" width="36" style="2" customWidth="1"/>
    <col min="3" max="4" width="12.7265625" style="2" customWidth="1"/>
    <col min="5" max="5" width="5.81640625" style="2" bestFit="1" customWidth="1"/>
    <col min="6" max="7" width="12.7265625" style="2" customWidth="1"/>
    <col min="8" max="8" width="5.81640625" style="2" bestFit="1" customWidth="1"/>
    <col min="9" max="10" width="9.7265625" style="2" customWidth="1"/>
    <col min="11" max="11" width="5.81640625" style="2" bestFit="1" customWidth="1"/>
    <col min="12" max="12" width="1.26953125" style="2" customWidth="1"/>
    <col min="13" max="16384" width="9.1796875" style="2"/>
  </cols>
  <sheetData>
    <row r="1" spans="1:12" ht="38.25" customHeight="1" x14ac:dyDescent="0.3"/>
    <row r="2" spans="1:12" ht="4.5" customHeight="1" x14ac:dyDescent="0.3"/>
    <row r="3" spans="1:12" ht="23" x14ac:dyDescent="0.5">
      <c r="B3" s="294" t="str">
        <f>Titles!F2&amp;" Portfolio Results Detail"</f>
        <v>2016 Portfolio Results Detail</v>
      </c>
      <c r="C3" s="294"/>
      <c r="D3" s="294"/>
      <c r="E3" s="294"/>
      <c r="F3" s="294"/>
      <c r="G3" s="294"/>
      <c r="H3" s="294"/>
      <c r="I3" s="294"/>
      <c r="J3" s="294"/>
      <c r="K3" s="294"/>
    </row>
    <row r="4" spans="1:12" ht="4.5" customHeight="1" thickBot="1" x14ac:dyDescent="0.35">
      <c r="C4" s="4"/>
      <c r="D4" s="4"/>
      <c r="E4" s="4"/>
      <c r="F4" s="4"/>
      <c r="G4" s="4"/>
      <c r="H4" s="4"/>
      <c r="I4" s="4"/>
      <c r="J4" s="4"/>
      <c r="K4" s="4"/>
    </row>
    <row r="5" spans="1:12" ht="14.25" customHeight="1" thickBot="1" x14ac:dyDescent="0.35">
      <c r="C5" s="295" t="s">
        <v>57</v>
      </c>
      <c r="D5" s="296"/>
      <c r="E5" s="297"/>
      <c r="F5" s="295" t="str">
        <f>"Savings ("&amp;Titles!B25&amp;")"</f>
        <v>Savings (Therms)</v>
      </c>
      <c r="G5" s="296"/>
      <c r="H5" s="297"/>
      <c r="I5" s="295" t="s">
        <v>49</v>
      </c>
      <c r="J5" s="296"/>
      <c r="K5" s="297"/>
    </row>
    <row r="6" spans="1:12" ht="17.25" customHeight="1" thickBot="1" x14ac:dyDescent="0.35">
      <c r="A6" s="1"/>
      <c r="B6" s="204" t="s">
        <v>279</v>
      </c>
      <c r="C6" s="235" t="s">
        <v>169</v>
      </c>
      <c r="D6" s="201" t="s">
        <v>170</v>
      </c>
      <c r="E6" s="202" t="s">
        <v>205</v>
      </c>
      <c r="F6" s="200" t="s">
        <v>175</v>
      </c>
      <c r="G6" s="201" t="s">
        <v>176</v>
      </c>
      <c r="H6" s="202" t="s">
        <v>205</v>
      </c>
      <c r="I6" s="200" t="s">
        <v>175</v>
      </c>
      <c r="J6" s="201" t="s">
        <v>170</v>
      </c>
      <c r="K6" s="202" t="s">
        <v>205</v>
      </c>
      <c r="L6" s="1"/>
    </row>
    <row r="7" spans="1:12" x14ac:dyDescent="0.3">
      <c r="B7" s="203" t="str">
        <f>Tables!B34</f>
        <v>CenterPoint</v>
      </c>
      <c r="C7" s="236">
        <f>Tables!C34</f>
        <v>106304.23</v>
      </c>
      <c r="D7" s="222">
        <f>Tables!D34</f>
        <v>88334</v>
      </c>
      <c r="E7" s="223">
        <f>IF(ISERROR(D7/C7),"-",D7/C7)</f>
        <v>0.83095470424836348</v>
      </c>
      <c r="F7" s="224">
        <f>Tables!E34</f>
        <v>0</v>
      </c>
      <c r="G7" s="225">
        <f>Tables!F34</f>
        <v>0</v>
      </c>
      <c r="H7" s="223" t="str">
        <f t="shared" ref="H7:H12" si="0">IF(ISERROR(G7/F7),"-",G7/F7)</f>
        <v>-</v>
      </c>
      <c r="I7" s="224">
        <f>Tables!G34</f>
        <v>0</v>
      </c>
      <c r="J7" s="225">
        <f>Tables!H34</f>
        <v>0</v>
      </c>
      <c r="K7" s="223" t="str">
        <f t="shared" ref="K7:K12" si="1">IF(ISERROR(J7/I7),"-",J7/I7)</f>
        <v>-</v>
      </c>
      <c r="L7" s="1"/>
    </row>
    <row r="8" spans="1:12" x14ac:dyDescent="0.3">
      <c r="B8" s="203" t="str">
        <f>Tables!B35</f>
        <v>Black Hills</v>
      </c>
      <c r="C8" s="234">
        <f>Tables!C35</f>
        <v>38772.81</v>
      </c>
      <c r="D8" s="176">
        <f>Tables!D35</f>
        <v>32219</v>
      </c>
      <c r="E8" s="197">
        <f>IF(ISERROR(D8/C8),"-",D8/C8)</f>
        <v>0.83096891868296374</v>
      </c>
      <c r="F8" s="198">
        <f>Tables!E35</f>
        <v>0</v>
      </c>
      <c r="G8" s="177">
        <f>Tables!F35</f>
        <v>0</v>
      </c>
      <c r="H8" s="197" t="str">
        <f t="shared" si="0"/>
        <v>-</v>
      </c>
      <c r="I8" s="198">
        <f>Tables!G35</f>
        <v>0</v>
      </c>
      <c r="J8" s="177">
        <f>Tables!H35</f>
        <v>0</v>
      </c>
      <c r="K8" s="197" t="str">
        <f t="shared" si="1"/>
        <v>-</v>
      </c>
      <c r="L8" s="1"/>
    </row>
    <row r="9" spans="1:12" x14ac:dyDescent="0.3">
      <c r="B9" s="203" t="str">
        <f>Tables!B36</f>
        <v>AOG</v>
      </c>
      <c r="C9" s="234">
        <f>Tables!C36</f>
        <v>11759.92</v>
      </c>
      <c r="D9" s="176">
        <f>Tables!D36</f>
        <v>9772</v>
      </c>
      <c r="E9" s="197">
        <f>IF(ISERROR(D9/C9),"-",D9/C9)</f>
        <v>0.8309580337281206</v>
      </c>
      <c r="F9" s="198">
        <f>Tables!E36</f>
        <v>0</v>
      </c>
      <c r="G9" s="177">
        <f>Tables!F36</f>
        <v>0</v>
      </c>
      <c r="H9" s="197" t="str">
        <f t="shared" si="0"/>
        <v>-</v>
      </c>
      <c r="I9" s="198">
        <f>Tables!G36</f>
        <v>0</v>
      </c>
      <c r="J9" s="177">
        <f>Tables!H36</f>
        <v>0</v>
      </c>
      <c r="K9" s="197" t="str">
        <f t="shared" si="1"/>
        <v>-</v>
      </c>
      <c r="L9" s="1"/>
    </row>
    <row r="10" spans="1:12" x14ac:dyDescent="0.3">
      <c r="B10" s="199"/>
      <c r="C10" s="234"/>
      <c r="D10" s="176"/>
      <c r="E10" s="197" t="str">
        <f>IF(ISERROR(D10/C10),"-",D10/C10)</f>
        <v>-</v>
      </c>
      <c r="F10" s="198"/>
      <c r="G10" s="177"/>
      <c r="H10" s="197" t="str">
        <f t="shared" si="0"/>
        <v>-</v>
      </c>
      <c r="I10" s="198"/>
      <c r="J10" s="177"/>
      <c r="K10" s="197" t="str">
        <f t="shared" si="1"/>
        <v>-</v>
      </c>
      <c r="L10" s="1"/>
    </row>
    <row r="11" spans="1:12" ht="13.5" thickBot="1" x14ac:dyDescent="0.35">
      <c r="B11" s="237" t="str">
        <f>Budgets!H19</f>
        <v>Regulatory</v>
      </c>
      <c r="C11" s="233">
        <f>'Table 2'!F11</f>
        <v>0</v>
      </c>
      <c r="D11" s="218">
        <f>'Table 2'!G11</f>
        <v>0</v>
      </c>
      <c r="E11" s="219"/>
      <c r="F11" s="220"/>
      <c r="G11" s="221"/>
      <c r="H11" s="219"/>
      <c r="I11" s="220"/>
      <c r="J11" s="221"/>
      <c r="K11" s="219"/>
    </row>
    <row r="12" spans="1:12" ht="13.5" thickBot="1" x14ac:dyDescent="0.35">
      <c r="B12" s="4"/>
      <c r="C12" s="226">
        <f>SUM(C7:C11)</f>
        <v>156836.96</v>
      </c>
      <c r="D12" s="227">
        <f>SUM(D7:D11)</f>
        <v>130325</v>
      </c>
      <c r="E12" s="228">
        <f>IF(ISERROR(D12/C12),"-",D12/C12)</f>
        <v>0.83095846795296213</v>
      </c>
      <c r="F12" s="229">
        <f>SUM(F7:F10)</f>
        <v>0</v>
      </c>
      <c r="G12" s="230">
        <f>SUM(G7:G10)</f>
        <v>0</v>
      </c>
      <c r="H12" s="228" t="str">
        <f t="shared" si="0"/>
        <v>-</v>
      </c>
      <c r="I12" s="229">
        <f>SUM(I7:I10)</f>
        <v>0</v>
      </c>
      <c r="J12" s="230">
        <f>SUM(J7:J10)</f>
        <v>0</v>
      </c>
      <c r="K12" s="228" t="str">
        <f t="shared" si="1"/>
        <v>-</v>
      </c>
    </row>
  </sheetData>
  <sheetProtection formatColumns="0" formatRows="0"/>
  <mergeCells count="4">
    <mergeCell ref="B3:K3"/>
    <mergeCell ref="C5:E5"/>
    <mergeCell ref="F5:H5"/>
    <mergeCell ref="I5:K5"/>
  </mergeCells>
  <pageMargins left="0.25" right="0.25" top="0.75" bottom="0.75" header="0.3" footer="0.3"/>
  <pageSetup scale="7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showGridLines="0" zoomScale="75" zoomScaleNormal="75" workbookViewId="0">
      <pane xSplit="4" ySplit="1" topLeftCell="E2" activePane="bottomRight" state="frozen"/>
      <selection pane="topRight" activeCell="F1" sqref="F1"/>
      <selection pane="bottomLeft" activeCell="A2" sqref="A2"/>
      <selection pane="bottomRight" activeCell="F26" sqref="F26"/>
    </sheetView>
  </sheetViews>
  <sheetFormatPr defaultColWidth="9.1796875" defaultRowHeight="13" x14ac:dyDescent="0.3"/>
  <cols>
    <col min="1" max="1" width="1" style="2" customWidth="1"/>
    <col min="2" max="2" width="36" style="2" customWidth="1"/>
    <col min="3" max="3" width="18" style="2" customWidth="1"/>
    <col min="4" max="4" width="23" style="2" customWidth="1"/>
    <col min="5" max="5" width="11.54296875" style="2" customWidth="1"/>
    <col min="6" max="6" width="11" style="2" customWidth="1"/>
    <col min="7" max="10" width="13.7265625" style="2" customWidth="1"/>
    <col min="11" max="12" width="10.453125" style="2" bestFit="1" customWidth="1"/>
    <col min="13" max="16384" width="9.1796875" style="2"/>
  </cols>
  <sheetData>
    <row r="1" spans="1:14" ht="38.25" customHeight="1" x14ac:dyDescent="0.3"/>
    <row r="2" spans="1:14" ht="4.5" customHeight="1" x14ac:dyDescent="0.3"/>
    <row r="3" spans="1:14" ht="23" x14ac:dyDescent="0.5">
      <c r="B3" s="294" t="str">
        <f>Titles!F2&amp;" Portfolio Data"</f>
        <v>2016 Portfolio Data</v>
      </c>
      <c r="C3" s="294"/>
      <c r="D3" s="294"/>
      <c r="E3" s="294"/>
      <c r="F3" s="294"/>
      <c r="G3" s="294"/>
      <c r="H3" s="294"/>
      <c r="I3" s="294"/>
      <c r="J3" s="294"/>
      <c r="K3" s="294"/>
      <c r="L3" s="294"/>
    </row>
    <row r="4" spans="1:14" ht="4.5" customHeight="1" x14ac:dyDescent="0.3">
      <c r="E4" s="4"/>
      <c r="F4" s="4"/>
      <c r="G4" s="4"/>
      <c r="H4" s="4"/>
      <c r="I4" s="4"/>
      <c r="J4" s="4"/>
      <c r="K4" s="4"/>
      <c r="L4" s="4"/>
    </row>
    <row r="5" spans="1:14" ht="15.75" customHeight="1" x14ac:dyDescent="0.3">
      <c r="E5" s="298" t="s">
        <v>114</v>
      </c>
      <c r="F5" s="298"/>
      <c r="G5" s="298" t="str">
        <f>"Energy Savings ("&amp;Titles!B24&amp;")"</f>
        <v>Energy Savings (kWh)</v>
      </c>
      <c r="H5" s="298"/>
      <c r="I5" s="298" t="str">
        <f>"Demand Savings ("&amp;Titles!B28&amp;")"</f>
        <v>Demand Savings (kW)</v>
      </c>
      <c r="J5" s="298"/>
      <c r="K5" s="298" t="s">
        <v>49</v>
      </c>
      <c r="L5" s="298"/>
      <c r="N5" s="238"/>
    </row>
    <row r="6" spans="1:14" x14ac:dyDescent="0.3">
      <c r="A6" s="1"/>
      <c r="B6" s="216" t="s">
        <v>278</v>
      </c>
      <c r="C6" s="216" t="s">
        <v>68</v>
      </c>
      <c r="D6" s="216" t="s">
        <v>1</v>
      </c>
      <c r="E6" s="216" t="s">
        <v>169</v>
      </c>
      <c r="F6" s="216" t="s">
        <v>170</v>
      </c>
      <c r="G6" s="216" t="s">
        <v>175</v>
      </c>
      <c r="H6" s="216" t="s">
        <v>176</v>
      </c>
      <c r="I6" s="216" t="s">
        <v>175</v>
      </c>
      <c r="J6" s="216" t="s">
        <v>176</v>
      </c>
      <c r="K6" s="216" t="s">
        <v>175</v>
      </c>
      <c r="L6" s="216" t="s">
        <v>170</v>
      </c>
      <c r="M6" s="240"/>
      <c r="N6" s="240"/>
    </row>
    <row r="7" spans="1:14" x14ac:dyDescent="0.3">
      <c r="B7" s="217" t="str">
        <f>Data!B4</f>
        <v xml:space="preserve">Entergy </v>
      </c>
      <c r="C7" s="217" t="str">
        <f>Data!C4</f>
        <v>All Classes</v>
      </c>
      <c r="D7" s="217" t="str">
        <f>Data!D4</f>
        <v>Behavior/Education</v>
      </c>
      <c r="E7" s="176">
        <f>Data!J4</f>
        <v>224638.8</v>
      </c>
      <c r="F7" s="176">
        <f>Data!J16</f>
        <v>186665</v>
      </c>
      <c r="G7" s="177">
        <f>Data!L4</f>
        <v>0</v>
      </c>
      <c r="H7" s="177">
        <f>Data!L16</f>
        <v>0</v>
      </c>
      <c r="I7" s="177">
        <f>Data!K4</f>
        <v>0</v>
      </c>
      <c r="J7" s="177">
        <f>Data!K16</f>
        <v>0</v>
      </c>
      <c r="K7" s="177">
        <f>Data!M4</f>
        <v>0</v>
      </c>
      <c r="L7" s="177">
        <f>Data!M16</f>
        <v>0</v>
      </c>
      <c r="M7" s="239"/>
    </row>
    <row r="8" spans="1:14" x14ac:dyDescent="0.3">
      <c r="B8" s="217" t="str">
        <f>Data!B5</f>
        <v>SWEPCO</v>
      </c>
      <c r="C8" s="217" t="str">
        <f>Data!C5</f>
        <v>All Classes</v>
      </c>
      <c r="D8" s="217" t="str">
        <f>Data!D5</f>
        <v>Behavior/Education</v>
      </c>
      <c r="E8" s="176">
        <f>Data!J5</f>
        <v>34147.43</v>
      </c>
      <c r="F8" s="176">
        <f>Data!J17</f>
        <v>28375</v>
      </c>
      <c r="G8" s="177">
        <f>Data!L5</f>
        <v>0</v>
      </c>
      <c r="H8" s="177">
        <f>Data!L17</f>
        <v>0</v>
      </c>
      <c r="I8" s="177">
        <f>Data!K5</f>
        <v>0</v>
      </c>
      <c r="J8" s="177">
        <f>Data!K17</f>
        <v>0</v>
      </c>
      <c r="K8" s="177">
        <f>Data!M5</f>
        <v>0</v>
      </c>
      <c r="L8" s="177">
        <f>Data!M17</f>
        <v>0</v>
      </c>
      <c r="M8" s="239"/>
    </row>
    <row r="9" spans="1:14" x14ac:dyDescent="0.3">
      <c r="B9" s="217" t="str">
        <f>Data!B6</f>
        <v>OG&amp;E</v>
      </c>
      <c r="C9" s="217" t="str">
        <f>Data!C6</f>
        <v>All Classes</v>
      </c>
      <c r="D9" s="217" t="str">
        <f>Data!D6</f>
        <v>Behavior/Education</v>
      </c>
      <c r="E9" s="176">
        <f>Data!J6</f>
        <v>18319.259999999998</v>
      </c>
      <c r="F9" s="176">
        <f>Data!J18</f>
        <v>15222</v>
      </c>
      <c r="G9" s="177">
        <f>Data!L6</f>
        <v>0</v>
      </c>
      <c r="H9" s="177">
        <f>Data!L18</f>
        <v>0</v>
      </c>
      <c r="I9" s="177">
        <f>Data!K6</f>
        <v>0</v>
      </c>
      <c r="J9" s="177">
        <f>Data!K18</f>
        <v>0</v>
      </c>
      <c r="K9" s="177">
        <f>Data!M6</f>
        <v>0</v>
      </c>
      <c r="L9" s="177">
        <f>Data!M18</f>
        <v>0</v>
      </c>
      <c r="M9" s="239"/>
    </row>
    <row r="10" spans="1:14" x14ac:dyDescent="0.3">
      <c r="B10" s="217" t="str">
        <f>Data!B7</f>
        <v>Empire</v>
      </c>
      <c r="C10" s="217" t="str">
        <f>Data!C7</f>
        <v>All Classes</v>
      </c>
      <c r="D10" s="217" t="str">
        <f>Data!D7</f>
        <v>Behavior/Education</v>
      </c>
      <c r="E10" s="176">
        <f>Data!J7</f>
        <v>1262.52</v>
      </c>
      <c r="F10" s="176">
        <f>Data!J19</f>
        <v>1049</v>
      </c>
      <c r="G10" s="177">
        <f>Data!L7</f>
        <v>0</v>
      </c>
      <c r="H10" s="177">
        <f>Data!L19</f>
        <v>0</v>
      </c>
      <c r="I10" s="177">
        <f>Data!K7</f>
        <v>0</v>
      </c>
      <c r="J10" s="177">
        <f>Data!K19</f>
        <v>0</v>
      </c>
      <c r="K10" s="177">
        <f>Data!M7</f>
        <v>0</v>
      </c>
      <c r="L10" s="177">
        <f>Data!M19</f>
        <v>0</v>
      </c>
      <c r="M10" s="239"/>
    </row>
    <row r="11" spans="1:14" x14ac:dyDescent="0.3">
      <c r="B11" s="255"/>
      <c r="C11" s="255"/>
      <c r="D11" s="255"/>
      <c r="E11" s="256"/>
      <c r="F11" s="256"/>
      <c r="G11" s="257"/>
      <c r="H11" s="257"/>
      <c r="I11" s="257"/>
      <c r="J11" s="257"/>
      <c r="K11" s="257"/>
      <c r="L11" s="257"/>
      <c r="M11" s="239"/>
    </row>
    <row r="12" spans="1:14" x14ac:dyDescent="0.3">
      <c r="B12" s="255"/>
      <c r="C12" s="255"/>
      <c r="D12" s="255"/>
      <c r="E12" s="256"/>
      <c r="F12" s="256"/>
      <c r="G12" s="257"/>
      <c r="H12" s="257"/>
      <c r="I12" s="257"/>
      <c r="J12" s="257"/>
      <c r="K12" s="257"/>
      <c r="L12" s="257"/>
      <c r="M12" s="239"/>
    </row>
    <row r="13" spans="1:14" x14ac:dyDescent="0.3">
      <c r="B13" s="255"/>
      <c r="C13" s="255"/>
      <c r="D13" s="255"/>
      <c r="E13" s="298" t="s">
        <v>114</v>
      </c>
      <c r="F13" s="298"/>
      <c r="G13" s="298" t="str">
        <f>"Energy Savings ("&amp;Titles!B25&amp;")"</f>
        <v>Energy Savings (Therms)</v>
      </c>
      <c r="H13" s="298"/>
      <c r="I13" s="298" t="str">
        <f>"Demand Savings ("&amp;Titles!B29&amp;")"</f>
        <v>Demand Savings (Therms)</v>
      </c>
      <c r="J13" s="298"/>
      <c r="K13" s="298" t="s">
        <v>49</v>
      </c>
      <c r="L13" s="298"/>
      <c r="M13" s="239"/>
    </row>
    <row r="14" spans="1:14" x14ac:dyDescent="0.3">
      <c r="B14" s="216" t="s">
        <v>279</v>
      </c>
      <c r="C14" s="216" t="s">
        <v>68</v>
      </c>
      <c r="D14" s="216" t="s">
        <v>1</v>
      </c>
      <c r="E14" s="216" t="s">
        <v>169</v>
      </c>
      <c r="F14" s="216" t="s">
        <v>170</v>
      </c>
      <c r="G14" s="216" t="s">
        <v>175</v>
      </c>
      <c r="H14" s="216" t="s">
        <v>176</v>
      </c>
      <c r="I14" s="216" t="s">
        <v>175</v>
      </c>
      <c r="J14" s="216" t="s">
        <v>176</v>
      </c>
      <c r="K14" s="216" t="s">
        <v>175</v>
      </c>
      <c r="L14" s="216" t="s">
        <v>170</v>
      </c>
      <c r="M14" s="239"/>
    </row>
    <row r="15" spans="1:14" x14ac:dyDescent="0.3">
      <c r="B15" s="217" t="str">
        <f>Data!B8</f>
        <v>CenterPoint</v>
      </c>
      <c r="C15" s="217" t="str">
        <f>Data!C8</f>
        <v>All Classes</v>
      </c>
      <c r="D15" s="217" t="str">
        <f>Data!D8</f>
        <v>Behavior/Education</v>
      </c>
      <c r="E15" s="176">
        <f>Data!J8</f>
        <v>106304.23</v>
      </c>
      <c r="F15" s="176">
        <f>Data!J20</f>
        <v>88334</v>
      </c>
      <c r="G15" s="177">
        <f>Data!L8</f>
        <v>0</v>
      </c>
      <c r="H15" s="177">
        <f>Data!L20</f>
        <v>0</v>
      </c>
      <c r="I15" s="177">
        <f>Data!K8</f>
        <v>0</v>
      </c>
      <c r="J15" s="177">
        <f>Data!K20</f>
        <v>0</v>
      </c>
      <c r="K15" s="177">
        <f>Data!M8</f>
        <v>0</v>
      </c>
      <c r="L15" s="177">
        <f>Data!M20</f>
        <v>0</v>
      </c>
      <c r="M15" s="239"/>
    </row>
    <row r="16" spans="1:14" x14ac:dyDescent="0.3">
      <c r="B16" s="217" t="str">
        <f>Data!B9</f>
        <v>Black Hills</v>
      </c>
      <c r="C16" s="217" t="str">
        <f>Data!C9</f>
        <v>All Classes</v>
      </c>
      <c r="D16" s="217" t="str">
        <f>Data!D9</f>
        <v>Behavior/Education</v>
      </c>
      <c r="E16" s="176">
        <f>Data!J9</f>
        <v>38772.81</v>
      </c>
      <c r="F16" s="176">
        <f>Data!J21</f>
        <v>32219</v>
      </c>
      <c r="G16" s="177">
        <f>Data!L9</f>
        <v>0</v>
      </c>
      <c r="H16" s="177">
        <f>Data!L21</f>
        <v>0</v>
      </c>
      <c r="I16" s="177">
        <f>Data!K9</f>
        <v>0</v>
      </c>
      <c r="J16" s="177">
        <f>Data!K21</f>
        <v>0</v>
      </c>
      <c r="K16" s="177">
        <f>Data!M9</f>
        <v>0</v>
      </c>
      <c r="L16" s="177">
        <f>Data!M21</f>
        <v>0</v>
      </c>
      <c r="M16" s="239"/>
    </row>
    <row r="17" spans="2:13" x14ac:dyDescent="0.3">
      <c r="B17" s="217" t="str">
        <f>Data!B10</f>
        <v>AOG</v>
      </c>
      <c r="C17" s="217" t="str">
        <f>Data!C10</f>
        <v>All Classes</v>
      </c>
      <c r="D17" s="217" t="str">
        <f>Data!D10</f>
        <v>Behavior/Education</v>
      </c>
      <c r="E17" s="176">
        <f>Data!J10</f>
        <v>11759.92</v>
      </c>
      <c r="F17" s="176">
        <f>Data!J22</f>
        <v>9772</v>
      </c>
      <c r="G17" s="177">
        <f>Data!L10</f>
        <v>0</v>
      </c>
      <c r="H17" s="177">
        <f>Data!L22</f>
        <v>0</v>
      </c>
      <c r="I17" s="177">
        <f>Data!K10</f>
        <v>0</v>
      </c>
      <c r="J17" s="177">
        <f>Data!K22</f>
        <v>0</v>
      </c>
      <c r="K17" s="177">
        <f>Data!M10</f>
        <v>0</v>
      </c>
      <c r="L17" s="177">
        <f>Data!M22</f>
        <v>0</v>
      </c>
      <c r="M17" s="239"/>
    </row>
  </sheetData>
  <sheetProtection formatColumns="0" formatRows="0"/>
  <mergeCells count="9">
    <mergeCell ref="E13:F13"/>
    <mergeCell ref="G13:H13"/>
    <mergeCell ref="I13:J13"/>
    <mergeCell ref="K13:L13"/>
    <mergeCell ref="B3:L3"/>
    <mergeCell ref="E5:F5"/>
    <mergeCell ref="G5:H5"/>
    <mergeCell ref="K5:L5"/>
    <mergeCell ref="I5:J5"/>
  </mergeCells>
  <pageMargins left="0.5" right="0.5" top="0.75" bottom="0.75" header="0.3" footer="0.3"/>
  <pageSetup scale="70" orientation="landscape" r:id="rId1"/>
  <colBreaks count="1" manualBreakCount="1">
    <brk id="4"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0"/>
  <sheetViews>
    <sheetView showGridLines="0" workbookViewId="0">
      <pane ySplit="1" topLeftCell="A2" activePane="bottomLeft" state="frozen"/>
      <selection pane="bottomLeft" activeCell="C59" sqref="C59:G59"/>
    </sheetView>
  </sheetViews>
  <sheetFormatPr defaultColWidth="9.1796875" defaultRowHeight="13" x14ac:dyDescent="0.3"/>
  <cols>
    <col min="1" max="1" width="1" style="2" customWidth="1"/>
    <col min="2" max="2" width="4" style="2" customWidth="1"/>
    <col min="3" max="3" width="35.7265625" style="2" customWidth="1"/>
    <col min="4" max="7" width="13.7265625" style="2" customWidth="1"/>
    <col min="8" max="9" width="10.7265625" style="2" customWidth="1"/>
    <col min="10" max="10" width="9" style="2" customWidth="1"/>
    <col min="11" max="11" width="8.1796875" style="2" customWidth="1"/>
    <col min="12" max="12" width="1" style="2" customWidth="1"/>
    <col min="13" max="16384" width="9.1796875" style="2"/>
  </cols>
  <sheetData>
    <row r="1" spans="2:11" ht="38.25" customHeight="1" x14ac:dyDescent="0.3"/>
    <row r="2" spans="2:11" ht="13.5" thickBot="1" x14ac:dyDescent="0.35">
      <c r="B2" s="10"/>
      <c r="C2" s="11"/>
      <c r="D2" s="11"/>
      <c r="E2" s="11"/>
      <c r="F2" s="11"/>
      <c r="G2" s="11"/>
      <c r="H2" s="11"/>
      <c r="I2" s="11"/>
      <c r="J2" s="11"/>
      <c r="K2" s="12"/>
    </row>
    <row r="3" spans="2:11" x14ac:dyDescent="0.3">
      <c r="B3" s="3"/>
      <c r="C3" s="4"/>
      <c r="D3" s="275">
        <f>Titles!F2-1</f>
        <v>2015</v>
      </c>
      <c r="E3" s="276"/>
      <c r="F3" s="275">
        <f>D3+1</f>
        <v>2016</v>
      </c>
      <c r="G3" s="276"/>
      <c r="H3" s="4"/>
      <c r="I3" s="4"/>
      <c r="J3" s="4"/>
      <c r="K3" s="5"/>
    </row>
    <row r="4" spans="2:11" ht="12.75" customHeight="1" x14ac:dyDescent="0.35">
      <c r="B4" s="36"/>
      <c r="C4" s="62" t="s">
        <v>174</v>
      </c>
      <c r="D4" s="146" t="s">
        <v>169</v>
      </c>
      <c r="E4" s="147" t="s">
        <v>170</v>
      </c>
      <c r="F4" s="146" t="s">
        <v>169</v>
      </c>
      <c r="G4" s="147" t="s">
        <v>170</v>
      </c>
      <c r="H4" s="62"/>
      <c r="I4" s="62"/>
      <c r="J4" s="62"/>
      <c r="K4" s="5"/>
    </row>
    <row r="5" spans="2:11" ht="12.75" customHeight="1" x14ac:dyDescent="0.35">
      <c r="B5" s="13"/>
      <c r="C5" s="247" t="str">
        <f>'Program Descriptions'!C5</f>
        <v>Electric Utilities</v>
      </c>
      <c r="D5" s="249"/>
      <c r="E5" s="248"/>
      <c r="F5" s="249"/>
      <c r="G5" s="248"/>
      <c r="H5" s="62"/>
      <c r="I5" s="62"/>
      <c r="J5" s="62"/>
      <c r="K5" s="5"/>
    </row>
    <row r="6" spans="2:11" ht="12.75" customHeight="1" x14ac:dyDescent="0.35">
      <c r="B6" s="13">
        <v>1</v>
      </c>
      <c r="C6" s="15" t="str">
        <f>'Program Descriptions'!C6</f>
        <v xml:space="preserve">Entergy </v>
      </c>
      <c r="D6" s="205">
        <f>'Prior Years'!F6</f>
        <v>224639</v>
      </c>
      <c r="E6" s="206">
        <f>'Prior Years'!G6</f>
        <v>408086</v>
      </c>
      <c r="F6" s="205">
        <f>Data!J4</f>
        <v>224638.8</v>
      </c>
      <c r="G6" s="206">
        <f>Data!J16</f>
        <v>186665</v>
      </c>
      <c r="H6" s="62"/>
      <c r="I6" s="62"/>
      <c r="J6" s="62"/>
      <c r="K6" s="5"/>
    </row>
    <row r="7" spans="2:11" ht="12.75" customHeight="1" x14ac:dyDescent="0.35">
      <c r="B7" s="13">
        <v>2</v>
      </c>
      <c r="C7" s="15" t="str">
        <f>'Program Descriptions'!C7</f>
        <v>SWEPCO</v>
      </c>
      <c r="D7" s="205">
        <f>'Prior Years'!F7</f>
        <v>34147</v>
      </c>
      <c r="E7" s="206">
        <f>'Prior Years'!G7</f>
        <v>62033</v>
      </c>
      <c r="F7" s="205">
        <f>Data!J5</f>
        <v>34147.43</v>
      </c>
      <c r="G7" s="206">
        <f>Data!J17</f>
        <v>28375</v>
      </c>
      <c r="H7" s="62"/>
      <c r="I7" s="62"/>
      <c r="J7" s="62"/>
      <c r="K7" s="5"/>
    </row>
    <row r="8" spans="2:11" ht="12.75" customHeight="1" x14ac:dyDescent="0.35">
      <c r="B8" s="13">
        <v>3</v>
      </c>
      <c r="C8" s="15" t="str">
        <f>'Program Descriptions'!C8</f>
        <v>OG&amp;E</v>
      </c>
      <c r="D8" s="205">
        <f>'Prior Years'!F8</f>
        <v>18319</v>
      </c>
      <c r="E8" s="206">
        <f>'Prior Years'!G8</f>
        <v>33279</v>
      </c>
      <c r="F8" s="205">
        <f>Data!J6</f>
        <v>18319.259999999998</v>
      </c>
      <c r="G8" s="206">
        <f>Data!J18</f>
        <v>15222</v>
      </c>
      <c r="H8" s="62"/>
      <c r="I8" s="62"/>
      <c r="J8" s="62"/>
      <c r="K8" s="5"/>
    </row>
    <row r="9" spans="2:11" ht="12.75" customHeight="1" x14ac:dyDescent="0.35">
      <c r="B9" s="13">
        <v>4</v>
      </c>
      <c r="C9" s="15" t="str">
        <f>'Program Descriptions'!C9</f>
        <v>Empire</v>
      </c>
      <c r="D9" s="205">
        <f>'Prior Years'!F9</f>
        <v>1263</v>
      </c>
      <c r="E9" s="206">
        <f>'Prior Years'!G9</f>
        <v>2294</v>
      </c>
      <c r="F9" s="205">
        <f>Data!J7</f>
        <v>1262.52</v>
      </c>
      <c r="G9" s="206">
        <f>Data!J19</f>
        <v>1049</v>
      </c>
      <c r="H9" s="62"/>
      <c r="I9" s="62"/>
      <c r="J9" s="62"/>
      <c r="K9" s="5"/>
    </row>
    <row r="10" spans="2:11" ht="12.75" customHeight="1" x14ac:dyDescent="0.35">
      <c r="B10" s="13"/>
      <c r="C10" s="145" t="s">
        <v>33</v>
      </c>
      <c r="D10" s="205">
        <f>'Prior Years'!F10</f>
        <v>0</v>
      </c>
      <c r="E10" s="206">
        <f>'Prior Years'!G10</f>
        <v>0</v>
      </c>
      <c r="F10" s="205">
        <f>'Table 1'!F12</f>
        <v>0</v>
      </c>
      <c r="G10" s="206">
        <f>'Table 1'!G12</f>
        <v>0</v>
      </c>
      <c r="H10" s="62"/>
      <c r="I10" s="62"/>
      <c r="J10" s="62"/>
      <c r="K10" s="5"/>
    </row>
    <row r="11" spans="2:11" ht="12.75" customHeight="1" x14ac:dyDescent="0.35">
      <c r="B11" s="13"/>
      <c r="C11" s="145"/>
      <c r="D11" s="249"/>
      <c r="E11" s="248"/>
      <c r="F11" s="249"/>
      <c r="G11" s="248"/>
      <c r="H11" s="62"/>
      <c r="I11" s="62"/>
      <c r="J11" s="62"/>
      <c r="K11" s="5"/>
    </row>
    <row r="12" spans="2:11" ht="12.75" customHeight="1" x14ac:dyDescent="0.35">
      <c r="B12" s="13"/>
      <c r="C12" s="247" t="str">
        <f>'Program Descriptions'!C11</f>
        <v>Natural Gas Utilities</v>
      </c>
      <c r="D12" s="249"/>
      <c r="E12" s="248"/>
      <c r="F12" s="249"/>
      <c r="G12" s="248"/>
      <c r="H12" s="62"/>
      <c r="I12" s="62"/>
      <c r="J12" s="62"/>
      <c r="K12" s="5"/>
    </row>
    <row r="13" spans="2:11" ht="12.75" customHeight="1" x14ac:dyDescent="0.35">
      <c r="B13" s="13">
        <v>1</v>
      </c>
      <c r="C13" s="15" t="str">
        <f>'Program Descriptions'!C12</f>
        <v>CenterPoint</v>
      </c>
      <c r="D13" s="205">
        <f>'Prior Years'!F13</f>
        <v>106304</v>
      </c>
      <c r="E13" s="206">
        <f>'Prior Years'!G13</f>
        <v>193116</v>
      </c>
      <c r="F13" s="205">
        <f>Data!J8</f>
        <v>106304.23</v>
      </c>
      <c r="G13" s="206">
        <f>Data!J20</f>
        <v>88334</v>
      </c>
      <c r="H13" s="62"/>
      <c r="I13" s="62"/>
      <c r="J13" s="62"/>
      <c r="K13" s="5"/>
    </row>
    <row r="14" spans="2:11" ht="12.75" customHeight="1" x14ac:dyDescent="0.35">
      <c r="B14" s="13">
        <v>2</v>
      </c>
      <c r="C14" s="15" t="str">
        <f>'Program Descriptions'!C13</f>
        <v>Black Hills</v>
      </c>
      <c r="D14" s="205">
        <f>'Prior Years'!F14</f>
        <v>38773</v>
      </c>
      <c r="E14" s="206">
        <f>'Prior Years'!G14</f>
        <v>70436</v>
      </c>
      <c r="F14" s="205">
        <f>Data!J9</f>
        <v>38772.81</v>
      </c>
      <c r="G14" s="206">
        <f>Data!J21</f>
        <v>32219</v>
      </c>
      <c r="H14" s="62"/>
      <c r="I14" s="62"/>
      <c r="J14" s="62"/>
      <c r="K14" s="5"/>
    </row>
    <row r="15" spans="2:11" ht="12.75" customHeight="1" x14ac:dyDescent="0.35">
      <c r="B15" s="13">
        <v>3</v>
      </c>
      <c r="C15" s="15" t="str">
        <f>'Program Descriptions'!C14</f>
        <v>AOG</v>
      </c>
      <c r="D15" s="205">
        <f>'Prior Years'!F15</f>
        <v>11760</v>
      </c>
      <c r="E15" s="206">
        <f>'Prior Years'!G15</f>
        <v>21363</v>
      </c>
      <c r="F15" s="205">
        <f>Data!J10</f>
        <v>11759.92</v>
      </c>
      <c r="G15" s="206">
        <f>Data!J22</f>
        <v>9772</v>
      </c>
      <c r="H15" s="62"/>
      <c r="I15" s="62"/>
      <c r="J15" s="62"/>
      <c r="K15" s="5"/>
    </row>
    <row r="16" spans="2:11" ht="12.75" customHeight="1" thickBot="1" x14ac:dyDescent="0.4">
      <c r="B16" s="13"/>
      <c r="C16" s="145" t="s">
        <v>33</v>
      </c>
      <c r="D16" s="207">
        <f>'Prior Years'!F16</f>
        <v>0</v>
      </c>
      <c r="E16" s="208">
        <f>'Prior Years'!G16</f>
        <v>0</v>
      </c>
      <c r="F16" s="207">
        <f>'Table 2'!F11</f>
        <v>0</v>
      </c>
      <c r="G16" s="208">
        <f>'Table 2'!G11</f>
        <v>0</v>
      </c>
      <c r="H16" s="62"/>
      <c r="I16" s="62"/>
      <c r="J16" s="62"/>
      <c r="K16" s="5"/>
    </row>
    <row r="17" spans="2:11" ht="12.75" customHeight="1" x14ac:dyDescent="0.35">
      <c r="B17" s="36"/>
      <c r="C17" s="144"/>
      <c r="D17" s="25"/>
      <c r="E17" s="25"/>
      <c r="F17" s="25"/>
      <c r="G17" s="25"/>
      <c r="H17" s="4"/>
      <c r="I17" s="4"/>
      <c r="J17" s="4"/>
      <c r="K17" s="5"/>
    </row>
    <row r="18" spans="2:11" ht="12.75" customHeight="1" thickBot="1" x14ac:dyDescent="0.35">
      <c r="B18" s="36"/>
      <c r="C18" s="59"/>
      <c r="D18" s="4"/>
      <c r="E18" s="4"/>
      <c r="F18" s="4"/>
      <c r="G18" s="4"/>
      <c r="H18" s="4"/>
      <c r="I18" s="4"/>
      <c r="J18" s="4"/>
      <c r="K18" s="5"/>
    </row>
    <row r="19" spans="2:11" ht="12.75" customHeight="1" x14ac:dyDescent="0.3">
      <c r="B19" s="36"/>
      <c r="C19" s="59"/>
      <c r="D19" s="275">
        <f>D3</f>
        <v>2015</v>
      </c>
      <c r="E19" s="276"/>
      <c r="F19" s="275">
        <f>F3</f>
        <v>2016</v>
      </c>
      <c r="G19" s="276"/>
      <c r="H19" s="4"/>
      <c r="I19" s="4"/>
      <c r="J19" s="4"/>
      <c r="K19" s="5"/>
    </row>
    <row r="20" spans="2:11" ht="12.75" customHeight="1" x14ac:dyDescent="0.35">
      <c r="B20" s="36"/>
      <c r="C20" s="62" t="s">
        <v>259</v>
      </c>
      <c r="D20" s="146" t="s">
        <v>175</v>
      </c>
      <c r="E20" s="147" t="s">
        <v>176</v>
      </c>
      <c r="F20" s="146" t="s">
        <v>175</v>
      </c>
      <c r="G20" s="147" t="s">
        <v>176</v>
      </c>
      <c r="H20" s="4"/>
      <c r="I20" s="4"/>
      <c r="J20" s="4"/>
      <c r="K20" s="5"/>
    </row>
    <row r="21" spans="2:11" ht="12.75" customHeight="1" x14ac:dyDescent="0.3">
      <c r="B21" s="13"/>
      <c r="C21" s="247" t="str">
        <f>C5&amp;" ("&amp;Titles!B24&amp;")"</f>
        <v>Electric Utilities (kWh)</v>
      </c>
      <c r="D21" s="249"/>
      <c r="E21" s="248"/>
      <c r="F21" s="249"/>
      <c r="G21" s="248"/>
      <c r="H21" s="4"/>
      <c r="I21" s="4"/>
      <c r="J21" s="4"/>
      <c r="K21" s="5"/>
    </row>
    <row r="22" spans="2:11" ht="12.75" customHeight="1" x14ac:dyDescent="0.3">
      <c r="B22" s="13">
        <v>1</v>
      </c>
      <c r="C22" s="59" t="str">
        <f>C6</f>
        <v xml:space="preserve">Entergy </v>
      </c>
      <c r="D22" s="209">
        <f>'Prior Years'!D22</f>
        <v>0</v>
      </c>
      <c r="E22" s="210">
        <f>'Prior Years'!E22</f>
        <v>0</v>
      </c>
      <c r="F22" s="209">
        <f>Data!L4</f>
        <v>0</v>
      </c>
      <c r="G22" s="210">
        <f>Data!L16</f>
        <v>0</v>
      </c>
      <c r="H22" s="4"/>
      <c r="I22" s="4"/>
      <c r="J22" s="4"/>
      <c r="K22" s="5"/>
    </row>
    <row r="23" spans="2:11" ht="12.75" customHeight="1" x14ac:dyDescent="0.3">
      <c r="B23" s="13">
        <v>2</v>
      </c>
      <c r="C23" s="59" t="str">
        <f>C7</f>
        <v>SWEPCO</v>
      </c>
      <c r="D23" s="209">
        <f>'Prior Years'!D23</f>
        <v>0</v>
      </c>
      <c r="E23" s="210">
        <f>'Prior Years'!E23</f>
        <v>0</v>
      </c>
      <c r="F23" s="209">
        <f>Data!L5</f>
        <v>0</v>
      </c>
      <c r="G23" s="210">
        <f>Data!L17</f>
        <v>0</v>
      </c>
      <c r="H23" s="4"/>
      <c r="I23" s="4"/>
      <c r="J23" s="4"/>
      <c r="K23" s="5"/>
    </row>
    <row r="24" spans="2:11" ht="12.75" customHeight="1" x14ac:dyDescent="0.3">
      <c r="B24" s="13">
        <v>3</v>
      </c>
      <c r="C24" s="59" t="str">
        <f>C8</f>
        <v>OG&amp;E</v>
      </c>
      <c r="D24" s="209">
        <f>'Prior Years'!D24</f>
        <v>0</v>
      </c>
      <c r="E24" s="210">
        <f>'Prior Years'!E24</f>
        <v>0</v>
      </c>
      <c r="F24" s="209">
        <f>Data!L6</f>
        <v>0</v>
      </c>
      <c r="G24" s="210">
        <f>Data!L18</f>
        <v>0</v>
      </c>
      <c r="H24" s="4"/>
      <c r="I24" s="4"/>
      <c r="J24" s="4"/>
      <c r="K24" s="5"/>
    </row>
    <row r="25" spans="2:11" ht="12.75" customHeight="1" x14ac:dyDescent="0.3">
      <c r="B25" s="13">
        <v>4</v>
      </c>
      <c r="C25" s="59" t="str">
        <f>C9</f>
        <v>Empire</v>
      </c>
      <c r="D25" s="209">
        <f>'Prior Years'!D25</f>
        <v>0</v>
      </c>
      <c r="E25" s="210">
        <f>'Prior Years'!E25</f>
        <v>0</v>
      </c>
      <c r="F25" s="209">
        <f>Data!L7</f>
        <v>0</v>
      </c>
      <c r="G25" s="210">
        <f>Data!L19</f>
        <v>0</v>
      </c>
      <c r="H25" s="4"/>
      <c r="I25" s="4"/>
      <c r="J25" s="4"/>
      <c r="K25" s="5"/>
    </row>
    <row r="26" spans="2:11" ht="12.75" customHeight="1" x14ac:dyDescent="0.3">
      <c r="B26" s="13"/>
      <c r="C26" s="59"/>
      <c r="D26" s="249"/>
      <c r="E26" s="248"/>
      <c r="F26" s="249"/>
      <c r="G26" s="248"/>
      <c r="H26" s="4"/>
      <c r="I26" s="4"/>
      <c r="J26" s="4"/>
      <c r="K26" s="5"/>
    </row>
    <row r="27" spans="2:11" ht="12.75" customHeight="1" x14ac:dyDescent="0.3">
      <c r="B27" s="13"/>
      <c r="C27" s="247" t="str">
        <f>C12&amp;" ("&amp;Titles!B25&amp;")"</f>
        <v>Natural Gas Utilities (Therms)</v>
      </c>
      <c r="D27" s="249"/>
      <c r="E27" s="248"/>
      <c r="F27" s="249"/>
      <c r="G27" s="248"/>
      <c r="H27" s="4"/>
      <c r="I27" s="4"/>
      <c r="J27" s="4"/>
      <c r="K27" s="5"/>
    </row>
    <row r="28" spans="2:11" ht="12.75" customHeight="1" x14ac:dyDescent="0.3">
      <c r="B28" s="13">
        <v>1</v>
      </c>
      <c r="C28" s="59" t="str">
        <f>C13</f>
        <v>CenterPoint</v>
      </c>
      <c r="D28" s="209">
        <f>'Prior Years'!D28</f>
        <v>0</v>
      </c>
      <c r="E28" s="210">
        <f>'Prior Years'!E28</f>
        <v>0</v>
      </c>
      <c r="F28" s="209">
        <f>Data!L8</f>
        <v>0</v>
      </c>
      <c r="G28" s="210">
        <f>Data!L20</f>
        <v>0</v>
      </c>
      <c r="H28" s="4"/>
      <c r="I28" s="4"/>
      <c r="J28" s="4"/>
      <c r="K28" s="5"/>
    </row>
    <row r="29" spans="2:11" ht="12.75" customHeight="1" x14ac:dyDescent="0.3">
      <c r="B29" s="13">
        <v>2</v>
      </c>
      <c r="C29" s="59" t="str">
        <f>C14</f>
        <v>Black Hills</v>
      </c>
      <c r="D29" s="209">
        <f>'Prior Years'!D29</f>
        <v>0</v>
      </c>
      <c r="E29" s="210">
        <f>'Prior Years'!E29</f>
        <v>0</v>
      </c>
      <c r="F29" s="209">
        <f>Data!L9</f>
        <v>0</v>
      </c>
      <c r="G29" s="210">
        <f>Data!L21</f>
        <v>0</v>
      </c>
      <c r="H29" s="4"/>
      <c r="I29" s="4"/>
      <c r="J29" s="4"/>
      <c r="K29" s="5"/>
    </row>
    <row r="30" spans="2:11" ht="12.75" customHeight="1" thickBot="1" x14ac:dyDescent="0.35">
      <c r="B30" s="13">
        <v>3</v>
      </c>
      <c r="C30" s="59" t="str">
        <f>C15</f>
        <v>AOG</v>
      </c>
      <c r="D30" s="253">
        <f>'Prior Years'!D30</f>
        <v>0</v>
      </c>
      <c r="E30" s="254">
        <f>'Prior Years'!E30</f>
        <v>0</v>
      </c>
      <c r="F30" s="253">
        <f>Data!L10</f>
        <v>0</v>
      </c>
      <c r="G30" s="254">
        <f>Data!L22</f>
        <v>0</v>
      </c>
      <c r="H30" s="4"/>
      <c r="I30" s="4"/>
      <c r="J30" s="4"/>
      <c r="K30" s="5"/>
    </row>
    <row r="31" spans="2:11" ht="12.75" customHeight="1" x14ac:dyDescent="0.35">
      <c r="B31" s="36"/>
      <c r="C31" s="144"/>
      <c r="D31" s="148"/>
      <c r="E31" s="148"/>
      <c r="F31" s="148"/>
      <c r="G31" s="148"/>
      <c r="H31" s="4"/>
      <c r="I31" s="4"/>
      <c r="J31" s="4"/>
      <c r="K31" s="5"/>
    </row>
    <row r="32" spans="2:11" ht="12.75" customHeight="1" thickBot="1" x14ac:dyDescent="0.35">
      <c r="B32" s="36"/>
      <c r="C32" s="59"/>
      <c r="D32" s="4"/>
      <c r="E32" s="4"/>
      <c r="F32" s="4"/>
      <c r="G32" s="4"/>
      <c r="H32" s="4"/>
      <c r="I32" s="4"/>
      <c r="J32" s="4"/>
      <c r="K32" s="5"/>
    </row>
    <row r="33" spans="2:11" ht="12.75" customHeight="1" x14ac:dyDescent="0.3">
      <c r="B33" s="36"/>
      <c r="C33" s="59"/>
      <c r="D33" s="275">
        <f>D19</f>
        <v>2015</v>
      </c>
      <c r="E33" s="276"/>
      <c r="F33" s="275">
        <f>F19</f>
        <v>2016</v>
      </c>
      <c r="G33" s="276"/>
      <c r="H33" s="4"/>
      <c r="I33" s="4"/>
      <c r="J33" s="4"/>
      <c r="K33" s="5"/>
    </row>
    <row r="34" spans="2:11" ht="12.75" customHeight="1" x14ac:dyDescent="0.35">
      <c r="B34" s="36"/>
      <c r="C34" s="62" t="s">
        <v>260</v>
      </c>
      <c r="D34" s="146" t="s">
        <v>175</v>
      </c>
      <c r="E34" s="147" t="s">
        <v>176</v>
      </c>
      <c r="F34" s="146" t="s">
        <v>175</v>
      </c>
      <c r="G34" s="147" t="s">
        <v>176</v>
      </c>
      <c r="H34" s="4"/>
      <c r="I34" s="4"/>
      <c r="J34" s="4"/>
      <c r="K34" s="5"/>
    </row>
    <row r="35" spans="2:11" ht="12.75" customHeight="1" x14ac:dyDescent="0.3">
      <c r="B35" s="13"/>
      <c r="C35" s="247" t="str">
        <f>C5&amp;" ("&amp;Titles!B28&amp;")"</f>
        <v>Electric Utilities (kW)</v>
      </c>
      <c r="D35" s="249"/>
      <c r="E35" s="248"/>
      <c r="F35" s="249"/>
      <c r="G35" s="248"/>
      <c r="H35" s="4"/>
      <c r="I35" s="4"/>
      <c r="J35" s="4"/>
      <c r="K35" s="5"/>
    </row>
    <row r="36" spans="2:11" ht="12.75" customHeight="1" x14ac:dyDescent="0.3">
      <c r="B36" s="13">
        <v>1</v>
      </c>
      <c r="C36" s="59" t="str">
        <f>C22</f>
        <v xml:space="preserve">Entergy </v>
      </c>
      <c r="D36" s="209">
        <f>'Prior Years'!F36</f>
        <v>0</v>
      </c>
      <c r="E36" s="210">
        <f>'Prior Years'!G36</f>
        <v>0</v>
      </c>
      <c r="F36" s="209">
        <f>Data!K4</f>
        <v>0</v>
      </c>
      <c r="G36" s="210">
        <f>Data!K16</f>
        <v>0</v>
      </c>
      <c r="H36" s="4"/>
      <c r="I36" s="4"/>
      <c r="J36" s="4"/>
      <c r="K36" s="5"/>
    </row>
    <row r="37" spans="2:11" ht="12.75" customHeight="1" x14ac:dyDescent="0.3">
      <c r="B37" s="13">
        <v>2</v>
      </c>
      <c r="C37" s="59" t="str">
        <f>C23</f>
        <v>SWEPCO</v>
      </c>
      <c r="D37" s="209">
        <f>'Prior Years'!F37</f>
        <v>0</v>
      </c>
      <c r="E37" s="210">
        <f>'Prior Years'!G37</f>
        <v>0</v>
      </c>
      <c r="F37" s="209">
        <f>Data!K5</f>
        <v>0</v>
      </c>
      <c r="G37" s="210">
        <f>Data!K17</f>
        <v>0</v>
      </c>
      <c r="H37" s="4"/>
      <c r="I37" s="4"/>
      <c r="J37" s="4"/>
      <c r="K37" s="5"/>
    </row>
    <row r="38" spans="2:11" ht="12.75" customHeight="1" x14ac:dyDescent="0.3">
      <c r="B38" s="13">
        <v>3</v>
      </c>
      <c r="C38" s="59" t="str">
        <f>C24</f>
        <v>OG&amp;E</v>
      </c>
      <c r="D38" s="209">
        <f>'Prior Years'!F38</f>
        <v>0</v>
      </c>
      <c r="E38" s="210">
        <f>'Prior Years'!G38</f>
        <v>0</v>
      </c>
      <c r="F38" s="209">
        <f>Data!K6</f>
        <v>0</v>
      </c>
      <c r="G38" s="210">
        <f>Data!K18</f>
        <v>0</v>
      </c>
      <c r="H38" s="4"/>
      <c r="I38" s="4"/>
      <c r="J38" s="4"/>
      <c r="K38" s="5"/>
    </row>
    <row r="39" spans="2:11" ht="12.75" customHeight="1" x14ac:dyDescent="0.3">
      <c r="B39" s="13">
        <v>4</v>
      </c>
      <c r="C39" s="59" t="str">
        <f>C25</f>
        <v>Empire</v>
      </c>
      <c r="D39" s="209">
        <f>'Prior Years'!F39</f>
        <v>0</v>
      </c>
      <c r="E39" s="210">
        <f>'Prior Years'!G39</f>
        <v>0</v>
      </c>
      <c r="F39" s="209">
        <f>Data!K7</f>
        <v>0</v>
      </c>
      <c r="G39" s="210">
        <f>Data!K19</f>
        <v>0</v>
      </c>
      <c r="H39" s="4"/>
      <c r="I39" s="4"/>
      <c r="J39" s="4"/>
      <c r="K39" s="5"/>
    </row>
    <row r="40" spans="2:11" ht="12.75" customHeight="1" x14ac:dyDescent="0.3">
      <c r="B40" s="13"/>
      <c r="C40" s="59"/>
      <c r="D40" s="249"/>
      <c r="E40" s="248"/>
      <c r="F40" s="249"/>
      <c r="G40" s="248"/>
      <c r="H40" s="4"/>
      <c r="I40" s="4"/>
      <c r="J40" s="4"/>
      <c r="K40" s="5"/>
    </row>
    <row r="41" spans="2:11" ht="12.75" customHeight="1" x14ac:dyDescent="0.3">
      <c r="B41" s="13"/>
      <c r="C41" s="247" t="str">
        <f>C12&amp;" ("&amp;Titles!B29&amp;")"</f>
        <v>Natural Gas Utilities (Therms)</v>
      </c>
      <c r="D41" s="249"/>
      <c r="E41" s="248"/>
      <c r="F41" s="249"/>
      <c r="G41" s="248"/>
      <c r="H41" s="4"/>
      <c r="I41" s="4"/>
      <c r="J41" s="4"/>
      <c r="K41" s="5"/>
    </row>
    <row r="42" spans="2:11" ht="12.75" customHeight="1" x14ac:dyDescent="0.3">
      <c r="B42" s="13">
        <v>1</v>
      </c>
      <c r="C42" s="59" t="str">
        <f>C28</f>
        <v>CenterPoint</v>
      </c>
      <c r="D42" s="209">
        <f>'Prior Years'!F42</f>
        <v>0</v>
      </c>
      <c r="E42" s="210">
        <f>'Prior Years'!G42</f>
        <v>0</v>
      </c>
      <c r="F42" s="209">
        <f>Data!K8</f>
        <v>0</v>
      </c>
      <c r="G42" s="210">
        <f>Data!K20</f>
        <v>0</v>
      </c>
      <c r="H42" s="4"/>
      <c r="I42" s="4"/>
      <c r="J42" s="4"/>
      <c r="K42" s="5"/>
    </row>
    <row r="43" spans="2:11" ht="12.75" customHeight="1" x14ac:dyDescent="0.3">
      <c r="B43" s="13">
        <v>2</v>
      </c>
      <c r="C43" s="59" t="str">
        <f>C29</f>
        <v>Black Hills</v>
      </c>
      <c r="D43" s="209">
        <f>'Prior Years'!F43</f>
        <v>0</v>
      </c>
      <c r="E43" s="210">
        <f>'Prior Years'!G43</f>
        <v>0</v>
      </c>
      <c r="F43" s="209">
        <f>Data!K9</f>
        <v>0</v>
      </c>
      <c r="G43" s="210">
        <f>Data!K21</f>
        <v>0</v>
      </c>
      <c r="H43" s="4"/>
      <c r="I43" s="4"/>
      <c r="J43" s="4"/>
      <c r="K43" s="5"/>
    </row>
    <row r="44" spans="2:11" ht="12.75" customHeight="1" thickBot="1" x14ac:dyDescent="0.35">
      <c r="B44" s="13">
        <v>3</v>
      </c>
      <c r="C44" s="59" t="str">
        <f>C30</f>
        <v>AOG</v>
      </c>
      <c r="D44" s="253">
        <f>'Prior Years'!F44</f>
        <v>0</v>
      </c>
      <c r="E44" s="254">
        <f>'Prior Years'!G44</f>
        <v>0</v>
      </c>
      <c r="F44" s="253">
        <f>Data!K10</f>
        <v>0</v>
      </c>
      <c r="G44" s="254">
        <f>Data!K22</f>
        <v>0</v>
      </c>
      <c r="H44" s="4"/>
      <c r="I44" s="4"/>
      <c r="J44" s="4"/>
      <c r="K44" s="5"/>
    </row>
    <row r="45" spans="2:11" ht="12.75" customHeight="1" x14ac:dyDescent="0.35">
      <c r="B45" s="36"/>
      <c r="C45" s="144"/>
      <c r="D45" s="148"/>
      <c r="E45" s="148"/>
      <c r="F45" s="148"/>
      <c r="G45" s="148"/>
      <c r="H45" s="4"/>
      <c r="I45" s="4"/>
      <c r="J45" s="4"/>
      <c r="K45" s="5"/>
    </row>
    <row r="46" spans="2:11" ht="12.75" customHeight="1" thickBot="1" x14ac:dyDescent="0.35">
      <c r="B46" s="36"/>
      <c r="C46" s="59"/>
      <c r="D46" s="4"/>
      <c r="E46" s="4"/>
      <c r="F46" s="4"/>
      <c r="G46" s="4"/>
      <c r="H46" s="4"/>
      <c r="I46" s="4"/>
      <c r="J46" s="4"/>
      <c r="K46" s="5"/>
    </row>
    <row r="47" spans="2:11" ht="12.75" customHeight="1" x14ac:dyDescent="0.3">
      <c r="B47" s="36"/>
      <c r="C47" s="59"/>
      <c r="D47" s="275">
        <f>D33</f>
        <v>2015</v>
      </c>
      <c r="E47" s="276"/>
      <c r="F47" s="275">
        <f>F33</f>
        <v>2016</v>
      </c>
      <c r="G47" s="276"/>
      <c r="H47" s="4"/>
      <c r="I47" s="4"/>
      <c r="J47" s="4"/>
      <c r="K47" s="5"/>
    </row>
    <row r="48" spans="2:11" ht="12.75" customHeight="1" x14ac:dyDescent="0.35">
      <c r="B48" s="36"/>
      <c r="C48" s="62" t="s">
        <v>177</v>
      </c>
      <c r="D48" s="146" t="s">
        <v>175</v>
      </c>
      <c r="E48" s="147" t="s">
        <v>176</v>
      </c>
      <c r="F48" s="146" t="s">
        <v>175</v>
      </c>
      <c r="G48" s="147" t="s">
        <v>176</v>
      </c>
      <c r="H48" s="4"/>
      <c r="I48" s="4"/>
      <c r="J48" s="4"/>
      <c r="K48" s="5"/>
    </row>
    <row r="49" spans="2:11" ht="12.75" customHeight="1" x14ac:dyDescent="0.3">
      <c r="B49" s="13"/>
      <c r="C49" s="59" t="str">
        <f>C5</f>
        <v>Electric Utilities</v>
      </c>
      <c r="D49" s="249"/>
      <c r="E49" s="248"/>
      <c r="F49" s="249"/>
      <c r="G49" s="248"/>
      <c r="H49" s="4"/>
      <c r="I49" s="4"/>
      <c r="J49" s="4"/>
      <c r="K49" s="5"/>
    </row>
    <row r="50" spans="2:11" ht="12.75" customHeight="1" x14ac:dyDescent="0.3">
      <c r="B50" s="13">
        <v>1</v>
      </c>
      <c r="C50" s="59" t="str">
        <f>C6</f>
        <v xml:space="preserve">Entergy </v>
      </c>
      <c r="D50" s="209">
        <f>'Prior Years'!F50</f>
        <v>0</v>
      </c>
      <c r="E50" s="210">
        <f>'Prior Years'!G50</f>
        <v>0</v>
      </c>
      <c r="F50" s="209">
        <f>Data!M4</f>
        <v>0</v>
      </c>
      <c r="G50" s="210">
        <f>Data!M16</f>
        <v>0</v>
      </c>
      <c r="H50" s="4"/>
      <c r="I50" s="4"/>
      <c r="J50" s="4"/>
      <c r="K50" s="5"/>
    </row>
    <row r="51" spans="2:11" ht="12.75" customHeight="1" x14ac:dyDescent="0.3">
      <c r="B51" s="13">
        <v>2</v>
      </c>
      <c r="C51" s="59" t="str">
        <f>C7</f>
        <v>SWEPCO</v>
      </c>
      <c r="D51" s="209">
        <f>'Prior Years'!F51</f>
        <v>0</v>
      </c>
      <c r="E51" s="210">
        <f>'Prior Years'!G51</f>
        <v>0</v>
      </c>
      <c r="F51" s="209">
        <f>Data!M5</f>
        <v>0</v>
      </c>
      <c r="G51" s="210">
        <f>Data!M17</f>
        <v>0</v>
      </c>
      <c r="H51" s="4"/>
      <c r="I51" s="4"/>
      <c r="J51" s="4"/>
      <c r="K51" s="5"/>
    </row>
    <row r="52" spans="2:11" ht="12.75" customHeight="1" x14ac:dyDescent="0.3">
      <c r="B52" s="13">
        <v>3</v>
      </c>
      <c r="C52" s="59" t="str">
        <f>C8</f>
        <v>OG&amp;E</v>
      </c>
      <c r="D52" s="209">
        <f>'Prior Years'!F52</f>
        <v>0</v>
      </c>
      <c r="E52" s="210">
        <f>'Prior Years'!G52</f>
        <v>0</v>
      </c>
      <c r="F52" s="209">
        <f>Data!M6</f>
        <v>0</v>
      </c>
      <c r="G52" s="210">
        <f>Data!M18</f>
        <v>0</v>
      </c>
      <c r="H52" s="4"/>
      <c r="I52" s="4"/>
      <c r="J52" s="4"/>
      <c r="K52" s="5"/>
    </row>
    <row r="53" spans="2:11" ht="12.75" customHeight="1" x14ac:dyDescent="0.3">
      <c r="B53" s="13">
        <v>4</v>
      </c>
      <c r="C53" s="59" t="str">
        <f>C9</f>
        <v>Empire</v>
      </c>
      <c r="D53" s="209">
        <f>'Prior Years'!F53</f>
        <v>0</v>
      </c>
      <c r="E53" s="210">
        <f>'Prior Years'!G53</f>
        <v>0</v>
      </c>
      <c r="F53" s="209">
        <f>Data!M7</f>
        <v>0</v>
      </c>
      <c r="G53" s="210">
        <f>Data!M19</f>
        <v>0</v>
      </c>
      <c r="H53" s="4"/>
      <c r="I53" s="4"/>
      <c r="J53" s="4"/>
      <c r="K53" s="5"/>
    </row>
    <row r="54" spans="2:11" ht="12.75" customHeight="1" x14ac:dyDescent="0.3">
      <c r="B54" s="13"/>
      <c r="C54" s="59"/>
      <c r="D54" s="249"/>
      <c r="E54" s="248"/>
      <c r="F54" s="249"/>
      <c r="G54" s="248"/>
      <c r="H54" s="4"/>
      <c r="I54" s="4"/>
      <c r="J54" s="4"/>
      <c r="K54" s="5"/>
    </row>
    <row r="55" spans="2:11" ht="12.75" customHeight="1" x14ac:dyDescent="0.3">
      <c r="B55" s="13"/>
      <c r="C55" s="59" t="str">
        <f>C12</f>
        <v>Natural Gas Utilities</v>
      </c>
      <c r="D55" s="249"/>
      <c r="E55" s="248"/>
      <c r="F55" s="249"/>
      <c r="G55" s="248"/>
      <c r="H55" s="4"/>
      <c r="I55" s="4"/>
      <c r="J55" s="4"/>
      <c r="K55" s="5"/>
    </row>
    <row r="56" spans="2:11" ht="12.75" customHeight="1" x14ac:dyDescent="0.3">
      <c r="B56" s="13">
        <v>1</v>
      </c>
      <c r="C56" s="59" t="str">
        <f>C13</f>
        <v>CenterPoint</v>
      </c>
      <c r="D56" s="209">
        <f>'Prior Years'!F56</f>
        <v>0</v>
      </c>
      <c r="E56" s="210">
        <f>'Prior Years'!G56</f>
        <v>0</v>
      </c>
      <c r="F56" s="209">
        <f>Data!M8</f>
        <v>0</v>
      </c>
      <c r="G56" s="210">
        <f>Data!M20</f>
        <v>0</v>
      </c>
      <c r="H56" s="4"/>
      <c r="I56" s="4"/>
      <c r="J56" s="4"/>
      <c r="K56" s="5"/>
    </row>
    <row r="57" spans="2:11" ht="12.75" customHeight="1" x14ac:dyDescent="0.3">
      <c r="B57" s="13">
        <v>2</v>
      </c>
      <c r="C57" s="59" t="str">
        <f>C14</f>
        <v>Black Hills</v>
      </c>
      <c r="D57" s="209">
        <f>'Prior Years'!F57</f>
        <v>0</v>
      </c>
      <c r="E57" s="210">
        <f>'Prior Years'!G57</f>
        <v>0</v>
      </c>
      <c r="F57" s="209">
        <f>Data!M9</f>
        <v>0</v>
      </c>
      <c r="G57" s="210">
        <f>Data!M21</f>
        <v>0</v>
      </c>
      <c r="H57" s="4"/>
      <c r="I57" s="4"/>
      <c r="J57" s="4"/>
      <c r="K57" s="5"/>
    </row>
    <row r="58" spans="2:11" ht="12.75" customHeight="1" thickBot="1" x14ac:dyDescent="0.35">
      <c r="B58" s="13">
        <v>3</v>
      </c>
      <c r="C58" s="59" t="str">
        <f>C15</f>
        <v>AOG</v>
      </c>
      <c r="D58" s="253">
        <f>'Prior Years'!F58</f>
        <v>0</v>
      </c>
      <c r="E58" s="254">
        <f>'Prior Years'!G58</f>
        <v>0</v>
      </c>
      <c r="F58" s="253">
        <f>Data!M10</f>
        <v>0</v>
      </c>
      <c r="G58" s="254">
        <f>Data!M22</f>
        <v>0</v>
      </c>
      <c r="H58" s="4"/>
      <c r="I58" s="4"/>
      <c r="J58" s="4"/>
      <c r="K58" s="5"/>
    </row>
    <row r="59" spans="2:11" ht="12.75" customHeight="1" x14ac:dyDescent="0.35">
      <c r="B59" s="36"/>
      <c r="C59" s="144"/>
      <c r="D59" s="148"/>
      <c r="E59" s="148"/>
      <c r="F59" s="148"/>
      <c r="G59" s="148"/>
      <c r="H59" s="4"/>
      <c r="I59" s="4"/>
      <c r="J59" s="4"/>
      <c r="K59" s="5"/>
    </row>
    <row r="60" spans="2:11" ht="12.75" customHeight="1" x14ac:dyDescent="0.3">
      <c r="B60" s="6"/>
      <c r="C60" s="7"/>
      <c r="D60" s="7"/>
      <c r="E60" s="7"/>
      <c r="F60" s="7"/>
      <c r="G60" s="7"/>
      <c r="H60" s="7"/>
      <c r="I60" s="7"/>
      <c r="J60" s="7"/>
      <c r="K60" s="8"/>
    </row>
  </sheetData>
  <mergeCells count="8">
    <mergeCell ref="D47:E47"/>
    <mergeCell ref="F47:G47"/>
    <mergeCell ref="D3:E3"/>
    <mergeCell ref="F3:G3"/>
    <mergeCell ref="D19:E19"/>
    <mergeCell ref="F19:G19"/>
    <mergeCell ref="D33:E33"/>
    <mergeCell ref="F33:G33"/>
  </mergeCells>
  <pageMargins left="0.25" right="0.25" top="0.5" bottom="0.5" header="0.3" footer="0.3"/>
  <pageSetup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B9" sqref="B9"/>
    </sheetView>
  </sheetViews>
  <sheetFormatPr defaultRowHeight="12.5" x14ac:dyDescent="0.25"/>
  <cols>
    <col min="2" max="2" width="20.26953125" bestFit="1" customWidth="1"/>
    <col min="3" max="3" width="28.26953125" customWidth="1"/>
    <col min="5" max="5" width="10.1796875" customWidth="1"/>
    <col min="6" max="6" width="47.54296875" bestFit="1" customWidth="1"/>
  </cols>
  <sheetData>
    <row r="1" spans="1:6" x14ac:dyDescent="0.25">
      <c r="A1" s="1" t="s">
        <v>25</v>
      </c>
      <c r="B1" s="1" t="s">
        <v>34</v>
      </c>
      <c r="E1" s="1" t="s">
        <v>2</v>
      </c>
      <c r="F1" s="61" t="str">
        <f>'Utility Information'!D5</f>
        <v>Energy Efficiency Arkansas</v>
      </c>
    </row>
    <row r="2" spans="1:6" x14ac:dyDescent="0.25">
      <c r="A2">
        <v>1</v>
      </c>
      <c r="B2" s="1" t="s">
        <v>250</v>
      </c>
      <c r="E2" s="1" t="s">
        <v>29</v>
      </c>
      <c r="F2" s="61">
        <f>'Utility Information'!D6</f>
        <v>2016</v>
      </c>
    </row>
    <row r="3" spans="1:6" x14ac:dyDescent="0.25">
      <c r="A3">
        <v>2</v>
      </c>
      <c r="B3" s="1" t="s">
        <v>26</v>
      </c>
      <c r="F3" s="61"/>
    </row>
    <row r="4" spans="1:6" x14ac:dyDescent="0.25">
      <c r="A4">
        <v>3</v>
      </c>
      <c r="B4" s="1" t="s">
        <v>27</v>
      </c>
      <c r="E4" s="1" t="s">
        <v>30</v>
      </c>
      <c r="F4" s="61" t="str">
        <f>F1&amp;" - "&amp;F2&amp;" "&amp;B1</f>
        <v>Energy Efficiency Arkansas - 2016 EE Portfolio Information</v>
      </c>
    </row>
    <row r="5" spans="1:6" x14ac:dyDescent="0.25">
      <c r="A5">
        <v>4</v>
      </c>
      <c r="B5" s="1" t="s">
        <v>28</v>
      </c>
      <c r="E5" s="1" t="s">
        <v>31</v>
      </c>
      <c r="F5" s="61" t="str">
        <f>F1&amp;" - "&amp;F2&amp;" "&amp;B11</f>
        <v>Energy Efficiency Arkansas - 2016 Program Year Evaluation</v>
      </c>
    </row>
    <row r="6" spans="1:6" x14ac:dyDescent="0.25">
      <c r="A6">
        <v>5</v>
      </c>
      <c r="B6" s="1" t="s">
        <v>14</v>
      </c>
    </row>
    <row r="7" spans="1:6" x14ac:dyDescent="0.25">
      <c r="A7">
        <v>6</v>
      </c>
      <c r="B7" s="1" t="s">
        <v>251</v>
      </c>
      <c r="E7" s="1" t="s">
        <v>165</v>
      </c>
      <c r="F7" t="str">
        <f>F2&amp;" "&amp;B1</f>
        <v>2016 EE Portfolio Information</v>
      </c>
    </row>
    <row r="8" spans="1:6" x14ac:dyDescent="0.25">
      <c r="E8" s="1" t="s">
        <v>166</v>
      </c>
      <c r="F8" t="str">
        <f>F2&amp;" "&amp;B11</f>
        <v>2016 Program Year Evaluation</v>
      </c>
    </row>
    <row r="9" spans="1:6" x14ac:dyDescent="0.25">
      <c r="E9" s="1" t="s">
        <v>167</v>
      </c>
      <c r="F9" t="str">
        <f>F2-2&amp;" &amp; "&amp;F2-1&amp;" Data"</f>
        <v>2014 &amp; 2015 Data</v>
      </c>
    </row>
    <row r="11" spans="1:6" ht="13" x14ac:dyDescent="0.3">
      <c r="A11" s="1" t="s">
        <v>25</v>
      </c>
      <c r="B11" s="1" t="s">
        <v>35</v>
      </c>
      <c r="E11" s="108"/>
    </row>
    <row r="12" spans="1:6" x14ac:dyDescent="0.25">
      <c r="A12">
        <v>1</v>
      </c>
      <c r="B12" s="1" t="s">
        <v>124</v>
      </c>
      <c r="E12" s="1"/>
    </row>
    <row r="13" spans="1:6" x14ac:dyDescent="0.25">
      <c r="A13">
        <v>2</v>
      </c>
      <c r="B13" s="1" t="s">
        <v>36</v>
      </c>
      <c r="E13" s="1"/>
    </row>
    <row r="14" spans="1:6" x14ac:dyDescent="0.25">
      <c r="A14">
        <v>3</v>
      </c>
      <c r="B14" s="1" t="s">
        <v>251</v>
      </c>
      <c r="E14" s="1"/>
    </row>
    <row r="15" spans="1:6" x14ac:dyDescent="0.25">
      <c r="A15">
        <v>4</v>
      </c>
      <c r="B15" s="1" t="s">
        <v>251</v>
      </c>
      <c r="E15" s="1"/>
    </row>
    <row r="16" spans="1:6" x14ac:dyDescent="0.25">
      <c r="A16">
        <v>5</v>
      </c>
      <c r="B16" s="1" t="s">
        <v>251</v>
      </c>
      <c r="C16" s="1"/>
    </row>
    <row r="17" spans="1:3" x14ac:dyDescent="0.25">
      <c r="A17">
        <v>6</v>
      </c>
      <c r="B17" s="1" t="s">
        <v>251</v>
      </c>
      <c r="C17" s="1"/>
    </row>
    <row r="19" spans="1:3" x14ac:dyDescent="0.25">
      <c r="B19" s="1" t="s">
        <v>37</v>
      </c>
    </row>
    <row r="20" spans="1:3" x14ac:dyDescent="0.25">
      <c r="B20" s="1" t="s">
        <v>17</v>
      </c>
    </row>
    <row r="21" spans="1:3" x14ac:dyDescent="0.25">
      <c r="B21" s="1" t="s">
        <v>38</v>
      </c>
    </row>
    <row r="23" spans="1:3" x14ac:dyDescent="0.25">
      <c r="B23" s="1" t="s">
        <v>39</v>
      </c>
    </row>
    <row r="24" spans="1:3" x14ac:dyDescent="0.25">
      <c r="B24" s="1" t="s">
        <v>6</v>
      </c>
    </row>
    <row r="25" spans="1:3" x14ac:dyDescent="0.25">
      <c r="B25" s="1" t="s">
        <v>18</v>
      </c>
    </row>
    <row r="27" spans="1:3" x14ac:dyDescent="0.25">
      <c r="B27" s="1" t="s">
        <v>16</v>
      </c>
    </row>
    <row r="28" spans="1:3" x14ac:dyDescent="0.25">
      <c r="B28" s="1" t="s">
        <v>5</v>
      </c>
    </row>
    <row r="29" spans="1:3" x14ac:dyDescent="0.25">
      <c r="B29" s="1" t="s">
        <v>18</v>
      </c>
    </row>
  </sheetData>
  <phoneticPr fontId="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9"/>
  <sheetViews>
    <sheetView showGridLines="0" workbookViewId="0">
      <pane ySplit="2" topLeftCell="A3" activePane="bottomLeft" state="frozen"/>
      <selection pane="bottomLeft" activeCell="E11" sqref="E11"/>
    </sheetView>
  </sheetViews>
  <sheetFormatPr defaultColWidth="9.1796875" defaultRowHeight="13" x14ac:dyDescent="0.3"/>
  <cols>
    <col min="1" max="1" width="1" style="2" customWidth="1"/>
    <col min="2" max="2" width="3.7265625" style="2" customWidth="1"/>
    <col min="3" max="3" width="26" style="2" bestFit="1" customWidth="1"/>
    <col min="4" max="4" width="30.81640625" style="2" customWidth="1"/>
    <col min="5" max="5" width="9.1796875" style="2"/>
    <col min="6" max="6" width="11.453125" style="2" customWidth="1"/>
    <col min="7" max="10" width="9.1796875" style="2"/>
    <col min="11" max="11" width="15.26953125" style="2" customWidth="1"/>
    <col min="12" max="12" width="1" style="2" customWidth="1"/>
    <col min="13" max="13" width="16" style="2" customWidth="1"/>
    <col min="14" max="16384" width="9.1796875" style="2"/>
  </cols>
  <sheetData>
    <row r="1" spans="2:11" ht="28.5" customHeight="1" x14ac:dyDescent="0.3"/>
    <row r="2" spans="2:11" s="9" customFormat="1" ht="64.5" customHeight="1" x14ac:dyDescent="0.3">
      <c r="B2" s="18"/>
      <c r="C2" s="19"/>
      <c r="D2" s="19"/>
      <c r="E2" s="19"/>
      <c r="F2" s="19"/>
      <c r="G2" s="19"/>
      <c r="H2" s="19"/>
      <c r="I2" s="19"/>
      <c r="J2" s="19"/>
      <c r="K2" s="20"/>
    </row>
    <row r="3" spans="2:11" ht="7.5" customHeight="1" x14ac:dyDescent="0.3">
      <c r="B3" s="10"/>
      <c r="C3" s="11"/>
      <c r="D3" s="11"/>
      <c r="E3" s="11"/>
      <c r="F3" s="11"/>
      <c r="G3" s="11"/>
      <c r="H3" s="11"/>
      <c r="I3" s="11"/>
      <c r="J3" s="11"/>
      <c r="K3" s="12"/>
    </row>
    <row r="4" spans="2:11" ht="15" customHeight="1" x14ac:dyDescent="0.35">
      <c r="B4" s="3"/>
      <c r="C4" s="14" t="s">
        <v>252</v>
      </c>
      <c r="D4" s="4"/>
      <c r="E4" s="4"/>
      <c r="F4" s="4"/>
      <c r="G4" s="4"/>
      <c r="H4" s="4"/>
      <c r="I4" s="4"/>
      <c r="J4" s="4"/>
      <c r="K4" s="5"/>
    </row>
    <row r="5" spans="2:11" ht="15" customHeight="1" x14ac:dyDescent="0.3">
      <c r="B5" s="13">
        <v>1</v>
      </c>
      <c r="C5" s="15" t="s">
        <v>21</v>
      </c>
      <c r="D5" s="16" t="s">
        <v>296</v>
      </c>
      <c r="E5" s="4"/>
      <c r="F5" s="4"/>
      <c r="G5" s="4"/>
      <c r="H5" s="4"/>
      <c r="I5" s="4"/>
      <c r="J5" s="4"/>
      <c r="K5" s="5"/>
    </row>
    <row r="6" spans="2:11" ht="15" customHeight="1" x14ac:dyDescent="0.3">
      <c r="B6" s="13">
        <v>2</v>
      </c>
      <c r="C6" s="15" t="s">
        <v>8</v>
      </c>
      <c r="D6" s="16">
        <v>2016</v>
      </c>
      <c r="E6" s="4"/>
      <c r="F6" s="4"/>
      <c r="G6" s="4"/>
      <c r="H6" s="4"/>
      <c r="I6" s="4"/>
      <c r="J6" s="4"/>
      <c r="K6" s="5"/>
    </row>
    <row r="7" spans="2:11" ht="15" customHeight="1" x14ac:dyDescent="0.3">
      <c r="B7" s="13">
        <v>3</v>
      </c>
      <c r="C7" s="15" t="s">
        <v>9</v>
      </c>
      <c r="D7" s="16" t="s">
        <v>298</v>
      </c>
      <c r="E7" s="4"/>
      <c r="F7" s="4"/>
      <c r="G7" s="4"/>
      <c r="H7" s="4"/>
      <c r="I7" s="4"/>
      <c r="J7" s="4"/>
      <c r="K7" s="5"/>
    </row>
    <row r="8" spans="2:11" ht="15" customHeight="1" x14ac:dyDescent="0.3">
      <c r="B8" s="13">
        <v>4</v>
      </c>
      <c r="C8" s="15" t="s">
        <v>10</v>
      </c>
      <c r="D8" s="17">
        <v>42856</v>
      </c>
      <c r="E8" s="4"/>
      <c r="F8" s="4"/>
      <c r="G8" s="4"/>
      <c r="H8" s="4"/>
      <c r="I8" s="4"/>
      <c r="J8" s="4"/>
      <c r="K8" s="5"/>
    </row>
    <row r="9" spans="2:11" ht="15" customHeight="1" x14ac:dyDescent="0.3">
      <c r="B9" s="13">
        <v>5</v>
      </c>
      <c r="C9" s="15" t="s">
        <v>22</v>
      </c>
      <c r="D9" s="16" t="s">
        <v>299</v>
      </c>
      <c r="E9" s="4"/>
      <c r="F9" s="4"/>
      <c r="G9" s="4"/>
      <c r="H9" s="4"/>
      <c r="I9" s="4"/>
      <c r="J9" s="4"/>
      <c r="K9" s="5"/>
    </row>
    <row r="10" spans="2:11" ht="15" customHeight="1" x14ac:dyDescent="0.3">
      <c r="B10" s="13">
        <v>6</v>
      </c>
      <c r="C10" s="15" t="s">
        <v>23</v>
      </c>
      <c r="D10" s="16" t="s">
        <v>300</v>
      </c>
      <c r="E10" s="4"/>
      <c r="F10" s="4"/>
      <c r="G10" s="4"/>
      <c r="H10" s="4"/>
      <c r="I10" s="4"/>
      <c r="J10" s="4"/>
      <c r="K10" s="5"/>
    </row>
    <row r="11" spans="2:11" ht="15" customHeight="1" x14ac:dyDescent="0.3">
      <c r="B11" s="13">
        <v>7</v>
      </c>
      <c r="C11" s="15" t="s">
        <v>24</v>
      </c>
      <c r="D11" s="16" t="s">
        <v>301</v>
      </c>
      <c r="E11" s="4"/>
      <c r="F11" s="4"/>
      <c r="G11" s="4"/>
      <c r="H11" s="4"/>
      <c r="I11" s="4"/>
      <c r="J11" s="4"/>
      <c r="K11" s="5"/>
    </row>
    <row r="12" spans="2:11" ht="15" customHeight="1" x14ac:dyDescent="0.3">
      <c r="B12" s="6"/>
      <c r="C12" s="7"/>
      <c r="D12" s="7"/>
      <c r="E12" s="7"/>
      <c r="F12" s="7"/>
      <c r="G12" s="7"/>
      <c r="H12" s="7"/>
      <c r="I12" s="7"/>
      <c r="J12" s="7"/>
      <c r="K12" s="8"/>
    </row>
    <row r="13" spans="2:11" s="4" customFormat="1" ht="15" customHeight="1" x14ac:dyDescent="0.3"/>
    <row r="14" spans="2:11" ht="15" customHeight="1" x14ac:dyDescent="0.3">
      <c r="B14" s="4"/>
      <c r="C14" s="4"/>
      <c r="D14" s="4"/>
      <c r="E14" s="4"/>
      <c r="F14" s="4"/>
      <c r="G14" s="4"/>
      <c r="H14" s="4"/>
      <c r="I14" s="4"/>
      <c r="J14" s="4"/>
      <c r="K14" s="4"/>
    </row>
    <row r="15" spans="2:11" ht="15" customHeight="1" x14ac:dyDescent="0.3">
      <c r="B15" s="4"/>
      <c r="C15" s="4"/>
      <c r="D15" s="4"/>
      <c r="E15" s="4"/>
      <c r="F15" s="4"/>
      <c r="G15" s="4"/>
      <c r="H15" s="4"/>
      <c r="I15" s="4"/>
      <c r="J15" s="4"/>
      <c r="K15" s="4"/>
    </row>
    <row r="16" spans="2:11" ht="15" customHeight="1" x14ac:dyDescent="0.3">
      <c r="B16" s="4"/>
      <c r="C16" s="4"/>
      <c r="D16" s="4"/>
      <c r="E16" s="4"/>
      <c r="F16" s="4"/>
      <c r="G16" s="4"/>
      <c r="H16" s="4"/>
      <c r="I16" s="4"/>
      <c r="J16" s="4"/>
      <c r="K16" s="4"/>
    </row>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sheetData>
  <sheetProtection password="C925" sheet="1" objects="1" formatRows="0"/>
  <pageMargins left="0.25" right="0.25" top="0.25" bottom="0.2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3"/>
  <sheetViews>
    <sheetView showGridLines="0" workbookViewId="0">
      <pane ySplit="2" topLeftCell="A3" activePane="bottomLeft" state="frozen"/>
      <selection pane="bottomLeft" activeCell="F9" sqref="F9"/>
    </sheetView>
  </sheetViews>
  <sheetFormatPr defaultColWidth="9.1796875" defaultRowHeight="13" x14ac:dyDescent="0.3"/>
  <cols>
    <col min="1" max="1" width="1" style="2" customWidth="1"/>
    <col min="2" max="2" width="3.7265625" style="2" customWidth="1"/>
    <col min="3" max="3" width="35.7265625" style="2" customWidth="1"/>
    <col min="4" max="4" width="21.81640625" style="2" customWidth="1"/>
    <col min="5" max="5" width="24.81640625" style="2" customWidth="1"/>
    <col min="6" max="6" width="29.81640625" style="2" customWidth="1"/>
    <col min="7" max="7" width="7.1796875" style="2" customWidth="1"/>
    <col min="8" max="8" width="9.81640625" style="2" customWidth="1"/>
    <col min="9" max="9" width="1" style="2" customWidth="1"/>
    <col min="10" max="10" width="16" style="2" customWidth="1"/>
    <col min="11" max="16384" width="9.1796875" style="2"/>
  </cols>
  <sheetData>
    <row r="1" spans="2:8" ht="28.5" customHeight="1" x14ac:dyDescent="0.3"/>
    <row r="2" spans="2:8" s="9" customFormat="1" ht="64.5" customHeight="1" x14ac:dyDescent="0.3">
      <c r="B2" s="18"/>
      <c r="C2" s="19"/>
      <c r="D2" s="19"/>
      <c r="E2" s="19"/>
      <c r="F2" s="19"/>
      <c r="G2" s="19"/>
      <c r="H2" s="20"/>
    </row>
    <row r="3" spans="2:8" ht="7.5" customHeight="1" x14ac:dyDescent="0.3">
      <c r="B3" s="10"/>
      <c r="C3" s="11"/>
      <c r="D3" s="11"/>
      <c r="E3" s="11"/>
      <c r="F3" s="11"/>
      <c r="G3" s="11"/>
      <c r="H3" s="12"/>
    </row>
    <row r="4" spans="2:8" ht="15" customHeight="1" x14ac:dyDescent="0.35">
      <c r="B4" s="13"/>
      <c r="C4" s="14"/>
      <c r="D4" s="14"/>
      <c r="E4" s="250" t="str">
        <f>'Utility Information'!D5</f>
        <v>Energy Efficiency Arkansas</v>
      </c>
      <c r="F4" s="14"/>
      <c r="G4" s="4"/>
      <c r="H4" s="5"/>
    </row>
    <row r="5" spans="2:8" ht="15" customHeight="1" x14ac:dyDescent="0.35">
      <c r="B5" s="13"/>
      <c r="C5" s="14" t="s">
        <v>242</v>
      </c>
      <c r="E5" s="14" t="s">
        <v>68</v>
      </c>
      <c r="F5" s="14" t="s">
        <v>1</v>
      </c>
      <c r="G5" s="4"/>
      <c r="H5" s="5"/>
    </row>
    <row r="6" spans="2:8" ht="15" customHeight="1" x14ac:dyDescent="0.3">
      <c r="B6" s="13">
        <v>1</v>
      </c>
      <c r="C6" s="180" t="s">
        <v>244</v>
      </c>
      <c r="E6" s="180" t="s">
        <v>76</v>
      </c>
      <c r="F6" s="180" t="s">
        <v>78</v>
      </c>
      <c r="G6" s="4"/>
      <c r="H6" s="5"/>
    </row>
    <row r="7" spans="2:8" ht="15" customHeight="1" x14ac:dyDescent="0.35">
      <c r="B7" s="13">
        <v>2</v>
      </c>
      <c r="C7" s="180" t="s">
        <v>246</v>
      </c>
      <c r="D7" s="14"/>
      <c r="E7" s="14"/>
      <c r="F7" s="14"/>
      <c r="G7" s="4"/>
      <c r="H7" s="5"/>
    </row>
    <row r="8" spans="2:8" ht="15" customHeight="1" x14ac:dyDescent="0.35">
      <c r="B8" s="13">
        <v>3</v>
      </c>
      <c r="C8" s="180" t="s">
        <v>245</v>
      </c>
      <c r="D8" s="14"/>
      <c r="E8" s="14"/>
      <c r="F8" s="14"/>
      <c r="G8" s="4"/>
      <c r="H8" s="5"/>
    </row>
    <row r="9" spans="2:8" ht="15" customHeight="1" x14ac:dyDescent="0.35">
      <c r="B9" s="13">
        <v>4</v>
      </c>
      <c r="C9" s="180" t="s">
        <v>247</v>
      </c>
      <c r="D9" s="14"/>
      <c r="E9" s="14"/>
      <c r="F9" s="14"/>
      <c r="G9" s="4"/>
      <c r="H9" s="5"/>
    </row>
    <row r="10" spans="2:8" ht="15" customHeight="1" x14ac:dyDescent="0.35">
      <c r="B10" s="13"/>
      <c r="C10" s="14"/>
      <c r="D10" s="14"/>
      <c r="E10" s="14"/>
      <c r="F10" s="14"/>
      <c r="G10" s="4"/>
      <c r="H10" s="5"/>
    </row>
    <row r="11" spans="2:8" ht="15" customHeight="1" x14ac:dyDescent="0.35">
      <c r="B11" s="13"/>
      <c r="C11" s="14" t="s">
        <v>248</v>
      </c>
      <c r="D11" s="14"/>
      <c r="E11" s="14"/>
      <c r="F11" s="14"/>
      <c r="G11" s="4"/>
      <c r="H11" s="5"/>
    </row>
    <row r="12" spans="2:8" ht="15" customHeight="1" x14ac:dyDescent="0.35">
      <c r="B12" s="13">
        <v>1</v>
      </c>
      <c r="C12" s="180" t="s">
        <v>243</v>
      </c>
      <c r="D12" s="14"/>
      <c r="E12" s="14"/>
      <c r="F12" s="14"/>
      <c r="G12" s="4"/>
      <c r="H12" s="5"/>
    </row>
    <row r="13" spans="2:8" ht="15" customHeight="1" x14ac:dyDescent="0.35">
      <c r="B13" s="13">
        <v>2</v>
      </c>
      <c r="C13" s="180" t="s">
        <v>297</v>
      </c>
      <c r="D13" s="14"/>
      <c r="E13" s="14"/>
      <c r="F13" s="14"/>
      <c r="G13" s="4"/>
      <c r="H13" s="5"/>
    </row>
    <row r="14" spans="2:8" ht="15" customHeight="1" x14ac:dyDescent="0.35">
      <c r="B14" s="13">
        <v>3</v>
      </c>
      <c r="C14" s="180" t="s">
        <v>249</v>
      </c>
      <c r="D14" s="14"/>
      <c r="E14" s="14"/>
      <c r="F14" s="14"/>
      <c r="G14" s="4"/>
      <c r="H14" s="5"/>
    </row>
    <row r="15" spans="2:8" ht="15" customHeight="1" x14ac:dyDescent="0.35">
      <c r="B15" s="13"/>
      <c r="C15" s="244"/>
      <c r="D15" s="14"/>
      <c r="E15" s="14"/>
      <c r="F15" s="14"/>
      <c r="G15" s="4"/>
      <c r="H15" s="5"/>
    </row>
    <row r="16" spans="2:8" ht="15" customHeight="1" x14ac:dyDescent="0.3">
      <c r="B16" s="6"/>
      <c r="C16" s="7"/>
      <c r="D16" s="7"/>
      <c r="E16" s="7"/>
      <c r="F16" s="7"/>
      <c r="G16" s="7"/>
      <c r="H16" s="8"/>
    </row>
    <row r="17" spans="2:8" s="4" customFormat="1" ht="15" customHeight="1" x14ac:dyDescent="0.3"/>
    <row r="18" spans="2:8" ht="15" customHeight="1" x14ac:dyDescent="0.3">
      <c r="B18" s="4"/>
      <c r="C18" s="4"/>
      <c r="D18" s="4"/>
      <c r="E18" s="4"/>
      <c r="F18" s="4"/>
      <c r="G18" s="4"/>
      <c r="H18" s="4"/>
    </row>
    <row r="19" spans="2:8" ht="15" customHeight="1" x14ac:dyDescent="0.3">
      <c r="B19" s="4"/>
      <c r="C19" s="4"/>
      <c r="D19" s="4"/>
      <c r="E19" s="4"/>
      <c r="F19" s="4"/>
      <c r="G19" s="4"/>
      <c r="H19" s="4"/>
    </row>
    <row r="20" spans="2:8" ht="15" customHeight="1" x14ac:dyDescent="0.3">
      <c r="B20" s="4"/>
      <c r="C20" s="4"/>
      <c r="D20" s="4"/>
      <c r="E20" s="4"/>
      <c r="F20" s="4"/>
      <c r="G20" s="4"/>
      <c r="H20" s="4"/>
    </row>
    <row r="21" spans="2:8" ht="15" customHeight="1" x14ac:dyDescent="0.3"/>
    <row r="22" spans="2:8" ht="15" customHeight="1" x14ac:dyDescent="0.3"/>
    <row r="23" spans="2:8" ht="15" customHeight="1" x14ac:dyDescent="0.3"/>
    <row r="24" spans="2:8" ht="15" customHeight="1" x14ac:dyDescent="0.3"/>
    <row r="25" spans="2:8" ht="15" customHeight="1" x14ac:dyDescent="0.3"/>
    <row r="26" spans="2:8" ht="15" customHeight="1" x14ac:dyDescent="0.3"/>
    <row r="27" spans="2:8" ht="15" customHeight="1" x14ac:dyDescent="0.3"/>
    <row r="28" spans="2:8" ht="15" customHeight="1" x14ac:dyDescent="0.3"/>
    <row r="29" spans="2:8" ht="15" customHeight="1" x14ac:dyDescent="0.3"/>
    <row r="30" spans="2:8" ht="15" customHeight="1" x14ac:dyDescent="0.3"/>
    <row r="31" spans="2:8" ht="15" customHeight="1" x14ac:dyDescent="0.3"/>
    <row r="32" spans="2:8"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sheetData>
  <sheetProtection password="C925" sheet="1" objects="1" formatRows="0"/>
  <dataValidations count="2">
    <dataValidation type="list" allowBlank="1" showInputMessage="1" showErrorMessage="1" sqref="E6">
      <formula1>Sector_Type</formula1>
    </dataValidation>
    <dataValidation type="list" allowBlank="1" showInputMessage="1" showErrorMessage="1" sqref="F6">
      <formula1>Prg_Type</formula1>
    </dataValidation>
  </dataValidations>
  <pageMargins left="0.25" right="0.25" top="0.25" bottom="0.2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4"/>
  <sheetViews>
    <sheetView showGridLines="0" zoomScaleNormal="100" workbookViewId="0">
      <pane ySplit="1" topLeftCell="A2" activePane="bottomLeft" state="frozen"/>
      <selection pane="bottomLeft" activeCell="C4" sqref="C4"/>
    </sheetView>
  </sheetViews>
  <sheetFormatPr defaultColWidth="9.1796875" defaultRowHeight="13" x14ac:dyDescent="0.3"/>
  <cols>
    <col min="1" max="1" width="1.1796875" style="2" customWidth="1"/>
    <col min="2" max="2" width="33.1796875" style="2" customWidth="1"/>
    <col min="3" max="3" width="100" style="2" customWidth="1"/>
    <col min="4" max="4" width="37" style="2" customWidth="1"/>
    <col min="5" max="7" width="12.7265625" style="2" customWidth="1"/>
    <col min="8" max="8" width="49.7265625" style="2" customWidth="1"/>
    <col min="9" max="9" width="3" style="2" customWidth="1"/>
    <col min="10" max="10" width="1" style="2" customWidth="1"/>
    <col min="11" max="16384" width="9.1796875" style="2"/>
  </cols>
  <sheetData>
    <row r="1" spans="2:3" ht="38.25" customHeight="1" x14ac:dyDescent="0.3"/>
    <row r="2" spans="2:3" ht="15.5" x14ac:dyDescent="0.35">
      <c r="B2" s="63" t="s">
        <v>81</v>
      </c>
      <c r="C2" s="63" t="s">
        <v>82</v>
      </c>
    </row>
    <row r="3" spans="2:3" ht="26" x14ac:dyDescent="0.3">
      <c r="B3" s="90" t="s">
        <v>206</v>
      </c>
      <c r="C3" s="104" t="s">
        <v>268</v>
      </c>
    </row>
    <row r="4" spans="2:3" ht="65" x14ac:dyDescent="0.3">
      <c r="B4" s="90" t="s">
        <v>78</v>
      </c>
      <c r="C4" s="104" t="s">
        <v>286</v>
      </c>
    </row>
    <row r="5" spans="2:3" ht="72" customHeight="1" x14ac:dyDescent="0.3">
      <c r="B5" s="90" t="s">
        <v>201</v>
      </c>
      <c r="C5" s="104" t="s">
        <v>287</v>
      </c>
    </row>
    <row r="6" spans="2:3" ht="39" x14ac:dyDescent="0.3">
      <c r="B6" s="90" t="s">
        <v>107</v>
      </c>
      <c r="C6" s="104" t="s">
        <v>269</v>
      </c>
    </row>
    <row r="7" spans="2:3" x14ac:dyDescent="0.3">
      <c r="B7" s="90" t="s">
        <v>13</v>
      </c>
      <c r="C7" s="104" t="s">
        <v>270</v>
      </c>
    </row>
    <row r="8" spans="2:3" ht="104" x14ac:dyDescent="0.3">
      <c r="B8" s="90" t="s">
        <v>79</v>
      </c>
      <c r="C8" s="104" t="s">
        <v>271</v>
      </c>
    </row>
    <row r="9" spans="2:3" ht="39" x14ac:dyDescent="0.3">
      <c r="B9" s="90" t="s">
        <v>207</v>
      </c>
      <c r="C9" s="104" t="s">
        <v>272</v>
      </c>
    </row>
    <row r="10" spans="2:3" ht="78" x14ac:dyDescent="0.3">
      <c r="B10" s="90" t="s">
        <v>105</v>
      </c>
      <c r="C10" s="104" t="s">
        <v>273</v>
      </c>
    </row>
    <row r="11" spans="2:3" ht="39" x14ac:dyDescent="0.3">
      <c r="B11" s="90" t="s">
        <v>12</v>
      </c>
      <c r="C11" s="104" t="s">
        <v>274</v>
      </c>
    </row>
    <row r="12" spans="2:3" x14ac:dyDescent="0.3">
      <c r="B12" s="90" t="s">
        <v>106</v>
      </c>
      <c r="C12" s="104" t="s">
        <v>275</v>
      </c>
    </row>
    <row r="13" spans="2:3" ht="78" x14ac:dyDescent="0.3">
      <c r="B13" s="90" t="s">
        <v>208</v>
      </c>
      <c r="C13" s="104" t="s">
        <v>276</v>
      </c>
    </row>
    <row r="14" spans="2:3" ht="130" x14ac:dyDescent="0.3">
      <c r="B14" s="90" t="s">
        <v>80</v>
      </c>
      <c r="C14" s="104" t="s">
        <v>277</v>
      </c>
    </row>
  </sheetData>
  <sheetProtection password="C925" sheet="1" formatRows="0"/>
  <pageMargins left="0.25" right="0.25" top="0.5" bottom="0.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8"/>
  <sheetViews>
    <sheetView showGridLines="0" workbookViewId="0">
      <pane ySplit="4" topLeftCell="A5" activePane="bottomLeft" state="frozen"/>
      <selection pane="bottomLeft" activeCell="E7" sqref="E7"/>
    </sheetView>
  </sheetViews>
  <sheetFormatPr defaultColWidth="9.1796875" defaultRowHeight="13" x14ac:dyDescent="0.3"/>
  <cols>
    <col min="1" max="1" width="1" style="2" customWidth="1"/>
    <col min="2" max="2" width="3.7265625" style="2" customWidth="1"/>
    <col min="3" max="3" width="35.7265625" style="2" customWidth="1"/>
    <col min="4" max="9" width="13.26953125" style="2" customWidth="1"/>
    <col min="10" max="10" width="5.81640625" style="2" customWidth="1"/>
    <col min="11" max="11" width="8" style="2" customWidth="1"/>
    <col min="12" max="12" width="1" style="2" customWidth="1"/>
    <col min="13" max="13" width="16" style="2" customWidth="1"/>
    <col min="14" max="16384" width="9.1796875" style="2"/>
  </cols>
  <sheetData>
    <row r="1" spans="2:11" ht="28.5" customHeight="1" x14ac:dyDescent="0.3"/>
    <row r="2" spans="2:11" s="9" customFormat="1" ht="64.5" customHeight="1" x14ac:dyDescent="0.3">
      <c r="B2" s="18"/>
      <c r="C2" s="19"/>
      <c r="D2" s="19"/>
      <c r="E2" s="19"/>
      <c r="F2" s="19"/>
      <c r="G2" s="19"/>
      <c r="H2" s="19"/>
      <c r="I2" s="19"/>
      <c r="J2" s="19"/>
      <c r="K2" s="20"/>
    </row>
    <row r="3" spans="2:11" ht="7.5" customHeight="1" x14ac:dyDescent="0.3">
      <c r="B3" s="10"/>
      <c r="C3" s="11"/>
      <c r="D3" s="11"/>
      <c r="E3" s="11"/>
      <c r="F3" s="11"/>
      <c r="G3" s="11"/>
      <c r="H3" s="11"/>
      <c r="I3" s="11"/>
      <c r="J3" s="11"/>
      <c r="K3" s="12"/>
    </row>
    <row r="4" spans="2:11" ht="24" customHeight="1" x14ac:dyDescent="0.35">
      <c r="B4" s="3"/>
      <c r="C4" s="14"/>
      <c r="D4" s="22" t="str">
        <f>Cost!B3</f>
        <v>Planning / Design</v>
      </c>
      <c r="E4" s="22" t="str">
        <f>Cost!C3</f>
        <v>Marketing &amp; Delivery</v>
      </c>
      <c r="F4" s="22" t="str">
        <f>Cost!B13</f>
        <v>Incentives / Direct Install Costs</v>
      </c>
      <c r="G4" s="22" t="str">
        <f>Cost!C18</f>
        <v>EM&amp;V</v>
      </c>
      <c r="H4" s="22" t="str">
        <f>Cost!B24</f>
        <v>Administration</v>
      </c>
      <c r="I4" s="26" t="s">
        <v>4</v>
      </c>
      <c r="J4" s="4"/>
      <c r="K4" s="5"/>
    </row>
    <row r="5" spans="2:11" ht="15" customHeight="1" x14ac:dyDescent="0.35">
      <c r="B5" s="13"/>
      <c r="C5" s="14" t="str">
        <f>'Program Descriptions'!C5</f>
        <v>Electric Utilities</v>
      </c>
      <c r="D5" s="25"/>
      <c r="E5" s="25"/>
      <c r="F5" s="25"/>
      <c r="G5" s="25"/>
      <c r="H5" s="25"/>
      <c r="I5" s="25"/>
      <c r="J5" s="4"/>
      <c r="K5" s="5"/>
    </row>
    <row r="6" spans="2:11" ht="15" customHeight="1" x14ac:dyDescent="0.3">
      <c r="B6" s="13">
        <v>1</v>
      </c>
      <c r="C6" s="15" t="str">
        <f>'Program Descriptions'!C6</f>
        <v xml:space="preserve">Entergy </v>
      </c>
      <c r="D6" s="23"/>
      <c r="E6" s="23">
        <v>224638.8</v>
      </c>
      <c r="F6" s="23"/>
      <c r="G6" s="23"/>
      <c r="H6" s="23"/>
      <c r="I6" s="25">
        <f t="shared" ref="I6:I17" si="0">SUM(D6:H6)</f>
        <v>224638.8</v>
      </c>
      <c r="J6" s="4"/>
      <c r="K6" s="5"/>
    </row>
    <row r="7" spans="2:11" ht="15" customHeight="1" x14ac:dyDescent="0.3">
      <c r="B7" s="13">
        <v>2</v>
      </c>
      <c r="C7" s="15" t="str">
        <f>'Program Descriptions'!C7</f>
        <v>SWEPCO</v>
      </c>
      <c r="D7" s="23"/>
      <c r="E7" s="23">
        <v>34147.43</v>
      </c>
      <c r="F7" s="23"/>
      <c r="G7" s="23"/>
      <c r="H7" s="23"/>
      <c r="I7" s="25">
        <f t="shared" si="0"/>
        <v>34147.43</v>
      </c>
      <c r="J7" s="4"/>
      <c r="K7" s="5"/>
    </row>
    <row r="8" spans="2:11" ht="15" customHeight="1" x14ac:dyDescent="0.3">
      <c r="B8" s="13">
        <v>3</v>
      </c>
      <c r="C8" s="15" t="str">
        <f>'Program Descriptions'!C8</f>
        <v>OG&amp;E</v>
      </c>
      <c r="D8" s="23"/>
      <c r="E8" s="23">
        <v>18319.259999999998</v>
      </c>
      <c r="F8" s="23"/>
      <c r="G8" s="23"/>
      <c r="H8" s="23"/>
      <c r="I8" s="25">
        <f t="shared" si="0"/>
        <v>18319.259999999998</v>
      </c>
      <c r="J8" s="4"/>
      <c r="K8" s="5"/>
    </row>
    <row r="9" spans="2:11" ht="15" customHeight="1" thickBot="1" x14ac:dyDescent="0.35">
      <c r="B9" s="13">
        <v>4</v>
      </c>
      <c r="C9" s="15" t="str">
        <f>'Program Descriptions'!C9</f>
        <v>Empire</v>
      </c>
      <c r="D9" s="29"/>
      <c r="E9" s="29">
        <v>1262.52</v>
      </c>
      <c r="F9" s="29"/>
      <c r="G9" s="29"/>
      <c r="H9" s="29"/>
      <c r="I9" s="25">
        <f t="shared" si="0"/>
        <v>1262.52</v>
      </c>
      <c r="J9" s="4"/>
      <c r="K9" s="5"/>
    </row>
    <row r="10" spans="2:11" ht="15" customHeight="1" x14ac:dyDescent="0.35">
      <c r="B10" s="13"/>
      <c r="C10" s="99" t="s">
        <v>51</v>
      </c>
      <c r="D10" s="30">
        <f t="shared" ref="D10:I10" si="1">SUM(D6:D9)</f>
        <v>0</v>
      </c>
      <c r="E10" s="30">
        <f t="shared" si="1"/>
        <v>278368.01</v>
      </c>
      <c r="F10" s="30">
        <f t="shared" si="1"/>
        <v>0</v>
      </c>
      <c r="G10" s="30">
        <f t="shared" si="1"/>
        <v>0</v>
      </c>
      <c r="H10" s="30">
        <f t="shared" si="1"/>
        <v>0</v>
      </c>
      <c r="I10" s="30">
        <f t="shared" si="1"/>
        <v>278368.01</v>
      </c>
      <c r="J10" s="4"/>
      <c r="K10" s="5"/>
    </row>
    <row r="11" spans="2:11" ht="15" customHeight="1" x14ac:dyDescent="0.35">
      <c r="B11" s="13"/>
      <c r="C11" s="99"/>
      <c r="D11" s="25"/>
      <c r="E11" s="25"/>
      <c r="F11" s="25"/>
      <c r="G11" s="25"/>
      <c r="H11" s="31" t="str">
        <f>Cost!C24</f>
        <v>Regulatory</v>
      </c>
      <c r="I11" s="23">
        <v>0</v>
      </c>
      <c r="J11" s="4"/>
      <c r="K11" s="5"/>
    </row>
    <row r="12" spans="2:11" ht="15" customHeight="1" thickBot="1" x14ac:dyDescent="0.4">
      <c r="B12" s="13"/>
      <c r="C12" s="99"/>
      <c r="D12" s="25"/>
      <c r="E12" s="25"/>
      <c r="F12" s="25"/>
      <c r="G12" s="25"/>
      <c r="H12" s="27" t="s">
        <v>254</v>
      </c>
      <c r="I12" s="28">
        <f>I10+I11</f>
        <v>278368.01</v>
      </c>
      <c r="J12" s="4"/>
      <c r="K12" s="5"/>
    </row>
    <row r="13" spans="2:11" ht="15" customHeight="1" thickTop="1" x14ac:dyDescent="0.35">
      <c r="B13" s="13"/>
      <c r="C13" s="99"/>
      <c r="D13" s="25"/>
      <c r="E13" s="25"/>
      <c r="F13" s="25"/>
      <c r="G13" s="25"/>
      <c r="H13" s="25"/>
      <c r="I13" s="25"/>
      <c r="J13" s="4"/>
      <c r="K13" s="5"/>
    </row>
    <row r="14" spans="2:11" ht="15" customHeight="1" x14ac:dyDescent="0.35">
      <c r="B14" s="13"/>
      <c r="C14" s="14" t="str">
        <f>'Program Descriptions'!C11</f>
        <v>Natural Gas Utilities</v>
      </c>
      <c r="D14" s="25"/>
      <c r="E14" s="25"/>
      <c r="F14" s="25"/>
      <c r="G14" s="25"/>
      <c r="H14" s="25"/>
      <c r="I14" s="25"/>
      <c r="J14" s="4"/>
      <c r="K14" s="5"/>
    </row>
    <row r="15" spans="2:11" ht="15" customHeight="1" x14ac:dyDescent="0.3">
      <c r="B15" s="13">
        <v>1</v>
      </c>
      <c r="C15" s="15" t="str">
        <f>'Program Descriptions'!C12</f>
        <v>CenterPoint</v>
      </c>
      <c r="D15" s="23"/>
      <c r="E15" s="23">
        <v>106304.23</v>
      </c>
      <c r="F15" s="23"/>
      <c r="G15" s="23"/>
      <c r="H15" s="23"/>
      <c r="I15" s="25">
        <f t="shared" si="0"/>
        <v>106304.23</v>
      </c>
      <c r="J15" s="4"/>
      <c r="K15" s="5"/>
    </row>
    <row r="16" spans="2:11" ht="15" customHeight="1" x14ac:dyDescent="0.3">
      <c r="B16" s="13">
        <v>2</v>
      </c>
      <c r="C16" s="15" t="str">
        <f>'Program Descriptions'!C13</f>
        <v>Black Hills</v>
      </c>
      <c r="D16" s="23"/>
      <c r="E16" s="23">
        <v>38772.81</v>
      </c>
      <c r="F16" s="23"/>
      <c r="G16" s="23"/>
      <c r="H16" s="23"/>
      <c r="I16" s="25">
        <f t="shared" si="0"/>
        <v>38772.81</v>
      </c>
      <c r="J16" s="4"/>
      <c r="K16" s="5"/>
    </row>
    <row r="17" spans="2:11" ht="15" customHeight="1" thickBot="1" x14ac:dyDescent="0.35">
      <c r="B17" s="13">
        <v>3</v>
      </c>
      <c r="C17" s="15" t="str">
        <f>'Program Descriptions'!C14</f>
        <v>AOG</v>
      </c>
      <c r="D17" s="29"/>
      <c r="E17" s="29">
        <v>11759.92</v>
      </c>
      <c r="F17" s="29"/>
      <c r="G17" s="29"/>
      <c r="H17" s="29"/>
      <c r="I17" s="25">
        <f t="shared" si="0"/>
        <v>11759.92</v>
      </c>
      <c r="J17" s="4"/>
      <c r="K17" s="5"/>
    </row>
    <row r="18" spans="2:11" ht="15" customHeight="1" x14ac:dyDescent="0.35">
      <c r="B18" s="13"/>
      <c r="C18" s="99" t="s">
        <v>51</v>
      </c>
      <c r="D18" s="30">
        <f t="shared" ref="D18:I18" si="2">SUM(D15:D17)</f>
        <v>0</v>
      </c>
      <c r="E18" s="30">
        <f t="shared" si="2"/>
        <v>156836.96</v>
      </c>
      <c r="F18" s="30">
        <f t="shared" si="2"/>
        <v>0</v>
      </c>
      <c r="G18" s="30">
        <f t="shared" si="2"/>
        <v>0</v>
      </c>
      <c r="H18" s="30">
        <f t="shared" si="2"/>
        <v>0</v>
      </c>
      <c r="I18" s="30">
        <f t="shared" si="2"/>
        <v>156836.96</v>
      </c>
      <c r="J18" s="4"/>
      <c r="K18" s="5"/>
    </row>
    <row r="19" spans="2:11" ht="15" customHeight="1" x14ac:dyDescent="0.35">
      <c r="B19" s="13"/>
      <c r="C19" s="24"/>
      <c r="D19" s="25"/>
      <c r="E19" s="25"/>
      <c r="F19" s="25"/>
      <c r="G19" s="25"/>
      <c r="H19" s="31" t="str">
        <f>Cost!C24</f>
        <v>Regulatory</v>
      </c>
      <c r="I19" s="23">
        <v>0</v>
      </c>
      <c r="J19" s="4"/>
      <c r="K19" s="5"/>
    </row>
    <row r="20" spans="2:11" ht="15" customHeight="1" thickBot="1" x14ac:dyDescent="0.35">
      <c r="B20" s="13"/>
      <c r="C20" s="24"/>
      <c r="D20" s="25"/>
      <c r="E20" s="25"/>
      <c r="F20" s="25"/>
      <c r="G20" s="25"/>
      <c r="H20" s="27" t="s">
        <v>294</v>
      </c>
      <c r="I20" s="28">
        <f>I18+I19</f>
        <v>156836.96</v>
      </c>
      <c r="J20" s="4"/>
      <c r="K20" s="5"/>
    </row>
    <row r="21" spans="2:11" ht="15" customHeight="1" thickTop="1" x14ac:dyDescent="0.3">
      <c r="B21" s="6"/>
      <c r="C21" s="7"/>
      <c r="D21" s="7"/>
      <c r="E21" s="7"/>
      <c r="F21" s="7"/>
      <c r="G21" s="7"/>
      <c r="H21" s="7"/>
      <c r="I21" s="7"/>
      <c r="J21" s="7"/>
      <c r="K21" s="8"/>
    </row>
    <row r="22" spans="2:11" s="4" customFormat="1" ht="15" customHeight="1" x14ac:dyDescent="0.3"/>
    <row r="23" spans="2:11" ht="15" customHeight="1" x14ac:dyDescent="0.3">
      <c r="B23" s="4"/>
      <c r="C23" s="4"/>
      <c r="D23" s="4"/>
      <c r="E23" s="4"/>
      <c r="F23" s="4"/>
      <c r="G23" s="4"/>
      <c r="H23" s="4"/>
      <c r="I23" s="4"/>
      <c r="J23" s="4"/>
      <c r="K23" s="4"/>
    </row>
    <row r="24" spans="2:11" ht="15" customHeight="1" x14ac:dyDescent="0.3">
      <c r="B24" s="4"/>
      <c r="C24" s="4"/>
      <c r="D24" s="4"/>
      <c r="E24" s="4"/>
      <c r="F24" s="4"/>
      <c r="G24" s="4"/>
      <c r="H24" s="4"/>
      <c r="I24" s="4"/>
      <c r="J24" s="4"/>
      <c r="K24" s="4"/>
    </row>
    <row r="25" spans="2:11" ht="15" customHeight="1" x14ac:dyDescent="0.3">
      <c r="B25" s="4"/>
      <c r="C25" s="4"/>
      <c r="D25" s="4"/>
      <c r="E25" s="4"/>
      <c r="F25" s="4"/>
      <c r="G25" s="4"/>
      <c r="H25" s="4"/>
      <c r="I25" s="4"/>
      <c r="J25" s="4"/>
      <c r="K25" s="4"/>
    </row>
    <row r="26" spans="2:11" ht="15" customHeight="1" x14ac:dyDescent="0.3"/>
    <row r="27" spans="2:11" ht="15" customHeight="1" x14ac:dyDescent="0.3"/>
    <row r="28" spans="2:11" ht="15" customHeight="1" x14ac:dyDescent="0.3"/>
    <row r="29" spans="2:11" ht="15" customHeight="1" x14ac:dyDescent="0.3"/>
    <row r="30" spans="2:11" ht="15" customHeight="1" x14ac:dyDescent="0.3"/>
    <row r="31" spans="2:11" ht="15" customHeight="1" x14ac:dyDescent="0.3"/>
    <row r="32" spans="2:11"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sheetData>
  <sheetProtection password="C925" sheet="1" objects="1" formatRows="0"/>
  <pageMargins left="0.25" right="0.25" top="0.25" bottom="0.2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8"/>
  <sheetViews>
    <sheetView showGridLines="0" tabSelected="1" workbookViewId="0">
      <pane ySplit="2" topLeftCell="A3" activePane="bottomLeft" state="frozen"/>
      <selection pane="bottomLeft"/>
    </sheetView>
  </sheetViews>
  <sheetFormatPr defaultColWidth="9.1796875" defaultRowHeight="13" x14ac:dyDescent="0.3"/>
  <cols>
    <col min="1" max="1" width="1" style="2" customWidth="1"/>
    <col min="2" max="2" width="3.7265625" style="2" customWidth="1"/>
    <col min="3" max="3" width="35.7265625" style="2" customWidth="1"/>
    <col min="4" max="5" width="13.26953125" style="2" customWidth="1"/>
    <col min="6" max="6" width="8.7265625" style="2" customWidth="1"/>
    <col min="7" max="7" width="13.26953125" style="2" customWidth="1"/>
    <col min="8" max="8" width="20.54296875" style="2" customWidth="1"/>
    <col min="9" max="9" width="13.26953125" style="2" customWidth="1"/>
    <col min="10" max="10" width="5.81640625" style="2" customWidth="1"/>
    <col min="11" max="11" width="5.26953125" style="2" customWidth="1"/>
    <col min="12" max="12" width="1" style="2" customWidth="1"/>
    <col min="13" max="13" width="16" style="2" customWidth="1"/>
    <col min="14" max="16384" width="9.1796875" style="2"/>
  </cols>
  <sheetData>
    <row r="1" spans="2:11" ht="28.5" customHeight="1" x14ac:dyDescent="0.3"/>
    <row r="2" spans="2:11" s="9" customFormat="1" ht="64.5" customHeight="1" x14ac:dyDescent="0.3">
      <c r="B2" s="18"/>
      <c r="C2" s="19"/>
      <c r="D2" s="19"/>
      <c r="E2" s="19"/>
      <c r="F2" s="19"/>
      <c r="G2" s="19"/>
      <c r="H2" s="19"/>
      <c r="I2" s="19"/>
      <c r="J2" s="19"/>
      <c r="K2" s="20"/>
    </row>
    <row r="3" spans="2:11" ht="7.5" customHeight="1" x14ac:dyDescent="0.3">
      <c r="B3" s="10"/>
      <c r="C3" s="11"/>
      <c r="D3" s="11"/>
      <c r="E3" s="11"/>
      <c r="F3" s="11"/>
      <c r="G3" s="11"/>
      <c r="H3" s="11"/>
      <c r="I3" s="11"/>
      <c r="J3" s="11"/>
      <c r="K3" s="12"/>
    </row>
    <row r="4" spans="2:11" ht="15" customHeight="1" x14ac:dyDescent="0.35">
      <c r="B4" s="3"/>
      <c r="C4" s="14"/>
      <c r="D4" s="22" t="s">
        <v>19</v>
      </c>
      <c r="E4" s="22" t="s">
        <v>7</v>
      </c>
      <c r="F4" s="4"/>
      <c r="G4" s="4"/>
      <c r="H4" s="4"/>
      <c r="I4" s="4"/>
      <c r="J4" s="4"/>
      <c r="K4" s="5"/>
    </row>
    <row r="5" spans="2:11" ht="15" customHeight="1" x14ac:dyDescent="0.35">
      <c r="B5" s="13"/>
      <c r="C5" s="14" t="str">
        <f>'Program Descriptions'!C5</f>
        <v>Electric Utilities</v>
      </c>
      <c r="D5" s="22" t="str">
        <f>"("&amp;Titles!B28&amp;")"</f>
        <v>(kW)</v>
      </c>
      <c r="E5" s="22" t="str">
        <f>"("&amp;Titles!B24&amp;")"</f>
        <v>(kWh)</v>
      </c>
      <c r="F5" s="4"/>
      <c r="G5" s="22" t="s">
        <v>49</v>
      </c>
      <c r="H5" s="22" t="s">
        <v>50</v>
      </c>
      <c r="I5" s="4"/>
      <c r="J5" s="4"/>
      <c r="K5" s="5"/>
    </row>
    <row r="6" spans="2:11" ht="15" customHeight="1" x14ac:dyDescent="0.3">
      <c r="B6" s="13">
        <v>1</v>
      </c>
      <c r="C6" s="15" t="str">
        <f>'Program Descriptions'!C6</f>
        <v xml:space="preserve">Entergy </v>
      </c>
      <c r="D6" s="32"/>
      <c r="E6" s="32"/>
      <c r="F6" s="4"/>
      <c r="G6" s="32"/>
      <c r="H6" s="16"/>
      <c r="I6" s="4"/>
      <c r="J6" s="4"/>
      <c r="K6" s="5"/>
    </row>
    <row r="7" spans="2:11" ht="15" customHeight="1" x14ac:dyDescent="0.3">
      <c r="B7" s="13">
        <v>2</v>
      </c>
      <c r="C7" s="15" t="str">
        <f>'Program Descriptions'!C7</f>
        <v>SWEPCO</v>
      </c>
      <c r="D7" s="32"/>
      <c r="E7" s="32"/>
      <c r="F7" s="4"/>
      <c r="G7" s="32"/>
      <c r="H7" s="16"/>
      <c r="I7" s="4"/>
      <c r="J7" s="4"/>
      <c r="K7" s="5"/>
    </row>
    <row r="8" spans="2:11" ht="15" customHeight="1" x14ac:dyDescent="0.3">
      <c r="B8" s="13">
        <v>3</v>
      </c>
      <c r="C8" s="15" t="str">
        <f>'Program Descriptions'!C8</f>
        <v>OG&amp;E</v>
      </c>
      <c r="D8" s="32"/>
      <c r="E8" s="32"/>
      <c r="F8" s="4"/>
      <c r="G8" s="32"/>
      <c r="H8" s="16"/>
      <c r="I8" s="4"/>
      <c r="J8" s="4"/>
      <c r="K8" s="5"/>
    </row>
    <row r="9" spans="2:11" ht="15" customHeight="1" thickBot="1" x14ac:dyDescent="0.35">
      <c r="B9" s="13">
        <v>4</v>
      </c>
      <c r="C9" s="15" t="str">
        <f>'Program Descriptions'!C9</f>
        <v>Empire</v>
      </c>
      <c r="D9" s="32"/>
      <c r="E9" s="32"/>
      <c r="F9" s="4"/>
      <c r="G9" s="32"/>
      <c r="H9" s="16"/>
      <c r="I9" s="4"/>
      <c r="J9" s="4"/>
      <c r="K9" s="5"/>
    </row>
    <row r="10" spans="2:11" ht="15" customHeight="1" x14ac:dyDescent="0.3">
      <c r="B10" s="13"/>
      <c r="C10" s="24" t="s">
        <v>51</v>
      </c>
      <c r="D10" s="33">
        <f>SUM(D6:D9)</f>
        <v>0</v>
      </c>
      <c r="E10" s="33">
        <f>SUM(E6:E9)</f>
        <v>0</v>
      </c>
      <c r="F10" s="4"/>
      <c r="G10" s="33">
        <f>SUM(G6:G9)</f>
        <v>0</v>
      </c>
      <c r="H10" s="33"/>
      <c r="I10" s="4"/>
      <c r="J10" s="4"/>
      <c r="K10" s="5"/>
    </row>
    <row r="11" spans="2:11" ht="15" customHeight="1" x14ac:dyDescent="0.3">
      <c r="B11" s="13"/>
      <c r="C11" s="24"/>
      <c r="D11" s="246"/>
      <c r="E11" s="246"/>
      <c r="F11" s="4"/>
      <c r="G11" s="246"/>
      <c r="H11" s="246"/>
      <c r="I11" s="4"/>
      <c r="J11" s="4"/>
      <c r="K11" s="5"/>
    </row>
    <row r="12" spans="2:11" ht="15" customHeight="1" x14ac:dyDescent="0.3">
      <c r="B12" s="13"/>
      <c r="C12" s="24"/>
      <c r="D12" s="22" t="s">
        <v>19</v>
      </c>
      <c r="E12" s="22" t="s">
        <v>7</v>
      </c>
      <c r="F12" s="4"/>
      <c r="G12" s="4"/>
      <c r="H12" s="4"/>
      <c r="I12" s="4"/>
      <c r="J12" s="4"/>
      <c r="K12" s="5"/>
    </row>
    <row r="13" spans="2:11" ht="15" customHeight="1" x14ac:dyDescent="0.35">
      <c r="B13" s="13"/>
      <c r="C13" s="14" t="str">
        <f>'Program Descriptions'!C11</f>
        <v>Natural Gas Utilities</v>
      </c>
      <c r="D13" s="22" t="str">
        <f>"("&amp;Titles!B29&amp;")"</f>
        <v>(Therms)</v>
      </c>
      <c r="E13" s="22" t="str">
        <f>"("&amp;Titles!B25&amp;")"</f>
        <v>(Therms)</v>
      </c>
      <c r="F13" s="4"/>
      <c r="G13" s="22" t="s">
        <v>49</v>
      </c>
      <c r="H13" s="22" t="s">
        <v>50</v>
      </c>
      <c r="I13" s="4"/>
      <c r="J13" s="4"/>
      <c r="K13" s="5"/>
    </row>
    <row r="14" spans="2:11" ht="15" customHeight="1" x14ac:dyDescent="0.3">
      <c r="B14" s="13">
        <v>1</v>
      </c>
      <c r="C14" s="15" t="str">
        <f>'Program Descriptions'!C12</f>
        <v>CenterPoint</v>
      </c>
      <c r="D14" s="32"/>
      <c r="E14" s="32"/>
      <c r="F14" s="4"/>
      <c r="G14" s="32"/>
      <c r="H14" s="16"/>
      <c r="I14" s="4"/>
      <c r="J14" s="4"/>
      <c r="K14" s="5"/>
    </row>
    <row r="15" spans="2:11" ht="15" customHeight="1" x14ac:dyDescent="0.3">
      <c r="B15" s="13">
        <v>2</v>
      </c>
      <c r="C15" s="15" t="str">
        <f>'Program Descriptions'!C13</f>
        <v>Black Hills</v>
      </c>
      <c r="D15" s="32"/>
      <c r="E15" s="32"/>
      <c r="F15" s="4"/>
      <c r="G15" s="32"/>
      <c r="H15" s="16"/>
      <c r="I15" s="4"/>
      <c r="J15" s="4"/>
      <c r="K15" s="5"/>
    </row>
    <row r="16" spans="2:11" ht="15" customHeight="1" thickBot="1" x14ac:dyDescent="0.35">
      <c r="B16" s="13">
        <v>3</v>
      </c>
      <c r="C16" s="15" t="str">
        <f>'Program Descriptions'!C14</f>
        <v>AOG</v>
      </c>
      <c r="D16" s="32"/>
      <c r="E16" s="32"/>
      <c r="F16" s="4"/>
      <c r="G16" s="32"/>
      <c r="H16" s="16"/>
      <c r="I16" s="4"/>
      <c r="J16" s="4"/>
      <c r="K16" s="5"/>
    </row>
    <row r="17" spans="2:11" ht="15" customHeight="1" x14ac:dyDescent="0.3">
      <c r="B17" s="13"/>
      <c r="C17" s="24" t="s">
        <v>51</v>
      </c>
      <c r="D17" s="33">
        <f>SUM(D13:D16)</f>
        <v>0</v>
      </c>
      <c r="E17" s="33">
        <f>SUM(E14:E16)</f>
        <v>0</v>
      </c>
      <c r="F17" s="4"/>
      <c r="G17" s="33">
        <f>SUM(G13:G16)</f>
        <v>0</v>
      </c>
      <c r="H17" s="33"/>
      <c r="I17" s="4"/>
      <c r="J17" s="4"/>
      <c r="K17" s="5"/>
    </row>
    <row r="18" spans="2:11" ht="15" customHeight="1" x14ac:dyDescent="0.3">
      <c r="B18" s="13"/>
      <c r="C18" s="15"/>
      <c r="D18" s="25"/>
      <c r="E18" s="25"/>
      <c r="F18" s="4"/>
      <c r="G18" s="4"/>
      <c r="H18" s="4"/>
      <c r="I18" s="4"/>
      <c r="J18" s="4"/>
      <c r="K18" s="5"/>
    </row>
    <row r="19" spans="2:11" ht="15" customHeight="1" x14ac:dyDescent="0.3">
      <c r="B19" s="13"/>
      <c r="C19" s="24"/>
      <c r="D19" s="25"/>
      <c r="E19" s="25"/>
      <c r="F19" s="25"/>
      <c r="G19" s="25"/>
      <c r="H19" s="4"/>
      <c r="I19" s="4"/>
      <c r="J19" s="4"/>
      <c r="K19" s="5"/>
    </row>
    <row r="20" spans="2:11" ht="15" customHeight="1" x14ac:dyDescent="0.3">
      <c r="B20" s="13"/>
      <c r="C20" s="24"/>
      <c r="D20" s="25"/>
      <c r="E20" s="25"/>
      <c r="F20" s="25"/>
      <c r="G20" s="25"/>
      <c r="H20" s="4"/>
      <c r="I20" s="4"/>
      <c r="J20" s="4"/>
      <c r="K20" s="5"/>
    </row>
    <row r="21" spans="2:11" ht="15" customHeight="1" x14ac:dyDescent="0.3">
      <c r="B21" s="6"/>
      <c r="C21" s="7"/>
      <c r="D21" s="7"/>
      <c r="E21" s="7"/>
      <c r="F21" s="7"/>
      <c r="G21" s="7"/>
      <c r="H21" s="7"/>
      <c r="I21" s="7"/>
      <c r="J21" s="7"/>
      <c r="K21" s="8"/>
    </row>
    <row r="22" spans="2:11" s="4" customFormat="1" ht="15" customHeight="1" x14ac:dyDescent="0.3"/>
    <row r="23" spans="2:11" ht="15" customHeight="1" x14ac:dyDescent="0.3">
      <c r="B23" s="4"/>
      <c r="C23" s="4"/>
      <c r="D23" s="4"/>
      <c r="E23" s="4"/>
      <c r="F23" s="4"/>
      <c r="G23" s="4"/>
      <c r="H23" s="4"/>
      <c r="I23" s="4"/>
      <c r="J23" s="4"/>
      <c r="K23" s="4"/>
    </row>
    <row r="24" spans="2:11" ht="15" customHeight="1" x14ac:dyDescent="0.3">
      <c r="B24" s="4"/>
      <c r="C24" s="4"/>
      <c r="D24" s="4"/>
      <c r="E24" s="4"/>
      <c r="F24" s="4"/>
      <c r="G24" s="4"/>
      <c r="H24" s="4"/>
      <c r="I24" s="4"/>
      <c r="J24" s="4"/>
      <c r="K24" s="4"/>
    </row>
    <row r="25" spans="2:11" ht="15" customHeight="1" x14ac:dyDescent="0.3">
      <c r="B25" s="4"/>
      <c r="C25" s="4"/>
      <c r="D25" s="4"/>
      <c r="E25" s="4"/>
      <c r="F25" s="4"/>
      <c r="G25" s="4"/>
      <c r="H25" s="4"/>
      <c r="I25" s="4"/>
      <c r="J25" s="4"/>
      <c r="K25" s="4"/>
    </row>
    <row r="26" spans="2:11" ht="15" customHeight="1" x14ac:dyDescent="0.3"/>
    <row r="27" spans="2:11" ht="15" customHeight="1" x14ac:dyDescent="0.3"/>
    <row r="28" spans="2:11" ht="15" customHeight="1" x14ac:dyDescent="0.3"/>
    <row r="29" spans="2:11" ht="15" customHeight="1" x14ac:dyDescent="0.3"/>
    <row r="30" spans="2:11" ht="15" customHeight="1" x14ac:dyDescent="0.3"/>
    <row r="31" spans="2:11" ht="15" customHeight="1" x14ac:dyDescent="0.3"/>
    <row r="32" spans="2:11"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sheetData>
  <sheetProtection password="C925" sheet="1" objects="1" formatRows="0"/>
  <pageMargins left="0.25" right="0.25" top="0.25" bottom="0.2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4"/>
  <sheetViews>
    <sheetView showGridLines="0" workbookViewId="0">
      <pane ySplit="2" topLeftCell="A3" activePane="bottomLeft" state="frozen"/>
      <selection pane="bottomLeft" activeCell="I6" sqref="I6"/>
    </sheetView>
  </sheetViews>
  <sheetFormatPr defaultColWidth="9.1796875" defaultRowHeight="13" x14ac:dyDescent="0.3"/>
  <cols>
    <col min="1" max="1" width="1" style="2" customWidth="1"/>
    <col min="2" max="2" width="3.7265625" style="2" customWidth="1"/>
    <col min="3" max="3" width="21" style="2" customWidth="1"/>
    <col min="4" max="8" width="15.7265625" style="2" customWidth="1"/>
    <col min="9" max="9" width="13.26953125" style="2" customWidth="1"/>
    <col min="10" max="10" width="5.81640625" style="2" customWidth="1"/>
    <col min="11" max="11" width="10.54296875" style="2" customWidth="1"/>
    <col min="12" max="12" width="1" style="2" customWidth="1"/>
    <col min="13" max="13" width="16" style="2" customWidth="1"/>
    <col min="14" max="16384" width="9.1796875" style="2"/>
  </cols>
  <sheetData>
    <row r="1" spans="2:11" ht="28.5" customHeight="1" x14ac:dyDescent="0.3"/>
    <row r="2" spans="2:11" s="9" customFormat="1" ht="64.5" customHeight="1" x14ac:dyDescent="0.3">
      <c r="B2" s="18"/>
      <c r="C2" s="19"/>
      <c r="D2" s="19"/>
      <c r="E2" s="19"/>
      <c r="F2" s="19"/>
      <c r="G2" s="19"/>
      <c r="H2" s="19"/>
      <c r="I2" s="19"/>
      <c r="J2" s="19"/>
      <c r="K2" s="20"/>
    </row>
    <row r="3" spans="2:11" ht="7.5" customHeight="1" x14ac:dyDescent="0.3">
      <c r="B3" s="10"/>
      <c r="C3" s="11"/>
      <c r="D3" s="11"/>
      <c r="E3" s="11"/>
      <c r="F3" s="11"/>
      <c r="G3" s="11"/>
      <c r="H3" s="11"/>
      <c r="I3" s="11"/>
      <c r="J3" s="11"/>
      <c r="K3" s="12"/>
    </row>
    <row r="4" spans="2:11" ht="15" customHeight="1" x14ac:dyDescent="0.3">
      <c r="B4" s="3"/>
      <c r="C4" s="4"/>
      <c r="D4" s="4"/>
      <c r="E4" s="4"/>
      <c r="F4" s="4"/>
      <c r="G4" s="4"/>
      <c r="H4" s="4"/>
      <c r="I4" s="4"/>
      <c r="J4" s="4"/>
      <c r="K4" s="5"/>
    </row>
    <row r="5" spans="2:11" ht="15" customHeight="1" x14ac:dyDescent="0.3">
      <c r="B5" s="3"/>
      <c r="C5" s="4"/>
      <c r="D5" s="34" t="s">
        <v>53</v>
      </c>
      <c r="E5" s="34" t="s">
        <v>54</v>
      </c>
      <c r="F5" s="34" t="s">
        <v>55</v>
      </c>
      <c r="G5" s="34" t="s">
        <v>56</v>
      </c>
      <c r="H5" s="34" t="s">
        <v>57</v>
      </c>
      <c r="I5" s="4"/>
      <c r="J5" s="4"/>
      <c r="K5" s="5"/>
    </row>
    <row r="6" spans="2:11" ht="15" customHeight="1" x14ac:dyDescent="0.35">
      <c r="B6" s="3"/>
      <c r="C6" s="14" t="s">
        <v>52</v>
      </c>
      <c r="D6" s="35">
        <f>External!E27</f>
        <v>17</v>
      </c>
      <c r="E6" s="35">
        <f>External!I27</f>
        <v>340</v>
      </c>
      <c r="F6" s="35">
        <f>External!K27</f>
        <v>3335</v>
      </c>
      <c r="G6" s="35">
        <f>External!M27</f>
        <v>340</v>
      </c>
      <c r="H6" s="23">
        <v>264833</v>
      </c>
      <c r="I6" s="4"/>
      <c r="J6" s="4"/>
      <c r="K6" s="5"/>
    </row>
    <row r="7" spans="2:11" ht="15" customHeight="1" x14ac:dyDescent="0.3">
      <c r="B7" s="3"/>
      <c r="C7" s="4"/>
      <c r="D7" s="4"/>
      <c r="E7" s="4"/>
      <c r="F7" s="4"/>
      <c r="G7" s="4"/>
      <c r="H7" s="4"/>
      <c r="I7" s="4"/>
      <c r="J7" s="4"/>
      <c r="K7" s="5"/>
    </row>
    <row r="8" spans="2:11" ht="15" customHeight="1" x14ac:dyDescent="0.3">
      <c r="B8" s="3"/>
      <c r="C8" s="4"/>
      <c r="D8" s="4"/>
      <c r="E8" s="4"/>
      <c r="F8" s="4"/>
      <c r="G8" s="4"/>
      <c r="H8" s="4"/>
      <c r="I8" s="4"/>
      <c r="J8" s="4"/>
      <c r="K8" s="5"/>
    </row>
    <row r="9" spans="2:11" ht="15" customHeight="1" x14ac:dyDescent="0.3">
      <c r="B9" s="3"/>
      <c r="C9" s="4"/>
      <c r="D9" s="4"/>
      <c r="E9" s="4"/>
      <c r="F9" s="4"/>
      <c r="G9" s="4"/>
      <c r="H9" s="4"/>
      <c r="I9" s="4"/>
      <c r="J9" s="4"/>
      <c r="K9" s="5"/>
    </row>
    <row r="10" spans="2:11" ht="15" customHeight="1" x14ac:dyDescent="0.3">
      <c r="B10" s="3"/>
      <c r="C10" s="4"/>
      <c r="D10" s="4"/>
      <c r="E10" s="4"/>
      <c r="F10" s="4"/>
      <c r="G10" s="4"/>
      <c r="H10" s="4"/>
      <c r="I10" s="4"/>
      <c r="J10" s="4"/>
      <c r="K10" s="5"/>
    </row>
    <row r="11" spans="2:11" ht="15" customHeight="1" x14ac:dyDescent="0.3">
      <c r="B11" s="3"/>
      <c r="C11" s="4"/>
      <c r="D11" s="34" t="s">
        <v>53</v>
      </c>
      <c r="E11" s="34" t="s">
        <v>54</v>
      </c>
      <c r="F11" s="34" t="s">
        <v>55</v>
      </c>
      <c r="G11" s="34" t="s">
        <v>56</v>
      </c>
      <c r="H11" s="34" t="s">
        <v>57</v>
      </c>
      <c r="I11" s="4"/>
      <c r="J11" s="4"/>
      <c r="K11" s="5"/>
    </row>
    <row r="12" spans="2:11" ht="15" customHeight="1" x14ac:dyDescent="0.35">
      <c r="B12" s="3"/>
      <c r="C12" s="14" t="s">
        <v>58</v>
      </c>
      <c r="D12" s="35">
        <f>Internal!E12</f>
        <v>0</v>
      </c>
      <c r="E12" s="35">
        <f>Internal!I12</f>
        <v>0</v>
      </c>
      <c r="F12" s="35">
        <f>Internal!K12</f>
        <v>0</v>
      </c>
      <c r="G12" s="35">
        <f>Internal!M12</f>
        <v>0</v>
      </c>
      <c r="H12" s="23">
        <v>0</v>
      </c>
      <c r="I12" s="4"/>
      <c r="J12" s="4"/>
      <c r="K12" s="5"/>
    </row>
    <row r="13" spans="2:11" ht="15" customHeight="1" x14ac:dyDescent="0.3">
      <c r="B13" s="3"/>
      <c r="C13" s="4"/>
      <c r="D13" s="4"/>
      <c r="E13" s="4"/>
      <c r="F13" s="4"/>
      <c r="G13" s="4"/>
      <c r="H13" s="4"/>
      <c r="I13" s="4"/>
      <c r="J13" s="4"/>
      <c r="K13" s="5"/>
    </row>
    <row r="14" spans="2:11" ht="15" customHeight="1" x14ac:dyDescent="0.3">
      <c r="B14" s="3"/>
      <c r="C14" s="4"/>
      <c r="D14" s="4"/>
      <c r="E14" s="4"/>
      <c r="F14" s="4"/>
      <c r="G14" s="4"/>
      <c r="H14" s="4"/>
      <c r="I14" s="4"/>
      <c r="J14" s="4"/>
      <c r="K14" s="5"/>
    </row>
    <row r="15" spans="2:11" ht="15" customHeight="1" x14ac:dyDescent="0.3">
      <c r="B15" s="3"/>
      <c r="C15" s="4"/>
      <c r="D15" s="4"/>
      <c r="E15" s="4"/>
      <c r="F15" s="4"/>
      <c r="G15" s="4"/>
      <c r="H15" s="4"/>
      <c r="I15" s="4"/>
      <c r="J15" s="4"/>
      <c r="K15" s="5"/>
    </row>
    <row r="16" spans="2:11" ht="15" customHeight="1" x14ac:dyDescent="0.3">
      <c r="B16" s="3"/>
      <c r="C16" s="4"/>
      <c r="D16" s="4"/>
      <c r="E16" s="4"/>
      <c r="F16" s="4"/>
      <c r="G16" s="4"/>
      <c r="H16" s="4"/>
      <c r="I16" s="4"/>
      <c r="J16" s="4"/>
      <c r="K16" s="5"/>
    </row>
    <row r="17" spans="2:11" ht="15" customHeight="1" x14ac:dyDescent="0.3">
      <c r="B17" s="6"/>
      <c r="C17" s="7"/>
      <c r="D17" s="7"/>
      <c r="E17" s="7"/>
      <c r="F17" s="7"/>
      <c r="G17" s="7"/>
      <c r="H17" s="7"/>
      <c r="I17" s="7"/>
      <c r="J17" s="7"/>
      <c r="K17" s="8"/>
    </row>
    <row r="18" spans="2:11" s="4" customFormat="1" ht="15" customHeight="1" x14ac:dyDescent="0.3"/>
    <row r="19" spans="2:11" ht="15" customHeight="1" x14ac:dyDescent="0.3">
      <c r="B19" s="4"/>
      <c r="C19" s="4"/>
      <c r="D19" s="4"/>
      <c r="E19" s="4"/>
      <c r="F19" s="4"/>
      <c r="G19" s="4"/>
      <c r="H19" s="4"/>
      <c r="I19" s="4"/>
      <c r="J19" s="4"/>
      <c r="K19" s="4"/>
    </row>
    <row r="20" spans="2:11" ht="15" customHeight="1" x14ac:dyDescent="0.3">
      <c r="B20" s="4"/>
      <c r="C20" s="4"/>
      <c r="D20" s="4"/>
      <c r="E20" s="4"/>
      <c r="F20" s="4"/>
      <c r="G20" s="4"/>
      <c r="H20" s="4"/>
      <c r="I20" s="4"/>
      <c r="J20" s="4"/>
      <c r="K20" s="4"/>
    </row>
    <row r="21" spans="2:11" ht="15" customHeight="1" x14ac:dyDescent="0.3">
      <c r="B21" s="4"/>
      <c r="C21" s="4"/>
      <c r="D21" s="4"/>
      <c r="E21" s="4"/>
      <c r="F21" s="4"/>
      <c r="G21" s="4"/>
      <c r="H21" s="4"/>
      <c r="I21" s="4"/>
      <c r="J21" s="4"/>
      <c r="K21" s="4"/>
    </row>
    <row r="22" spans="2:11" ht="15" customHeight="1" x14ac:dyDescent="0.3"/>
    <row r="23" spans="2:11" ht="15" customHeight="1" x14ac:dyDescent="0.3"/>
    <row r="24" spans="2:11" ht="15" customHeight="1" x14ac:dyDescent="0.3"/>
    <row r="25" spans="2:11" ht="15" customHeight="1" x14ac:dyDescent="0.3"/>
    <row r="26" spans="2:11" ht="15" customHeight="1" x14ac:dyDescent="0.3"/>
    <row r="27" spans="2:11" ht="15" customHeight="1" x14ac:dyDescent="0.3"/>
    <row r="28" spans="2:11" ht="15" customHeight="1" x14ac:dyDescent="0.3"/>
    <row r="29" spans="2:11" ht="15" customHeight="1" x14ac:dyDescent="0.3"/>
    <row r="30" spans="2:11" ht="15" customHeight="1" x14ac:dyDescent="0.3"/>
    <row r="31" spans="2:11" ht="15" customHeight="1" x14ac:dyDescent="0.3"/>
    <row r="32" spans="2:11"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sheetData>
  <sheetProtection password="C925" sheet="1" objects="1" formatRows="0"/>
  <pageMargins left="0.25" right="0.25" top="0.25" bottom="0.2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5</vt:i4>
      </vt:variant>
    </vt:vector>
  </HeadingPairs>
  <TitlesOfParts>
    <vt:vector size="40" baseType="lpstr">
      <vt:lpstr>Main Menu</vt:lpstr>
      <vt:lpstr>Instructions</vt:lpstr>
      <vt:lpstr>Glossary</vt:lpstr>
      <vt:lpstr>Utility Information</vt:lpstr>
      <vt:lpstr>Program Descriptions</vt:lpstr>
      <vt:lpstr>Definition</vt:lpstr>
      <vt:lpstr>Budgets</vt:lpstr>
      <vt:lpstr>Savings &amp; Participants</vt:lpstr>
      <vt:lpstr>Training</vt:lpstr>
      <vt:lpstr>External</vt:lpstr>
      <vt:lpstr>Internal</vt:lpstr>
      <vt:lpstr>Tab1</vt:lpstr>
      <vt:lpstr>Actual Expenses</vt:lpstr>
      <vt:lpstr>Rec2</vt:lpstr>
      <vt:lpstr>Evaluated Savings</vt:lpstr>
      <vt:lpstr>Savings Methodology</vt:lpstr>
      <vt:lpstr>Tab 2</vt:lpstr>
      <vt:lpstr>Tab 3</vt:lpstr>
      <vt:lpstr>Tab 4</vt:lpstr>
      <vt:lpstr>Tab 5</vt:lpstr>
      <vt:lpstr>Prior Years</vt:lpstr>
      <vt:lpstr>List</vt:lpstr>
      <vt:lpstr>Cost</vt:lpstr>
      <vt:lpstr>Data</vt:lpstr>
      <vt:lpstr>Tables</vt:lpstr>
      <vt:lpstr>Table 1</vt:lpstr>
      <vt:lpstr>Table 2</vt:lpstr>
      <vt:lpstr>Table 3</vt:lpstr>
      <vt:lpstr>Table 4</vt:lpstr>
      <vt:lpstr>Table 5</vt:lpstr>
      <vt:lpstr>Report 1</vt:lpstr>
      <vt:lpstr>Report 2</vt:lpstr>
      <vt:lpstr>Report 4</vt:lpstr>
      <vt:lpstr>Next Years</vt:lpstr>
      <vt:lpstr>Titles</vt:lpstr>
      <vt:lpstr>Prg_Names</vt:lpstr>
      <vt:lpstr>'Actual Expenses'!Print_Titles</vt:lpstr>
      <vt:lpstr>Definition!Print_Titles</vt:lpstr>
      <vt:lpstr>Glossary!Print_Titles</vt:lpstr>
      <vt:lpstr>Utility_Type</vt:lpstr>
    </vt:vector>
  </TitlesOfParts>
  <Company>Arkansas Public Service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MKLUCHER</dc:creator>
  <cp:lastModifiedBy>Jennifer Hoss</cp:lastModifiedBy>
  <cp:lastPrinted>2013-09-26T12:34:08Z</cp:lastPrinted>
  <dcterms:created xsi:type="dcterms:W3CDTF">2010-09-07T19:03:37Z</dcterms:created>
  <dcterms:modified xsi:type="dcterms:W3CDTF">2020-03-20T20:24:54Z</dcterms:modified>
</cp:coreProperties>
</file>