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tables/table1.xml" ContentType="application/vnd.openxmlformats-officedocument.spreadsheetml.table+xml"/>
  <Override PartName="/xl/drawings/drawing11.xml" ContentType="application/vnd.openxmlformats-officedocument.drawing+xml"/>
  <Override PartName="/xl/tables/table2.xml" ContentType="application/vnd.openxmlformats-officedocument.spreadsheetml.tab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charts/chart1.xml" ContentType="application/vnd.openxmlformats-officedocument.drawingml.chart+xml"/>
  <Override PartName="/xl/drawings/drawing37.xml" ContentType="application/vnd.openxmlformats-officedocument.drawing+xml"/>
  <Override PartName="/xl/charts/chart2.xml" ContentType="application/vnd.openxmlformats-officedocument.drawingml.chart+xml"/>
  <Override PartName="/xl/drawings/drawing38.xml" ContentType="application/vnd.openxmlformats-officedocument.drawing+xml"/>
  <Override PartName="/xl/charts/chart3.xml" ContentType="application/vnd.openxmlformats-officedocument.drawingml.chart+xml"/>
  <Override PartName="/xl/drawings/drawing39.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drawings/drawing40.xml" ContentType="application/vnd.openxmlformats-officedocument.drawing+xml"/>
  <Override PartName="/xl/charts/chart6.xml" ContentType="application/vnd.openxmlformats-officedocument.drawingml.chart+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hidePivotFieldList="1"/>
  <mc:AlternateContent xmlns:mc="http://schemas.openxmlformats.org/markup-compatibility/2006">
    <mc:Choice Requires="x15">
      <x15ac:absPath xmlns:x15ac="http://schemas.microsoft.com/office/spreadsheetml/2010/11/ac" url="\\APSCSVR2\Cost Allocation and Rate Design\AAA CARD - New PRIMARY 2-28-2025\Energy Efficiency\EE Dockets - TF\EE Ann. Reports + EECR\Filing Year 2026\07-085-TF Entergy\Company Files\"/>
    </mc:Choice>
  </mc:AlternateContent>
  <xr:revisionPtr revIDLastSave="0" documentId="8_{674454FD-4AB9-49A8-84B0-3ACFFA647BC4}" xr6:coauthVersionLast="47" xr6:coauthVersionMax="47" xr10:uidLastSave="{00000000-0000-0000-0000-000000000000}"/>
  <bookViews>
    <workbookView xWindow="3840" yWindow="1365" windowWidth="21600" windowHeight="11235" tabRatio="769" xr2:uid="{00000000-000D-0000-FFFF-FFFF00000000}"/>
  </bookViews>
  <sheets>
    <sheet name="Main Menu" sheetId="57" r:id="rId1"/>
    <sheet name="Instructions" sheetId="59" r:id="rId2"/>
    <sheet name="Utility Information" sheetId="51" r:id="rId3"/>
    <sheet name="Program Descriptions" sheetId="52" r:id="rId4"/>
    <sheet name="Program Detail" sheetId="67" r:id="rId5"/>
    <sheet name="Budgets" sheetId="53" r:id="rId6"/>
    <sheet name="Rec1" sheetId="68" r:id="rId7"/>
    <sheet name="Savings &amp; Participants" sheetId="54" r:id="rId8"/>
    <sheet name="Training" sheetId="55" r:id="rId9"/>
    <sheet name="External" sheetId="69" r:id="rId10"/>
    <sheet name="Internal" sheetId="99" r:id="rId11"/>
    <sheet name="Not Used1" sheetId="56" r:id="rId12"/>
    <sheet name="Actual Expenses" sheetId="60" r:id="rId13"/>
    <sheet name="Rec2" sheetId="71" r:id="rId14"/>
    <sheet name="Evaluated Savings" sheetId="61" r:id="rId15"/>
    <sheet name="Savings Methodology" sheetId="72" r:id="rId16"/>
    <sheet name="Cost-Benefits" sheetId="62" r:id="rId17"/>
    <sheet name="Key Assumptions" sheetId="73" r:id="rId18"/>
    <sheet name="NEBs" sheetId="96" r:id="rId19"/>
    <sheet name="Other CB Test" sheetId="74" r:id="rId20"/>
    <sheet name="LCFC" sheetId="63" r:id="rId21"/>
    <sheet name="Incentives" sheetId="64" r:id="rId22"/>
    <sheet name="Not Used2" sheetId="58" r:id="rId23"/>
    <sheet name="Prior Year Progam" sheetId="75" r:id="rId24"/>
    <sheet name="Prior Year Portfolio" sheetId="94" r:id="rId25"/>
    <sheet name="Glossary" sheetId="66" r:id="rId26"/>
    <sheet name="Definition-Program Type" sheetId="84" r:id="rId27"/>
    <sheet name="Definition-Participants" sheetId="98" r:id="rId28"/>
    <sheet name="Definition-Res" sheetId="88" r:id="rId29"/>
    <sheet name="Definition-C&amp;I" sheetId="89" r:id="rId30"/>
    <sheet name="Definition-CS" sheetId="90" r:id="rId31"/>
    <sheet name="Cost" sheetId="49" r:id="rId32"/>
    <sheet name="List" sheetId="65" r:id="rId33"/>
    <sheet name="Data" sheetId="78" r:id="rId34"/>
    <sheet name="Order" sheetId="77" r:id="rId35"/>
    <sheet name="Tables" sheetId="79" r:id="rId36"/>
    <sheet name="Table 1" sheetId="82" r:id="rId37"/>
    <sheet name="Table 2" sheetId="76" r:id="rId38"/>
    <sheet name="Table 3" sheetId="80" r:id="rId39"/>
    <sheet name="Table 4" sheetId="81" r:id="rId40"/>
    <sheet name="Table 5" sheetId="86" r:id="rId41"/>
    <sheet name="Report 1" sheetId="83" r:id="rId42"/>
    <sheet name="Report 2" sheetId="92" r:id="rId43"/>
    <sheet name="Report 3" sheetId="95" r:id="rId44"/>
    <sheet name="PY Data" sheetId="91" r:id="rId45"/>
    <sheet name="Next Years" sheetId="87" r:id="rId46"/>
    <sheet name="Titles" sheetId="45" state="hidden" r:id="rId47"/>
    <sheet name="Incomplete" sheetId="97" state="hidden" r:id="rId48"/>
    <sheet name="Targets" sheetId="93" r:id="rId49"/>
  </sheets>
  <definedNames>
    <definedName name="D_Channel">OFFSET(List!$E$5,0,0,COUNTA(List!$E$5:$E$108),1)</definedName>
    <definedName name="Demand_1">Titles!$F$15</definedName>
    <definedName name="Demand_2">Titles!$F$16</definedName>
    <definedName name="Discount_Rate">'Key Assumptions'!$D$6</definedName>
    <definedName name="Energy_1">Titles!$F$13</definedName>
    <definedName name="Energy_2">Titles!$F$14</definedName>
    <definedName name="F_Utility">Titles!$F$3</definedName>
    <definedName name="G_List">'Report 2'!$D$24:$D$25</definedName>
    <definedName name="Graph_2">OFFSET(Tables!$I$94,0,0,COUNTIF(Tables!$E$94:$E$103,"&gt;0"),1)</definedName>
    <definedName name="Graph_C2">OFFSET(Tables!$E$107,0,0,COUNTIF(Tables!$D$107:$D$126,"&gt;0"),1)</definedName>
    <definedName name="Graph_S2">OFFSET(Tables!$G$107,0,0,COUNTIF(Tables!$E$107:$E$126,"&gt;0"),1)</definedName>
    <definedName name="NG_Demand">Titles!$B$29</definedName>
    <definedName name="Participant_List">OFFSET(List!$G$5,0,0,COUNTA(List!$G$5:$G$109),1)</definedName>
    <definedName name="Prg_Empty">Titles!$B$33</definedName>
    <definedName name="Prg_Names">OFFSET(Order!$J$3,0,0,COUNTIF(Order!$J$3:$J$22,"&lt;&gt;*Hide*"),1)</definedName>
    <definedName name="Prg_Type">OFFSET(List!$D$5,0,0,COUNTA(List!$D$5:$D$108),1)</definedName>
    <definedName name="Prg_Year">Titles!$F$2</definedName>
    <definedName name="_xlnm.Print_Titles" localSheetId="12">'Actual Expenses'!$4:$4</definedName>
    <definedName name="_xlnm.Print_Titles" localSheetId="29">'Definition-C&amp;I'!$2:$3</definedName>
    <definedName name="_xlnm.Print_Titles" localSheetId="30">'Definition-CS'!$2:$3</definedName>
    <definedName name="_xlnm.Print_Titles" localSheetId="27">'Definition-Participants'!$2:$3</definedName>
    <definedName name="_xlnm.Print_Titles" localSheetId="26">'Definition-Program Type'!$2:$3</definedName>
    <definedName name="_xlnm.Print_Titles" localSheetId="28">'Definition-Res'!$2:$3</definedName>
    <definedName name="_xlnm.Print_Titles" localSheetId="9">External!$6:$6</definedName>
    <definedName name="_xlnm.Print_Titles" localSheetId="25">Glossary!$2:$3</definedName>
    <definedName name="_xlnm.Print_Titles" localSheetId="10">Internal!$6:$6</definedName>
    <definedName name="_xlnm.Print_Titles" localSheetId="4">'Program Detail'!$B:$C</definedName>
    <definedName name="_xlnm.Print_Titles" localSheetId="44">'PY Data'!$B:$B</definedName>
    <definedName name="Programs">20-COUNTIF('Program Descriptions'!$C$5:$C$24,"Empty")</definedName>
    <definedName name="Sector_Type">OFFSET(List!$B$5,0,0,COUNTA(List!$B$5:$B$108),1)</definedName>
    <definedName name="Status">Incomplete!$E$29</definedName>
    <definedName name="Target_Type">Targets!$C$2:$D$2</definedName>
    <definedName name="Target_Year">Targets!$B$3:$B$22</definedName>
    <definedName name="Targets">Targets!$C$3:$E$22</definedName>
    <definedName name="Utility_Type">Titles!$B$20:$B$21</definedName>
  </definedNames>
  <calcPr calcId="191028" iterate="1" iterateCount="1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82" l="1"/>
  <c r="B8" i="82"/>
  <c r="C8" i="82"/>
  <c r="B9" i="82"/>
  <c r="C9" i="82"/>
  <c r="D9" i="82"/>
  <c r="E9" i="82"/>
  <c r="I9" i="82"/>
  <c r="J9" i="82"/>
  <c r="K9" i="82"/>
  <c r="L9" i="82"/>
  <c r="D3" i="68"/>
  <c r="N7" i="96" l="1"/>
  <c r="J163" i="69" l="1"/>
  <c r="C17" i="52" l="1"/>
  <c r="L17" i="52" s="1"/>
  <c r="B6" i="86" l="1"/>
  <c r="N18" i="96" l="1"/>
  <c r="J57" i="78" l="1"/>
  <c r="J55" i="78"/>
  <c r="N8" i="96" l="1"/>
  <c r="N9" i="96"/>
  <c r="N10" i="96"/>
  <c r="N11" i="96"/>
  <c r="N12" i="96"/>
  <c r="N13" i="96"/>
  <c r="N14" i="96"/>
  <c r="N15" i="96"/>
  <c r="N16" i="96"/>
  <c r="N17" i="96"/>
  <c r="N19" i="96"/>
  <c r="C18" i="99" l="1"/>
  <c r="C19" i="99"/>
  <c r="C20" i="99"/>
  <c r="C21" i="99"/>
  <c r="C22" i="99"/>
  <c r="C23" i="99"/>
  <c r="C24" i="99"/>
  <c r="C25" i="99"/>
  <c r="C26" i="99"/>
  <c r="C27" i="99"/>
  <c r="C28" i="99"/>
  <c r="C29" i="99"/>
  <c r="C30" i="99"/>
  <c r="C31" i="99"/>
  <c r="C32" i="99"/>
  <c r="C33" i="99"/>
  <c r="C34" i="99"/>
  <c r="C35" i="99"/>
  <c r="C36" i="99"/>
  <c r="C37" i="99"/>
  <c r="C38" i="99"/>
  <c r="C39" i="99"/>
  <c r="C40" i="99"/>
  <c r="C41" i="99"/>
  <c r="C42" i="99"/>
  <c r="C43" i="99"/>
  <c r="C44" i="99"/>
  <c r="C45" i="99"/>
  <c r="C46" i="99"/>
  <c r="C47" i="99"/>
  <c r="C48" i="99"/>
  <c r="C49" i="99"/>
  <c r="C50" i="99"/>
  <c r="C51" i="99"/>
  <c r="C52" i="99"/>
  <c r="C53" i="99"/>
  <c r="C54" i="99"/>
  <c r="C55" i="99"/>
  <c r="C56" i="99"/>
  <c r="C57" i="99"/>
  <c r="C58" i="99"/>
  <c r="C59" i="99"/>
  <c r="C60" i="99"/>
  <c r="C61" i="99"/>
  <c r="C62" i="99"/>
  <c r="C63" i="99"/>
  <c r="C64" i="99"/>
  <c r="C65" i="99"/>
  <c r="C66" i="99"/>
  <c r="C67" i="99"/>
  <c r="C68" i="99"/>
  <c r="C69" i="99"/>
  <c r="C70" i="99"/>
  <c r="C71" i="99"/>
  <c r="C72" i="99"/>
  <c r="C73" i="99"/>
  <c r="C74" i="99"/>
  <c r="C75" i="99"/>
  <c r="C76" i="99"/>
  <c r="C77" i="99"/>
  <c r="C78" i="99"/>
  <c r="C79" i="99"/>
  <c r="C80" i="99"/>
  <c r="C81" i="99"/>
  <c r="C82" i="99"/>
  <c r="C83" i="99"/>
  <c r="C84" i="99"/>
  <c r="C85" i="99"/>
  <c r="C86" i="99"/>
  <c r="C87" i="99"/>
  <c r="C88" i="99"/>
  <c r="C89" i="99"/>
  <c r="C90" i="99"/>
  <c r="C91" i="99"/>
  <c r="C92" i="99"/>
  <c r="C93" i="99"/>
  <c r="D18" i="99"/>
  <c r="D19" i="99"/>
  <c r="D20" i="99"/>
  <c r="D21" i="99"/>
  <c r="D22" i="99"/>
  <c r="D23" i="99"/>
  <c r="D24" i="99"/>
  <c r="D25" i="99"/>
  <c r="D26" i="99"/>
  <c r="D27" i="99"/>
  <c r="D28" i="99"/>
  <c r="D29" i="99"/>
  <c r="D30" i="99"/>
  <c r="D31" i="99"/>
  <c r="D32" i="99"/>
  <c r="D33" i="99"/>
  <c r="D34" i="99"/>
  <c r="D35" i="99"/>
  <c r="D36" i="99"/>
  <c r="D37" i="99"/>
  <c r="D38" i="99"/>
  <c r="D39" i="99"/>
  <c r="D40" i="99"/>
  <c r="D41" i="99"/>
  <c r="D42" i="99"/>
  <c r="D43" i="99"/>
  <c r="D44" i="99"/>
  <c r="D45" i="99"/>
  <c r="D46" i="99"/>
  <c r="D47" i="99"/>
  <c r="D48" i="99"/>
  <c r="D49" i="99"/>
  <c r="D50" i="99"/>
  <c r="D51" i="99"/>
  <c r="D52" i="99"/>
  <c r="D53" i="99"/>
  <c r="D54" i="99"/>
  <c r="D55" i="99"/>
  <c r="D56" i="99"/>
  <c r="D57" i="99"/>
  <c r="D58" i="99"/>
  <c r="D59" i="99"/>
  <c r="D60" i="99"/>
  <c r="D61" i="99"/>
  <c r="D62" i="99"/>
  <c r="D63" i="99"/>
  <c r="D64" i="99"/>
  <c r="D65" i="99"/>
  <c r="D66" i="99"/>
  <c r="D67" i="99"/>
  <c r="D68" i="99"/>
  <c r="D69" i="99"/>
  <c r="D70" i="99"/>
  <c r="D71" i="99"/>
  <c r="D72" i="99"/>
  <c r="D73" i="99"/>
  <c r="D74" i="99"/>
  <c r="D75" i="99"/>
  <c r="D76" i="99"/>
  <c r="D77" i="99"/>
  <c r="D78" i="99"/>
  <c r="D79" i="99"/>
  <c r="D80" i="99"/>
  <c r="D81" i="99"/>
  <c r="D82" i="99"/>
  <c r="D83" i="99"/>
  <c r="D84" i="99"/>
  <c r="D85" i="99"/>
  <c r="D86" i="99"/>
  <c r="D87" i="99"/>
  <c r="D88" i="99"/>
  <c r="D89" i="99"/>
  <c r="D90" i="99"/>
  <c r="D91" i="99"/>
  <c r="D92" i="99"/>
  <c r="D93" i="99"/>
  <c r="L18" i="99"/>
  <c r="L19" i="99"/>
  <c r="L20" i="99"/>
  <c r="L21" i="99"/>
  <c r="L22" i="99"/>
  <c r="L23" i="99"/>
  <c r="L24" i="99"/>
  <c r="L25" i="99"/>
  <c r="L26" i="99"/>
  <c r="L27" i="99"/>
  <c r="L28" i="99"/>
  <c r="L29" i="99"/>
  <c r="L30" i="99"/>
  <c r="L31" i="99"/>
  <c r="L32" i="99"/>
  <c r="L33" i="99"/>
  <c r="L34" i="99"/>
  <c r="L35" i="99"/>
  <c r="L36" i="99"/>
  <c r="L37" i="99"/>
  <c r="L38" i="99"/>
  <c r="L39" i="99"/>
  <c r="L40" i="99"/>
  <c r="L41" i="99"/>
  <c r="L42" i="99"/>
  <c r="L43" i="99"/>
  <c r="L44" i="99"/>
  <c r="L45" i="99"/>
  <c r="L46" i="99"/>
  <c r="L47" i="99"/>
  <c r="L48" i="99"/>
  <c r="L49" i="99"/>
  <c r="L50" i="99"/>
  <c r="L51" i="99"/>
  <c r="L52" i="99"/>
  <c r="L53" i="99"/>
  <c r="L54" i="99"/>
  <c r="L55" i="99"/>
  <c r="L56" i="99"/>
  <c r="L57" i="99"/>
  <c r="L58" i="99"/>
  <c r="L59" i="99"/>
  <c r="L60" i="99"/>
  <c r="L61" i="99"/>
  <c r="L62" i="99"/>
  <c r="L63" i="99"/>
  <c r="L64" i="99"/>
  <c r="L65" i="99"/>
  <c r="L66" i="99"/>
  <c r="L67" i="99"/>
  <c r="L68" i="99"/>
  <c r="L69" i="99"/>
  <c r="L70" i="99"/>
  <c r="L71" i="99"/>
  <c r="L72" i="99"/>
  <c r="L73" i="99"/>
  <c r="L74" i="99"/>
  <c r="L75" i="99"/>
  <c r="L76" i="99"/>
  <c r="L77" i="99"/>
  <c r="L78" i="99"/>
  <c r="L79" i="99"/>
  <c r="L80" i="99"/>
  <c r="L81" i="99"/>
  <c r="L82" i="99"/>
  <c r="L83" i="99"/>
  <c r="L84" i="99"/>
  <c r="L85" i="99"/>
  <c r="L86" i="99"/>
  <c r="L87" i="99"/>
  <c r="L88" i="99"/>
  <c r="L89" i="99"/>
  <c r="L90" i="99"/>
  <c r="L91" i="99"/>
  <c r="L92" i="99"/>
  <c r="L93" i="99"/>
  <c r="N94" i="99"/>
  <c r="J94" i="99"/>
  <c r="C29" i="69"/>
  <c r="C30" i="69"/>
  <c r="C31" i="69"/>
  <c r="C32" i="69"/>
  <c r="C33" i="69"/>
  <c r="C34" i="69"/>
  <c r="C35" i="69"/>
  <c r="C36" i="69"/>
  <c r="C37" i="69"/>
  <c r="C38" i="69"/>
  <c r="C39" i="69"/>
  <c r="C40" i="69"/>
  <c r="C41" i="69"/>
  <c r="C42" i="69"/>
  <c r="C43" i="69"/>
  <c r="C44" i="69"/>
  <c r="C45" i="69"/>
  <c r="C46" i="69"/>
  <c r="C47" i="69"/>
  <c r="C48" i="69"/>
  <c r="C49" i="69"/>
  <c r="C50" i="69"/>
  <c r="C51" i="69"/>
  <c r="C52" i="69"/>
  <c r="C53" i="69"/>
  <c r="C54" i="69"/>
  <c r="C55" i="69"/>
  <c r="C56" i="69"/>
  <c r="C57" i="69"/>
  <c r="C58" i="69"/>
  <c r="C59" i="69"/>
  <c r="C60" i="69"/>
  <c r="C61" i="69"/>
  <c r="C62" i="69"/>
  <c r="C63" i="69"/>
  <c r="C64" i="69"/>
  <c r="C65" i="69"/>
  <c r="C66" i="69"/>
  <c r="C67" i="69"/>
  <c r="C68" i="69"/>
  <c r="C69" i="69"/>
  <c r="C70" i="69"/>
  <c r="C71" i="69"/>
  <c r="C72" i="69"/>
  <c r="C73" i="69"/>
  <c r="C74" i="69"/>
  <c r="C75" i="69"/>
  <c r="C76" i="69"/>
  <c r="C77" i="69"/>
  <c r="C78" i="69"/>
  <c r="C79" i="69"/>
  <c r="C80" i="69"/>
  <c r="C81" i="69"/>
  <c r="C82" i="69"/>
  <c r="C83" i="69"/>
  <c r="C84" i="69"/>
  <c r="C85" i="69"/>
  <c r="C86" i="69"/>
  <c r="C87" i="69"/>
  <c r="C88" i="69"/>
  <c r="C89" i="69"/>
  <c r="C90" i="69"/>
  <c r="C91" i="69"/>
  <c r="C92" i="69"/>
  <c r="C93" i="69"/>
  <c r="C94" i="69"/>
  <c r="C95" i="69"/>
  <c r="C96" i="69"/>
  <c r="C97" i="69"/>
  <c r="C98" i="69"/>
  <c r="C99" i="69"/>
  <c r="C100" i="69"/>
  <c r="C101" i="69"/>
  <c r="C102" i="69"/>
  <c r="C103" i="69"/>
  <c r="C104" i="69"/>
  <c r="C105" i="69"/>
  <c r="C106" i="69"/>
  <c r="C107" i="69"/>
  <c r="C108" i="69"/>
  <c r="C109" i="69"/>
  <c r="C110" i="69"/>
  <c r="C111" i="69"/>
  <c r="C112" i="69"/>
  <c r="C113" i="69"/>
  <c r="C114" i="69"/>
  <c r="C115" i="69"/>
  <c r="C116" i="69"/>
  <c r="C117" i="69"/>
  <c r="C118" i="69"/>
  <c r="C119" i="69"/>
  <c r="C120" i="69"/>
  <c r="C121" i="69"/>
  <c r="C122" i="69"/>
  <c r="C123" i="69"/>
  <c r="C124" i="69"/>
  <c r="C125" i="69"/>
  <c r="C126" i="69"/>
  <c r="C127" i="69"/>
  <c r="C128" i="69"/>
  <c r="C129" i="69"/>
  <c r="C130" i="69"/>
  <c r="C131" i="69"/>
  <c r="C132" i="69"/>
  <c r="C133" i="69"/>
  <c r="C134" i="69"/>
  <c r="C135" i="69"/>
  <c r="C136" i="69"/>
  <c r="C137" i="69"/>
  <c r="C138" i="69"/>
  <c r="C139" i="69"/>
  <c r="C140" i="69"/>
  <c r="C141" i="69"/>
  <c r="C142" i="69"/>
  <c r="C143" i="69"/>
  <c r="C144" i="69"/>
  <c r="C145" i="69"/>
  <c r="C146" i="69"/>
  <c r="C147" i="69"/>
  <c r="C148" i="69"/>
  <c r="C149" i="69"/>
  <c r="C150" i="69"/>
  <c r="C151" i="69"/>
  <c r="C152" i="69"/>
  <c r="C153" i="69"/>
  <c r="C154" i="69"/>
  <c r="C155" i="69"/>
  <c r="C156" i="69"/>
  <c r="C157" i="69"/>
  <c r="C158" i="69"/>
  <c r="C159" i="69"/>
  <c r="C160" i="69"/>
  <c r="C161" i="69"/>
  <c r="C162" i="69"/>
  <c r="D29" i="69"/>
  <c r="D30" i="69"/>
  <c r="D31" i="69"/>
  <c r="D32" i="69"/>
  <c r="D33" i="69"/>
  <c r="D34" i="69"/>
  <c r="D35" i="69"/>
  <c r="D36" i="69"/>
  <c r="D37" i="69"/>
  <c r="D38" i="69"/>
  <c r="D39" i="69"/>
  <c r="D40" i="69"/>
  <c r="D41" i="69"/>
  <c r="D42" i="69"/>
  <c r="D43" i="69"/>
  <c r="D44" i="69"/>
  <c r="D45" i="69"/>
  <c r="D46" i="69"/>
  <c r="D47" i="69"/>
  <c r="D48" i="69"/>
  <c r="D49" i="69"/>
  <c r="D50" i="69"/>
  <c r="D51" i="69"/>
  <c r="D52" i="69"/>
  <c r="D53" i="69"/>
  <c r="D54" i="69"/>
  <c r="D55" i="69"/>
  <c r="D56" i="69"/>
  <c r="D57" i="69"/>
  <c r="D58" i="69"/>
  <c r="D59" i="69"/>
  <c r="D60" i="69"/>
  <c r="D61" i="69"/>
  <c r="D62" i="69"/>
  <c r="D63" i="69"/>
  <c r="D64" i="69"/>
  <c r="D65" i="69"/>
  <c r="D66" i="69"/>
  <c r="D67" i="69"/>
  <c r="D68" i="69"/>
  <c r="D69" i="69"/>
  <c r="D70" i="69"/>
  <c r="D71" i="69"/>
  <c r="D72" i="69"/>
  <c r="D73" i="69"/>
  <c r="D74" i="69"/>
  <c r="D75" i="69"/>
  <c r="D76" i="69"/>
  <c r="D77" i="69"/>
  <c r="D78" i="69"/>
  <c r="D79" i="69"/>
  <c r="D80" i="69"/>
  <c r="D81" i="69"/>
  <c r="D82" i="69"/>
  <c r="D83" i="69"/>
  <c r="D84" i="69"/>
  <c r="D85" i="69"/>
  <c r="D86" i="69"/>
  <c r="D87" i="69"/>
  <c r="D88" i="69"/>
  <c r="D89" i="69"/>
  <c r="D90" i="69"/>
  <c r="D91" i="69"/>
  <c r="D92" i="69"/>
  <c r="D93" i="69"/>
  <c r="D94" i="69"/>
  <c r="D95" i="69"/>
  <c r="D96" i="69"/>
  <c r="D97" i="69"/>
  <c r="D98" i="69"/>
  <c r="D99" i="69"/>
  <c r="D100" i="69"/>
  <c r="D101" i="69"/>
  <c r="D102" i="69"/>
  <c r="D103" i="69"/>
  <c r="D104" i="69"/>
  <c r="D105" i="69"/>
  <c r="D106" i="69"/>
  <c r="D107" i="69"/>
  <c r="D108" i="69"/>
  <c r="D109" i="69"/>
  <c r="D110" i="69"/>
  <c r="D111" i="69"/>
  <c r="D112" i="69"/>
  <c r="D113" i="69"/>
  <c r="D114" i="69"/>
  <c r="D115" i="69"/>
  <c r="D116" i="69"/>
  <c r="D117" i="69"/>
  <c r="D118" i="69"/>
  <c r="D119" i="69"/>
  <c r="D120" i="69"/>
  <c r="D121" i="69"/>
  <c r="D122" i="69"/>
  <c r="D123" i="69"/>
  <c r="D124" i="69"/>
  <c r="D125" i="69"/>
  <c r="D126" i="69"/>
  <c r="D127" i="69"/>
  <c r="D128" i="69"/>
  <c r="D129" i="69"/>
  <c r="D130" i="69"/>
  <c r="D131" i="69"/>
  <c r="D132" i="69"/>
  <c r="D133" i="69"/>
  <c r="D134" i="69"/>
  <c r="D135" i="69"/>
  <c r="D136" i="69"/>
  <c r="D137" i="69"/>
  <c r="D138" i="69"/>
  <c r="D139" i="69"/>
  <c r="D140" i="69"/>
  <c r="D141" i="69"/>
  <c r="D142" i="69"/>
  <c r="D143" i="69"/>
  <c r="D144" i="69"/>
  <c r="D145" i="69"/>
  <c r="D146" i="69"/>
  <c r="D147" i="69"/>
  <c r="D148" i="69"/>
  <c r="D149" i="69"/>
  <c r="D150" i="69"/>
  <c r="D151" i="69"/>
  <c r="D152" i="69"/>
  <c r="D153" i="69"/>
  <c r="D154" i="69"/>
  <c r="D155" i="69"/>
  <c r="D156" i="69"/>
  <c r="D157" i="69"/>
  <c r="D158" i="69"/>
  <c r="D159" i="69"/>
  <c r="D160" i="69"/>
  <c r="D161" i="69"/>
  <c r="D162" i="69"/>
  <c r="L29" i="69"/>
  <c r="L30" i="69"/>
  <c r="L31" i="69"/>
  <c r="L32" i="69"/>
  <c r="L33" i="69"/>
  <c r="L34" i="69"/>
  <c r="L35" i="69"/>
  <c r="L36" i="69"/>
  <c r="L37" i="69"/>
  <c r="L38" i="69"/>
  <c r="L39" i="69"/>
  <c r="L40" i="69"/>
  <c r="L41" i="69"/>
  <c r="L42" i="69"/>
  <c r="L43" i="69"/>
  <c r="L44" i="69"/>
  <c r="L45" i="69"/>
  <c r="L46" i="69"/>
  <c r="L47" i="69"/>
  <c r="L48" i="69"/>
  <c r="L49" i="69"/>
  <c r="L50" i="69"/>
  <c r="L51" i="69"/>
  <c r="L52" i="69"/>
  <c r="L53" i="69"/>
  <c r="L54" i="69"/>
  <c r="L55" i="69"/>
  <c r="L56" i="69"/>
  <c r="L57" i="69"/>
  <c r="L58" i="69"/>
  <c r="L59" i="69"/>
  <c r="L60" i="69"/>
  <c r="L61" i="69"/>
  <c r="L62" i="69"/>
  <c r="L63" i="69"/>
  <c r="L64" i="69"/>
  <c r="L65" i="69"/>
  <c r="L66" i="69"/>
  <c r="L67" i="69"/>
  <c r="L68" i="69"/>
  <c r="L69" i="69"/>
  <c r="L70" i="69"/>
  <c r="L71" i="69"/>
  <c r="L72" i="69"/>
  <c r="L73" i="69"/>
  <c r="L74" i="69"/>
  <c r="L75" i="69"/>
  <c r="L76" i="69"/>
  <c r="L77" i="69"/>
  <c r="L78" i="69"/>
  <c r="L79" i="69"/>
  <c r="L80" i="69"/>
  <c r="L81" i="69"/>
  <c r="L82" i="69"/>
  <c r="L83" i="69"/>
  <c r="L84" i="69"/>
  <c r="L85" i="69"/>
  <c r="L86" i="69"/>
  <c r="L87" i="69"/>
  <c r="L88" i="69"/>
  <c r="L89" i="69"/>
  <c r="L90" i="69"/>
  <c r="L91" i="69"/>
  <c r="L92" i="69"/>
  <c r="L93" i="69"/>
  <c r="L94" i="69"/>
  <c r="L95" i="69"/>
  <c r="L96" i="69"/>
  <c r="L97" i="69"/>
  <c r="L98" i="69"/>
  <c r="L99" i="69"/>
  <c r="L100" i="69"/>
  <c r="L101" i="69"/>
  <c r="L102" i="69"/>
  <c r="L103" i="69"/>
  <c r="L104" i="69"/>
  <c r="L105" i="69"/>
  <c r="L106" i="69"/>
  <c r="L107" i="69"/>
  <c r="L108" i="69"/>
  <c r="L109" i="69"/>
  <c r="L110" i="69"/>
  <c r="L111" i="69"/>
  <c r="L112" i="69"/>
  <c r="L113" i="69"/>
  <c r="L114" i="69"/>
  <c r="L115" i="69"/>
  <c r="L116" i="69"/>
  <c r="L117" i="69"/>
  <c r="L118" i="69"/>
  <c r="L119" i="69"/>
  <c r="L120" i="69"/>
  <c r="L121" i="69"/>
  <c r="L122" i="69"/>
  <c r="L123" i="69"/>
  <c r="L124" i="69"/>
  <c r="L125" i="69"/>
  <c r="L126" i="69"/>
  <c r="L127" i="69"/>
  <c r="L128" i="69"/>
  <c r="L129" i="69"/>
  <c r="L130" i="69"/>
  <c r="L131" i="69"/>
  <c r="L132" i="69"/>
  <c r="L133" i="69"/>
  <c r="L134" i="69"/>
  <c r="L135" i="69"/>
  <c r="L136" i="69"/>
  <c r="L137" i="69"/>
  <c r="L138" i="69"/>
  <c r="L139" i="69"/>
  <c r="L140" i="69"/>
  <c r="L141" i="69"/>
  <c r="L142" i="69"/>
  <c r="L143" i="69"/>
  <c r="L144" i="69"/>
  <c r="L145" i="69"/>
  <c r="L146" i="69"/>
  <c r="L147" i="69"/>
  <c r="L148" i="69"/>
  <c r="L149" i="69"/>
  <c r="L150" i="69"/>
  <c r="L151" i="69"/>
  <c r="L152" i="69"/>
  <c r="L153" i="69"/>
  <c r="L154" i="69"/>
  <c r="L155" i="69"/>
  <c r="L156" i="69"/>
  <c r="L157" i="69"/>
  <c r="L158" i="69"/>
  <c r="L159" i="69"/>
  <c r="L160" i="69"/>
  <c r="L161" i="69"/>
  <c r="L162" i="69"/>
  <c r="N163" i="69"/>
  <c r="L7" i="99" l="1"/>
  <c r="L8" i="99"/>
  <c r="L9" i="99"/>
  <c r="L10" i="99"/>
  <c r="L11" i="99"/>
  <c r="L12" i="99"/>
  <c r="L13" i="99"/>
  <c r="C14" i="99"/>
  <c r="D14" i="99"/>
  <c r="L14" i="99"/>
  <c r="C15" i="99"/>
  <c r="D15" i="99"/>
  <c r="L15" i="99"/>
  <c r="C16" i="99"/>
  <c r="D16" i="99"/>
  <c r="L16" i="99"/>
  <c r="L26" i="69"/>
  <c r="L27" i="69"/>
  <c r="L28" i="69"/>
  <c r="L7" i="69"/>
  <c r="L8" i="69"/>
  <c r="L9" i="69"/>
  <c r="L10" i="69"/>
  <c r="L11" i="69"/>
  <c r="C26" i="69"/>
  <c r="C27" i="69"/>
  <c r="C28" i="69"/>
  <c r="N26" i="72" l="1"/>
  <c r="D5" i="60" l="1"/>
  <c r="E5" i="60"/>
  <c r="F5" i="60"/>
  <c r="G5" i="60"/>
  <c r="H5" i="60"/>
  <c r="D9" i="60"/>
  <c r="E9" i="60"/>
  <c r="F9" i="60"/>
  <c r="G9" i="60"/>
  <c r="H9" i="60"/>
  <c r="D13" i="60"/>
  <c r="E13" i="60"/>
  <c r="F13" i="60"/>
  <c r="G13" i="60"/>
  <c r="H13" i="60"/>
  <c r="D28" i="69" l="1"/>
  <c r="O6" i="64" l="1"/>
  <c r="O5" i="64"/>
  <c r="E14" i="97"/>
  <c r="F14" i="97" s="1"/>
  <c r="O7" i="64" l="1"/>
  <c r="E25" i="97" s="1"/>
  <c r="F25" i="97" s="1"/>
  <c r="H10" i="61"/>
  <c r="H11" i="61"/>
  <c r="H12" i="61"/>
  <c r="H13" i="61"/>
  <c r="H14" i="61"/>
  <c r="H15" i="61"/>
  <c r="H16" i="61"/>
  <c r="H17" i="61"/>
  <c r="H18" i="61"/>
  <c r="H19" i="61"/>
  <c r="H20" i="61"/>
  <c r="H21" i="61"/>
  <c r="H22" i="61"/>
  <c r="H23" i="61"/>
  <c r="H24" i="61"/>
  <c r="H25" i="61"/>
  <c r="G12" i="55"/>
  <c r="E12" i="55"/>
  <c r="F94" i="99"/>
  <c r="D12" i="55" s="1"/>
  <c r="L17" i="99"/>
  <c r="L94" i="99" s="1"/>
  <c r="D17" i="99"/>
  <c r="C17" i="99"/>
  <c r="D13" i="99"/>
  <c r="C13" i="99"/>
  <c r="D12" i="99"/>
  <c r="C12" i="99"/>
  <c r="D11" i="99"/>
  <c r="C11" i="99"/>
  <c r="D10" i="99"/>
  <c r="C10" i="99"/>
  <c r="D9" i="99"/>
  <c r="C9" i="99"/>
  <c r="D8" i="99"/>
  <c r="C8" i="99"/>
  <c r="D7" i="99"/>
  <c r="C7" i="99"/>
  <c r="C25" i="69"/>
  <c r="D25" i="69"/>
  <c r="L25" i="69"/>
  <c r="D7" i="69"/>
  <c r="D8" i="69"/>
  <c r="D9" i="69"/>
  <c r="D10" i="69"/>
  <c r="D11" i="69"/>
  <c r="D12" i="69"/>
  <c r="D13" i="69"/>
  <c r="D14" i="69"/>
  <c r="D15" i="69"/>
  <c r="D16" i="69"/>
  <c r="D17" i="69"/>
  <c r="D18" i="69"/>
  <c r="D19" i="69"/>
  <c r="D20" i="69"/>
  <c r="D21" i="69"/>
  <c r="D22" i="69"/>
  <c r="D23" i="69"/>
  <c r="D24" i="69"/>
  <c r="F163" i="69"/>
  <c r="C7" i="69"/>
  <c r="C8" i="69"/>
  <c r="C9" i="69"/>
  <c r="C10" i="69"/>
  <c r="C11" i="69"/>
  <c r="C12" i="69"/>
  <c r="C13" i="69"/>
  <c r="C14" i="69"/>
  <c r="C15" i="69"/>
  <c r="C16" i="69"/>
  <c r="C17" i="69"/>
  <c r="C18" i="69"/>
  <c r="C19" i="69"/>
  <c r="C20" i="69"/>
  <c r="C21" i="69"/>
  <c r="C22" i="69"/>
  <c r="C23" i="69"/>
  <c r="C24" i="69"/>
  <c r="C3" i="64" l="1"/>
  <c r="D94" i="99"/>
  <c r="E4" i="99" s="1"/>
  <c r="F12" i="55"/>
  <c r="D163" i="69" l="1"/>
  <c r="O56" i="78"/>
  <c r="P56" i="78"/>
  <c r="Q56" i="78"/>
  <c r="R56" i="78"/>
  <c r="P57" i="78"/>
  <c r="Q57" i="78"/>
  <c r="O58" i="78"/>
  <c r="P58" i="78"/>
  <c r="Q58" i="78"/>
  <c r="R58" i="78"/>
  <c r="O59" i="78"/>
  <c r="P59" i="78"/>
  <c r="Q59" i="78"/>
  <c r="R59" i="78"/>
  <c r="O60" i="78"/>
  <c r="P60" i="78"/>
  <c r="Q60" i="78"/>
  <c r="R60" i="78"/>
  <c r="O61" i="78"/>
  <c r="P61" i="78"/>
  <c r="Q61" i="78"/>
  <c r="R61" i="78"/>
  <c r="O62" i="78"/>
  <c r="P62" i="78"/>
  <c r="Q62" i="78"/>
  <c r="R62" i="78"/>
  <c r="O63" i="78"/>
  <c r="P63" i="78"/>
  <c r="Q63" i="78"/>
  <c r="R63" i="78"/>
  <c r="O64" i="78"/>
  <c r="P64" i="78"/>
  <c r="Q64" i="78"/>
  <c r="R64" i="78"/>
  <c r="O65" i="78"/>
  <c r="P65" i="78"/>
  <c r="Q65" i="78"/>
  <c r="R65" i="78"/>
  <c r="O66" i="78"/>
  <c r="P66" i="78"/>
  <c r="Q66" i="78"/>
  <c r="R66" i="78"/>
  <c r="O67" i="78"/>
  <c r="P67" i="78"/>
  <c r="Q67" i="78"/>
  <c r="R67" i="78"/>
  <c r="O68" i="78"/>
  <c r="P68" i="78"/>
  <c r="Q68" i="78"/>
  <c r="R68" i="78"/>
  <c r="O69" i="78"/>
  <c r="P69" i="78"/>
  <c r="Q69" i="78"/>
  <c r="R69" i="78"/>
  <c r="O70" i="78"/>
  <c r="P70" i="78"/>
  <c r="Q70" i="78"/>
  <c r="R70" i="78"/>
  <c r="O71" i="78"/>
  <c r="P71" i="78"/>
  <c r="Q71" i="78"/>
  <c r="R71" i="78"/>
  <c r="O72" i="78"/>
  <c r="P72" i="78"/>
  <c r="Q72" i="78"/>
  <c r="R72" i="78"/>
  <c r="O73" i="78"/>
  <c r="P73" i="78"/>
  <c r="Q73" i="78"/>
  <c r="R73" i="78"/>
  <c r="O74" i="78"/>
  <c r="P74" i="78"/>
  <c r="Q74" i="78"/>
  <c r="R74" i="78"/>
  <c r="P55" i="78"/>
  <c r="Q55" i="78"/>
  <c r="R55" i="78"/>
  <c r="O55" i="78"/>
  <c r="W31" i="75"/>
  <c r="V31" i="75"/>
  <c r="X51" i="75"/>
  <c r="W51" i="75"/>
  <c r="V51" i="75"/>
  <c r="U51" i="75"/>
  <c r="X39" i="75"/>
  <c r="W39" i="75"/>
  <c r="V39" i="75"/>
  <c r="U39" i="75"/>
  <c r="S39" i="75"/>
  <c r="R39" i="75"/>
  <c r="Q39" i="75"/>
  <c r="P39" i="75"/>
  <c r="N39" i="75"/>
  <c r="M39" i="75"/>
  <c r="L39" i="75"/>
  <c r="K39" i="75"/>
  <c r="I39" i="75"/>
  <c r="H39" i="75"/>
  <c r="G39" i="75"/>
  <c r="F39" i="75"/>
  <c r="U37" i="75"/>
  <c r="F37" i="75"/>
  <c r="R57" i="78"/>
  <c r="U31" i="75"/>
  <c r="I4" i="79"/>
  <c r="B14" i="64"/>
  <c r="B15" i="64" s="1"/>
  <c r="B16" i="64" s="1"/>
  <c r="B17" i="64" s="1"/>
  <c r="B18" i="64" s="1"/>
  <c r="B19" i="64" s="1"/>
  <c r="B20" i="64" s="1"/>
  <c r="N11" i="94"/>
  <c r="N12" i="94"/>
  <c r="N13" i="94"/>
  <c r="N10" i="94"/>
  <c r="N6" i="73"/>
  <c r="C4" i="73" s="1"/>
  <c r="N28" i="68"/>
  <c r="N26" i="53"/>
  <c r="U54" i="75" l="1"/>
  <c r="V54" i="75"/>
  <c r="W54" i="75"/>
  <c r="X31" i="75"/>
  <c r="X54" i="75" s="1"/>
  <c r="O57" i="78"/>
  <c r="N14" i="94"/>
  <c r="E28" i="97" s="1"/>
  <c r="F28" i="97" s="1"/>
  <c r="E4" i="69"/>
  <c r="E13" i="97"/>
  <c r="F13" i="97" s="1"/>
  <c r="E21" i="97"/>
  <c r="F21" i="97" s="1"/>
  <c r="C6" i="94" l="1"/>
  <c r="B32" i="96"/>
  <c r="B33" i="96" s="1"/>
  <c r="B34" i="96" s="1"/>
  <c r="N26" i="96"/>
  <c r="N25" i="96"/>
  <c r="N24" i="96"/>
  <c r="N23" i="96"/>
  <c r="N22" i="96"/>
  <c r="N21" i="96"/>
  <c r="N20" i="96"/>
  <c r="L27" i="96"/>
  <c r="K27" i="96"/>
  <c r="J27" i="96"/>
  <c r="I27" i="96"/>
  <c r="H27" i="96"/>
  <c r="G27" i="96"/>
  <c r="F27" i="96"/>
  <c r="D27" i="96"/>
  <c r="E27" i="96"/>
  <c r="B8" i="96"/>
  <c r="B9" i="96" s="1"/>
  <c r="B10" i="96" s="1"/>
  <c r="B11" i="96" s="1"/>
  <c r="B12" i="96" s="1"/>
  <c r="B13" i="96" s="1"/>
  <c r="B14" i="96" s="1"/>
  <c r="B15" i="96" s="1"/>
  <c r="B16" i="96" s="1"/>
  <c r="B17" i="96" s="1"/>
  <c r="B18" i="96" s="1"/>
  <c r="B19" i="96" s="1"/>
  <c r="B20" i="96" s="1"/>
  <c r="B21" i="96" s="1"/>
  <c r="B22" i="96" s="1"/>
  <c r="B23" i="96" s="1"/>
  <c r="B24" i="96" s="1"/>
  <c r="B25" i="96" s="1"/>
  <c r="B26" i="96" s="1"/>
  <c r="N27" i="96" l="1"/>
  <c r="B7" i="73"/>
  <c r="B8" i="73" s="1"/>
  <c r="B12" i="73" s="1"/>
  <c r="B13" i="73" s="1"/>
  <c r="B14" i="73" s="1"/>
  <c r="B15" i="73" s="1"/>
  <c r="B16" i="73" s="1"/>
  <c r="B17" i="73" s="1"/>
  <c r="B18" i="73" s="1"/>
  <c r="B19" i="73" s="1"/>
  <c r="B20" i="73" s="1"/>
  <c r="B21" i="73" s="1"/>
  <c r="B23" i="73" s="1"/>
  <c r="B24" i="73" s="1"/>
  <c r="B25" i="73" s="1"/>
  <c r="B26" i="73" s="1"/>
  <c r="B27" i="73" s="1"/>
  <c r="B28" i="73" s="1"/>
  <c r="B29" i="73" s="1"/>
  <c r="B30" i="73" s="1"/>
  <c r="B31" i="73" s="1"/>
  <c r="B32" i="73" s="1"/>
  <c r="B33" i="73" s="1"/>
  <c r="B35" i="73" s="1"/>
  <c r="B36" i="73" s="1"/>
  <c r="B37" i="73" s="1"/>
  <c r="B38" i="73" s="1"/>
  <c r="B39" i="73" s="1"/>
  <c r="B40" i="73" s="1"/>
  <c r="B41" i="73" s="1"/>
  <c r="O26" i="74" l="1"/>
  <c r="D63" i="59"/>
  <c r="D62" i="59"/>
  <c r="D61" i="59"/>
  <c r="D60" i="59"/>
  <c r="D59" i="59"/>
  <c r="D58" i="59"/>
  <c r="C27" i="45" l="1"/>
  <c r="B27" i="45"/>
  <c r="C23" i="45"/>
  <c r="B23" i="45"/>
  <c r="A29" i="45"/>
  <c r="A28" i="45"/>
  <c r="A25" i="45"/>
  <c r="A24" i="45"/>
  <c r="O11" i="51" l="1"/>
  <c r="O8" i="51"/>
  <c r="N6" i="51"/>
  <c r="N7" i="51"/>
  <c r="N8" i="51"/>
  <c r="N9" i="51"/>
  <c r="N10" i="51"/>
  <c r="N11" i="51"/>
  <c r="N12" i="51"/>
  <c r="N13" i="51"/>
  <c r="N5" i="51"/>
  <c r="C11" i="52"/>
  <c r="C8" i="52"/>
  <c r="N14" i="51" l="1"/>
  <c r="C3" i="51" s="1"/>
  <c r="L8" i="52"/>
  <c r="C10" i="96"/>
  <c r="C13" i="96"/>
  <c r="L11" i="52"/>
  <c r="C12" i="52"/>
  <c r="E6" i="97" l="1"/>
  <c r="F6" i="97" s="1"/>
  <c r="C14" i="96"/>
  <c r="L12" i="52"/>
  <c r="D9" i="95" l="1"/>
  <c r="D48" i="79" l="1"/>
  <c r="C48" i="79"/>
  <c r="M39" i="87"/>
  <c r="N39" i="87"/>
  <c r="M40" i="87"/>
  <c r="N40" i="87"/>
  <c r="N38" i="87"/>
  <c r="M38" i="87"/>
  <c r="K39" i="87"/>
  <c r="L39" i="87"/>
  <c r="K40" i="87"/>
  <c r="L40" i="87"/>
  <c r="L38" i="87"/>
  <c r="K38" i="87"/>
  <c r="I39" i="87"/>
  <c r="I40" i="87"/>
  <c r="I38" i="87"/>
  <c r="H39" i="87"/>
  <c r="H40" i="87"/>
  <c r="H38" i="87"/>
  <c r="I37" i="87"/>
  <c r="H37" i="87"/>
  <c r="D9" i="87"/>
  <c r="D10" i="87"/>
  <c r="D11" i="87"/>
  <c r="D12" i="87"/>
  <c r="D13" i="87"/>
  <c r="D14" i="87"/>
  <c r="D15" i="87"/>
  <c r="D16" i="87"/>
  <c r="D17" i="87"/>
  <c r="D18" i="87"/>
  <c r="D19" i="87"/>
  <c r="D20" i="87"/>
  <c r="D21" i="87"/>
  <c r="D22" i="87"/>
  <c r="D23" i="87"/>
  <c r="D24" i="87"/>
  <c r="D25" i="87"/>
  <c r="D26" i="87"/>
  <c r="D27" i="87"/>
  <c r="D8" i="87"/>
  <c r="F3" i="45"/>
  <c r="E12" i="45" s="1"/>
  <c r="F15" i="45" s="1"/>
  <c r="S51" i="75"/>
  <c r="R51" i="75"/>
  <c r="Q51" i="75"/>
  <c r="P51" i="75"/>
  <c r="N51" i="75"/>
  <c r="M51" i="75"/>
  <c r="L51" i="75"/>
  <c r="K51" i="75"/>
  <c r="I51" i="75"/>
  <c r="H51" i="75"/>
  <c r="G51" i="75"/>
  <c r="F51" i="75"/>
  <c r="S31" i="75"/>
  <c r="R31" i="75"/>
  <c r="Q31" i="75"/>
  <c r="P31" i="75"/>
  <c r="L31" i="75"/>
  <c r="M31" i="75"/>
  <c r="N31" i="75"/>
  <c r="K31" i="75"/>
  <c r="K54" i="75" l="1"/>
  <c r="K55" i="75" s="1"/>
  <c r="M54" i="75"/>
  <c r="M55" i="75" s="1"/>
  <c r="K67" i="78"/>
  <c r="L31" i="78"/>
  <c r="L43" i="78"/>
  <c r="L10" i="78"/>
  <c r="L14" i="78"/>
  <c r="L22" i="78"/>
  <c r="L57" i="78"/>
  <c r="L59" i="78"/>
  <c r="L61" i="78"/>
  <c r="L63" i="78"/>
  <c r="L65" i="78"/>
  <c r="L66" i="78"/>
  <c r="L69" i="78"/>
  <c r="L71" i="78"/>
  <c r="L73" i="78"/>
  <c r="L33" i="78"/>
  <c r="L37" i="78"/>
  <c r="L41" i="78"/>
  <c r="L45" i="78"/>
  <c r="L29" i="78"/>
  <c r="L8" i="78"/>
  <c r="L12" i="78"/>
  <c r="L16" i="78"/>
  <c r="L20" i="78"/>
  <c r="L4" i="78"/>
  <c r="N56" i="78"/>
  <c r="N57" i="78"/>
  <c r="N58" i="78"/>
  <c r="N59" i="78"/>
  <c r="N60" i="78"/>
  <c r="N61" i="78"/>
  <c r="N62" i="78"/>
  <c r="N63" i="78"/>
  <c r="N64" i="78"/>
  <c r="N65" i="78"/>
  <c r="N66" i="78"/>
  <c r="N67" i="78"/>
  <c r="N68" i="78"/>
  <c r="N69" i="78"/>
  <c r="N70" i="78"/>
  <c r="N71" i="78"/>
  <c r="N72" i="78"/>
  <c r="N73" i="78"/>
  <c r="N74" i="78"/>
  <c r="K55" i="78"/>
  <c r="L30" i="78"/>
  <c r="L34" i="78"/>
  <c r="L38" i="78"/>
  <c r="L42" i="78"/>
  <c r="L46" i="78"/>
  <c r="L5" i="78"/>
  <c r="L9" i="78"/>
  <c r="L13" i="78"/>
  <c r="L17" i="78"/>
  <c r="L21" i="78"/>
  <c r="K56" i="78"/>
  <c r="K57" i="78"/>
  <c r="K58" i="78"/>
  <c r="K59" i="78"/>
  <c r="K60" i="78"/>
  <c r="K61" i="78"/>
  <c r="K62" i="78"/>
  <c r="K63" i="78"/>
  <c r="K64" i="78"/>
  <c r="K65" i="78"/>
  <c r="K66" i="78"/>
  <c r="K68" i="78"/>
  <c r="K69" i="78"/>
  <c r="K70" i="78"/>
  <c r="K71" i="78"/>
  <c r="K72" i="78"/>
  <c r="K73" i="78"/>
  <c r="K74" i="78"/>
  <c r="L55" i="78"/>
  <c r="L35" i="78"/>
  <c r="L39" i="78"/>
  <c r="L47" i="78"/>
  <c r="L6" i="78"/>
  <c r="L18" i="78"/>
  <c r="L56" i="78"/>
  <c r="L58" i="78"/>
  <c r="L60" i="78"/>
  <c r="L62" i="78"/>
  <c r="L64" i="78"/>
  <c r="L67" i="78"/>
  <c r="L68" i="78"/>
  <c r="L70" i="78"/>
  <c r="L72" i="78"/>
  <c r="L74" i="78"/>
  <c r="M55" i="78"/>
  <c r="L32" i="78"/>
  <c r="L36" i="78"/>
  <c r="L40" i="78"/>
  <c r="L48" i="78"/>
  <c r="L15" i="78"/>
  <c r="M57" i="78"/>
  <c r="M61" i="78"/>
  <c r="M65" i="78"/>
  <c r="M69" i="78"/>
  <c r="M73" i="78"/>
  <c r="L44" i="78"/>
  <c r="L19" i="78"/>
  <c r="M58" i="78"/>
  <c r="M62" i="78"/>
  <c r="M66" i="78"/>
  <c r="M70" i="78"/>
  <c r="M74" i="78"/>
  <c r="L7" i="78"/>
  <c r="L23" i="78"/>
  <c r="M59" i="78"/>
  <c r="M63" i="78"/>
  <c r="M67" i="78"/>
  <c r="M71" i="78"/>
  <c r="N55" i="78"/>
  <c r="L11" i="78"/>
  <c r="M56" i="78"/>
  <c r="M60" i="78"/>
  <c r="M64" i="78"/>
  <c r="M68" i="78"/>
  <c r="M72" i="78"/>
  <c r="S54" i="75"/>
  <c r="F13" i="45"/>
  <c r="F16" i="45"/>
  <c r="F14" i="45"/>
  <c r="Q54" i="75"/>
  <c r="L54" i="75"/>
  <c r="L55" i="75" s="1"/>
  <c r="R54" i="75"/>
  <c r="N54" i="75"/>
  <c r="N55" i="75" s="1"/>
  <c r="P54" i="75"/>
  <c r="L14" i="69"/>
  <c r="L15" i="69"/>
  <c r="L16" i="69"/>
  <c r="L17" i="69"/>
  <c r="L18" i="69"/>
  <c r="L19" i="69"/>
  <c r="L20" i="69"/>
  <c r="L21" i="69"/>
  <c r="L22" i="69"/>
  <c r="L23" i="69"/>
  <c r="L24" i="69"/>
  <c r="J14" i="81" l="1"/>
  <c r="D14" i="81"/>
  <c r="C29" i="79"/>
  <c r="C29" i="76" s="1"/>
  <c r="D29" i="79"/>
  <c r="D29" i="76" s="1"/>
  <c r="D49" i="78"/>
  <c r="E49" i="78"/>
  <c r="C49" i="78"/>
  <c r="K24" i="78"/>
  <c r="C39" i="79" s="1"/>
  <c r="H7" i="61"/>
  <c r="H8" i="61"/>
  <c r="H9" i="61"/>
  <c r="H6" i="61"/>
  <c r="C6" i="52"/>
  <c r="C8" i="96" s="1"/>
  <c r="C7" i="52"/>
  <c r="C9" i="96" s="1"/>
  <c r="C9" i="54"/>
  <c r="N9" i="54" s="1"/>
  <c r="C9" i="52"/>
  <c r="C13" i="75" s="1"/>
  <c r="D13" i="75" s="1"/>
  <c r="C10" i="52"/>
  <c r="C14" i="75" s="1"/>
  <c r="D14" i="75" s="1"/>
  <c r="B10" i="78"/>
  <c r="D10" i="78" s="1"/>
  <c r="C33" i="60"/>
  <c r="C13" i="52"/>
  <c r="C14" i="52"/>
  <c r="C15" i="52"/>
  <c r="C16" i="52"/>
  <c r="C18" i="52"/>
  <c r="C19" i="52"/>
  <c r="D18" i="68" s="1"/>
  <c r="C20" i="52"/>
  <c r="D19" i="68" s="1"/>
  <c r="C21" i="52"/>
  <c r="D20" i="68" s="1"/>
  <c r="C22" i="52"/>
  <c r="D21" i="68" s="1"/>
  <c r="C23" i="52"/>
  <c r="D22" i="68" s="1"/>
  <c r="C24" i="52"/>
  <c r="D23" i="68" s="1"/>
  <c r="C5" i="52"/>
  <c r="C7" i="96" s="1"/>
  <c r="C25" i="87" l="1"/>
  <c r="C24" i="96"/>
  <c r="L22" i="52"/>
  <c r="C25" i="75"/>
  <c r="D25" i="75" s="1"/>
  <c r="C23" i="96"/>
  <c r="L21" i="52"/>
  <c r="C21" i="75"/>
  <c r="D21" i="75" s="1"/>
  <c r="C19" i="96"/>
  <c r="C17" i="75"/>
  <c r="D17" i="75" s="1"/>
  <c r="C15" i="96"/>
  <c r="L13" i="52"/>
  <c r="C25" i="54"/>
  <c r="N25" i="54" s="1"/>
  <c r="C26" i="96"/>
  <c r="L24" i="52"/>
  <c r="C65" i="60"/>
  <c r="C22" i="96"/>
  <c r="L20" i="52"/>
  <c r="C49" i="60"/>
  <c r="C18" i="96"/>
  <c r="L16" i="52"/>
  <c r="B22" i="78"/>
  <c r="C22" i="78" s="1"/>
  <c r="C26" i="91" s="1"/>
  <c r="C25" i="96"/>
  <c r="L23" i="52"/>
  <c r="B18" i="78"/>
  <c r="C18" i="78" s="1"/>
  <c r="C21" i="96"/>
  <c r="L19" i="52"/>
  <c r="B14" i="78"/>
  <c r="C14" i="78" s="1"/>
  <c r="C17" i="96"/>
  <c r="L15" i="52"/>
  <c r="C21" i="87"/>
  <c r="C20" i="96"/>
  <c r="L18" i="52"/>
  <c r="C17" i="87"/>
  <c r="C16" i="96"/>
  <c r="L14" i="52"/>
  <c r="L10" i="52"/>
  <c r="C12" i="96"/>
  <c r="E29" i="79"/>
  <c r="F29" i="76" s="1"/>
  <c r="H28" i="87" s="1"/>
  <c r="L9" i="52"/>
  <c r="C11" i="96"/>
  <c r="B5" i="78"/>
  <c r="D5" i="78" s="1"/>
  <c r="D9" i="91" s="1"/>
  <c r="L6" i="52"/>
  <c r="B4" i="78"/>
  <c r="L5" i="52"/>
  <c r="C10" i="87"/>
  <c r="L7" i="52"/>
  <c r="C10" i="53"/>
  <c r="N10" i="53" s="1"/>
  <c r="C9" i="53"/>
  <c r="N9" i="53" s="1"/>
  <c r="C18" i="53"/>
  <c r="N18" i="53" s="1"/>
  <c r="N23" i="68"/>
  <c r="D15" i="68"/>
  <c r="C14" i="54"/>
  <c r="N14" i="54" s="1"/>
  <c r="C16" i="67"/>
  <c r="C17" i="53"/>
  <c r="N17" i="53" s="1"/>
  <c r="N22" i="68"/>
  <c r="D14" i="68"/>
  <c r="C41" i="60"/>
  <c r="C22" i="61"/>
  <c r="N22" i="61" s="1"/>
  <c r="C22" i="53"/>
  <c r="N22" i="53" s="1"/>
  <c r="C14" i="53"/>
  <c r="N14" i="53" s="1"/>
  <c r="N19" i="68"/>
  <c r="C22" i="54"/>
  <c r="N22" i="54" s="1"/>
  <c r="C57" i="60"/>
  <c r="C24" i="67"/>
  <c r="C18" i="61"/>
  <c r="N18" i="61" s="1"/>
  <c r="C21" i="53"/>
  <c r="N21" i="53" s="1"/>
  <c r="C13" i="53"/>
  <c r="N13" i="53" s="1"/>
  <c r="N18" i="68"/>
  <c r="C18" i="54"/>
  <c r="N18" i="54" s="1"/>
  <c r="C73" i="60"/>
  <c r="C20" i="67"/>
  <c r="C14" i="61"/>
  <c r="N14" i="61" s="1"/>
  <c r="D11" i="68"/>
  <c r="D10" i="68"/>
  <c r="C25" i="60"/>
  <c r="C12" i="67"/>
  <c r="C21" i="54"/>
  <c r="N21" i="54" s="1"/>
  <c r="C29" i="60"/>
  <c r="C77" i="60"/>
  <c r="C23" i="53"/>
  <c r="N23" i="53" s="1"/>
  <c r="C19" i="53"/>
  <c r="N19" i="53" s="1"/>
  <c r="C15" i="53"/>
  <c r="N15" i="53" s="1"/>
  <c r="C11" i="53"/>
  <c r="N11" i="53" s="1"/>
  <c r="N20" i="68"/>
  <c r="D16" i="68"/>
  <c r="D12" i="68"/>
  <c r="C23" i="54"/>
  <c r="N23" i="54" s="1"/>
  <c r="C19" i="54"/>
  <c r="N19" i="54" s="1"/>
  <c r="C15" i="54"/>
  <c r="N15" i="54" s="1"/>
  <c r="C11" i="54"/>
  <c r="N11" i="54" s="1"/>
  <c r="C37" i="60"/>
  <c r="C53" i="60"/>
  <c r="C69" i="60"/>
  <c r="C22" i="67"/>
  <c r="C18" i="67"/>
  <c r="C14" i="67"/>
  <c r="C23" i="61"/>
  <c r="N23" i="61" s="1"/>
  <c r="C19" i="61"/>
  <c r="N19" i="61" s="1"/>
  <c r="C15" i="61"/>
  <c r="N15" i="61" s="1"/>
  <c r="C11" i="61"/>
  <c r="N11" i="61" s="1"/>
  <c r="D21" i="72"/>
  <c r="D17" i="72"/>
  <c r="D13" i="72"/>
  <c r="C24" i="62"/>
  <c r="P24" i="62" s="1"/>
  <c r="C20" i="62"/>
  <c r="P20" i="62" s="1"/>
  <c r="C16" i="62"/>
  <c r="P16" i="62" s="1"/>
  <c r="C12" i="62"/>
  <c r="P12" i="62" s="1"/>
  <c r="C21" i="74"/>
  <c r="O21" i="74" s="1"/>
  <c r="C17" i="74"/>
  <c r="O17" i="74" s="1"/>
  <c r="C13" i="74"/>
  <c r="O13" i="74" s="1"/>
  <c r="C24" i="63"/>
  <c r="C20" i="63"/>
  <c r="C16" i="63"/>
  <c r="C12" i="63"/>
  <c r="C24" i="75"/>
  <c r="D24" i="75" s="1"/>
  <c r="C20" i="75"/>
  <c r="D20" i="75" s="1"/>
  <c r="C16" i="75"/>
  <c r="D16" i="75" s="1"/>
  <c r="B21" i="78"/>
  <c r="B25" i="91" s="1"/>
  <c r="B17" i="78"/>
  <c r="E17" i="78" s="1"/>
  <c r="E21" i="91" s="1"/>
  <c r="B13" i="78"/>
  <c r="E13" i="78" s="1"/>
  <c r="E38" i="78" s="1"/>
  <c r="B9" i="78"/>
  <c r="B8" i="77" s="1"/>
  <c r="C24" i="87"/>
  <c r="C20" i="87"/>
  <c r="C16" i="87"/>
  <c r="C25" i="67"/>
  <c r="C21" i="67"/>
  <c r="C17" i="67"/>
  <c r="C13" i="67"/>
  <c r="D24" i="72"/>
  <c r="D20" i="72"/>
  <c r="D16" i="72"/>
  <c r="D12" i="72"/>
  <c r="C23" i="62"/>
  <c r="P23" i="62" s="1"/>
  <c r="C19" i="62"/>
  <c r="P19" i="62" s="1"/>
  <c r="C15" i="62"/>
  <c r="P15" i="62" s="1"/>
  <c r="C24" i="74"/>
  <c r="O24" i="74" s="1"/>
  <c r="C20" i="74"/>
  <c r="O20" i="74" s="1"/>
  <c r="C16" i="74"/>
  <c r="O16" i="74" s="1"/>
  <c r="C12" i="74"/>
  <c r="O12" i="74" s="1"/>
  <c r="C23" i="63"/>
  <c r="C19" i="63"/>
  <c r="C15" i="63"/>
  <c r="C27" i="75"/>
  <c r="D27" i="75" s="1"/>
  <c r="C23" i="75"/>
  <c r="D23" i="75" s="1"/>
  <c r="C19" i="75"/>
  <c r="D19" i="75" s="1"/>
  <c r="C15" i="75"/>
  <c r="D15" i="75" s="1"/>
  <c r="B20" i="78"/>
  <c r="D20" i="78" s="1"/>
  <c r="D24" i="91" s="1"/>
  <c r="B16" i="78"/>
  <c r="B20" i="91" s="1"/>
  <c r="B12" i="78"/>
  <c r="B16" i="91" s="1"/>
  <c r="C27" i="87"/>
  <c r="C23" i="87"/>
  <c r="C19" i="87"/>
  <c r="C15" i="87"/>
  <c r="C17" i="54"/>
  <c r="N17" i="54" s="1"/>
  <c r="C61" i="60"/>
  <c r="C21" i="61"/>
  <c r="N21" i="61" s="1"/>
  <c r="C17" i="61"/>
  <c r="N17" i="61" s="1"/>
  <c r="C13" i="61"/>
  <c r="N13" i="61" s="1"/>
  <c r="D23" i="72"/>
  <c r="D19" i="72"/>
  <c r="D15" i="72"/>
  <c r="D11" i="72"/>
  <c r="C22" i="62"/>
  <c r="P22" i="62" s="1"/>
  <c r="C18" i="62"/>
  <c r="P18" i="62" s="1"/>
  <c r="C14" i="62"/>
  <c r="P14" i="62" s="1"/>
  <c r="C23" i="74"/>
  <c r="O23" i="74" s="1"/>
  <c r="C19" i="74"/>
  <c r="O19" i="74" s="1"/>
  <c r="C15" i="74"/>
  <c r="O15" i="74" s="1"/>
  <c r="C11" i="74"/>
  <c r="O11" i="74" s="1"/>
  <c r="C22" i="63"/>
  <c r="C18" i="63"/>
  <c r="C14" i="63"/>
  <c r="C26" i="75"/>
  <c r="D26" i="75" s="1"/>
  <c r="C22" i="75"/>
  <c r="D22" i="75" s="1"/>
  <c r="C18" i="75"/>
  <c r="D18" i="75" s="1"/>
  <c r="B19" i="78"/>
  <c r="D19" i="78" s="1"/>
  <c r="D23" i="91" s="1"/>
  <c r="B15" i="78"/>
  <c r="C15" i="78" s="1"/>
  <c r="C19" i="91" s="1"/>
  <c r="B11" i="78"/>
  <c r="C11" i="78" s="1"/>
  <c r="C15" i="91" s="1"/>
  <c r="C26" i="87"/>
  <c r="C22" i="87"/>
  <c r="C18" i="87"/>
  <c r="C14" i="87"/>
  <c r="C13" i="54"/>
  <c r="N13" i="54" s="1"/>
  <c r="C45" i="60"/>
  <c r="C20" i="53"/>
  <c r="N20" i="53" s="1"/>
  <c r="C16" i="53"/>
  <c r="N16" i="53" s="1"/>
  <c r="C12" i="53"/>
  <c r="N12" i="53" s="1"/>
  <c r="N21" i="68"/>
  <c r="D17" i="68"/>
  <c r="D13" i="68"/>
  <c r="C24" i="54"/>
  <c r="N24" i="54" s="1"/>
  <c r="C20" i="54"/>
  <c r="N20" i="54" s="1"/>
  <c r="C16" i="54"/>
  <c r="N16" i="54" s="1"/>
  <c r="C12" i="54"/>
  <c r="N12" i="54" s="1"/>
  <c r="C23" i="67"/>
  <c r="C19" i="67"/>
  <c r="C15" i="67"/>
  <c r="C24" i="61"/>
  <c r="N24" i="61" s="1"/>
  <c r="C20" i="61"/>
  <c r="N20" i="61" s="1"/>
  <c r="C16" i="61"/>
  <c r="N16" i="61" s="1"/>
  <c r="C12" i="61"/>
  <c r="N12" i="61" s="1"/>
  <c r="D22" i="72"/>
  <c r="D18" i="72"/>
  <c r="D14" i="72"/>
  <c r="C25" i="62"/>
  <c r="P25" i="62" s="1"/>
  <c r="C21" i="62"/>
  <c r="P21" i="62" s="1"/>
  <c r="C17" i="62"/>
  <c r="P17" i="62" s="1"/>
  <c r="C13" i="62"/>
  <c r="P13" i="62" s="1"/>
  <c r="C22" i="74"/>
  <c r="O22" i="74" s="1"/>
  <c r="C18" i="74"/>
  <c r="O18" i="74" s="1"/>
  <c r="C14" i="74"/>
  <c r="O14" i="74" s="1"/>
  <c r="C25" i="63"/>
  <c r="C21" i="63"/>
  <c r="C17" i="63"/>
  <c r="C13" i="63"/>
  <c r="C13" i="87"/>
  <c r="D10" i="72"/>
  <c r="C12" i="87"/>
  <c r="C10" i="61"/>
  <c r="N10" i="61" s="1"/>
  <c r="C11" i="63"/>
  <c r="C11" i="67"/>
  <c r="C10" i="74"/>
  <c r="O10" i="74" s="1"/>
  <c r="C10" i="54"/>
  <c r="N10" i="54" s="1"/>
  <c r="D9" i="68"/>
  <c r="C21" i="60"/>
  <c r="C11" i="62"/>
  <c r="B8" i="78"/>
  <c r="C8" i="78" s="1"/>
  <c r="C9" i="60"/>
  <c r="C17" i="60"/>
  <c r="C11" i="87"/>
  <c r="C10" i="67"/>
  <c r="C9" i="61"/>
  <c r="N9" i="61" s="1"/>
  <c r="D9" i="72"/>
  <c r="C10" i="62"/>
  <c r="P10" i="62" s="1"/>
  <c r="C9" i="74"/>
  <c r="O9" i="74" s="1"/>
  <c r="C10" i="63"/>
  <c r="C12" i="75"/>
  <c r="D12" i="75" s="1"/>
  <c r="B7" i="78"/>
  <c r="E7" i="78" s="1"/>
  <c r="E11" i="91" s="1"/>
  <c r="C8" i="53"/>
  <c r="N8" i="53" s="1"/>
  <c r="D8" i="68"/>
  <c r="C7" i="53"/>
  <c r="N7" i="53" s="1"/>
  <c r="C9" i="63"/>
  <c r="C9" i="67"/>
  <c r="C8" i="74"/>
  <c r="O8" i="74" s="1"/>
  <c r="C8" i="61"/>
  <c r="N8" i="61" s="1"/>
  <c r="D7" i="68"/>
  <c r="D8" i="72"/>
  <c r="C11" i="75"/>
  <c r="D11" i="75" s="1"/>
  <c r="C13" i="60"/>
  <c r="C8" i="54"/>
  <c r="N8" i="54" s="1"/>
  <c r="C9" i="62"/>
  <c r="P9" i="62" s="1"/>
  <c r="B6" i="78"/>
  <c r="D6" i="78" s="1"/>
  <c r="D10" i="91" s="1"/>
  <c r="D6" i="68"/>
  <c r="C8" i="67"/>
  <c r="D7" i="72"/>
  <c r="C7" i="74"/>
  <c r="O7" i="74" s="1"/>
  <c r="C10" i="75"/>
  <c r="D10" i="75" s="1"/>
  <c r="C9" i="87"/>
  <c r="C6" i="53"/>
  <c r="N6" i="53" s="1"/>
  <c r="C7" i="54"/>
  <c r="N7" i="54" s="1"/>
  <c r="C7" i="61"/>
  <c r="N7" i="61" s="1"/>
  <c r="C8" i="62"/>
  <c r="P8" i="62" s="1"/>
  <c r="C8" i="63"/>
  <c r="C5" i="53"/>
  <c r="N5" i="53" s="1"/>
  <c r="D6" i="72"/>
  <c r="C9" i="75"/>
  <c r="D9" i="75" s="1"/>
  <c r="C5" i="60"/>
  <c r="C6" i="61"/>
  <c r="N6" i="61" s="1"/>
  <c r="C7" i="63"/>
  <c r="C8" i="87"/>
  <c r="C6" i="54"/>
  <c r="N6" i="54" s="1"/>
  <c r="C7" i="67"/>
  <c r="C6" i="74"/>
  <c r="O6" i="74" s="1"/>
  <c r="D5" i="68"/>
  <c r="C7" i="62"/>
  <c r="P7" i="62" s="1"/>
  <c r="C25" i="61"/>
  <c r="N25" i="61" s="1"/>
  <c r="D25" i="72"/>
  <c r="C25" i="74"/>
  <c r="O25" i="74" s="1"/>
  <c r="C26" i="63"/>
  <c r="C28" i="75"/>
  <c r="D28" i="75" s="1"/>
  <c r="B23" i="78"/>
  <c r="C23" i="78" s="1"/>
  <c r="C27" i="91" s="1"/>
  <c r="C26" i="67"/>
  <c r="C26" i="62"/>
  <c r="P26" i="62" s="1"/>
  <c r="E14" i="78"/>
  <c r="E39" i="78" s="1"/>
  <c r="E10" i="78"/>
  <c r="E14" i="91" s="1"/>
  <c r="D14" i="78"/>
  <c r="C10" i="78"/>
  <c r="C14" i="91" s="1"/>
  <c r="C24" i="53"/>
  <c r="N24" i="53" s="1"/>
  <c r="C81" i="60"/>
  <c r="N24" i="68"/>
  <c r="D2" i="93"/>
  <c r="C2" i="93"/>
  <c r="D7" i="64"/>
  <c r="D13" i="64" s="1"/>
  <c r="I26" i="62"/>
  <c r="R48" i="78" s="1"/>
  <c r="Q27" i="91" s="1"/>
  <c r="F1" i="45"/>
  <c r="L13" i="69"/>
  <c r="E28" i="78"/>
  <c r="E2" i="77"/>
  <c r="D2" i="77"/>
  <c r="C2" i="77"/>
  <c r="E25" i="68"/>
  <c r="I5" i="64" s="1"/>
  <c r="F24" i="68"/>
  <c r="G24" i="68" s="1"/>
  <c r="H24" i="68" s="1"/>
  <c r="D7" i="62"/>
  <c r="D8" i="62"/>
  <c r="D28" i="83"/>
  <c r="B89" i="79"/>
  <c r="B16" i="92" s="1"/>
  <c r="B90" i="79"/>
  <c r="B17" i="92" s="1"/>
  <c r="B91" i="79"/>
  <c r="B19" i="92" s="1"/>
  <c r="B88" i="79"/>
  <c r="B15" i="92" s="1"/>
  <c r="B83" i="79"/>
  <c r="B9" i="92" s="1"/>
  <c r="B84" i="79"/>
  <c r="B10" i="92" s="1"/>
  <c r="B85" i="79"/>
  <c r="B11" i="92" s="1"/>
  <c r="B86" i="79"/>
  <c r="B12" i="92" s="1"/>
  <c r="B87" i="79"/>
  <c r="B13" i="92" s="1"/>
  <c r="B82" i="79"/>
  <c r="B8" i="92" s="1"/>
  <c r="B14" i="91"/>
  <c r="B18" i="91"/>
  <c r="Q30" i="78"/>
  <c r="P9" i="91" s="1"/>
  <c r="Q31" i="78"/>
  <c r="P10" i="91" s="1"/>
  <c r="Q32" i="78"/>
  <c r="P11" i="91" s="1"/>
  <c r="Q33" i="78"/>
  <c r="P12" i="91" s="1"/>
  <c r="Q34" i="78"/>
  <c r="P13" i="91" s="1"/>
  <c r="Q35" i="78"/>
  <c r="P14" i="91" s="1"/>
  <c r="Q36" i="78"/>
  <c r="P15" i="91" s="1"/>
  <c r="Q37" i="78"/>
  <c r="P16" i="91" s="1"/>
  <c r="Q38" i="78"/>
  <c r="P17" i="91" s="1"/>
  <c r="Q39" i="78"/>
  <c r="P18" i="91" s="1"/>
  <c r="Q40" i="78"/>
  <c r="P19" i="91" s="1"/>
  <c r="Q41" i="78"/>
  <c r="P20" i="91" s="1"/>
  <c r="Q42" i="78"/>
  <c r="P21" i="91" s="1"/>
  <c r="Q43" i="78"/>
  <c r="P22" i="91" s="1"/>
  <c r="Q44" i="78"/>
  <c r="P23" i="91" s="1"/>
  <c r="Q45" i="78"/>
  <c r="P24" i="91" s="1"/>
  <c r="Q46" i="78"/>
  <c r="P25" i="91" s="1"/>
  <c r="Q47" i="78"/>
  <c r="P26" i="91" s="1"/>
  <c r="Q48" i="78"/>
  <c r="P27" i="91" s="1"/>
  <c r="Q29" i="78"/>
  <c r="P8" i="91" s="1"/>
  <c r="P30" i="78"/>
  <c r="O9" i="91" s="1"/>
  <c r="P31" i="78"/>
  <c r="O10" i="91" s="1"/>
  <c r="P32" i="78"/>
  <c r="O11" i="91" s="1"/>
  <c r="P33" i="78"/>
  <c r="O12" i="91" s="1"/>
  <c r="P34" i="78"/>
  <c r="O13" i="91" s="1"/>
  <c r="P35" i="78"/>
  <c r="O14" i="91" s="1"/>
  <c r="P36" i="78"/>
  <c r="O15" i="91" s="1"/>
  <c r="P37" i="78"/>
  <c r="O16" i="91" s="1"/>
  <c r="P38" i="78"/>
  <c r="O17" i="91" s="1"/>
  <c r="P39" i="78"/>
  <c r="O18" i="91" s="1"/>
  <c r="P40" i="78"/>
  <c r="O19" i="91" s="1"/>
  <c r="P41" i="78"/>
  <c r="O20" i="91" s="1"/>
  <c r="P42" i="78"/>
  <c r="O21" i="91" s="1"/>
  <c r="P43" i="78"/>
  <c r="O22" i="91" s="1"/>
  <c r="P44" i="78"/>
  <c r="O23" i="91" s="1"/>
  <c r="P45" i="78"/>
  <c r="O24" i="91" s="1"/>
  <c r="P46" i="78"/>
  <c r="O25" i="91" s="1"/>
  <c r="P47" i="78"/>
  <c r="O26" i="91" s="1"/>
  <c r="P48" i="78"/>
  <c r="O27" i="91" s="1"/>
  <c r="P29" i="78"/>
  <c r="O8" i="91" s="1"/>
  <c r="O30" i="78"/>
  <c r="N9" i="91" s="1"/>
  <c r="O31" i="78"/>
  <c r="N10" i="91" s="1"/>
  <c r="O32" i="78"/>
  <c r="N11" i="91" s="1"/>
  <c r="O33" i="78"/>
  <c r="N12" i="91" s="1"/>
  <c r="O34" i="78"/>
  <c r="N13" i="91" s="1"/>
  <c r="O35" i="78"/>
  <c r="N14" i="91" s="1"/>
  <c r="O36" i="78"/>
  <c r="N15" i="91" s="1"/>
  <c r="O37" i="78"/>
  <c r="N16" i="91" s="1"/>
  <c r="O38" i="78"/>
  <c r="N17" i="91" s="1"/>
  <c r="O39" i="78"/>
  <c r="N18" i="91" s="1"/>
  <c r="O40" i="78"/>
  <c r="N19" i="91" s="1"/>
  <c r="O41" i="78"/>
  <c r="N20" i="91" s="1"/>
  <c r="O42" i="78"/>
  <c r="N21" i="91" s="1"/>
  <c r="O43" i="78"/>
  <c r="N22" i="91" s="1"/>
  <c r="O44" i="78"/>
  <c r="N23" i="91" s="1"/>
  <c r="O45" i="78"/>
  <c r="N24" i="91" s="1"/>
  <c r="O46" i="78"/>
  <c r="N25" i="91" s="1"/>
  <c r="O47" i="78"/>
  <c r="N26" i="91" s="1"/>
  <c r="O48" i="78"/>
  <c r="N27" i="91" s="1"/>
  <c r="O29" i="78"/>
  <c r="P9" i="87"/>
  <c r="Q9" i="87"/>
  <c r="P10" i="87"/>
  <c r="Q10" i="87"/>
  <c r="P11" i="87"/>
  <c r="Q11" i="87"/>
  <c r="P12" i="87"/>
  <c r="Q12" i="87"/>
  <c r="P13" i="87"/>
  <c r="Q13" i="87"/>
  <c r="P14" i="87"/>
  <c r="Q14" i="87"/>
  <c r="P15" i="87"/>
  <c r="Q15" i="87"/>
  <c r="P16" i="87"/>
  <c r="Q16" i="87"/>
  <c r="P17" i="87"/>
  <c r="Q17" i="87"/>
  <c r="P18" i="87"/>
  <c r="Q18" i="87"/>
  <c r="P19" i="87"/>
  <c r="Q19" i="87"/>
  <c r="P20" i="87"/>
  <c r="Q20" i="87"/>
  <c r="P21" i="87"/>
  <c r="Q21" i="87"/>
  <c r="P22" i="87"/>
  <c r="Q22" i="87"/>
  <c r="P23" i="87"/>
  <c r="Q23" i="87"/>
  <c r="P24" i="87"/>
  <c r="Q24" i="87"/>
  <c r="P25" i="87"/>
  <c r="Q25" i="87"/>
  <c r="P26" i="87"/>
  <c r="Q26" i="87"/>
  <c r="P27" i="87"/>
  <c r="Q27" i="87"/>
  <c r="Q8" i="87"/>
  <c r="P8" i="87"/>
  <c r="K9" i="87"/>
  <c r="L9" i="87"/>
  <c r="K10" i="87"/>
  <c r="L10" i="87"/>
  <c r="K11" i="87"/>
  <c r="L11" i="87"/>
  <c r="K12" i="87"/>
  <c r="L12" i="87"/>
  <c r="K13" i="87"/>
  <c r="L13" i="87"/>
  <c r="K14" i="87"/>
  <c r="L14" i="87"/>
  <c r="K15" i="87"/>
  <c r="L15" i="87"/>
  <c r="K16" i="87"/>
  <c r="L16" i="87"/>
  <c r="K17" i="87"/>
  <c r="L17" i="87"/>
  <c r="K18" i="87"/>
  <c r="L18" i="87"/>
  <c r="K19" i="87"/>
  <c r="L19" i="87"/>
  <c r="K20" i="87"/>
  <c r="L20" i="87"/>
  <c r="K21" i="87"/>
  <c r="L21" i="87"/>
  <c r="K22" i="87"/>
  <c r="L22" i="87"/>
  <c r="K23" i="87"/>
  <c r="L23" i="87"/>
  <c r="K24" i="87"/>
  <c r="L24" i="87"/>
  <c r="K25" i="87"/>
  <c r="L25" i="87"/>
  <c r="K26" i="87"/>
  <c r="L26" i="87"/>
  <c r="K27" i="87"/>
  <c r="L27" i="87"/>
  <c r="L8" i="87"/>
  <c r="K8" i="87"/>
  <c r="F9" i="87"/>
  <c r="G9" i="87"/>
  <c r="F10" i="87"/>
  <c r="G10" i="87"/>
  <c r="F11" i="87"/>
  <c r="G11" i="87"/>
  <c r="F12" i="87"/>
  <c r="G12" i="87"/>
  <c r="F13" i="87"/>
  <c r="G13" i="87"/>
  <c r="F14" i="87"/>
  <c r="G14" i="87"/>
  <c r="F15" i="87"/>
  <c r="G15" i="87"/>
  <c r="F16" i="87"/>
  <c r="G16" i="87"/>
  <c r="F17" i="87"/>
  <c r="G17" i="87"/>
  <c r="F18" i="87"/>
  <c r="G18" i="87"/>
  <c r="F19" i="87"/>
  <c r="G19" i="87"/>
  <c r="F20" i="87"/>
  <c r="G20" i="87"/>
  <c r="F21" i="87"/>
  <c r="G21" i="87"/>
  <c r="F22" i="87"/>
  <c r="G22" i="87"/>
  <c r="F23" i="87"/>
  <c r="G23" i="87"/>
  <c r="F24" i="87"/>
  <c r="G24" i="87"/>
  <c r="F25" i="87"/>
  <c r="G25" i="87"/>
  <c r="F26" i="87"/>
  <c r="G26" i="87"/>
  <c r="F27" i="87"/>
  <c r="G27" i="87"/>
  <c r="F28" i="87"/>
  <c r="G28" i="87"/>
  <c r="G8" i="87"/>
  <c r="F8" i="87"/>
  <c r="G56" i="78"/>
  <c r="H56" i="78"/>
  <c r="I56" i="78"/>
  <c r="J56" i="78"/>
  <c r="G57" i="78"/>
  <c r="H57" i="78"/>
  <c r="I57" i="78"/>
  <c r="G58" i="78"/>
  <c r="H58" i="78"/>
  <c r="I58" i="78"/>
  <c r="J58" i="78"/>
  <c r="G59" i="78"/>
  <c r="H59" i="78"/>
  <c r="I59" i="78"/>
  <c r="J59" i="78"/>
  <c r="G60" i="78"/>
  <c r="H60" i="78"/>
  <c r="I60" i="78"/>
  <c r="J60" i="78"/>
  <c r="G61" i="78"/>
  <c r="H61" i="78"/>
  <c r="I61" i="78"/>
  <c r="J61" i="78"/>
  <c r="G62" i="78"/>
  <c r="H62" i="78"/>
  <c r="I62" i="78"/>
  <c r="J62" i="78"/>
  <c r="G63" i="78"/>
  <c r="H63" i="78"/>
  <c r="I63" i="78"/>
  <c r="J63" i="78"/>
  <c r="G64" i="78"/>
  <c r="H64" i="78"/>
  <c r="I64" i="78"/>
  <c r="J64" i="78"/>
  <c r="G65" i="78"/>
  <c r="H65" i="78"/>
  <c r="I65" i="78"/>
  <c r="J65" i="78"/>
  <c r="G66" i="78"/>
  <c r="H66" i="78"/>
  <c r="I66" i="78"/>
  <c r="J66" i="78"/>
  <c r="G67" i="78"/>
  <c r="H67" i="78"/>
  <c r="I67" i="78"/>
  <c r="J67" i="78"/>
  <c r="G68" i="78"/>
  <c r="H68" i="78"/>
  <c r="I68" i="78"/>
  <c r="J68" i="78"/>
  <c r="G69" i="78"/>
  <c r="H69" i="78"/>
  <c r="I69" i="78"/>
  <c r="J69" i="78"/>
  <c r="G70" i="78"/>
  <c r="H70" i="78"/>
  <c r="I70" i="78"/>
  <c r="J70" i="78"/>
  <c r="G71" i="78"/>
  <c r="H71" i="78"/>
  <c r="I71" i="78"/>
  <c r="J71" i="78"/>
  <c r="G72" i="78"/>
  <c r="H72" i="78"/>
  <c r="I72" i="78"/>
  <c r="J72" i="78"/>
  <c r="G73" i="78"/>
  <c r="H73" i="78"/>
  <c r="I73" i="78"/>
  <c r="J73" i="78"/>
  <c r="G74" i="78"/>
  <c r="H74" i="78"/>
  <c r="I74" i="78"/>
  <c r="J74" i="78"/>
  <c r="H55" i="78"/>
  <c r="I55" i="78"/>
  <c r="G55" i="78"/>
  <c r="C56" i="78"/>
  <c r="D56" i="78"/>
  <c r="E56" i="78"/>
  <c r="F56" i="78"/>
  <c r="C57" i="78"/>
  <c r="D57" i="78"/>
  <c r="E57" i="78"/>
  <c r="F57" i="78"/>
  <c r="C58" i="78"/>
  <c r="D58" i="78"/>
  <c r="E58" i="78"/>
  <c r="F58" i="78"/>
  <c r="C59" i="78"/>
  <c r="D59" i="78"/>
  <c r="E59" i="78"/>
  <c r="F59" i="78"/>
  <c r="C60" i="78"/>
  <c r="D60" i="78"/>
  <c r="E60" i="78"/>
  <c r="F60" i="78"/>
  <c r="C61" i="78"/>
  <c r="D61" i="78"/>
  <c r="E61" i="78"/>
  <c r="F61" i="78"/>
  <c r="C62" i="78"/>
  <c r="D62" i="78"/>
  <c r="E62" i="78"/>
  <c r="F62" i="78"/>
  <c r="C63" i="78"/>
  <c r="D63" i="78"/>
  <c r="E63" i="78"/>
  <c r="F63" i="78"/>
  <c r="C64" i="78"/>
  <c r="D64" i="78"/>
  <c r="E64" i="78"/>
  <c r="F64" i="78"/>
  <c r="C65" i="78"/>
  <c r="D65" i="78"/>
  <c r="E65" i="78"/>
  <c r="F65" i="78"/>
  <c r="C66" i="78"/>
  <c r="D66" i="78"/>
  <c r="E66" i="78"/>
  <c r="F66" i="78"/>
  <c r="C67" i="78"/>
  <c r="D67" i="78"/>
  <c r="E67" i="78"/>
  <c r="F67" i="78"/>
  <c r="C68" i="78"/>
  <c r="D68" i="78"/>
  <c r="E68" i="78"/>
  <c r="F68" i="78"/>
  <c r="C69" i="78"/>
  <c r="D69" i="78"/>
  <c r="E69" i="78"/>
  <c r="F69" i="78"/>
  <c r="C70" i="78"/>
  <c r="D70" i="78"/>
  <c r="E70" i="78"/>
  <c r="F70" i="78"/>
  <c r="C71" i="78"/>
  <c r="D71" i="78"/>
  <c r="E71" i="78"/>
  <c r="F71" i="78"/>
  <c r="C72" i="78"/>
  <c r="D72" i="78"/>
  <c r="E72" i="78"/>
  <c r="F72" i="78"/>
  <c r="C73" i="78"/>
  <c r="D73" i="78"/>
  <c r="E73" i="78"/>
  <c r="F73" i="78"/>
  <c r="C74" i="78"/>
  <c r="D74" i="78"/>
  <c r="E74" i="78"/>
  <c r="F74" i="78"/>
  <c r="B54" i="78"/>
  <c r="D55" i="78"/>
  <c r="E55" i="78"/>
  <c r="F55" i="78"/>
  <c r="C55" i="78"/>
  <c r="J9" i="62"/>
  <c r="S31" i="78" s="1"/>
  <c r="R10" i="91" s="1"/>
  <c r="J10" i="62"/>
  <c r="S32" i="78" s="1"/>
  <c r="R11" i="91" s="1"/>
  <c r="J11" i="62"/>
  <c r="S33" i="78" s="1"/>
  <c r="R12" i="91" s="1"/>
  <c r="J12" i="62"/>
  <c r="S34" i="78" s="1"/>
  <c r="R13" i="91" s="1"/>
  <c r="J13" i="62"/>
  <c r="S35" i="78" s="1"/>
  <c r="R14" i="91" s="1"/>
  <c r="J14" i="62"/>
  <c r="S36" i="78" s="1"/>
  <c r="R15" i="91" s="1"/>
  <c r="J15" i="62"/>
  <c r="S37" i="78" s="1"/>
  <c r="R16" i="91" s="1"/>
  <c r="J16" i="62"/>
  <c r="S38" i="78" s="1"/>
  <c r="R17" i="91" s="1"/>
  <c r="J17" i="62"/>
  <c r="S39" i="78" s="1"/>
  <c r="R18" i="91" s="1"/>
  <c r="J18" i="62"/>
  <c r="S40" i="78" s="1"/>
  <c r="R19" i="91" s="1"/>
  <c r="J19" i="62"/>
  <c r="S41" i="78" s="1"/>
  <c r="R20" i="91" s="1"/>
  <c r="J20" i="62"/>
  <c r="S42" i="78" s="1"/>
  <c r="R21" i="91" s="1"/>
  <c r="J21" i="62"/>
  <c r="S43" i="78" s="1"/>
  <c r="R22" i="91" s="1"/>
  <c r="J22" i="62"/>
  <c r="S44" i="78" s="1"/>
  <c r="R23" i="91" s="1"/>
  <c r="J23" i="62"/>
  <c r="S45" i="78" s="1"/>
  <c r="R24" i="91" s="1"/>
  <c r="J24" i="62"/>
  <c r="S46" i="78" s="1"/>
  <c r="R25" i="91" s="1"/>
  <c r="J25" i="62"/>
  <c r="S47" i="78" s="1"/>
  <c r="R26" i="91" s="1"/>
  <c r="J26" i="62"/>
  <c r="S48" i="78" s="1"/>
  <c r="R27" i="91" s="1"/>
  <c r="J8" i="62"/>
  <c r="S30" i="78" s="1"/>
  <c r="R9" i="91" s="1"/>
  <c r="J7" i="62"/>
  <c r="S29" i="78" s="1"/>
  <c r="I31" i="75"/>
  <c r="I54" i="75" s="1"/>
  <c r="I55" i="75" s="1"/>
  <c r="H31" i="75"/>
  <c r="H54" i="75" s="1"/>
  <c r="H55" i="75" s="1"/>
  <c r="G31" i="75"/>
  <c r="G54" i="75" s="1"/>
  <c r="G55" i="75" s="1"/>
  <c r="F31" i="75"/>
  <c r="F54" i="75" s="1"/>
  <c r="F55" i="75" s="1"/>
  <c r="E14" i="80"/>
  <c r="K9" i="91"/>
  <c r="M30" i="78"/>
  <c r="I9" i="91" s="1"/>
  <c r="N30" i="78"/>
  <c r="M9" i="91" s="1"/>
  <c r="K10" i="91"/>
  <c r="M31" i="78"/>
  <c r="I10" i="91" s="1"/>
  <c r="N31" i="78"/>
  <c r="M10" i="91" s="1"/>
  <c r="S11" i="87"/>
  <c r="K11" i="91"/>
  <c r="M32" i="78"/>
  <c r="N11" i="87" s="1"/>
  <c r="N32" i="78"/>
  <c r="M11" i="91" s="1"/>
  <c r="K12" i="91"/>
  <c r="M33" i="78"/>
  <c r="N12" i="87" s="1"/>
  <c r="N33" i="78"/>
  <c r="M12" i="91" s="1"/>
  <c r="S13" i="87"/>
  <c r="M34" i="78"/>
  <c r="I13" i="91" s="1"/>
  <c r="N34" i="78"/>
  <c r="M13" i="91" s="1"/>
  <c r="S14" i="87"/>
  <c r="M35" i="78"/>
  <c r="N14" i="87" s="1"/>
  <c r="N35" i="78"/>
  <c r="M14" i="91" s="1"/>
  <c r="S15" i="87"/>
  <c r="M36" i="78"/>
  <c r="N15" i="87" s="1"/>
  <c r="N36" i="78"/>
  <c r="M15" i="91" s="1"/>
  <c r="S16" i="87"/>
  <c r="M37" i="78"/>
  <c r="N16" i="87" s="1"/>
  <c r="N37" i="78"/>
  <c r="M16" i="91" s="1"/>
  <c r="S17" i="87"/>
  <c r="M38" i="78"/>
  <c r="I17" i="91" s="1"/>
  <c r="N38" i="78"/>
  <c r="M17" i="91" s="1"/>
  <c r="S18" i="87"/>
  <c r="M39" i="78"/>
  <c r="N18" i="87" s="1"/>
  <c r="N39" i="78"/>
  <c r="M18" i="91" s="1"/>
  <c r="S19" i="87"/>
  <c r="M40" i="78"/>
  <c r="N19" i="87" s="1"/>
  <c r="N40" i="78"/>
  <c r="M19" i="91" s="1"/>
  <c r="S20" i="87"/>
  <c r="M41" i="78"/>
  <c r="N20" i="87" s="1"/>
  <c r="N41" i="78"/>
  <c r="M20" i="91" s="1"/>
  <c r="K21" i="91"/>
  <c r="S21" i="87"/>
  <c r="M42" i="78"/>
  <c r="I21" i="91" s="1"/>
  <c r="N42" i="78"/>
  <c r="M21" i="91" s="1"/>
  <c r="S22" i="87"/>
  <c r="M43" i="78"/>
  <c r="N22" i="87" s="1"/>
  <c r="N43" i="78"/>
  <c r="M22" i="91" s="1"/>
  <c r="S23" i="87"/>
  <c r="M44" i="78"/>
  <c r="N23" i="87" s="1"/>
  <c r="N44" i="78"/>
  <c r="M23" i="91" s="1"/>
  <c r="S24" i="87"/>
  <c r="M45" i="78"/>
  <c r="N24" i="87" s="1"/>
  <c r="N45" i="78"/>
  <c r="M24" i="91" s="1"/>
  <c r="K25" i="91"/>
  <c r="M46" i="78"/>
  <c r="I25" i="91" s="1"/>
  <c r="N46" i="78"/>
  <c r="M25" i="91" s="1"/>
  <c r="K26" i="91"/>
  <c r="M47" i="78"/>
  <c r="I26" i="91" s="1"/>
  <c r="N47" i="78"/>
  <c r="M26" i="91" s="1"/>
  <c r="K27" i="91"/>
  <c r="M48" i="78"/>
  <c r="I27" i="91" s="1"/>
  <c r="N48" i="78"/>
  <c r="M27" i="91" s="1"/>
  <c r="N29" i="78"/>
  <c r="M8" i="91" s="1"/>
  <c r="M29" i="78"/>
  <c r="I8" i="91" s="1"/>
  <c r="C28" i="78"/>
  <c r="D28" i="78"/>
  <c r="B28" i="78"/>
  <c r="F5" i="78"/>
  <c r="G5" i="78"/>
  <c r="H5" i="78"/>
  <c r="I5" i="78"/>
  <c r="J5" i="78"/>
  <c r="R9" i="87"/>
  <c r="M5" i="78"/>
  <c r="M9" i="87" s="1"/>
  <c r="N5" i="78"/>
  <c r="L9" i="91" s="1"/>
  <c r="F6" i="78"/>
  <c r="G6" i="78"/>
  <c r="H6" i="78"/>
  <c r="I6" i="78"/>
  <c r="J6" i="78"/>
  <c r="R10" i="87"/>
  <c r="M6" i="78"/>
  <c r="H10" i="91" s="1"/>
  <c r="N6" i="78"/>
  <c r="L10" i="91" s="1"/>
  <c r="F7" i="78"/>
  <c r="G7" i="78"/>
  <c r="H7" i="78"/>
  <c r="I7" i="78"/>
  <c r="J7" i="78"/>
  <c r="R11" i="87"/>
  <c r="M7" i="78"/>
  <c r="M11" i="87" s="1"/>
  <c r="N7" i="78"/>
  <c r="L11" i="91" s="1"/>
  <c r="F8" i="78"/>
  <c r="G8" i="78"/>
  <c r="H8" i="78"/>
  <c r="I8" i="78"/>
  <c r="J8" i="78"/>
  <c r="R12" i="87"/>
  <c r="M8" i="78"/>
  <c r="H12" i="91" s="1"/>
  <c r="N8" i="78"/>
  <c r="L12" i="91" s="1"/>
  <c r="F9" i="78"/>
  <c r="G9" i="78"/>
  <c r="H9" i="78"/>
  <c r="I9" i="78"/>
  <c r="J9" i="78"/>
  <c r="R13" i="87"/>
  <c r="M9" i="78"/>
  <c r="M13" i="87" s="1"/>
  <c r="N9" i="78"/>
  <c r="L13" i="91" s="1"/>
  <c r="B9" i="77"/>
  <c r="D14" i="91"/>
  <c r="F10" i="78"/>
  <c r="G10" i="78"/>
  <c r="H10" i="78"/>
  <c r="I10" i="78"/>
  <c r="J10" i="78"/>
  <c r="R14" i="87"/>
  <c r="M10" i="78"/>
  <c r="H14" i="91" s="1"/>
  <c r="N10" i="78"/>
  <c r="L14" i="91" s="1"/>
  <c r="F11" i="78"/>
  <c r="G11" i="78"/>
  <c r="H11" i="78"/>
  <c r="I11" i="78"/>
  <c r="J11" i="78"/>
  <c r="R15" i="87"/>
  <c r="M11" i="78"/>
  <c r="M15" i="87" s="1"/>
  <c r="N11" i="78"/>
  <c r="L15" i="91" s="1"/>
  <c r="F12" i="78"/>
  <c r="G12" i="78"/>
  <c r="H12" i="78"/>
  <c r="I12" i="78"/>
  <c r="J12" i="78"/>
  <c r="R16" i="87"/>
  <c r="M12" i="78"/>
  <c r="M16" i="87" s="1"/>
  <c r="N12" i="78"/>
  <c r="L16" i="91" s="1"/>
  <c r="F13" i="78"/>
  <c r="G13" i="78"/>
  <c r="H13" i="78"/>
  <c r="I13" i="78"/>
  <c r="J13" i="78"/>
  <c r="M13" i="78"/>
  <c r="H17" i="91" s="1"/>
  <c r="N13" i="78"/>
  <c r="L17" i="91" s="1"/>
  <c r="C18" i="91"/>
  <c r="F14" i="78"/>
  <c r="G14" i="78"/>
  <c r="H14" i="78"/>
  <c r="I14" i="78"/>
  <c r="J14" i="78"/>
  <c r="M14" i="78"/>
  <c r="H18" i="91" s="1"/>
  <c r="N14" i="78"/>
  <c r="L18" i="91" s="1"/>
  <c r="F15" i="78"/>
  <c r="G15" i="78"/>
  <c r="H15" i="78"/>
  <c r="I15" i="78"/>
  <c r="J15" i="78"/>
  <c r="R19" i="87"/>
  <c r="M15" i="78"/>
  <c r="M19" i="87" s="1"/>
  <c r="N15" i="78"/>
  <c r="L19" i="91" s="1"/>
  <c r="F16" i="78"/>
  <c r="G16" i="78"/>
  <c r="H16" i="78"/>
  <c r="I16" i="78"/>
  <c r="J16" i="78"/>
  <c r="R20" i="87"/>
  <c r="M16" i="78"/>
  <c r="H20" i="91" s="1"/>
  <c r="N16" i="78"/>
  <c r="F17" i="78"/>
  <c r="G17" i="78"/>
  <c r="H17" i="78"/>
  <c r="I17" i="78"/>
  <c r="J17" i="78"/>
  <c r="R21" i="87"/>
  <c r="M17" i="78"/>
  <c r="M21" i="87" s="1"/>
  <c r="N17" i="78"/>
  <c r="F18" i="78"/>
  <c r="G18" i="78"/>
  <c r="H18" i="78"/>
  <c r="I18" i="78"/>
  <c r="J18" i="78"/>
  <c r="R22" i="87"/>
  <c r="M18" i="78"/>
  <c r="H22" i="91" s="1"/>
  <c r="N18" i="78"/>
  <c r="L22" i="91" s="1"/>
  <c r="F19" i="78"/>
  <c r="G19" i="78"/>
  <c r="H19" i="78"/>
  <c r="I19" i="78"/>
  <c r="J19" i="78"/>
  <c r="J23" i="91"/>
  <c r="M19" i="78"/>
  <c r="N19" i="78"/>
  <c r="L23" i="91" s="1"/>
  <c r="F20" i="78"/>
  <c r="G20" i="78"/>
  <c r="H20" i="78"/>
  <c r="I20" i="78"/>
  <c r="J20" i="78"/>
  <c r="R24" i="87"/>
  <c r="M20" i="78"/>
  <c r="M24" i="87" s="1"/>
  <c r="N20" i="78"/>
  <c r="L24" i="91" s="1"/>
  <c r="F21" i="78"/>
  <c r="G21" i="78"/>
  <c r="H21" i="78"/>
  <c r="I21" i="78"/>
  <c r="J21" i="78"/>
  <c r="M21" i="78"/>
  <c r="H25" i="91" s="1"/>
  <c r="N21" i="78"/>
  <c r="L25" i="91" s="1"/>
  <c r="F22" i="78"/>
  <c r="G22" i="78"/>
  <c r="H22" i="78"/>
  <c r="I22" i="78"/>
  <c r="J22" i="78"/>
  <c r="J26" i="91"/>
  <c r="M22" i="78"/>
  <c r="N22" i="78"/>
  <c r="L26" i="91" s="1"/>
  <c r="F23" i="78"/>
  <c r="G23" i="78"/>
  <c r="H23" i="78"/>
  <c r="I23" i="78"/>
  <c r="J23" i="78"/>
  <c r="J27" i="91"/>
  <c r="M23" i="78"/>
  <c r="H27" i="91" s="1"/>
  <c r="N23" i="78"/>
  <c r="L27" i="91" s="1"/>
  <c r="N4" i="78"/>
  <c r="M4" i="78"/>
  <c r="H8" i="91" s="1"/>
  <c r="J8" i="91"/>
  <c r="N3" i="78"/>
  <c r="N28" i="78" s="1"/>
  <c r="M3" i="78"/>
  <c r="M28" i="78" s="1"/>
  <c r="L3" i="78"/>
  <c r="L28" i="78" s="1"/>
  <c r="G4" i="78"/>
  <c r="H4" i="78"/>
  <c r="I4" i="78"/>
  <c r="J4" i="78"/>
  <c r="F4" i="78"/>
  <c r="K3" i="78"/>
  <c r="K28" i="78" s="1"/>
  <c r="I27" i="63"/>
  <c r="J27" i="63"/>
  <c r="H27" i="63"/>
  <c r="F27" i="63"/>
  <c r="E27" i="63"/>
  <c r="D27" i="63"/>
  <c r="H27" i="62"/>
  <c r="G27" i="62"/>
  <c r="F27" i="62"/>
  <c r="D21" i="62"/>
  <c r="I21" i="62"/>
  <c r="R43" i="78" s="1"/>
  <c r="Q22" i="91" s="1"/>
  <c r="D22" i="62"/>
  <c r="I22" i="62"/>
  <c r="R44" i="78" s="1"/>
  <c r="Q23" i="91" s="1"/>
  <c r="D23" i="62"/>
  <c r="I23" i="62"/>
  <c r="R45" i="78" s="1"/>
  <c r="Q24" i="91" s="1"/>
  <c r="D24" i="62"/>
  <c r="I24" i="62"/>
  <c r="R46" i="78" s="1"/>
  <c r="Q25" i="91" s="1"/>
  <c r="D25" i="62"/>
  <c r="I25" i="62"/>
  <c r="R47" i="78" s="1"/>
  <c r="Q26" i="91" s="1"/>
  <c r="D26" i="62"/>
  <c r="D11" i="62"/>
  <c r="I11" i="62"/>
  <c r="R33" i="78" s="1"/>
  <c r="Q12" i="91" s="1"/>
  <c r="D12" i="62"/>
  <c r="I12" i="62"/>
  <c r="R34" i="78" s="1"/>
  <c r="Q13" i="91" s="1"/>
  <c r="D13" i="62"/>
  <c r="I13" i="62"/>
  <c r="R35" i="78" s="1"/>
  <c r="Q14" i="91" s="1"/>
  <c r="D14" i="62"/>
  <c r="I14" i="62"/>
  <c r="R36" i="78" s="1"/>
  <c r="Q15" i="91" s="1"/>
  <c r="D15" i="62"/>
  <c r="I15" i="62"/>
  <c r="R37" i="78" s="1"/>
  <c r="Q16" i="91" s="1"/>
  <c r="D16" i="62"/>
  <c r="I16" i="62"/>
  <c r="R38" i="78" s="1"/>
  <c r="Q17" i="91" s="1"/>
  <c r="D17" i="62"/>
  <c r="I17" i="62"/>
  <c r="R39" i="78" s="1"/>
  <c r="Q18" i="91" s="1"/>
  <c r="D18" i="62"/>
  <c r="I18" i="62"/>
  <c r="R40" i="78" s="1"/>
  <c r="Q19" i="91" s="1"/>
  <c r="D19" i="62"/>
  <c r="I19" i="62"/>
  <c r="R41" i="78" s="1"/>
  <c r="Q20" i="91" s="1"/>
  <c r="D20" i="62"/>
  <c r="I20" i="62"/>
  <c r="R42" i="78" s="1"/>
  <c r="Q21" i="91" s="1"/>
  <c r="D9" i="62"/>
  <c r="I9" i="62"/>
  <c r="R31" i="78" s="1"/>
  <c r="D10" i="62"/>
  <c r="I10" i="62"/>
  <c r="R32" i="78" s="1"/>
  <c r="Q11" i="91" s="1"/>
  <c r="I8" i="62"/>
  <c r="R30" i="78" s="1"/>
  <c r="Q9" i="91" s="1"/>
  <c r="I7" i="62"/>
  <c r="R29" i="78" s="1"/>
  <c r="Q8" i="91" s="1"/>
  <c r="F26" i="72"/>
  <c r="G26" i="72"/>
  <c r="H8" i="72"/>
  <c r="H9" i="72"/>
  <c r="H10" i="72"/>
  <c r="H11" i="72"/>
  <c r="H12" i="72"/>
  <c r="H13" i="72"/>
  <c r="H14" i="72"/>
  <c r="H15" i="72"/>
  <c r="H16" i="72"/>
  <c r="H17" i="72"/>
  <c r="H18" i="72"/>
  <c r="H19" i="72"/>
  <c r="H20" i="72"/>
  <c r="H21" i="72"/>
  <c r="H22" i="72"/>
  <c r="H23" i="72"/>
  <c r="H24" i="72"/>
  <c r="H25" i="72"/>
  <c r="H7" i="72"/>
  <c r="H6" i="72"/>
  <c r="E26" i="72"/>
  <c r="G26" i="61"/>
  <c r="E26" i="61"/>
  <c r="D26" i="61"/>
  <c r="B4" i="79" s="1"/>
  <c r="I91" i="60"/>
  <c r="I87" i="60"/>
  <c r="C28" i="62" s="1"/>
  <c r="I84" i="60"/>
  <c r="I83" i="60"/>
  <c r="I82" i="60"/>
  <c r="H81" i="60"/>
  <c r="J48" i="78" s="1"/>
  <c r="G81" i="60"/>
  <c r="I48" i="78" s="1"/>
  <c r="F81" i="60"/>
  <c r="H48" i="78" s="1"/>
  <c r="E81" i="60"/>
  <c r="G48" i="78" s="1"/>
  <c r="D81" i="60"/>
  <c r="F48" i="78" s="1"/>
  <c r="I80" i="60"/>
  <c r="I79" i="60"/>
  <c r="I78" i="60"/>
  <c r="H77" i="60"/>
  <c r="J47" i="78" s="1"/>
  <c r="G77" i="60"/>
  <c r="I47" i="78" s="1"/>
  <c r="F77" i="60"/>
  <c r="H47" i="78" s="1"/>
  <c r="E77" i="60"/>
  <c r="G47" i="78" s="1"/>
  <c r="D77" i="60"/>
  <c r="F47" i="78" s="1"/>
  <c r="I76" i="60"/>
  <c r="I75" i="60"/>
  <c r="I74" i="60"/>
  <c r="H73" i="60"/>
  <c r="J46" i="78" s="1"/>
  <c r="G73" i="60"/>
  <c r="I46" i="78" s="1"/>
  <c r="F73" i="60"/>
  <c r="H46" i="78" s="1"/>
  <c r="E73" i="60"/>
  <c r="G46" i="78" s="1"/>
  <c r="D73" i="60"/>
  <c r="F46" i="78" s="1"/>
  <c r="I72" i="60"/>
  <c r="I71" i="60"/>
  <c r="I70" i="60"/>
  <c r="H69" i="60"/>
  <c r="J45" i="78" s="1"/>
  <c r="G69" i="60"/>
  <c r="I45" i="78" s="1"/>
  <c r="F69" i="60"/>
  <c r="H45" i="78" s="1"/>
  <c r="E69" i="60"/>
  <c r="G45" i="78" s="1"/>
  <c r="D69" i="60"/>
  <c r="F45" i="78" s="1"/>
  <c r="I68" i="60"/>
  <c r="I67" i="60"/>
  <c r="I66" i="60"/>
  <c r="H65" i="60"/>
  <c r="J44" i="78" s="1"/>
  <c r="G65" i="60"/>
  <c r="I44" i="78" s="1"/>
  <c r="F65" i="60"/>
  <c r="H44" i="78" s="1"/>
  <c r="E65" i="60"/>
  <c r="G44" i="78" s="1"/>
  <c r="D65" i="60"/>
  <c r="F44" i="78" s="1"/>
  <c r="I64" i="60"/>
  <c r="I63" i="60"/>
  <c r="I62" i="60"/>
  <c r="H61" i="60"/>
  <c r="J43" i="78" s="1"/>
  <c r="G61" i="60"/>
  <c r="I43" i="78" s="1"/>
  <c r="F61" i="60"/>
  <c r="H43" i="78" s="1"/>
  <c r="E61" i="60"/>
  <c r="G43" i="78" s="1"/>
  <c r="D61" i="60"/>
  <c r="F43" i="78" s="1"/>
  <c r="I60" i="60"/>
  <c r="I59" i="60"/>
  <c r="I58" i="60"/>
  <c r="H57" i="60"/>
  <c r="J42" i="78" s="1"/>
  <c r="G57" i="60"/>
  <c r="I42" i="78" s="1"/>
  <c r="F57" i="60"/>
  <c r="E57" i="60"/>
  <c r="G42" i="78" s="1"/>
  <c r="D57" i="60"/>
  <c r="F42" i="78" s="1"/>
  <c r="I56" i="60"/>
  <c r="I55" i="60"/>
  <c r="I54" i="60"/>
  <c r="H53" i="60"/>
  <c r="J41" i="78" s="1"/>
  <c r="G53" i="60"/>
  <c r="F53" i="60"/>
  <c r="H41" i="78" s="1"/>
  <c r="E53" i="60"/>
  <c r="G41" i="78" s="1"/>
  <c r="D53" i="60"/>
  <c r="F41" i="78" s="1"/>
  <c r="I52" i="60"/>
  <c r="I51" i="60"/>
  <c r="I50" i="60"/>
  <c r="H49" i="60"/>
  <c r="J40" i="78" s="1"/>
  <c r="G49" i="60"/>
  <c r="I40" i="78" s="1"/>
  <c r="F49" i="60"/>
  <c r="H40" i="78" s="1"/>
  <c r="E49" i="60"/>
  <c r="G40" i="78" s="1"/>
  <c r="D49" i="60"/>
  <c r="F40" i="78" s="1"/>
  <c r="I48" i="60"/>
  <c r="I47" i="60"/>
  <c r="I46" i="60"/>
  <c r="H45" i="60"/>
  <c r="J39" i="78" s="1"/>
  <c r="G45" i="60"/>
  <c r="I39" i="78" s="1"/>
  <c r="F45" i="60"/>
  <c r="H39" i="78" s="1"/>
  <c r="E45" i="60"/>
  <c r="G39" i="78" s="1"/>
  <c r="D45" i="60"/>
  <c r="I44" i="60"/>
  <c r="I43" i="60"/>
  <c r="I42" i="60"/>
  <c r="H41" i="60"/>
  <c r="J38" i="78" s="1"/>
  <c r="G41" i="60"/>
  <c r="I38" i="78" s="1"/>
  <c r="F41" i="60"/>
  <c r="H38" i="78" s="1"/>
  <c r="E41" i="60"/>
  <c r="G38" i="78" s="1"/>
  <c r="D41" i="60"/>
  <c r="F38" i="78" s="1"/>
  <c r="I40" i="60"/>
  <c r="I39" i="60"/>
  <c r="I38" i="60"/>
  <c r="H37" i="60"/>
  <c r="J37" i="78" s="1"/>
  <c r="G37" i="60"/>
  <c r="I37" i="78" s="1"/>
  <c r="F37" i="60"/>
  <c r="H37" i="78" s="1"/>
  <c r="E37" i="60"/>
  <c r="G37" i="78" s="1"/>
  <c r="D37" i="60"/>
  <c r="F37" i="78" s="1"/>
  <c r="I36" i="60"/>
  <c r="I35" i="60"/>
  <c r="I34" i="60"/>
  <c r="H33" i="60"/>
  <c r="G33" i="60"/>
  <c r="I36" i="78" s="1"/>
  <c r="F33" i="60"/>
  <c r="H36" i="78" s="1"/>
  <c r="E33" i="60"/>
  <c r="G36" i="78" s="1"/>
  <c r="D33" i="60"/>
  <c r="F36" i="78" s="1"/>
  <c r="I32" i="60"/>
  <c r="I31" i="60"/>
  <c r="I30" i="60"/>
  <c r="H29" i="60"/>
  <c r="J35" i="78" s="1"/>
  <c r="G29" i="60"/>
  <c r="I35" i="78" s="1"/>
  <c r="F29" i="60"/>
  <c r="H35" i="78" s="1"/>
  <c r="E29" i="60"/>
  <c r="G35" i="78" s="1"/>
  <c r="D29" i="60"/>
  <c r="F35" i="78" s="1"/>
  <c r="I28" i="60"/>
  <c r="I27" i="60"/>
  <c r="I26" i="60"/>
  <c r="H25" i="60"/>
  <c r="J34" i="78" s="1"/>
  <c r="G25" i="60"/>
  <c r="I34" i="78" s="1"/>
  <c r="F25" i="60"/>
  <c r="H34" i="78" s="1"/>
  <c r="E25" i="60"/>
  <c r="G34" i="78" s="1"/>
  <c r="D25" i="60"/>
  <c r="F34" i="78" s="1"/>
  <c r="I24" i="60"/>
  <c r="I23" i="60"/>
  <c r="I22" i="60"/>
  <c r="H21" i="60"/>
  <c r="J33" i="78" s="1"/>
  <c r="G21" i="60"/>
  <c r="I33" i="78" s="1"/>
  <c r="F21" i="60"/>
  <c r="H33" i="78" s="1"/>
  <c r="E21" i="60"/>
  <c r="G33" i="78" s="1"/>
  <c r="D21" i="60"/>
  <c r="F33" i="78" s="1"/>
  <c r="I20" i="60"/>
  <c r="I19" i="60"/>
  <c r="I18" i="60"/>
  <c r="H17" i="60"/>
  <c r="J32" i="78" s="1"/>
  <c r="G17" i="60"/>
  <c r="I32" i="78" s="1"/>
  <c r="F17" i="60"/>
  <c r="H32" i="78" s="1"/>
  <c r="E17" i="60"/>
  <c r="G32" i="78" s="1"/>
  <c r="D17" i="60"/>
  <c r="F32" i="78" s="1"/>
  <c r="I16" i="60"/>
  <c r="I15" i="60"/>
  <c r="I14" i="60"/>
  <c r="J31" i="78"/>
  <c r="I31" i="78"/>
  <c r="H31" i="78"/>
  <c r="G31" i="78"/>
  <c r="F31" i="78"/>
  <c r="B9" i="60"/>
  <c r="B13" i="60" s="1"/>
  <c r="I12" i="60"/>
  <c r="I11" i="60"/>
  <c r="I10" i="60"/>
  <c r="J30" i="78"/>
  <c r="I30" i="78"/>
  <c r="H30" i="78"/>
  <c r="G30" i="78"/>
  <c r="F30" i="78"/>
  <c r="J29" i="78"/>
  <c r="I29" i="78"/>
  <c r="H29" i="78"/>
  <c r="G29" i="78"/>
  <c r="F29" i="78"/>
  <c r="I8" i="60"/>
  <c r="I7" i="60"/>
  <c r="I6" i="60"/>
  <c r="H4" i="60"/>
  <c r="H87" i="60" s="1"/>
  <c r="G4" i="60"/>
  <c r="G87" i="60" s="1"/>
  <c r="F4" i="60"/>
  <c r="F87" i="60" s="1"/>
  <c r="E4" i="60"/>
  <c r="E87" i="60" s="1"/>
  <c r="D4" i="60"/>
  <c r="D87" i="60" s="1"/>
  <c r="G6" i="55"/>
  <c r="E6" i="55"/>
  <c r="L12" i="69"/>
  <c r="G26" i="54"/>
  <c r="E26" i="54"/>
  <c r="G48" i="79" s="1"/>
  <c r="D26" i="54"/>
  <c r="H26" i="53"/>
  <c r="I6" i="53"/>
  <c r="F6" i="68" s="1"/>
  <c r="G6" i="68" s="1"/>
  <c r="H6" i="68" s="1"/>
  <c r="I7" i="53"/>
  <c r="F7" i="68" s="1"/>
  <c r="G7" i="68" s="1"/>
  <c r="H7" i="68" s="1"/>
  <c r="I8" i="53"/>
  <c r="F8" i="68" s="1"/>
  <c r="G8" i="68" s="1"/>
  <c r="H8" i="68" s="1"/>
  <c r="I9" i="53"/>
  <c r="F9" i="68" s="1"/>
  <c r="G9" i="68" s="1"/>
  <c r="H9" i="68" s="1"/>
  <c r="I10" i="53"/>
  <c r="F10" i="68" s="1"/>
  <c r="G10" i="68" s="1"/>
  <c r="H10" i="68" s="1"/>
  <c r="I11" i="53"/>
  <c r="F11" i="68" s="1"/>
  <c r="G11" i="68" s="1"/>
  <c r="H11" i="68" s="1"/>
  <c r="I12" i="53"/>
  <c r="F12" i="68" s="1"/>
  <c r="G12" i="68" s="1"/>
  <c r="H12" i="68" s="1"/>
  <c r="I13" i="53"/>
  <c r="F13" i="68" s="1"/>
  <c r="G13" i="68" s="1"/>
  <c r="H13" i="68" s="1"/>
  <c r="I14" i="53"/>
  <c r="F14" i="68" s="1"/>
  <c r="G14" i="68" s="1"/>
  <c r="H14" i="68" s="1"/>
  <c r="I15" i="53"/>
  <c r="F15" i="68" s="1"/>
  <c r="G15" i="68" s="1"/>
  <c r="H15" i="68" s="1"/>
  <c r="I16" i="53"/>
  <c r="F16" i="68" s="1"/>
  <c r="G16" i="68" s="1"/>
  <c r="H16" i="68" s="1"/>
  <c r="I17" i="53"/>
  <c r="G17" i="68" s="1"/>
  <c r="H17" i="68" s="1"/>
  <c r="I18" i="53"/>
  <c r="I19" i="53"/>
  <c r="F18" i="68" s="1"/>
  <c r="G18" i="68" s="1"/>
  <c r="H18" i="68" s="1"/>
  <c r="I20" i="53"/>
  <c r="F19" i="68" s="1"/>
  <c r="G19" i="68" s="1"/>
  <c r="H19" i="68" s="1"/>
  <c r="I21" i="53"/>
  <c r="F20" i="68" s="1"/>
  <c r="G20" i="68" s="1"/>
  <c r="H20" i="68" s="1"/>
  <c r="I22" i="53"/>
  <c r="F21" i="68" s="1"/>
  <c r="G21" i="68" s="1"/>
  <c r="H21" i="68" s="1"/>
  <c r="I23" i="53"/>
  <c r="F22" i="68" s="1"/>
  <c r="G22" i="68" s="1"/>
  <c r="H22" i="68" s="1"/>
  <c r="I24" i="53"/>
  <c r="F23" i="68" s="1"/>
  <c r="G23" i="68" s="1"/>
  <c r="H23" i="68" s="1"/>
  <c r="I5" i="53"/>
  <c r="F5" i="68" s="1"/>
  <c r="G5" i="68" s="1"/>
  <c r="H5" i="68" s="1"/>
  <c r="E25" i="53"/>
  <c r="F25" i="53"/>
  <c r="G25" i="53"/>
  <c r="H25" i="53"/>
  <c r="D25" i="53"/>
  <c r="H4" i="53"/>
  <c r="J3" i="78" s="1"/>
  <c r="B38" i="79" s="1"/>
  <c r="B13" i="80" s="1"/>
  <c r="G4" i="53"/>
  <c r="I3" i="78" s="1"/>
  <c r="I28" i="78" s="1"/>
  <c r="F4" i="53"/>
  <c r="H3" i="78" s="1"/>
  <c r="B36" i="79" s="1"/>
  <c r="B11" i="80" s="1"/>
  <c r="E4" i="53"/>
  <c r="G3" i="78" s="1"/>
  <c r="B35" i="79" s="1"/>
  <c r="B10" i="80" s="1"/>
  <c r="D4" i="53"/>
  <c r="F3" i="78" s="1"/>
  <c r="F28" i="78" s="1"/>
  <c r="F2" i="45"/>
  <c r="B55" i="78"/>
  <c r="B71" i="78"/>
  <c r="B67" i="78"/>
  <c r="B61" i="78"/>
  <c r="B29" i="78"/>
  <c r="B39" i="78"/>
  <c r="B35" i="78"/>
  <c r="L25" i="78"/>
  <c r="E88" i="60" a="1"/>
  <c r="E88" i="60" s="1"/>
  <c r="S10" i="87"/>
  <c r="S8" i="87"/>
  <c r="K8" i="91"/>
  <c r="R8" i="87"/>
  <c r="M8" i="87"/>
  <c r="J22" i="91"/>
  <c r="J21" i="91"/>
  <c r="J20" i="91"/>
  <c r="J19" i="91"/>
  <c r="J16" i="91"/>
  <c r="J15" i="91"/>
  <c r="J14" i="91"/>
  <c r="J13" i="91"/>
  <c r="J12" i="91"/>
  <c r="J11" i="91"/>
  <c r="J10" i="91"/>
  <c r="J9" i="91"/>
  <c r="D35" i="78"/>
  <c r="J24" i="91"/>
  <c r="L163" i="69" l="1"/>
  <c r="F6" i="55" s="1"/>
  <c r="G9" i="95" s="1"/>
  <c r="B45" i="78"/>
  <c r="C20" i="78"/>
  <c r="C24" i="91" s="1"/>
  <c r="B66" i="78"/>
  <c r="B17" i="77"/>
  <c r="E23" i="78"/>
  <c r="E48" i="78" s="1"/>
  <c r="E18" i="78"/>
  <c r="E22" i="91" s="1"/>
  <c r="B69" i="78"/>
  <c r="B17" i="91"/>
  <c r="C13" i="78"/>
  <c r="C38" i="78" s="1"/>
  <c r="B22" i="91"/>
  <c r="E17" i="91"/>
  <c r="D18" i="78"/>
  <c r="B43" i="78"/>
  <c r="C4" i="79"/>
  <c r="H48" i="79"/>
  <c r="M14" i="81" s="1"/>
  <c r="N14" i="81" s="1"/>
  <c r="N9" i="87"/>
  <c r="K4" i="78"/>
  <c r="F8" i="91" s="1"/>
  <c r="N12" i="68"/>
  <c r="N11" i="68"/>
  <c r="N9" i="68"/>
  <c r="N14" i="68"/>
  <c r="N17" i="68"/>
  <c r="N13" i="68"/>
  <c r="N15" i="68"/>
  <c r="N16" i="68"/>
  <c r="E16" i="78"/>
  <c r="E20" i="91" s="1"/>
  <c r="B42" i="78"/>
  <c r="E42" i="78"/>
  <c r="G28" i="78"/>
  <c r="H15" i="91"/>
  <c r="M14" i="87"/>
  <c r="K11" i="78"/>
  <c r="H15" i="87" s="1"/>
  <c r="K48" i="78"/>
  <c r="I27" i="87" s="1"/>
  <c r="I69" i="60"/>
  <c r="B57" i="78"/>
  <c r="H13" i="91"/>
  <c r="M18" i="87"/>
  <c r="K20" i="78"/>
  <c r="F24" i="91" s="1"/>
  <c r="B38" i="78"/>
  <c r="D13" i="78"/>
  <c r="D17" i="91" s="1"/>
  <c r="B64" i="78"/>
  <c r="B12" i="77"/>
  <c r="B63" i="78"/>
  <c r="C21" i="78"/>
  <c r="C25" i="91" s="1"/>
  <c r="B58" i="78"/>
  <c r="B26" i="91"/>
  <c r="M20" i="87"/>
  <c r="H21" i="91"/>
  <c r="I49" i="60"/>
  <c r="B31" i="78"/>
  <c r="K16" i="78"/>
  <c r="F20" i="91" s="1"/>
  <c r="K18" i="78"/>
  <c r="H22" i="87" s="1"/>
  <c r="D31" i="78"/>
  <c r="B41" i="78"/>
  <c r="B21" i="91"/>
  <c r="K13" i="78"/>
  <c r="F17" i="91" s="1"/>
  <c r="K10" i="78"/>
  <c r="H14" i="87" s="1"/>
  <c r="K8" i="78"/>
  <c r="H12" i="87" s="1"/>
  <c r="M10" i="87"/>
  <c r="M12" i="87"/>
  <c r="H9" i="91"/>
  <c r="B37" i="79"/>
  <c r="B12" i="80" s="1"/>
  <c r="B68" i="78"/>
  <c r="B15" i="77"/>
  <c r="K12" i="78"/>
  <c r="F16" i="91" s="1"/>
  <c r="J25" i="78"/>
  <c r="C38" i="79" s="1"/>
  <c r="E13" i="80" s="1"/>
  <c r="N25" i="78"/>
  <c r="K14" i="78"/>
  <c r="H18" i="87" s="1"/>
  <c r="K9" i="78"/>
  <c r="H13" i="87" s="1"/>
  <c r="K22" i="78"/>
  <c r="F26" i="91" s="1"/>
  <c r="C40" i="78"/>
  <c r="B20" i="77"/>
  <c r="B40" i="78"/>
  <c r="B19" i="91"/>
  <c r="D15" i="78"/>
  <c r="D40" i="78" s="1"/>
  <c r="E35" i="78"/>
  <c r="B47" i="78"/>
  <c r="B46" i="78"/>
  <c r="B60" i="78"/>
  <c r="B72" i="78"/>
  <c r="I25" i="60"/>
  <c r="N13" i="87"/>
  <c r="O50" i="78"/>
  <c r="N8" i="91"/>
  <c r="F12" i="86"/>
  <c r="K7" i="78"/>
  <c r="H11" i="87" s="1"/>
  <c r="K6" i="78"/>
  <c r="H10" i="87" s="1"/>
  <c r="K5" i="78"/>
  <c r="F9" i="91" s="1"/>
  <c r="H25" i="78"/>
  <c r="C36" i="79" s="1"/>
  <c r="E11" i="80" s="1"/>
  <c r="P50" i="78"/>
  <c r="B34" i="79"/>
  <c r="B9" i="80" s="1"/>
  <c r="H89" i="60" a="1"/>
  <c r="H89" i="60" s="1"/>
  <c r="G89" i="60" a="1"/>
  <c r="G89" i="60" s="1"/>
  <c r="G90" i="60" a="1"/>
  <c r="G90" i="60" s="1"/>
  <c r="E19" i="78"/>
  <c r="C5" i="78"/>
  <c r="C30" i="78" s="1"/>
  <c r="D4" i="78"/>
  <c r="L12" i="86"/>
  <c r="H24" i="91"/>
  <c r="I12" i="86"/>
  <c r="Q50" i="78"/>
  <c r="B3" i="77"/>
  <c r="B48" i="78"/>
  <c r="B74" i="78"/>
  <c r="B65" i="78"/>
  <c r="B73" i="78"/>
  <c r="B36" i="78"/>
  <c r="I77" i="60"/>
  <c r="B10" i="86"/>
  <c r="D6" i="80"/>
  <c r="G15" i="64"/>
  <c r="H5" i="63"/>
  <c r="H29" i="63" s="1"/>
  <c r="D5" i="63"/>
  <c r="D29" i="63" s="1"/>
  <c r="E4" i="79"/>
  <c r="B21" i="77"/>
  <c r="B13" i="77"/>
  <c r="E18" i="91"/>
  <c r="D23" i="78"/>
  <c r="D27" i="91" s="1"/>
  <c r="D22" i="78"/>
  <c r="D26" i="91" s="1"/>
  <c r="E22" i="78"/>
  <c r="E26" i="91" s="1"/>
  <c r="H90" i="60" a="1"/>
  <c r="H90" i="60" s="1"/>
  <c r="K49" i="78"/>
  <c r="H19" i="91"/>
  <c r="I37" i="60"/>
  <c r="G88" i="60" a="1"/>
  <c r="G88" i="60" s="1"/>
  <c r="B37" i="78"/>
  <c r="B34" i="78"/>
  <c r="B62" i="78"/>
  <c r="B70" i="78"/>
  <c r="I65" i="60"/>
  <c r="I33" i="60"/>
  <c r="K30" i="78"/>
  <c r="G9" i="91" s="1"/>
  <c r="H88" i="60" a="1"/>
  <c r="H88" i="60" s="1"/>
  <c r="I57" i="60"/>
  <c r="B22" i="77"/>
  <c r="B44" i="78"/>
  <c r="B11" i="77"/>
  <c r="B23" i="91"/>
  <c r="E20" i="78"/>
  <c r="P11" i="62"/>
  <c r="P27" i="62" s="1"/>
  <c r="C3" i="62" s="1"/>
  <c r="O27" i="74"/>
  <c r="E23" i="97" s="1"/>
  <c r="F23" i="97" s="1"/>
  <c r="N27" i="53"/>
  <c r="E9" i="97" s="1"/>
  <c r="F9" i="97" s="1"/>
  <c r="N26" i="54"/>
  <c r="E11" i="97" s="1"/>
  <c r="F11" i="97" s="1"/>
  <c r="H26" i="72"/>
  <c r="N5" i="68"/>
  <c r="N7" i="68"/>
  <c r="N8" i="68"/>
  <c r="N26" i="61"/>
  <c r="L25" i="52"/>
  <c r="D27" i="62"/>
  <c r="L50" i="78"/>
  <c r="S9" i="87"/>
  <c r="N17" i="87"/>
  <c r="B30" i="78"/>
  <c r="E5" i="78"/>
  <c r="E30" i="78" s="1"/>
  <c r="E32" i="78"/>
  <c r="B4" i="77"/>
  <c r="B56" i="78"/>
  <c r="B9" i="91"/>
  <c r="E4" i="78"/>
  <c r="E29" i="78" s="1"/>
  <c r="B8" i="91"/>
  <c r="C4" i="78"/>
  <c r="C8" i="91" s="1"/>
  <c r="M25" i="78"/>
  <c r="N37" i="87"/>
  <c r="F89" i="60" a="1"/>
  <c r="F89" i="60" s="1"/>
  <c r="I41" i="60"/>
  <c r="E89" i="60" a="1"/>
  <c r="E89" i="60" s="1"/>
  <c r="I53" i="60"/>
  <c r="J36" i="78"/>
  <c r="J50" i="78" s="1"/>
  <c r="D38" i="79" s="1"/>
  <c r="F13" i="80" s="1"/>
  <c r="I45" i="60"/>
  <c r="I41" i="78"/>
  <c r="I50" i="78" s="1"/>
  <c r="D37" i="79" s="1"/>
  <c r="F12" i="80" s="1"/>
  <c r="M9" i="95" s="1"/>
  <c r="H42" i="78"/>
  <c r="K42" i="78" s="1"/>
  <c r="F90" i="60" a="1"/>
  <c r="F90" i="60" s="1"/>
  <c r="I61" i="60"/>
  <c r="I29" i="60"/>
  <c r="E90" i="60" a="1"/>
  <c r="E90" i="60" s="1"/>
  <c r="K43" i="78"/>
  <c r="I22" i="87" s="1"/>
  <c r="I9" i="60"/>
  <c r="I21" i="60"/>
  <c r="I81" i="60"/>
  <c r="I73" i="60"/>
  <c r="H11" i="91"/>
  <c r="M37" i="87"/>
  <c r="C35" i="78"/>
  <c r="B7" i="77"/>
  <c r="D30" i="78"/>
  <c r="B11" i="91"/>
  <c r="C36" i="78"/>
  <c r="B33" i="78"/>
  <c r="B19" i="77"/>
  <c r="B16" i="77"/>
  <c r="B14" i="77"/>
  <c r="E15" i="78"/>
  <c r="C7" i="78"/>
  <c r="D9" i="78"/>
  <c r="D13" i="91" s="1"/>
  <c r="D44" i="78"/>
  <c r="B32" i="78"/>
  <c r="B59" i="78"/>
  <c r="B18" i="77"/>
  <c r="B6" i="77"/>
  <c r="B10" i="91"/>
  <c r="B24" i="91"/>
  <c r="B13" i="91"/>
  <c r="C19" i="78"/>
  <c r="C17" i="78"/>
  <c r="C42" i="78" s="1"/>
  <c r="D17" i="78"/>
  <c r="D21" i="91" s="1"/>
  <c r="D7" i="78"/>
  <c r="B10" i="77"/>
  <c r="D11" i="78"/>
  <c r="B15" i="91"/>
  <c r="E11" i="78"/>
  <c r="C33" i="78"/>
  <c r="C12" i="91"/>
  <c r="B12" i="91"/>
  <c r="K45" i="78"/>
  <c r="D89" i="60" a="1"/>
  <c r="D89" i="60" s="1"/>
  <c r="D88" i="60" a="1"/>
  <c r="D88" i="60" s="1"/>
  <c r="D12" i="64"/>
  <c r="D14" i="64" s="1"/>
  <c r="D15" i="64" s="1"/>
  <c r="D6" i="63"/>
  <c r="C9" i="95"/>
  <c r="B5" i="77"/>
  <c r="C6" i="78"/>
  <c r="D16" i="78"/>
  <c r="D41" i="78" s="1"/>
  <c r="C16" i="78"/>
  <c r="C20" i="91" s="1"/>
  <c r="E21" i="78"/>
  <c r="D21" i="78"/>
  <c r="D12" i="78"/>
  <c r="E12" i="78"/>
  <c r="C12" i="78"/>
  <c r="E9" i="78"/>
  <c r="C9" i="78"/>
  <c r="D8" i="78"/>
  <c r="E8" i="78"/>
  <c r="D6" i="55"/>
  <c r="F9" i="95" s="1"/>
  <c r="H28" i="78"/>
  <c r="B39" i="79"/>
  <c r="B14" i="80" s="1"/>
  <c r="B24" i="78"/>
  <c r="F7" i="75"/>
  <c r="G37" i="87"/>
  <c r="G38" i="87" s="1"/>
  <c r="G39" i="87" s="1"/>
  <c r="G40" i="87" s="1"/>
  <c r="C10" i="94"/>
  <c r="C11" i="94" s="1"/>
  <c r="C12" i="94" s="1"/>
  <c r="C13" i="94" s="1"/>
  <c r="B48" i="79"/>
  <c r="F30" i="87"/>
  <c r="K30" i="87"/>
  <c r="P30" i="87"/>
  <c r="L30" i="87"/>
  <c r="Q30" i="87"/>
  <c r="G30" i="87"/>
  <c r="F5" i="45"/>
  <c r="F8" i="45"/>
  <c r="F7" i="51"/>
  <c r="E6" i="78"/>
  <c r="B12" i="86"/>
  <c r="B4" i="83"/>
  <c r="F6" i="87"/>
  <c r="B4" i="92"/>
  <c r="F6" i="76"/>
  <c r="B11" i="86"/>
  <c r="B4" i="91"/>
  <c r="F9" i="45"/>
  <c r="I20" i="91"/>
  <c r="I16" i="91"/>
  <c r="N27" i="87"/>
  <c r="N25" i="87"/>
  <c r="I24" i="91"/>
  <c r="N10" i="87"/>
  <c r="S26" i="87"/>
  <c r="I23" i="91"/>
  <c r="I18" i="91"/>
  <c r="B27" i="91"/>
  <c r="I25" i="78"/>
  <c r="C37" i="79" s="1"/>
  <c r="E12" i="80" s="1"/>
  <c r="I22" i="91"/>
  <c r="K13" i="91"/>
  <c r="K17" i="78"/>
  <c r="K15" i="78"/>
  <c r="K35" i="78"/>
  <c r="K37" i="78"/>
  <c r="K47" i="78"/>
  <c r="M27" i="87"/>
  <c r="M25" i="87"/>
  <c r="M17" i="87"/>
  <c r="N21" i="87"/>
  <c r="K23" i="78"/>
  <c r="F27" i="91" s="1"/>
  <c r="K22" i="91"/>
  <c r="I19" i="91"/>
  <c r="I15" i="91"/>
  <c r="I14" i="91"/>
  <c r="I11" i="91"/>
  <c r="Q10" i="91"/>
  <c r="R50" i="78"/>
  <c r="R8" i="91"/>
  <c r="S50" i="78"/>
  <c r="N50" i="78"/>
  <c r="M50" i="78"/>
  <c r="N8" i="87"/>
  <c r="I12" i="91"/>
  <c r="K32" i="78"/>
  <c r="I17" i="60"/>
  <c r="I13" i="60"/>
  <c r="I5" i="60"/>
  <c r="K34" i="78"/>
  <c r="K31" i="78"/>
  <c r="D90" i="60" a="1"/>
  <c r="D90" i="60" s="1"/>
  <c r="K29" i="78"/>
  <c r="G8" i="91" s="1"/>
  <c r="I25" i="53"/>
  <c r="I27" i="53" s="1"/>
  <c r="G25" i="78"/>
  <c r="C35" i="79" s="1"/>
  <c r="E10" i="80" s="1"/>
  <c r="F25" i="78"/>
  <c r="C34" i="79" s="1"/>
  <c r="E9" i="80" s="1"/>
  <c r="C45" i="78"/>
  <c r="C47" i="78"/>
  <c r="N6" i="68"/>
  <c r="F25" i="68"/>
  <c r="N10" i="68"/>
  <c r="J28" i="78"/>
  <c r="B17" i="60"/>
  <c r="K33" i="78"/>
  <c r="K44" i="78"/>
  <c r="K46" i="78"/>
  <c r="G50" i="78"/>
  <c r="D35" i="79" s="1"/>
  <c r="F10" i="80" s="1"/>
  <c r="K38" i="78"/>
  <c r="K40" i="78"/>
  <c r="F39" i="78"/>
  <c r="K39" i="78" s="1"/>
  <c r="C48" i="78"/>
  <c r="L21" i="91"/>
  <c r="R27" i="87"/>
  <c r="M26" i="87"/>
  <c r="H26" i="91"/>
  <c r="J25" i="91"/>
  <c r="R25" i="87"/>
  <c r="K19" i="78"/>
  <c r="D39" i="78"/>
  <c r="D18" i="91"/>
  <c r="R17" i="87"/>
  <c r="J17" i="91"/>
  <c r="F6" i="45"/>
  <c r="D24" i="68"/>
  <c r="N25" i="68" s="1"/>
  <c r="B28" i="83"/>
  <c r="Q28" i="83" s="1"/>
  <c r="F88" i="60" a="1"/>
  <c r="F88" i="60" s="1"/>
  <c r="R26" i="87"/>
  <c r="K21" i="78"/>
  <c r="C43" i="78"/>
  <c r="C22" i="91"/>
  <c r="L20" i="91"/>
  <c r="G28" i="62"/>
  <c r="I27" i="62" s="1"/>
  <c r="E28" i="83"/>
  <c r="L8" i="91"/>
  <c r="M23" i="87"/>
  <c r="H23" i="91"/>
  <c r="R18" i="87"/>
  <c r="J18" i="91"/>
  <c r="H16" i="91"/>
  <c r="S27" i="87"/>
  <c r="N26" i="87"/>
  <c r="S25" i="87"/>
  <c r="K24" i="91"/>
  <c r="K23" i="91"/>
  <c r="K20" i="91"/>
  <c r="K19" i="91"/>
  <c r="K18" i="91"/>
  <c r="K17" i="91"/>
  <c r="K16" i="91"/>
  <c r="K15" i="91"/>
  <c r="K14" i="91"/>
  <c r="D45" i="78"/>
  <c r="R23" i="87"/>
  <c r="M22" i="87"/>
  <c r="C39" i="78"/>
  <c r="S12" i="87"/>
  <c r="D48" i="78" l="1"/>
  <c r="H26" i="87"/>
  <c r="H24" i="87"/>
  <c r="E27" i="91"/>
  <c r="C9" i="91"/>
  <c r="E43" i="78"/>
  <c r="C17" i="91"/>
  <c r="H20" i="87"/>
  <c r="C46" i="78"/>
  <c r="D22" i="91"/>
  <c r="D43" i="78"/>
  <c r="E41" i="78"/>
  <c r="G12" i="86"/>
  <c r="H12" i="86" s="1"/>
  <c r="H8" i="87"/>
  <c r="H16" i="87"/>
  <c r="C12" i="86"/>
  <c r="K14" i="81"/>
  <c r="L14" i="81" s="1"/>
  <c r="K36" i="78"/>
  <c r="I15" i="87" s="1"/>
  <c r="G27" i="91"/>
  <c r="H17" i="87"/>
  <c r="F11" i="91"/>
  <c r="F18" i="91"/>
  <c r="F14" i="91"/>
  <c r="H9" i="87"/>
  <c r="F15" i="91"/>
  <c r="F13" i="91"/>
  <c r="I11" i="86"/>
  <c r="D38" i="78"/>
  <c r="I10" i="86"/>
  <c r="G10" i="86"/>
  <c r="D47" i="78"/>
  <c r="E47" i="78"/>
  <c r="C11" i="86"/>
  <c r="J12" i="86"/>
  <c r="K12" i="86" s="1"/>
  <c r="C10" i="86"/>
  <c r="F10" i="86"/>
  <c r="D11" i="86"/>
  <c r="D19" i="91"/>
  <c r="G11" i="86"/>
  <c r="M11" i="86"/>
  <c r="L10" i="86"/>
  <c r="M12" i="86"/>
  <c r="N12" i="86" s="1"/>
  <c r="D10" i="86"/>
  <c r="J10" i="86"/>
  <c r="E8" i="91"/>
  <c r="F22" i="91"/>
  <c r="F12" i="91"/>
  <c r="H27" i="87"/>
  <c r="J27" i="62"/>
  <c r="H4" i="79" s="1"/>
  <c r="H9" i="82" s="1"/>
  <c r="F10" i="91"/>
  <c r="C41" i="78"/>
  <c r="K41" i="78"/>
  <c r="C3" i="54"/>
  <c r="K25" i="78"/>
  <c r="C3" i="53"/>
  <c r="C3" i="74"/>
  <c r="E91" i="60"/>
  <c r="H91" i="60"/>
  <c r="I9" i="87"/>
  <c r="G91" i="60"/>
  <c r="D42" i="78"/>
  <c r="H6" i="63"/>
  <c r="H30" i="63" s="1"/>
  <c r="D30" i="63"/>
  <c r="D39" i="79"/>
  <c r="F14" i="80" s="1"/>
  <c r="F29" i="79"/>
  <c r="G29" i="76" s="1"/>
  <c r="D8" i="91"/>
  <c r="D29" i="78"/>
  <c r="H50" i="78"/>
  <c r="D36" i="79" s="1"/>
  <c r="F11" i="80" s="1"/>
  <c r="F11" i="86"/>
  <c r="J11" i="86"/>
  <c r="M10" i="86"/>
  <c r="E23" i="91"/>
  <c r="E44" i="78"/>
  <c r="E20" i="97"/>
  <c r="F20" i="97" s="1"/>
  <c r="E24" i="91"/>
  <c r="E45" i="78"/>
  <c r="L11" i="86"/>
  <c r="K7" i="75"/>
  <c r="F38" i="75"/>
  <c r="J4" i="79"/>
  <c r="D3" i="72"/>
  <c r="E19" i="97"/>
  <c r="F19" i="97" s="1"/>
  <c r="C3" i="61"/>
  <c r="E18" i="97"/>
  <c r="F18" i="97" s="1"/>
  <c r="D3" i="52"/>
  <c r="E7" i="97"/>
  <c r="K37" i="87"/>
  <c r="E48" i="79"/>
  <c r="E14" i="81" s="1"/>
  <c r="F14" i="81" s="1"/>
  <c r="E9" i="91"/>
  <c r="C29" i="78"/>
  <c r="A5" i="77"/>
  <c r="A8" i="77"/>
  <c r="A12" i="77"/>
  <c r="J89" i="60"/>
  <c r="G22" i="91"/>
  <c r="I21" i="87"/>
  <c r="G21" i="91"/>
  <c r="A4" i="77"/>
  <c r="A6" i="77"/>
  <c r="A7" i="77"/>
  <c r="A3" i="77"/>
  <c r="D20" i="91"/>
  <c r="C21" i="91"/>
  <c r="D34" i="78"/>
  <c r="A19" i="77"/>
  <c r="E19" i="91"/>
  <c r="E40" i="78"/>
  <c r="A17" i="77"/>
  <c r="C11" i="91"/>
  <c r="C32" i="78"/>
  <c r="A10" i="77"/>
  <c r="C23" i="91"/>
  <c r="C44" i="78"/>
  <c r="D11" i="91"/>
  <c r="D32" i="78"/>
  <c r="A13" i="77"/>
  <c r="A11" i="77"/>
  <c r="A9" i="77"/>
  <c r="A22" i="77"/>
  <c r="A15" i="77"/>
  <c r="A21" i="77"/>
  <c r="E36" i="78"/>
  <c r="E15" i="91"/>
  <c r="D15" i="91"/>
  <c r="D36" i="78"/>
  <c r="D91" i="60"/>
  <c r="G24" i="91"/>
  <c r="I24" i="87"/>
  <c r="A16" i="77"/>
  <c r="A20" i="77"/>
  <c r="A14" i="77"/>
  <c r="A18" i="77"/>
  <c r="C10" i="91"/>
  <c r="C31" i="78"/>
  <c r="C37" i="78"/>
  <c r="C16" i="91"/>
  <c r="E25" i="91"/>
  <c r="E46" i="78"/>
  <c r="E16" i="91"/>
  <c r="E37" i="78"/>
  <c r="C13" i="91"/>
  <c r="C34" i="78"/>
  <c r="D16" i="91"/>
  <c r="D37" i="78"/>
  <c r="E13" i="91"/>
  <c r="E34" i="78"/>
  <c r="D25" i="91"/>
  <c r="D46" i="78"/>
  <c r="E12" i="91"/>
  <c r="E33" i="78"/>
  <c r="D12" i="91"/>
  <c r="D33" i="78"/>
  <c r="J9" i="81"/>
  <c r="M35" i="87"/>
  <c r="I36" i="87"/>
  <c r="P5" i="87"/>
  <c r="D5" i="61"/>
  <c r="K5" i="87"/>
  <c r="E5" i="72"/>
  <c r="E5" i="61"/>
  <c r="B29" i="79"/>
  <c r="B29" i="76" s="1"/>
  <c r="L29" i="76" s="1"/>
  <c r="B49" i="78"/>
  <c r="R30" i="87"/>
  <c r="S30" i="87"/>
  <c r="M30" i="87"/>
  <c r="N30" i="87"/>
  <c r="K6" i="75"/>
  <c r="K37" i="75" s="1"/>
  <c r="E5" i="54"/>
  <c r="D5" i="54"/>
  <c r="P6" i="75"/>
  <c r="P37" i="75" s="1"/>
  <c r="H7" i="75"/>
  <c r="E6" i="63"/>
  <c r="I33" i="63"/>
  <c r="E10" i="91"/>
  <c r="E31" i="78"/>
  <c r="H6" i="87"/>
  <c r="M6" i="87" s="1"/>
  <c r="R6" i="87" s="1"/>
  <c r="K6" i="87"/>
  <c r="P6" i="87" s="1"/>
  <c r="C5" i="64"/>
  <c r="B47" i="79"/>
  <c r="H47" i="79" s="1"/>
  <c r="B14" i="81"/>
  <c r="E15" i="80"/>
  <c r="D14" i="80" s="1"/>
  <c r="F21" i="91"/>
  <c r="H21" i="87"/>
  <c r="G26" i="91"/>
  <c r="I26" i="87"/>
  <c r="I16" i="87"/>
  <c r="G16" i="91"/>
  <c r="F19" i="91"/>
  <c r="H19" i="87"/>
  <c r="I14" i="87"/>
  <c r="G14" i="91"/>
  <c r="H6" i="91"/>
  <c r="I7" i="64"/>
  <c r="D16" i="64" s="1"/>
  <c r="D17" i="64" s="1"/>
  <c r="D19" i="64" s="1"/>
  <c r="L6" i="62"/>
  <c r="F8" i="86"/>
  <c r="J6" i="91"/>
  <c r="I8" i="86"/>
  <c r="E5" i="64"/>
  <c r="G6" i="83"/>
  <c r="D6" i="62"/>
  <c r="F6" i="92"/>
  <c r="D25" i="92" s="1"/>
  <c r="I11" i="87"/>
  <c r="G11" i="91"/>
  <c r="D12" i="86"/>
  <c r="I8" i="87"/>
  <c r="G13" i="91"/>
  <c r="I13" i="87"/>
  <c r="I10" i="87"/>
  <c r="G10" i="91"/>
  <c r="J90" i="60"/>
  <c r="G25" i="68"/>
  <c r="H25" i="68" s="1"/>
  <c r="N26" i="68" s="1"/>
  <c r="N29" i="68" s="1"/>
  <c r="G17" i="91"/>
  <c r="I17" i="87"/>
  <c r="G12" i="91"/>
  <c r="I12" i="87"/>
  <c r="B21" i="60"/>
  <c r="F91" i="60"/>
  <c r="J88" i="60"/>
  <c r="H23" i="87"/>
  <c r="F23" i="91"/>
  <c r="I18" i="87"/>
  <c r="G18" i="91"/>
  <c r="G25" i="91"/>
  <c r="I25" i="87"/>
  <c r="F50" i="78"/>
  <c r="D34" i="79" s="1"/>
  <c r="F9" i="80" s="1"/>
  <c r="I9" i="95" s="1"/>
  <c r="F25" i="91"/>
  <c r="H25" i="87"/>
  <c r="I19" i="87"/>
  <c r="G19" i="91"/>
  <c r="G23" i="91"/>
  <c r="I23" i="87"/>
  <c r="K50" i="78" l="1"/>
  <c r="G15" i="91"/>
  <c r="G20" i="91"/>
  <c r="I20" i="87"/>
  <c r="E12" i="86"/>
  <c r="E10" i="86"/>
  <c r="K11" i="86"/>
  <c r="E11" i="86"/>
  <c r="N11" i="86"/>
  <c r="L21" i="92"/>
  <c r="M29" i="83"/>
  <c r="K10" i="86"/>
  <c r="H10" i="86"/>
  <c r="H11" i="86"/>
  <c r="N10" i="86"/>
  <c r="I8" i="64"/>
  <c r="D18" i="64" s="1"/>
  <c r="G4" i="79"/>
  <c r="G9" i="82" s="1"/>
  <c r="I28" i="87"/>
  <c r="I29" i="76"/>
  <c r="E10" i="97"/>
  <c r="F10" i="97" s="1"/>
  <c r="F7" i="97"/>
  <c r="M7" i="75"/>
  <c r="H38" i="75"/>
  <c r="P7" i="75"/>
  <c r="K38" i="75"/>
  <c r="G13" i="64"/>
  <c r="G14" i="64"/>
  <c r="L4" i="79"/>
  <c r="F15" i="64"/>
  <c r="F13" i="64"/>
  <c r="K4" i="79" s="1"/>
  <c r="F14" i="64"/>
  <c r="D20" i="64"/>
  <c r="C18" i="77"/>
  <c r="D18" i="77" s="1"/>
  <c r="C4" i="77"/>
  <c r="D4" i="77" s="1"/>
  <c r="F4" i="77" s="1"/>
  <c r="C21" i="77"/>
  <c r="E21" i="77" s="1"/>
  <c r="C8" i="77"/>
  <c r="D8" i="77" s="1"/>
  <c r="F8" i="77" s="1"/>
  <c r="C17" i="77"/>
  <c r="E17" i="77" s="1"/>
  <c r="C11" i="77"/>
  <c r="E11" i="77" s="1"/>
  <c r="C20" i="77"/>
  <c r="E20" i="77" s="1"/>
  <c r="C6" i="77"/>
  <c r="E6" i="77" s="1"/>
  <c r="C14" i="77"/>
  <c r="E14" i="77" s="1"/>
  <c r="C22" i="77"/>
  <c r="C16" i="77"/>
  <c r="D16" i="77" s="1"/>
  <c r="C3" i="77"/>
  <c r="E3" i="77" s="1"/>
  <c r="C13" i="77"/>
  <c r="E13" i="77" s="1"/>
  <c r="C7" i="77"/>
  <c r="D7" i="77" s="1"/>
  <c r="F7" i="77" s="1"/>
  <c r="C10" i="77"/>
  <c r="D10" i="77" s="1"/>
  <c r="C19" i="77"/>
  <c r="E19" i="77" s="1"/>
  <c r="C9" i="77"/>
  <c r="D9" i="77" s="1"/>
  <c r="F9" i="77" s="1"/>
  <c r="C5" i="77"/>
  <c r="D5" i="77" s="1"/>
  <c r="F5" i="77" s="1"/>
  <c r="C15" i="77"/>
  <c r="E15" i="77" s="1"/>
  <c r="C12" i="77"/>
  <c r="E12" i="77" s="1"/>
  <c r="I6" i="63"/>
  <c r="I30" i="63" s="1"/>
  <c r="E30" i="63"/>
  <c r="E7" i="64"/>
  <c r="E6" i="64"/>
  <c r="F6" i="63"/>
  <c r="C47" i="79"/>
  <c r="D13" i="81" s="1"/>
  <c r="D47" i="79"/>
  <c r="J13" i="81" s="1"/>
  <c r="M13" i="81"/>
  <c r="G47" i="79"/>
  <c r="K13" i="81" s="1"/>
  <c r="F47" i="79"/>
  <c r="G13" i="81" s="1"/>
  <c r="E47" i="79"/>
  <c r="E13" i="81" s="1"/>
  <c r="E9" i="94"/>
  <c r="H30" i="87"/>
  <c r="F10" i="51"/>
  <c r="B13" i="81"/>
  <c r="B46" i="79"/>
  <c r="D10" i="80"/>
  <c r="D15" i="80"/>
  <c r="D13" i="80"/>
  <c r="D9" i="80"/>
  <c r="D11" i="80"/>
  <c r="D12" i="80"/>
  <c r="F5" i="72"/>
  <c r="H5" i="72"/>
  <c r="G5" i="72"/>
  <c r="N7" i="91"/>
  <c r="F6" i="62"/>
  <c r="J91" i="60"/>
  <c r="F15" i="80"/>
  <c r="B25" i="60"/>
  <c r="D14" i="77" l="1"/>
  <c r="F14" i="77" s="1"/>
  <c r="I30" i="87"/>
  <c r="H13" i="81"/>
  <c r="D6" i="77"/>
  <c r="F6" i="77" s="1"/>
  <c r="D19" i="77"/>
  <c r="F19" i="77" s="1"/>
  <c r="D3" i="77"/>
  <c r="F3" i="77" s="1"/>
  <c r="E8" i="77"/>
  <c r="D21" i="64"/>
  <c r="F4" i="79" s="1"/>
  <c r="F9" i="82" s="1"/>
  <c r="E18" i="77"/>
  <c r="F18" i="77" s="1"/>
  <c r="U7" i="75"/>
  <c r="U38" i="75" s="1"/>
  <c r="P38" i="75"/>
  <c r="R7" i="75"/>
  <c r="M38" i="75"/>
  <c r="E4" i="77"/>
  <c r="D21" i="77"/>
  <c r="F21" i="77" s="1"/>
  <c r="F13" i="81"/>
  <c r="D17" i="77"/>
  <c r="F17" i="77" s="1"/>
  <c r="E9" i="77"/>
  <c r="D13" i="77"/>
  <c r="F13" i="77" s="1"/>
  <c r="E7" i="77"/>
  <c r="D11" i="77"/>
  <c r="F11" i="77" s="1"/>
  <c r="E5" i="77"/>
  <c r="D12" i="77"/>
  <c r="F12" i="77" s="1"/>
  <c r="E16" i="77"/>
  <c r="F16" i="77" s="1"/>
  <c r="G9" i="80"/>
  <c r="H9" i="95"/>
  <c r="E5" i="71"/>
  <c r="E7" i="71" s="1"/>
  <c r="L6" i="71" s="1"/>
  <c r="L11" i="71" s="1"/>
  <c r="L37" i="87"/>
  <c r="F48" i="79"/>
  <c r="G14" i="81" s="1"/>
  <c r="H14" i="81" s="1"/>
  <c r="D4" i="79"/>
  <c r="D20" i="77"/>
  <c r="F20" i="77" s="1"/>
  <c r="D15" i="77"/>
  <c r="F15" i="77" s="1"/>
  <c r="E10" i="77"/>
  <c r="F10" i="77" s="1"/>
  <c r="D22" i="77"/>
  <c r="E22" i="77"/>
  <c r="J6" i="63"/>
  <c r="J30" i="63" s="1"/>
  <c r="F30" i="63"/>
  <c r="N13" i="81"/>
  <c r="C46" i="79"/>
  <c r="D12" i="81" s="1"/>
  <c r="H46" i="79"/>
  <c r="M12" i="81" s="1"/>
  <c r="G46" i="79"/>
  <c r="K12" i="81" s="1"/>
  <c r="F46" i="79"/>
  <c r="G12" i="81" s="1"/>
  <c r="E46" i="79"/>
  <c r="E12" i="81" s="1"/>
  <c r="D46" i="79"/>
  <c r="J12" i="81" s="1"/>
  <c r="L13" i="81"/>
  <c r="B45" i="79"/>
  <c r="B12" i="81"/>
  <c r="C13" i="64"/>
  <c r="C15" i="64"/>
  <c r="H7" i="64"/>
  <c r="C16" i="64" s="1"/>
  <c r="K19" i="62"/>
  <c r="L19" i="62" s="1"/>
  <c r="T41" i="78" s="1"/>
  <c r="S20" i="91" s="1"/>
  <c r="K23" i="62"/>
  <c r="L23" i="62" s="1"/>
  <c r="T45" i="78" s="1"/>
  <c r="S24" i="91" s="1"/>
  <c r="K17" i="62"/>
  <c r="L17" i="62" s="1"/>
  <c r="T39" i="78" s="1"/>
  <c r="S18" i="91" s="1"/>
  <c r="K27" i="62"/>
  <c r="L27" i="62" s="1"/>
  <c r="K22" i="62"/>
  <c r="L22" i="62" s="1"/>
  <c r="T44" i="78" s="1"/>
  <c r="S23" i="91" s="1"/>
  <c r="K9" i="62"/>
  <c r="L9" i="62" s="1"/>
  <c r="T31" i="78" s="1"/>
  <c r="S10" i="91" s="1"/>
  <c r="K24" i="62"/>
  <c r="L24" i="62" s="1"/>
  <c r="T46" i="78" s="1"/>
  <c r="S25" i="91" s="1"/>
  <c r="K25" i="62"/>
  <c r="L25" i="62" s="1"/>
  <c r="T47" i="78" s="1"/>
  <c r="S26" i="91" s="1"/>
  <c r="K13" i="62"/>
  <c r="L13" i="62" s="1"/>
  <c r="T35" i="78" s="1"/>
  <c r="S14" i="91" s="1"/>
  <c r="K14" i="62"/>
  <c r="L14" i="62" s="1"/>
  <c r="T36" i="78" s="1"/>
  <c r="S15" i="91" s="1"/>
  <c r="K21" i="62"/>
  <c r="L21" i="62" s="1"/>
  <c r="T43" i="78" s="1"/>
  <c r="S22" i="91" s="1"/>
  <c r="K7" i="62"/>
  <c r="L7" i="62" s="1"/>
  <c r="T29" i="78" s="1"/>
  <c r="K12" i="62"/>
  <c r="L12" i="62" s="1"/>
  <c r="T34" i="78" s="1"/>
  <c r="S13" i="91" s="1"/>
  <c r="K18" i="62"/>
  <c r="L18" i="62" s="1"/>
  <c r="T40" i="78" s="1"/>
  <c r="S19" i="91" s="1"/>
  <c r="K15" i="62"/>
  <c r="L15" i="62" s="1"/>
  <c r="T37" i="78" s="1"/>
  <c r="S16" i="91" s="1"/>
  <c r="K20" i="62"/>
  <c r="L20" i="62" s="1"/>
  <c r="T42" i="78" s="1"/>
  <c r="S21" i="91" s="1"/>
  <c r="K26" i="62"/>
  <c r="L26" i="62" s="1"/>
  <c r="T48" i="78" s="1"/>
  <c r="S27" i="91" s="1"/>
  <c r="K16" i="62"/>
  <c r="L16" i="62" s="1"/>
  <c r="T38" i="78" s="1"/>
  <c r="S17" i="91" s="1"/>
  <c r="K8" i="62"/>
  <c r="L8" i="62" s="1"/>
  <c r="T30" i="78" s="1"/>
  <c r="S9" i="91" s="1"/>
  <c r="K10" i="62"/>
  <c r="L10" i="62" s="1"/>
  <c r="T32" i="78" s="1"/>
  <c r="S11" i="91" s="1"/>
  <c r="K11" i="62"/>
  <c r="L11" i="62" s="1"/>
  <c r="T33" i="78" s="1"/>
  <c r="S12" i="91" s="1"/>
  <c r="I6" i="64"/>
  <c r="B29" i="60"/>
  <c r="G14" i="80"/>
  <c r="G13" i="80"/>
  <c r="G15" i="80"/>
  <c r="G11" i="80"/>
  <c r="G12" i="80"/>
  <c r="G10" i="80"/>
  <c r="F12" i="81" l="1"/>
  <c r="K9" i="95"/>
  <c r="L9" i="95" s="1"/>
  <c r="N9" i="95"/>
  <c r="J9" i="95"/>
  <c r="D4" i="71"/>
  <c r="E17" i="97"/>
  <c r="F17" i="97" s="1"/>
  <c r="W7" i="75"/>
  <c r="W38" i="75" s="1"/>
  <c r="R38" i="75"/>
  <c r="F22" i="77"/>
  <c r="H21" i="77" s="1"/>
  <c r="L12" i="81"/>
  <c r="H12" i="81"/>
  <c r="C45" i="79"/>
  <c r="D11" i="81" s="1"/>
  <c r="E45" i="79"/>
  <c r="E11" i="81" s="1"/>
  <c r="D45" i="79"/>
  <c r="J11" i="81" s="1"/>
  <c r="H45" i="79"/>
  <c r="M11" i="81" s="1"/>
  <c r="G45" i="79"/>
  <c r="K11" i="81" s="1"/>
  <c r="F45" i="79"/>
  <c r="G11" i="81" s="1"/>
  <c r="N12" i="81"/>
  <c r="B44" i="79"/>
  <c r="B11" i="81"/>
  <c r="S8" i="91"/>
  <c r="T50" i="78"/>
  <c r="M9" i="81"/>
  <c r="K9" i="81"/>
  <c r="B33" i="60"/>
  <c r="H13" i="77" l="1"/>
  <c r="H16" i="77"/>
  <c r="H20" i="77"/>
  <c r="H9" i="77"/>
  <c r="H15" i="77"/>
  <c r="H7" i="77"/>
  <c r="H19" i="77"/>
  <c r="H22" i="77"/>
  <c r="H12" i="77"/>
  <c r="H6" i="77"/>
  <c r="H11" i="77"/>
  <c r="H18" i="77"/>
  <c r="H3" i="77"/>
  <c r="H10" i="77"/>
  <c r="H4" i="77"/>
  <c r="H8" i="77"/>
  <c r="H5" i="77"/>
  <c r="H14" i="77"/>
  <c r="H17" i="77"/>
  <c r="H11" i="81"/>
  <c r="F11" i="81"/>
  <c r="H44" i="79"/>
  <c r="M10" i="81" s="1"/>
  <c r="G44" i="79"/>
  <c r="K10" i="81" s="1"/>
  <c r="F44" i="79"/>
  <c r="G10" i="81" s="1"/>
  <c r="E44" i="79"/>
  <c r="E10" i="81" s="1"/>
  <c r="C44" i="79"/>
  <c r="D10" i="81" s="1"/>
  <c r="D44" i="79"/>
  <c r="J10" i="81" s="1"/>
  <c r="N11" i="81"/>
  <c r="L11" i="81"/>
  <c r="B10" i="81"/>
  <c r="B37" i="60"/>
  <c r="J4" i="77" l="1"/>
  <c r="B10" i="79" s="1"/>
  <c r="J5" i="77"/>
  <c r="B11" i="79" s="1"/>
  <c r="J16" i="77"/>
  <c r="B22" i="79" s="1"/>
  <c r="F22" i="79" s="1"/>
  <c r="G22" i="76" s="1"/>
  <c r="J15" i="77"/>
  <c r="B70" i="79" s="1"/>
  <c r="D70" i="79" s="1"/>
  <c r="D20" i="83" s="1"/>
  <c r="J19" i="77"/>
  <c r="B74" i="79" s="1"/>
  <c r="J7" i="77"/>
  <c r="B62" i="79" s="1"/>
  <c r="D62" i="79" s="1"/>
  <c r="D12" i="83" s="1"/>
  <c r="J3" i="77"/>
  <c r="B58" i="79" s="1"/>
  <c r="F58" i="79" s="1"/>
  <c r="G8" i="83" s="1"/>
  <c r="J18" i="77"/>
  <c r="B73" i="79" s="1"/>
  <c r="G73" i="79" s="1"/>
  <c r="H23" i="83" s="1"/>
  <c r="J14" i="77"/>
  <c r="B20" i="79" s="1"/>
  <c r="D20" i="79" s="1"/>
  <c r="D20" i="76" s="1"/>
  <c r="J12" i="77"/>
  <c r="B18" i="79" s="1"/>
  <c r="F18" i="79" s="1"/>
  <c r="G18" i="76" s="1"/>
  <c r="J6" i="77"/>
  <c r="B61" i="79" s="1"/>
  <c r="H61" i="79" s="1"/>
  <c r="J11" i="83" s="1"/>
  <c r="J11" i="77"/>
  <c r="B17" i="79" s="1"/>
  <c r="J20" i="77"/>
  <c r="B75" i="79" s="1"/>
  <c r="J13" i="77"/>
  <c r="B19" i="79" s="1"/>
  <c r="F19" i="79" s="1"/>
  <c r="G19" i="76" s="1"/>
  <c r="J22" i="77"/>
  <c r="B28" i="79" s="1"/>
  <c r="F28" i="79" s="1"/>
  <c r="G28" i="76" s="1"/>
  <c r="J17" i="77"/>
  <c r="B23" i="79" s="1"/>
  <c r="E23" i="79" s="1"/>
  <c r="F23" i="76" s="1"/>
  <c r="J9" i="77"/>
  <c r="B64" i="79" s="1"/>
  <c r="J10" i="77"/>
  <c r="B16" i="79" s="1"/>
  <c r="J8" i="77"/>
  <c r="B14" i="79" s="1"/>
  <c r="B14" i="76" s="1"/>
  <c r="L14" i="76" s="1"/>
  <c r="J21" i="77"/>
  <c r="B76" i="79" s="1"/>
  <c r="E76" i="79" s="1"/>
  <c r="E26" i="83" s="1"/>
  <c r="L10" i="81"/>
  <c r="N10" i="81"/>
  <c r="H10" i="81"/>
  <c r="F10" i="81"/>
  <c r="B41" i="60"/>
  <c r="E20" i="79" l="1"/>
  <c r="F20" i="76" s="1"/>
  <c r="B59" i="79"/>
  <c r="K59" i="79" s="1"/>
  <c r="C22" i="79"/>
  <c r="C22" i="76" s="1"/>
  <c r="B20" i="76"/>
  <c r="L20" i="76" s="1"/>
  <c r="F70" i="79"/>
  <c r="G20" i="83" s="1"/>
  <c r="B15" i="79"/>
  <c r="D15" i="79" s="1"/>
  <c r="D15" i="76" s="1"/>
  <c r="B69" i="79"/>
  <c r="F69" i="79" s="1"/>
  <c r="G19" i="83" s="1"/>
  <c r="D22" i="79"/>
  <c r="D22" i="76" s="1"/>
  <c r="B22" i="76"/>
  <c r="L22" i="76" s="1"/>
  <c r="E22" i="79"/>
  <c r="F22" i="76" s="1"/>
  <c r="I22" i="76" s="1"/>
  <c r="E70" i="79"/>
  <c r="E20" i="83" s="1"/>
  <c r="F20" i="83" s="1"/>
  <c r="B60" i="79"/>
  <c r="B10" i="83" s="1"/>
  <c r="Q10" i="83" s="1"/>
  <c r="B26" i="79"/>
  <c r="C26" i="79" s="1"/>
  <c r="C26" i="76" s="1"/>
  <c r="B25" i="79"/>
  <c r="E25" i="79" s="1"/>
  <c r="F25" i="76" s="1"/>
  <c r="H73" i="79"/>
  <c r="J23" i="83" s="1"/>
  <c r="C73" i="79"/>
  <c r="C23" i="83" s="1"/>
  <c r="F20" i="79"/>
  <c r="G20" i="76" s="1"/>
  <c r="C20" i="79"/>
  <c r="C20" i="76" s="1"/>
  <c r="J70" i="79"/>
  <c r="M20" i="83" s="1"/>
  <c r="D61" i="79"/>
  <c r="D11" i="83" s="1"/>
  <c r="G70" i="79"/>
  <c r="H20" i="83" s="1"/>
  <c r="B20" i="83"/>
  <c r="Q20" i="83" s="1"/>
  <c r="K70" i="79"/>
  <c r="I61" i="79"/>
  <c r="K11" i="83" s="1"/>
  <c r="L11" i="83" s="1"/>
  <c r="I62" i="79"/>
  <c r="K12" i="83" s="1"/>
  <c r="K62" i="79"/>
  <c r="B9" i="79"/>
  <c r="D9" i="79" s="1"/>
  <c r="D9" i="76" s="1"/>
  <c r="E61" i="79"/>
  <c r="E11" i="83" s="1"/>
  <c r="C58" i="79"/>
  <c r="C8" i="83" s="1"/>
  <c r="B65" i="79"/>
  <c r="E65" i="79" s="1"/>
  <c r="G62" i="79"/>
  <c r="H12" i="83" s="1"/>
  <c r="D18" i="79"/>
  <c r="D18" i="76" s="1"/>
  <c r="C61" i="79"/>
  <c r="C11" i="83" s="1"/>
  <c r="B23" i="76"/>
  <c r="L23" i="76" s="1"/>
  <c r="H62" i="79"/>
  <c r="J12" i="83" s="1"/>
  <c r="F62" i="79"/>
  <c r="G12" i="83" s="1"/>
  <c r="B12" i="83"/>
  <c r="Q12" i="83" s="1"/>
  <c r="B28" i="76"/>
  <c r="G61" i="79"/>
  <c r="H11" i="83" s="1"/>
  <c r="F23" i="79"/>
  <c r="G23" i="76" s="1"/>
  <c r="I23" i="76" s="1"/>
  <c r="B66" i="79"/>
  <c r="E66" i="79" s="1"/>
  <c r="F61" i="79"/>
  <c r="G11" i="83" s="1"/>
  <c r="J61" i="79"/>
  <c r="M11" i="83" s="1"/>
  <c r="L61" i="79"/>
  <c r="E14" i="79"/>
  <c r="F14" i="76" s="1"/>
  <c r="H58" i="79"/>
  <c r="J8" i="83" s="1"/>
  <c r="I70" i="79"/>
  <c r="K20" i="83" s="1"/>
  <c r="K61" i="79"/>
  <c r="B11" i="83"/>
  <c r="Q11" i="83" s="1"/>
  <c r="B71" i="79"/>
  <c r="C71" i="79" s="1"/>
  <c r="C21" i="83" s="1"/>
  <c r="I58" i="79"/>
  <c r="K8" i="83" s="1"/>
  <c r="G58" i="79"/>
  <c r="H8" i="83" s="1"/>
  <c r="I8" i="83" s="1"/>
  <c r="B63" i="79"/>
  <c r="H63" i="79" s="1"/>
  <c r="J13" i="83" s="1"/>
  <c r="B77" i="79"/>
  <c r="B27" i="83" s="1"/>
  <c r="Q27" i="83" s="1"/>
  <c r="J58" i="79"/>
  <c r="M8" i="83" s="1"/>
  <c r="C28" i="79"/>
  <c r="C28" i="76" s="1"/>
  <c r="C14" i="79"/>
  <c r="C14" i="76" s="1"/>
  <c r="B8" i="83"/>
  <c r="Q8" i="83" s="1"/>
  <c r="D58" i="79"/>
  <c r="D8" i="83" s="1"/>
  <c r="K58" i="79"/>
  <c r="F73" i="79"/>
  <c r="G23" i="83" s="1"/>
  <c r="I23" i="83" s="1"/>
  <c r="C19" i="79"/>
  <c r="C19" i="76" s="1"/>
  <c r="M76" i="79"/>
  <c r="K76" i="79"/>
  <c r="H70" i="79"/>
  <c r="J20" i="83" s="1"/>
  <c r="B21" i="79"/>
  <c r="D21" i="79" s="1"/>
  <c r="D21" i="76" s="1"/>
  <c r="L70" i="79"/>
  <c r="B24" i="79"/>
  <c r="B24" i="76" s="1"/>
  <c r="L24" i="76" s="1"/>
  <c r="L76" i="79"/>
  <c r="B67" i="79"/>
  <c r="B17" i="83" s="1"/>
  <c r="Q17" i="83" s="1"/>
  <c r="B13" i="79"/>
  <c r="B13" i="76" s="1"/>
  <c r="L13" i="76" s="1"/>
  <c r="L62" i="79"/>
  <c r="C62" i="79"/>
  <c r="C12" i="83" s="1"/>
  <c r="C70" i="79"/>
  <c r="C20" i="83" s="1"/>
  <c r="D73" i="79"/>
  <c r="D23" i="83" s="1"/>
  <c r="B23" i="83"/>
  <c r="Q23" i="83" s="1"/>
  <c r="C23" i="79"/>
  <c r="C23" i="76" s="1"/>
  <c r="G76" i="79"/>
  <c r="H26" i="83" s="1"/>
  <c r="I73" i="79"/>
  <c r="K23" i="83" s="1"/>
  <c r="E73" i="79"/>
  <c r="M73" i="79" s="1"/>
  <c r="E18" i="79"/>
  <c r="F18" i="76" s="1"/>
  <c r="I18" i="76" s="1"/>
  <c r="H76" i="79"/>
  <c r="J26" i="83" s="1"/>
  <c r="C76" i="79"/>
  <c r="C26" i="83" s="1"/>
  <c r="J76" i="79"/>
  <c r="M26" i="83" s="1"/>
  <c r="K73" i="79"/>
  <c r="D14" i="79"/>
  <c r="D14" i="76" s="1"/>
  <c r="F14" i="79"/>
  <c r="G14" i="76" s="1"/>
  <c r="B12" i="79"/>
  <c r="B12" i="76" s="1"/>
  <c r="L12" i="76" s="1"/>
  <c r="E58" i="79"/>
  <c r="M58" i="79" s="1"/>
  <c r="L58" i="79"/>
  <c r="E28" i="79"/>
  <c r="F28" i="76" s="1"/>
  <c r="I28" i="76" s="1"/>
  <c r="D28" i="79"/>
  <c r="D28" i="76" s="1"/>
  <c r="F76" i="79"/>
  <c r="G26" i="83" s="1"/>
  <c r="I76" i="79"/>
  <c r="K26" i="83" s="1"/>
  <c r="B26" i="83"/>
  <c r="Q26" i="83" s="1"/>
  <c r="D23" i="79"/>
  <c r="D23" i="76" s="1"/>
  <c r="B27" i="79"/>
  <c r="D27" i="79" s="1"/>
  <c r="D27" i="76" s="1"/>
  <c r="L73" i="79"/>
  <c r="E62" i="79"/>
  <c r="E12" i="83" s="1"/>
  <c r="F12" i="83" s="1"/>
  <c r="B68" i="79"/>
  <c r="E68" i="79" s="1"/>
  <c r="E18" i="83" s="1"/>
  <c r="J73" i="79"/>
  <c r="M23" i="83" s="1"/>
  <c r="B19" i="76"/>
  <c r="L19" i="76" s="1"/>
  <c r="J62" i="79"/>
  <c r="M12" i="83" s="1"/>
  <c r="D76" i="79"/>
  <c r="D26" i="83" s="1"/>
  <c r="F26" i="83" s="1"/>
  <c r="D19" i="79"/>
  <c r="D19" i="76" s="1"/>
  <c r="C18" i="79"/>
  <c r="C18" i="76" s="1"/>
  <c r="B72" i="79"/>
  <c r="E72" i="79" s="1"/>
  <c r="E22" i="83" s="1"/>
  <c r="E19" i="79"/>
  <c r="F19" i="76" s="1"/>
  <c r="I19" i="76" s="1"/>
  <c r="B18" i="76"/>
  <c r="L18" i="76" s="1"/>
  <c r="E11" i="79"/>
  <c r="F11" i="76" s="1"/>
  <c r="D11" i="79"/>
  <c r="D11" i="76" s="1"/>
  <c r="F11" i="79"/>
  <c r="G11" i="76" s="1"/>
  <c r="B11" i="76"/>
  <c r="L11" i="76" s="1"/>
  <c r="C11" i="79"/>
  <c r="C11" i="76" s="1"/>
  <c r="C17" i="79"/>
  <c r="C17" i="76" s="1"/>
  <c r="D17" i="79"/>
  <c r="D17" i="76" s="1"/>
  <c r="E17" i="79"/>
  <c r="F17" i="76" s="1"/>
  <c r="F17" i="79"/>
  <c r="G17" i="76" s="1"/>
  <c r="B17" i="76"/>
  <c r="L17" i="76" s="1"/>
  <c r="B16" i="76"/>
  <c r="L16" i="76" s="1"/>
  <c r="D16" i="79"/>
  <c r="D16" i="76" s="1"/>
  <c r="C16" i="79"/>
  <c r="C16" i="76" s="1"/>
  <c r="F16" i="79"/>
  <c r="G16" i="76" s="1"/>
  <c r="E16" i="79"/>
  <c r="F16" i="76" s="1"/>
  <c r="D75" i="79"/>
  <c r="D25" i="83" s="1"/>
  <c r="H75" i="79"/>
  <c r="J25" i="83" s="1"/>
  <c r="G75" i="79"/>
  <c r="H25" i="83" s="1"/>
  <c r="L75" i="79"/>
  <c r="F75" i="79"/>
  <c r="G25" i="83" s="1"/>
  <c r="J75" i="79"/>
  <c r="M25" i="83" s="1"/>
  <c r="C75" i="79"/>
  <c r="C25" i="83" s="1"/>
  <c r="E75" i="79"/>
  <c r="K75" i="79"/>
  <c r="B25" i="83"/>
  <c r="Q25" i="83" s="1"/>
  <c r="I75" i="79"/>
  <c r="K25" i="83" s="1"/>
  <c r="D64" i="79"/>
  <c r="D14" i="83" s="1"/>
  <c r="J64" i="79"/>
  <c r="M14" i="83" s="1"/>
  <c r="H64" i="79"/>
  <c r="J14" i="83" s="1"/>
  <c r="L64" i="79"/>
  <c r="B14" i="83"/>
  <c r="Q14" i="83" s="1"/>
  <c r="I64" i="79"/>
  <c r="K14" i="83" s="1"/>
  <c r="E64" i="79"/>
  <c r="F64" i="79"/>
  <c r="G14" i="83" s="1"/>
  <c r="G64" i="79"/>
  <c r="H14" i="83" s="1"/>
  <c r="C64" i="79"/>
  <c r="C14" i="83" s="1"/>
  <c r="K64" i="79"/>
  <c r="F10" i="79"/>
  <c r="G10" i="76" s="1"/>
  <c r="B10" i="76"/>
  <c r="L10" i="76" s="1"/>
  <c r="E10" i="79"/>
  <c r="F10" i="76" s="1"/>
  <c r="D10" i="79"/>
  <c r="D10" i="76" s="1"/>
  <c r="C10" i="79"/>
  <c r="C10" i="76" s="1"/>
  <c r="L74" i="79"/>
  <c r="B24" i="83"/>
  <c r="Q24" i="83" s="1"/>
  <c r="G74" i="79"/>
  <c r="H24" i="83" s="1"/>
  <c r="E74" i="79"/>
  <c r="I74" i="79"/>
  <c r="K24" i="83" s="1"/>
  <c r="F74" i="79"/>
  <c r="G24" i="83" s="1"/>
  <c r="H74" i="79"/>
  <c r="J24" i="83" s="1"/>
  <c r="D74" i="79"/>
  <c r="D24" i="83" s="1"/>
  <c r="C74" i="79"/>
  <c r="C24" i="83" s="1"/>
  <c r="J74" i="79"/>
  <c r="M24" i="83" s="1"/>
  <c r="K74" i="79"/>
  <c r="B45" i="60"/>
  <c r="G77" i="79" l="1"/>
  <c r="H27" i="83" s="1"/>
  <c r="D69" i="79"/>
  <c r="D19" i="83" s="1"/>
  <c r="L23" i="83"/>
  <c r="I20" i="83"/>
  <c r="I20" i="76"/>
  <c r="F11" i="83"/>
  <c r="L26" i="83"/>
  <c r="G66" i="79"/>
  <c r="H16" i="83" s="1"/>
  <c r="E15" i="79"/>
  <c r="F15" i="76" s="1"/>
  <c r="B26" i="76"/>
  <c r="L26" i="76" s="1"/>
  <c r="D26" i="79"/>
  <c r="D26" i="76" s="1"/>
  <c r="J66" i="79"/>
  <c r="M16" i="83" s="1"/>
  <c r="E26" i="79"/>
  <c r="F26" i="76" s="1"/>
  <c r="F26" i="79"/>
  <c r="G26" i="76" s="1"/>
  <c r="K66" i="79"/>
  <c r="H66" i="79"/>
  <c r="J16" i="83" s="1"/>
  <c r="B16" i="83"/>
  <c r="Q16" i="83" s="1"/>
  <c r="D66" i="79"/>
  <c r="D16" i="83" s="1"/>
  <c r="C66" i="79"/>
  <c r="C16" i="83" s="1"/>
  <c r="F66" i="79"/>
  <c r="G16" i="83" s="1"/>
  <c r="L66" i="79"/>
  <c r="I66" i="79"/>
  <c r="K16" i="83" s="1"/>
  <c r="G69" i="79"/>
  <c r="H19" i="83" s="1"/>
  <c r="I19" i="83" s="1"/>
  <c r="L28" i="76"/>
  <c r="L59" i="79"/>
  <c r="C25" i="79"/>
  <c r="C25" i="76" s="1"/>
  <c r="E59" i="79"/>
  <c r="E9" i="83" s="1"/>
  <c r="H59" i="79"/>
  <c r="J9" i="83" s="1"/>
  <c r="J59" i="79"/>
  <c r="M9" i="83" s="1"/>
  <c r="I59" i="79"/>
  <c r="K9" i="83" s="1"/>
  <c r="K60" i="79"/>
  <c r="G60" i="79"/>
  <c r="H10" i="83" s="1"/>
  <c r="J65" i="79"/>
  <c r="M15" i="83" s="1"/>
  <c r="I71" i="79"/>
  <c r="K21" i="83" s="1"/>
  <c r="H69" i="79"/>
  <c r="J19" i="83" s="1"/>
  <c r="C65" i="79"/>
  <c r="C15" i="83" s="1"/>
  <c r="G59" i="79"/>
  <c r="H9" i="83" s="1"/>
  <c r="F59" i="79"/>
  <c r="G9" i="83" s="1"/>
  <c r="D59" i="79"/>
  <c r="D9" i="83" s="1"/>
  <c r="B9" i="83"/>
  <c r="Q9" i="83" s="1"/>
  <c r="C59" i="79"/>
  <c r="C9" i="83" s="1"/>
  <c r="D71" i="79"/>
  <c r="D21" i="83" s="1"/>
  <c r="H60" i="79"/>
  <c r="J10" i="83" s="1"/>
  <c r="J60" i="79"/>
  <c r="M10" i="83" s="1"/>
  <c r="D60" i="79"/>
  <c r="D10" i="83" s="1"/>
  <c r="F60" i="79"/>
  <c r="G10" i="83" s="1"/>
  <c r="E60" i="79"/>
  <c r="E10" i="83" s="1"/>
  <c r="L60" i="79"/>
  <c r="I60" i="79"/>
  <c r="K10" i="83" s="1"/>
  <c r="C60" i="79"/>
  <c r="C10" i="83" s="1"/>
  <c r="F65" i="79"/>
  <c r="G15" i="83" s="1"/>
  <c r="J71" i="79"/>
  <c r="M21" i="83" s="1"/>
  <c r="E67" i="79"/>
  <c r="M67" i="79" s="1"/>
  <c r="C63" i="79"/>
  <c r="C13" i="83" s="1"/>
  <c r="L63" i="79"/>
  <c r="B15" i="83"/>
  <c r="Q15" i="83" s="1"/>
  <c r="G65" i="79"/>
  <c r="H15" i="83" s="1"/>
  <c r="F25" i="79"/>
  <c r="G25" i="76" s="1"/>
  <c r="I25" i="76" s="1"/>
  <c r="B25" i="76"/>
  <c r="L25" i="76" s="1"/>
  <c r="F15" i="79"/>
  <c r="G15" i="76" s="1"/>
  <c r="C15" i="79"/>
  <c r="C15" i="76" s="1"/>
  <c r="K71" i="79"/>
  <c r="F71" i="79"/>
  <c r="G21" i="83" s="1"/>
  <c r="J77" i="79"/>
  <c r="L20" i="92" s="1"/>
  <c r="D65" i="79"/>
  <c r="D15" i="83" s="1"/>
  <c r="L65" i="79"/>
  <c r="K65" i="79"/>
  <c r="D25" i="79"/>
  <c r="D25" i="76" s="1"/>
  <c r="B15" i="76"/>
  <c r="L15" i="76" s="1"/>
  <c r="C21" i="79"/>
  <c r="C21" i="76" s="1"/>
  <c r="B21" i="83"/>
  <c r="Q21" i="83" s="1"/>
  <c r="L71" i="79"/>
  <c r="G71" i="79"/>
  <c r="H21" i="83" s="1"/>
  <c r="L77" i="79"/>
  <c r="I65" i="79"/>
  <c r="K15" i="83" s="1"/>
  <c r="H65" i="79"/>
  <c r="J15" i="83" s="1"/>
  <c r="E21" i="79"/>
  <c r="F21" i="76" s="1"/>
  <c r="E71" i="79"/>
  <c r="M71" i="79" s="1"/>
  <c r="H71" i="79"/>
  <c r="J21" i="83" s="1"/>
  <c r="E77" i="79"/>
  <c r="E27" i="83" s="1"/>
  <c r="I69" i="79"/>
  <c r="K19" i="83" s="1"/>
  <c r="B19" i="83"/>
  <c r="Q19" i="83" s="1"/>
  <c r="E69" i="79"/>
  <c r="E19" i="83" s="1"/>
  <c r="K69" i="79"/>
  <c r="J69" i="79"/>
  <c r="M19" i="83" s="1"/>
  <c r="L69" i="79"/>
  <c r="C69" i="79"/>
  <c r="C19" i="83" s="1"/>
  <c r="B21" i="76"/>
  <c r="L21" i="76" s="1"/>
  <c r="I77" i="79"/>
  <c r="J20" i="92" s="1"/>
  <c r="H77" i="79"/>
  <c r="I20" i="92" s="1"/>
  <c r="F21" i="79"/>
  <c r="G21" i="76" s="1"/>
  <c r="C77" i="79"/>
  <c r="C27" i="83" s="1"/>
  <c r="K77" i="79"/>
  <c r="D63" i="79"/>
  <c r="D13" i="83" s="1"/>
  <c r="F63" i="79"/>
  <c r="G13" i="83" s="1"/>
  <c r="E63" i="79"/>
  <c r="M63" i="79" s="1"/>
  <c r="M70" i="79"/>
  <c r="K63" i="79"/>
  <c r="J63" i="79"/>
  <c r="M13" i="83" s="1"/>
  <c r="I63" i="79"/>
  <c r="K13" i="83" s="1"/>
  <c r="L13" i="83" s="1"/>
  <c r="C9" i="79"/>
  <c r="C9" i="76" s="1"/>
  <c r="J67" i="79"/>
  <c r="M17" i="83" s="1"/>
  <c r="I67" i="79"/>
  <c r="K17" i="83" s="1"/>
  <c r="I11" i="83"/>
  <c r="D24" i="79"/>
  <c r="D24" i="76" s="1"/>
  <c r="F67" i="79"/>
  <c r="G17" i="83" s="1"/>
  <c r="F77" i="79"/>
  <c r="F20" i="92" s="1"/>
  <c r="D77" i="79"/>
  <c r="D27" i="83" s="1"/>
  <c r="C67" i="79"/>
  <c r="C17" i="83" s="1"/>
  <c r="H67" i="79"/>
  <c r="J17" i="83" s="1"/>
  <c r="K67" i="79"/>
  <c r="E9" i="79"/>
  <c r="F9" i="76" s="1"/>
  <c r="C13" i="79"/>
  <c r="C13" i="76" s="1"/>
  <c r="G63" i="79"/>
  <c r="H13" i="83" s="1"/>
  <c r="B13" i="83"/>
  <c r="Q13" i="83" s="1"/>
  <c r="I12" i="83"/>
  <c r="E13" i="79"/>
  <c r="F13" i="76" s="1"/>
  <c r="I26" i="83"/>
  <c r="G67" i="79"/>
  <c r="H17" i="83" s="1"/>
  <c r="L67" i="79"/>
  <c r="D67" i="79"/>
  <c r="D17" i="83" s="1"/>
  <c r="J68" i="79"/>
  <c r="M18" i="83" s="1"/>
  <c r="L20" i="83"/>
  <c r="C24" i="79"/>
  <c r="C24" i="76" s="1"/>
  <c r="M61" i="79"/>
  <c r="B9" i="76"/>
  <c r="L9" i="76" s="1"/>
  <c r="F9" i="79"/>
  <c r="G9" i="76" s="1"/>
  <c r="D12" i="79"/>
  <c r="D12" i="76" s="1"/>
  <c r="F13" i="79"/>
  <c r="G13" i="76" s="1"/>
  <c r="C12" i="79"/>
  <c r="C12" i="76" s="1"/>
  <c r="E12" i="79"/>
  <c r="F12" i="76" s="1"/>
  <c r="F12" i="79"/>
  <c r="G12" i="76" s="1"/>
  <c r="L12" i="83"/>
  <c r="C68" i="79"/>
  <c r="C18" i="83" s="1"/>
  <c r="F68" i="79"/>
  <c r="G18" i="83" s="1"/>
  <c r="M68" i="79"/>
  <c r="D13" i="79"/>
  <c r="D13" i="76" s="1"/>
  <c r="E23" i="83"/>
  <c r="F23" i="83" s="1"/>
  <c r="G68" i="79"/>
  <c r="H18" i="83" s="1"/>
  <c r="D68" i="79"/>
  <c r="D18" i="83" s="1"/>
  <c r="F18" i="83" s="1"/>
  <c r="L8" i="83"/>
  <c r="I68" i="79"/>
  <c r="K18" i="83" s="1"/>
  <c r="B27" i="76"/>
  <c r="L27" i="76" s="1"/>
  <c r="H68" i="79"/>
  <c r="J18" i="83" s="1"/>
  <c r="B18" i="83"/>
  <c r="Q18" i="83" s="1"/>
  <c r="I14" i="76"/>
  <c r="C27" i="79"/>
  <c r="C27" i="76" s="1"/>
  <c r="E8" i="83"/>
  <c r="F8" i="83" s="1"/>
  <c r="K68" i="79"/>
  <c r="L68" i="79"/>
  <c r="E27" i="79"/>
  <c r="F27" i="76" s="1"/>
  <c r="F27" i="79"/>
  <c r="G27" i="76" s="1"/>
  <c r="E24" i="79"/>
  <c r="F24" i="76" s="1"/>
  <c r="F24" i="79"/>
  <c r="G24" i="76" s="1"/>
  <c r="C72" i="79"/>
  <c r="C22" i="83" s="1"/>
  <c r="F72" i="79"/>
  <c r="G22" i="83" s="1"/>
  <c r="D72" i="79"/>
  <c r="D22" i="83" s="1"/>
  <c r="F22" i="83" s="1"/>
  <c r="M62" i="79"/>
  <c r="K72" i="79"/>
  <c r="J72" i="79"/>
  <c r="M22" i="83" s="1"/>
  <c r="B22" i="83"/>
  <c r="Q22" i="83" s="1"/>
  <c r="L72" i="79"/>
  <c r="I72" i="79"/>
  <c r="K22" i="83" s="1"/>
  <c r="G72" i="79"/>
  <c r="H22" i="83" s="1"/>
  <c r="H72" i="79"/>
  <c r="J22" i="83" s="1"/>
  <c r="M72" i="79"/>
  <c r="L14" i="83"/>
  <c r="I14" i="83"/>
  <c r="I11" i="76"/>
  <c r="L24" i="83"/>
  <c r="M74" i="79"/>
  <c r="E24" i="83"/>
  <c r="F24" i="83" s="1"/>
  <c r="I10" i="76"/>
  <c r="M66" i="79"/>
  <c r="E16" i="83"/>
  <c r="L25" i="83"/>
  <c r="I25" i="83"/>
  <c r="I16" i="76"/>
  <c r="I24" i="83"/>
  <c r="M64" i="79"/>
  <c r="E14" i="83"/>
  <c r="F14" i="83" s="1"/>
  <c r="I17" i="76"/>
  <c r="E25" i="83"/>
  <c r="F25" i="83" s="1"/>
  <c r="M75" i="79"/>
  <c r="E15" i="83"/>
  <c r="M65" i="79"/>
  <c r="B49" i="60"/>
  <c r="G20" i="92" l="1"/>
  <c r="H20" i="92" s="1"/>
  <c r="F19" i="83"/>
  <c r="I16" i="83"/>
  <c r="F16" i="83"/>
  <c r="I15" i="76"/>
  <c r="I26" i="76"/>
  <c r="L16" i="83"/>
  <c r="Q29" i="83"/>
  <c r="L30" i="76"/>
  <c r="L9" i="83"/>
  <c r="M59" i="79"/>
  <c r="I10" i="83"/>
  <c r="I9" i="83"/>
  <c r="L21" i="83"/>
  <c r="L19" i="83"/>
  <c r="F10" i="83"/>
  <c r="L10" i="83"/>
  <c r="M60" i="79"/>
  <c r="I13" i="76"/>
  <c r="I21" i="83"/>
  <c r="I15" i="83"/>
  <c r="E17" i="83"/>
  <c r="F17" i="83" s="1"/>
  <c r="K27" i="83"/>
  <c r="K29" i="83" s="1"/>
  <c r="L15" i="83"/>
  <c r="M27" i="83"/>
  <c r="M77" i="79"/>
  <c r="D20" i="92"/>
  <c r="I21" i="76"/>
  <c r="F15" i="83"/>
  <c r="E21" i="83"/>
  <c r="F21" i="83" s="1"/>
  <c r="M69" i="79"/>
  <c r="J27" i="83"/>
  <c r="E13" i="83"/>
  <c r="F13" i="83" s="1"/>
  <c r="C20" i="92"/>
  <c r="I18" i="83"/>
  <c r="I13" i="83"/>
  <c r="L17" i="83"/>
  <c r="G27" i="83"/>
  <c r="I27" i="83" s="1"/>
  <c r="I22" i="83"/>
  <c r="I17" i="83"/>
  <c r="G90" i="79"/>
  <c r="G17" i="92" s="1"/>
  <c r="I9" i="76"/>
  <c r="E82" i="79"/>
  <c r="D8" i="92" s="1"/>
  <c r="I12" i="76"/>
  <c r="G84" i="79"/>
  <c r="G10" i="92" s="1"/>
  <c r="F91" i="79"/>
  <c r="F19" i="92" s="1"/>
  <c r="K87" i="79"/>
  <c r="I91" i="79"/>
  <c r="J19" i="92" s="1"/>
  <c r="I86" i="79"/>
  <c r="J12" i="92" s="1"/>
  <c r="E86" i="79"/>
  <c r="D12" i="92" s="1"/>
  <c r="E84" i="79"/>
  <c r="D10" i="92" s="1"/>
  <c r="F88" i="79"/>
  <c r="F15" i="92" s="1"/>
  <c r="I83" i="79"/>
  <c r="J9" i="92" s="1"/>
  <c r="D88" i="79"/>
  <c r="C15" i="92" s="1"/>
  <c r="J89" i="79"/>
  <c r="F86" i="79"/>
  <c r="F12" i="92" s="1"/>
  <c r="D87" i="79"/>
  <c r="C13" i="92" s="1"/>
  <c r="F83" i="79"/>
  <c r="F9" i="92" s="1"/>
  <c r="H83" i="79"/>
  <c r="I9" i="92" s="1"/>
  <c r="K85" i="79"/>
  <c r="G85" i="79"/>
  <c r="G11" i="92" s="1"/>
  <c r="J82" i="79"/>
  <c r="K88" i="79"/>
  <c r="I88" i="79"/>
  <c r="J15" i="92" s="1"/>
  <c r="H82" i="79"/>
  <c r="I8" i="92" s="1"/>
  <c r="G30" i="76"/>
  <c r="L18" i="83"/>
  <c r="J91" i="79"/>
  <c r="D82" i="79"/>
  <c r="C8" i="92" s="1"/>
  <c r="D91" i="79"/>
  <c r="C19" i="92" s="1"/>
  <c r="J87" i="79"/>
  <c r="E91" i="79"/>
  <c r="D19" i="92" s="1"/>
  <c r="H87" i="79"/>
  <c r="I13" i="92" s="1"/>
  <c r="H89" i="79"/>
  <c r="I16" i="92" s="1"/>
  <c r="J84" i="79"/>
  <c r="H90" i="79"/>
  <c r="I17" i="92" s="1"/>
  <c r="F84" i="79"/>
  <c r="F10" i="92" s="1"/>
  <c r="E90" i="79"/>
  <c r="D17" i="92" s="1"/>
  <c r="I87" i="79"/>
  <c r="J13" i="92" s="1"/>
  <c r="K91" i="79"/>
  <c r="G82" i="79"/>
  <c r="G8" i="92" s="1"/>
  <c r="F85" i="79"/>
  <c r="F11" i="92" s="1"/>
  <c r="H84" i="79"/>
  <c r="I10" i="92" s="1"/>
  <c r="H86" i="79"/>
  <c r="I12" i="92" s="1"/>
  <c r="K86" i="79"/>
  <c r="I85" i="79"/>
  <c r="J11" i="92" s="1"/>
  <c r="D90" i="79"/>
  <c r="C17" i="92" s="1"/>
  <c r="H85" i="79"/>
  <c r="I11" i="92" s="1"/>
  <c r="E89" i="79"/>
  <c r="D16" i="92" s="1"/>
  <c r="J85" i="79"/>
  <c r="J90" i="79"/>
  <c r="D86" i="79"/>
  <c r="C12" i="92" s="1"/>
  <c r="G86" i="79"/>
  <c r="G12" i="92" s="1"/>
  <c r="D84" i="79"/>
  <c r="C10" i="92" s="1"/>
  <c r="K84" i="79"/>
  <c r="F90" i="79"/>
  <c r="F17" i="92" s="1"/>
  <c r="E83" i="79"/>
  <c r="D9" i="92" s="1"/>
  <c r="J88" i="79"/>
  <c r="G88" i="79"/>
  <c r="G15" i="92" s="1"/>
  <c r="H88" i="79"/>
  <c r="I15" i="92" s="1"/>
  <c r="K89" i="79"/>
  <c r="G89" i="79"/>
  <c r="G16" i="92" s="1"/>
  <c r="H91" i="79"/>
  <c r="I19" i="92" s="1"/>
  <c r="D85" i="79"/>
  <c r="C11" i="92" s="1"/>
  <c r="F82" i="79"/>
  <c r="F8" i="92" s="1"/>
  <c r="G91" i="79"/>
  <c r="G19" i="92" s="1"/>
  <c r="G87" i="79"/>
  <c r="G13" i="92" s="1"/>
  <c r="J86" i="79"/>
  <c r="E85" i="79"/>
  <c r="D11" i="92" s="1"/>
  <c r="I90" i="79"/>
  <c r="J17" i="92" s="1"/>
  <c r="K82" i="79"/>
  <c r="F89" i="79"/>
  <c r="F16" i="92" s="1"/>
  <c r="I89" i="79"/>
  <c r="J16" i="92" s="1"/>
  <c r="J83" i="79"/>
  <c r="D29" i="83"/>
  <c r="D83" i="79"/>
  <c r="C9" i="92" s="1"/>
  <c r="K83" i="79"/>
  <c r="E88" i="79"/>
  <c r="D15" i="92" s="1"/>
  <c r="E87" i="79"/>
  <c r="D13" i="92" s="1"/>
  <c r="F30" i="76"/>
  <c r="K90" i="79"/>
  <c r="I84" i="79"/>
  <c r="J10" i="92" s="1"/>
  <c r="D89" i="79"/>
  <c r="C16" i="92" s="1"/>
  <c r="I82" i="79"/>
  <c r="J8" i="92" s="1"/>
  <c r="F87" i="79"/>
  <c r="F13" i="92" s="1"/>
  <c r="G83" i="79"/>
  <c r="G9" i="92" s="1"/>
  <c r="I27" i="76"/>
  <c r="I24" i="76"/>
  <c r="H29" i="83"/>
  <c r="L22" i="83"/>
  <c r="E9" i="95"/>
  <c r="K20" i="92"/>
  <c r="F27" i="83"/>
  <c r="F9" i="83"/>
  <c r="B53" i="60"/>
  <c r="L84" i="79" l="1"/>
  <c r="H19" i="92"/>
  <c r="E15" i="92"/>
  <c r="K15" i="92"/>
  <c r="H17" i="92"/>
  <c r="L91" i="79"/>
  <c r="B30" i="83"/>
  <c r="I11" i="97"/>
  <c r="J11" i="97" s="1"/>
  <c r="B33" i="76"/>
  <c r="I7" i="97"/>
  <c r="N63" i="79"/>
  <c r="H10" i="92"/>
  <c r="N68" i="79"/>
  <c r="G29" i="83"/>
  <c r="I29" i="83" s="1"/>
  <c r="N71" i="79"/>
  <c r="N75" i="79"/>
  <c r="N58" i="79"/>
  <c r="E20" i="92"/>
  <c r="N61" i="79"/>
  <c r="N72" i="79"/>
  <c r="N76" i="79"/>
  <c r="N59" i="79"/>
  <c r="N64" i="79"/>
  <c r="N67" i="79"/>
  <c r="N73" i="79"/>
  <c r="N62" i="79"/>
  <c r="N69" i="79"/>
  <c r="N74" i="79"/>
  <c r="N65" i="79"/>
  <c r="N66" i="79"/>
  <c r="N70" i="79"/>
  <c r="N60" i="79"/>
  <c r="N77" i="79"/>
  <c r="I30" i="76"/>
  <c r="K9" i="92"/>
  <c r="H11" i="92"/>
  <c r="M82" i="79"/>
  <c r="L8" i="92" s="1"/>
  <c r="E29" i="83"/>
  <c r="F29" i="83" s="1"/>
  <c r="L27" i="83"/>
  <c r="L87" i="79"/>
  <c r="J29" i="83"/>
  <c r="L29" i="83" s="1"/>
  <c r="M87" i="79"/>
  <c r="L13" i="92" s="1"/>
  <c r="M91" i="79"/>
  <c r="L19" i="92" s="1"/>
  <c r="E19" i="92"/>
  <c r="K19" i="92"/>
  <c r="H15" i="92"/>
  <c r="E17" i="92"/>
  <c r="M84" i="79"/>
  <c r="L10" i="92" s="1"/>
  <c r="M89" i="79"/>
  <c r="L16" i="92" s="1"/>
  <c r="K8" i="92"/>
  <c r="E13" i="92"/>
  <c r="L82" i="79"/>
  <c r="K13" i="92"/>
  <c r="M88" i="79"/>
  <c r="L15" i="92" s="1"/>
  <c r="E12" i="92"/>
  <c r="H12" i="92"/>
  <c r="E16" i="92"/>
  <c r="L85" i="79"/>
  <c r="K11" i="92"/>
  <c r="K12" i="92"/>
  <c r="C86" i="79"/>
  <c r="K17" i="92"/>
  <c r="L88" i="79"/>
  <c r="E10" i="92"/>
  <c r="M85" i="79"/>
  <c r="L11" i="92" s="1"/>
  <c r="L89" i="79"/>
  <c r="I21" i="92"/>
  <c r="L90" i="79"/>
  <c r="K16" i="92"/>
  <c r="H16" i="92"/>
  <c r="M83" i="79"/>
  <c r="L9" i="92" s="1"/>
  <c r="M90" i="79"/>
  <c r="L17" i="92" s="1"/>
  <c r="E9" i="92"/>
  <c r="L86" i="79"/>
  <c r="C85" i="79"/>
  <c r="D21" i="92"/>
  <c r="M86" i="79"/>
  <c r="L12" i="92" s="1"/>
  <c r="C89" i="79"/>
  <c r="L83" i="79"/>
  <c r="F21" i="92"/>
  <c r="C88" i="79"/>
  <c r="C87" i="79"/>
  <c r="E11" i="92"/>
  <c r="H13" i="92"/>
  <c r="C90" i="79"/>
  <c r="C91" i="79"/>
  <c r="H8" i="92"/>
  <c r="G21" i="92"/>
  <c r="J21" i="92"/>
  <c r="C82" i="79"/>
  <c r="C83" i="79"/>
  <c r="C84" i="79"/>
  <c r="K10" i="92"/>
  <c r="H9" i="92"/>
  <c r="E8" i="92"/>
  <c r="C21" i="92"/>
  <c r="B57" i="60"/>
  <c r="J7" i="97" l="1"/>
  <c r="E29" i="97"/>
  <c r="O75" i="79"/>
  <c r="B124" i="79" s="1"/>
  <c r="E124" i="79" s="1"/>
  <c r="O63" i="79"/>
  <c r="B112" i="79" s="1"/>
  <c r="F112" i="79" s="1"/>
  <c r="O66" i="79"/>
  <c r="B115" i="79" s="1"/>
  <c r="F115" i="79" s="1"/>
  <c r="O62" i="79"/>
  <c r="B111" i="79" s="1"/>
  <c r="D111" i="79" s="1"/>
  <c r="O70" i="79"/>
  <c r="B119" i="79" s="1"/>
  <c r="D119" i="79" s="1"/>
  <c r="O58" i="79"/>
  <c r="B107" i="79" s="1"/>
  <c r="D107" i="79" s="1"/>
  <c r="O68" i="79"/>
  <c r="B117" i="79" s="1"/>
  <c r="F117" i="79" s="1"/>
  <c r="O72" i="79"/>
  <c r="B121" i="79" s="1"/>
  <c r="F121" i="79" s="1"/>
  <c r="O60" i="79"/>
  <c r="B109" i="79" s="1"/>
  <c r="E109" i="79" s="1"/>
  <c r="O73" i="79"/>
  <c r="B122" i="79" s="1"/>
  <c r="F122" i="79" s="1"/>
  <c r="O61" i="79"/>
  <c r="B110" i="79" s="1"/>
  <c r="G110" i="79" s="1"/>
  <c r="O67" i="79"/>
  <c r="B116" i="79" s="1"/>
  <c r="F116" i="79" s="1"/>
  <c r="O76" i="79"/>
  <c r="B125" i="79" s="1"/>
  <c r="F125" i="79" s="1"/>
  <c r="O65" i="79"/>
  <c r="B114" i="79" s="1"/>
  <c r="E114" i="79" s="1"/>
  <c r="O71" i="79"/>
  <c r="B120" i="79" s="1"/>
  <c r="F120" i="79" s="1"/>
  <c r="O74" i="79"/>
  <c r="B123" i="79" s="1"/>
  <c r="F123" i="79" s="1"/>
  <c r="O69" i="79"/>
  <c r="B118" i="79" s="1"/>
  <c r="E118" i="79" s="1"/>
  <c r="O64" i="79"/>
  <c r="B113" i="79" s="1"/>
  <c r="F113" i="79" s="1"/>
  <c r="O59" i="79"/>
  <c r="B108" i="79" s="1"/>
  <c r="G108" i="79" s="1"/>
  <c r="O77" i="79"/>
  <c r="B126" i="79" s="1"/>
  <c r="G126" i="79" s="1"/>
  <c r="H21" i="92"/>
  <c r="K21" i="92"/>
  <c r="O88" i="79"/>
  <c r="B100" i="79" s="1"/>
  <c r="F100" i="79" s="1"/>
  <c r="I100" i="79" s="1"/>
  <c r="O85" i="79"/>
  <c r="B97" i="79" s="1"/>
  <c r="E97" i="79" s="1"/>
  <c r="E21" i="92"/>
  <c r="O91" i="79"/>
  <c r="B103" i="79" s="1"/>
  <c r="D103" i="79" s="1"/>
  <c r="O82" i="79"/>
  <c r="B94" i="79" s="1"/>
  <c r="D94" i="79" s="1"/>
  <c r="O89" i="79"/>
  <c r="B101" i="79" s="1"/>
  <c r="E101" i="79" s="1"/>
  <c r="O90" i="79"/>
  <c r="B102" i="79" s="1"/>
  <c r="D102" i="79" s="1"/>
  <c r="O83" i="79"/>
  <c r="B95" i="79" s="1"/>
  <c r="E95" i="79" s="1"/>
  <c r="O84" i="79"/>
  <c r="B96" i="79" s="1"/>
  <c r="D96" i="79" s="1"/>
  <c r="O87" i="79"/>
  <c r="B99" i="79" s="1"/>
  <c r="G99" i="79" s="1"/>
  <c r="O86" i="79"/>
  <c r="B98" i="79" s="1"/>
  <c r="E98" i="79" s="1"/>
  <c r="B61" i="60"/>
  <c r="D122" i="79" l="1"/>
  <c r="D114" i="79"/>
  <c r="D112" i="79"/>
  <c r="F107" i="79"/>
  <c r="G114" i="79"/>
  <c r="E122" i="79"/>
  <c r="E112" i="79"/>
  <c r="F119" i="79"/>
  <c r="E125" i="79"/>
  <c r="D109" i="79"/>
  <c r="D124" i="79"/>
  <c r="G124" i="79"/>
  <c r="E115" i="79"/>
  <c r="G113" i="79"/>
  <c r="G122" i="79"/>
  <c r="G107" i="79"/>
  <c r="F114" i="79"/>
  <c r="G112" i="79"/>
  <c r="G121" i="79"/>
  <c r="E111" i="79"/>
  <c r="G125" i="79"/>
  <c r="F124" i="79"/>
  <c r="G119" i="79"/>
  <c r="D118" i="79"/>
  <c r="D125" i="79"/>
  <c r="E119" i="79"/>
  <c r="G109" i="79"/>
  <c r="E107" i="79"/>
  <c r="F109" i="79"/>
  <c r="E113" i="79"/>
  <c r="G115" i="79"/>
  <c r="F118" i="79"/>
  <c r="F110" i="79"/>
  <c r="D120" i="79"/>
  <c r="F108" i="79"/>
  <c r="D110" i="79"/>
  <c r="G120" i="79"/>
  <c r="D117" i="79"/>
  <c r="E117" i="79"/>
  <c r="E108" i="79"/>
  <c r="G118" i="79"/>
  <c r="D115" i="79"/>
  <c r="E110" i="79"/>
  <c r="D108" i="79"/>
  <c r="E116" i="79"/>
  <c r="E121" i="79"/>
  <c r="G111" i="79"/>
  <c r="E126" i="79"/>
  <c r="F111" i="79"/>
  <c r="G117" i="79"/>
  <c r="D123" i="79"/>
  <c r="D121" i="79"/>
  <c r="E120" i="79"/>
  <c r="E123" i="79"/>
  <c r="G123" i="79"/>
  <c r="D126" i="79"/>
  <c r="F126" i="79"/>
  <c r="G116" i="79"/>
  <c r="D116" i="79"/>
  <c r="D113" i="79"/>
  <c r="E103" i="79"/>
  <c r="F103" i="79"/>
  <c r="I103" i="79" s="1"/>
  <c r="G94" i="79"/>
  <c r="F102" i="79"/>
  <c r="I102" i="79" s="1"/>
  <c r="G98" i="79"/>
  <c r="F101" i="79"/>
  <c r="I101" i="79" s="1"/>
  <c r="D100" i="79"/>
  <c r="E94" i="79"/>
  <c r="E100" i="79"/>
  <c r="F96" i="79"/>
  <c r="I96" i="79" s="1"/>
  <c r="F94" i="79"/>
  <c r="I94" i="79" s="1"/>
  <c r="G100" i="79"/>
  <c r="G96" i="79"/>
  <c r="E96" i="79"/>
  <c r="D99" i="79"/>
  <c r="G101" i="79"/>
  <c r="F97" i="79"/>
  <c r="I97" i="79" s="1"/>
  <c r="E99" i="79"/>
  <c r="D97" i="79"/>
  <c r="D101" i="79"/>
  <c r="G97" i="79"/>
  <c r="F99" i="79"/>
  <c r="I99" i="79" s="1"/>
  <c r="G103" i="79"/>
  <c r="F95" i="79"/>
  <c r="I95" i="79" s="1"/>
  <c r="D98" i="79"/>
  <c r="F98" i="79"/>
  <c r="I98" i="79" s="1"/>
  <c r="G102" i="79"/>
  <c r="E102" i="79"/>
  <c r="D95" i="79"/>
  <c r="G95" i="79"/>
  <c r="B65" i="60"/>
  <c r="B69" i="60" l="1"/>
  <c r="B73" i="60" l="1"/>
  <c r="B77" i="60" l="1"/>
  <c r="B81" i="60" l="1"/>
</calcChain>
</file>

<file path=xl/sharedStrings.xml><?xml version="1.0" encoding="utf-8"?>
<sst xmlns="http://schemas.openxmlformats.org/spreadsheetml/2006/main" count="2405" uniqueCount="937">
  <si>
    <t>Arkansas Public Service Commission</t>
  </si>
  <si>
    <r>
      <t xml:space="preserve">Standardized Annual Reporting Workbook </t>
    </r>
    <r>
      <rPr>
        <i/>
        <sz val="12"/>
        <rFont val="Calibri"/>
        <family val="2"/>
        <scheme val="minor"/>
      </rPr>
      <t>v4.0 August 2017</t>
    </r>
  </si>
  <si>
    <t>General</t>
  </si>
  <si>
    <t>Energy Efficiency Portolio Data and Information</t>
  </si>
  <si>
    <t>Annual Report Tables</t>
  </si>
  <si>
    <t>Reports</t>
  </si>
  <si>
    <t>Data</t>
  </si>
  <si>
    <t>EE Portfolio Summary</t>
  </si>
  <si>
    <t>EE Portfolio Expenditures by Program</t>
  </si>
  <si>
    <t>EE Portfolio  Expenditure Summary by Cost Type</t>
  </si>
  <si>
    <t>Company Statistics</t>
  </si>
  <si>
    <t>Program Budget, Energy Savings &amp; Participants</t>
  </si>
  <si>
    <t>Portfolio Results Detail
by Program</t>
  </si>
  <si>
    <t>Portfolio Results Detail
by Sector</t>
  </si>
  <si>
    <t>Best
Practices</t>
  </si>
  <si>
    <t>Program Year Data</t>
  </si>
  <si>
    <t>Next Annual Report Load Data</t>
  </si>
  <si>
    <t>Instructions</t>
  </si>
  <si>
    <t xml:space="preserve">This workbook is designed to be used by the Investor Owned Utilities in Arkansas to track and report savings and cost related to its Energy Efficiency Portfolios. </t>
  </si>
  <si>
    <t>Navigating the workbook</t>
  </si>
  <si>
    <t>The workbook is organized so that it is navigable from within the screen without using the Excel tabs.  If Excel tabs are needed, go to File&gt;Options&gt;Advanced, scroll to "Display Options for this Workbook" then toggle on "Show sheet Tabs".  All the worksheets work from left to right in order of completion. 
The Main Menu is organized into 3 sections:</t>
  </si>
  <si>
    <r>
      <rPr>
        <b/>
        <sz val="10"/>
        <color indexed="8"/>
        <rFont val="Arial"/>
        <family val="2"/>
      </rPr>
      <t>General</t>
    </r>
    <r>
      <rPr>
        <sz val="10"/>
        <color indexed="8"/>
        <rFont val="Arial"/>
        <family val="2"/>
      </rPr>
      <t xml:space="preserve">: Contains Instructions and Glossary. </t>
    </r>
  </si>
  <si>
    <r>
      <rPr>
        <b/>
        <sz val="10"/>
        <color indexed="8"/>
        <rFont val="Arial"/>
        <family val="2"/>
      </rPr>
      <t>Energy Efficiency Portfolio Data and Information:</t>
    </r>
    <r>
      <rPr>
        <sz val="10"/>
        <color indexed="8"/>
        <rFont val="Arial"/>
        <family val="2"/>
      </rPr>
      <t xml:space="preserve"> Contains all input requirements. </t>
    </r>
  </si>
  <si>
    <r>
      <rPr>
        <b/>
        <sz val="10"/>
        <color indexed="8"/>
        <rFont val="Arial"/>
        <family val="2"/>
      </rPr>
      <t>Tables/Reports/Data:</t>
    </r>
    <r>
      <rPr>
        <sz val="10"/>
        <color indexed="8"/>
        <rFont val="Arial"/>
        <family val="2"/>
      </rPr>
      <t xml:space="preserve"> Contains the tables that are required for the narrative report.  Also contains additional reports and data summaries. </t>
    </r>
  </si>
  <si>
    <t>Each tab in the workbook uses a menu bar at the top that has action buttons that the user can use to navigate through the various options.  The 'yellow' shaded cells are cells that require data from the user.  All other cells contain formulas and are locked to prevent the user from overwriting the formulas.  Input the specific information as indicated by the workbook, for example if the request is kWh provide the data in kWh or if it is MWh provide the data in MWh's.</t>
  </si>
  <si>
    <r>
      <t xml:space="preserve">Input Values.  These cells indicate </t>
    </r>
    <r>
      <rPr>
        <b/>
        <sz val="9"/>
        <rFont val="Arial"/>
        <family val="2"/>
      </rPr>
      <t>required data inputs</t>
    </r>
    <r>
      <rPr>
        <sz val="9"/>
        <rFont val="Arial"/>
        <family val="2"/>
      </rPr>
      <t xml:space="preserve"> from the user.</t>
    </r>
  </si>
  <si>
    <t>Reserved Cells for input data.  These cells will change to 'yellow' shaded cells indicating the required data inputs from the user.</t>
  </si>
  <si>
    <t>Calculated Values</t>
  </si>
  <si>
    <t>To preserve the integrity of the formulae contained within this Excel workbook, the user should only make changes to the 'yellow' shaded cells.</t>
  </si>
  <si>
    <r>
      <t xml:space="preserve">Some 'yellow' shaded cells require the use of a dropdown list.  The user must select an option form the choices on the dropdown list.  </t>
    </r>
    <r>
      <rPr>
        <b/>
        <u/>
        <sz val="10"/>
        <color rgb="FFFF0000"/>
        <rFont val="Arial"/>
        <family val="2"/>
      </rPr>
      <t>DO NOT</t>
    </r>
    <r>
      <rPr>
        <sz val="10"/>
        <color indexed="8"/>
        <rFont val="Arial"/>
        <family val="2"/>
      </rPr>
      <t xml:space="preserve"> use the copy paste function in cells with dropdown lists.</t>
    </r>
  </si>
  <si>
    <t>Completing the workbook</t>
  </si>
  <si>
    <t>The 'Energy Efficiency Portfolio Data and Information' is organized into 3 data input sections:</t>
  </si>
  <si>
    <t>EE Portfolio Information</t>
  </si>
  <si>
    <t>a).</t>
  </si>
  <si>
    <t>Utility Information</t>
  </si>
  <si>
    <t>b).</t>
  </si>
  <si>
    <t>Program Descriptions</t>
  </si>
  <si>
    <r>
      <rPr>
        <sz val="8"/>
        <color indexed="8"/>
        <rFont val="Calibri"/>
        <family val="2"/>
      </rPr>
      <t>»</t>
    </r>
    <r>
      <rPr>
        <sz val="8"/>
        <color indexed="8"/>
        <rFont val="Arial"/>
        <family val="2"/>
      </rPr>
      <t>Program Detail</t>
    </r>
  </si>
  <si>
    <t>c).</t>
  </si>
  <si>
    <t>Budgets</t>
  </si>
  <si>
    <t>»Budget Reconciliation</t>
  </si>
  <si>
    <t>d).</t>
  </si>
  <si>
    <t>Savings &amp; Participants</t>
  </si>
  <si>
    <t>e).</t>
  </si>
  <si>
    <t>Training</t>
  </si>
  <si>
    <t>»External Training</t>
  </si>
  <si>
    <t>»Internal Training</t>
  </si>
  <si>
    <t>Current Program Year Evaluation</t>
  </si>
  <si>
    <t>Actual Expenses</t>
  </si>
  <si>
    <t>»EECR Reconciliation</t>
  </si>
  <si>
    <t>Evaluated Savings</t>
  </si>
  <si>
    <t>»Methodology for Energy Savings</t>
  </si>
  <si>
    <t>Cost-Benefits</t>
  </si>
  <si>
    <t>»Key Assumptions</t>
  </si>
  <si>
    <t>»NEBs</t>
  </si>
  <si>
    <t>»Other Cost-Benefit Test</t>
  </si>
  <si>
    <t>LCFC</t>
  </si>
  <si>
    <t>Incentives</t>
  </si>
  <si>
    <t>Historical Information</t>
  </si>
  <si>
    <t>Prior Two Years</t>
  </si>
  <si>
    <t>»Portfolio Data</t>
  </si>
  <si>
    <t>Other functions of the workbook</t>
  </si>
  <si>
    <t>Unprotecting</t>
  </si>
  <si>
    <t>If for some reason you need to unlock the spreadsheet the password is "APSC".  Once you make the correction, lock the workbook back to protect any errors from occurring.</t>
  </si>
  <si>
    <t>Dropdown List</t>
  </si>
  <si>
    <t>Some of the required inputs are selected from dropdown list.  You can view those list from here:</t>
  </si>
  <si>
    <t>Cost Categories</t>
  </si>
  <si>
    <t>There are six 'Cost Categories' used for tracking EE cost.  They are divided into the following:</t>
  </si>
  <si>
    <t>Utility Type</t>
  </si>
  <si>
    <t>Utility Full Name</t>
  </si>
  <si>
    <t>Entergy Arkansas, LLC</t>
  </si>
  <si>
    <t>Electric</t>
  </si>
  <si>
    <t>Utility Abbreviated Name</t>
  </si>
  <si>
    <t>EAL</t>
  </si>
  <si>
    <t>Program Year</t>
  </si>
  <si>
    <t>Docket</t>
  </si>
  <si>
    <t>07-085-TF</t>
  </si>
  <si>
    <t>Date Filed</t>
  </si>
  <si>
    <t>Name of Contact</t>
  </si>
  <si>
    <t>Heather Hendrickson</t>
  </si>
  <si>
    <t>Email Address</t>
  </si>
  <si>
    <t>hheath@entergy.com</t>
  </si>
  <si>
    <t>Telephone Number</t>
  </si>
  <si>
    <t>501-377-3551</t>
  </si>
  <si>
    <t>Full-Time EE Employees</t>
  </si>
  <si>
    <t>Program Name</t>
  </si>
  <si>
    <t>Target Sector</t>
  </si>
  <si>
    <t>Program Type</t>
  </si>
  <si>
    <t>Delivery Channel</t>
  </si>
  <si>
    <t>Home Energy Solutions</t>
  </si>
  <si>
    <t>Residential</t>
  </si>
  <si>
    <t>Whole Home</t>
  </si>
  <si>
    <t>Trade Ally</t>
  </si>
  <si>
    <t>Multifamily Homes</t>
  </si>
  <si>
    <t>Manufactured Homes</t>
  </si>
  <si>
    <t xml:space="preserve">Low-Income Solutions </t>
  </si>
  <si>
    <t>Market Specific/Hard to Reach</t>
  </si>
  <si>
    <t>Point of Purchase Solutions</t>
  </si>
  <si>
    <t>All Classes</t>
  </si>
  <si>
    <t>Consumer Product Rebate</t>
  </si>
  <si>
    <t>Retail Outlets</t>
  </si>
  <si>
    <t>Large Commercial &amp; Industrial Solutions</t>
  </si>
  <si>
    <t>Commercial &amp; Industrial</t>
  </si>
  <si>
    <t>Custom</t>
  </si>
  <si>
    <t>Small Business Solutions</t>
  </si>
  <si>
    <t>Small Business</t>
  </si>
  <si>
    <t xml:space="preserve">Public Institutions Solutions </t>
  </si>
  <si>
    <t>Municipalities/Schools</t>
  </si>
  <si>
    <t>Agricultural Energy Solutions</t>
  </si>
  <si>
    <t>Agriculture</t>
  </si>
  <si>
    <t>Prescriptive/Standard Offer</t>
  </si>
  <si>
    <t>Implementing Contractor</t>
  </si>
  <si>
    <t>Residential Direct Load Control</t>
  </si>
  <si>
    <t>Demand Response</t>
  </si>
  <si>
    <t xml:space="preserve">Smart Direct Load Control Pilot </t>
  </si>
  <si>
    <t>Res/Small Business</t>
  </si>
  <si>
    <t>Agricultural Irrigation Load Control</t>
  </si>
  <si>
    <t>Program Detail</t>
  </si>
  <si>
    <t xml:space="preserve">Residential </t>
  </si>
  <si>
    <t xml:space="preserve">Commercial &amp; Industrial (Small Business, Commercial, Industrial, and Agriculture) </t>
  </si>
  <si>
    <t>Cross-Sector</t>
  </si>
  <si>
    <t>N/A</t>
  </si>
  <si>
    <t>Behavioral/Education</t>
  </si>
  <si>
    <t>CPR - Appliances</t>
  </si>
  <si>
    <t>CPR - Electronics</t>
  </si>
  <si>
    <t>CPR - Lighting</t>
  </si>
  <si>
    <t>CPR - Appliance Recycling</t>
  </si>
  <si>
    <t>DR - Load Control</t>
  </si>
  <si>
    <t>DR - Price/Time Base</t>
  </si>
  <si>
    <t xml:space="preserve">Financing </t>
  </si>
  <si>
    <t>M/TF - HVAC/Furnace</t>
  </si>
  <si>
    <t>M/TF - Insulation</t>
  </si>
  <si>
    <t>M/TF - Pool Pumps</t>
  </si>
  <si>
    <t>M/TF - Water Heater</t>
  </si>
  <si>
    <t>M/TF - Windows</t>
  </si>
  <si>
    <t>Multi-family</t>
  </si>
  <si>
    <t>Other</t>
  </si>
  <si>
    <t>WH - Audits</t>
  </si>
  <si>
    <t>WH - Direct Install</t>
  </si>
  <si>
    <t>WH - Retrofit</t>
  </si>
  <si>
    <t>Audit</t>
  </si>
  <si>
    <t>Custom/Agriculture</t>
  </si>
  <si>
    <t>Custom/Data Centers</t>
  </si>
  <si>
    <t>Custom/Industrial Processes</t>
  </si>
  <si>
    <t>Custom/Refrigerator Warehouses</t>
  </si>
  <si>
    <t>Govt/Nonprofit/MUSH</t>
  </si>
  <si>
    <t>Prescriptive/Grocery</t>
  </si>
  <si>
    <t>Prescriptive/HVAC</t>
  </si>
  <si>
    <t>Prescriptive/IT or Office</t>
  </si>
  <si>
    <t>Prescriptive/Industrial</t>
  </si>
  <si>
    <t>Prescriptive/Lighting</t>
  </si>
  <si>
    <t>Prescriptive/Motors</t>
  </si>
  <si>
    <t>Prescriptive/Small Commercial</t>
  </si>
  <si>
    <t>Street Lighting</t>
  </si>
  <si>
    <t>Codes &amp; Standards</t>
  </si>
  <si>
    <t>Market Transformation</t>
  </si>
  <si>
    <t>Marketing, Education, Outreach</t>
  </si>
  <si>
    <t>Multi-Sector Rebates</t>
  </si>
  <si>
    <t xml:space="preserve">Research </t>
  </si>
  <si>
    <t>Shading/Cool Roofs</t>
  </si>
  <si>
    <t>Voltage Reduction</t>
  </si>
  <si>
    <t>Workforce Development</t>
  </si>
  <si>
    <t>x</t>
  </si>
  <si>
    <t>Total</t>
  </si>
  <si>
    <t>Total:</t>
  </si>
  <si>
    <t>Total Portfolio Budget:</t>
  </si>
  <si>
    <t>Budget Reconciliation Table</t>
  </si>
  <si>
    <t>Revised Budget*</t>
  </si>
  <si>
    <t>Initial Budget</t>
  </si>
  <si>
    <t>Difference</t>
  </si>
  <si>
    <t>Change</t>
  </si>
  <si>
    <t>Explanation for the Change</t>
  </si>
  <si>
    <t>Shifted at-risk into program for overdrive.</t>
  </si>
  <si>
    <t>Shifted at-risk out of program for other program overdrive.</t>
  </si>
  <si>
    <t>Total Portfolio:</t>
  </si>
  <si>
    <t>NA</t>
  </si>
  <si>
    <t>Order #</t>
  </si>
  <si>
    <t>approved the Initial Budget.</t>
  </si>
  <si>
    <t>Demand 
Savings</t>
  </si>
  <si>
    <t>Energy 
Savings</t>
  </si>
  <si>
    <t>Participants</t>
  </si>
  <si>
    <t>Participant Definition</t>
  </si>
  <si>
    <t>Accounts</t>
  </si>
  <si>
    <t>Measure</t>
  </si>
  <si>
    <t>Customer</t>
  </si>
  <si>
    <t>Equipment</t>
  </si>
  <si>
    <t>Sessions</t>
  </si>
  <si>
    <t>Attendees</t>
  </si>
  <si>
    <t>Man Hours</t>
  </si>
  <si>
    <t>Certificates</t>
  </si>
  <si>
    <t>Cost</t>
  </si>
  <si>
    <t>External Training</t>
  </si>
  <si>
    <t>Internal Training</t>
  </si>
  <si>
    <r>
      <t xml:space="preserve">External Training </t>
    </r>
    <r>
      <rPr>
        <b/>
        <sz val="12"/>
        <color indexed="8"/>
        <rFont val="Calibri"/>
        <family val="2"/>
      </rPr>
      <t>(contractors, trade allies, consumer groups, ect.)</t>
    </r>
  </si>
  <si>
    <t>Event No.</t>
  </si>
  <si>
    <t>Test</t>
  </si>
  <si>
    <t>Start Date</t>
  </si>
  <si>
    <t>Class</t>
  </si>
  <si>
    <t>Class Description</t>
  </si>
  <si>
    <t>Training Location</t>
  </si>
  <si>
    <t>Sponsor</t>
  </si>
  <si>
    <t>No. of Attendees
(A)</t>
  </si>
  <si>
    <t>Length of Session
(B)</t>
  </si>
  <si>
    <t>Training Session Man-Hours
(A x B)</t>
  </si>
  <si>
    <t>Any Certificates Awarded?
(Y or N)</t>
  </si>
  <si>
    <t># of Certificates Awarded</t>
  </si>
  <si>
    <t>Ladder safety</t>
  </si>
  <si>
    <t>This course provides information about the safe use of portable and fixed ladders.</t>
  </si>
  <si>
    <t>Online</t>
  </si>
  <si>
    <t>Itron</t>
  </si>
  <si>
    <t>Y</t>
  </si>
  <si>
    <t>ACAAA Leadership Academy</t>
  </si>
  <si>
    <t>Education</t>
  </si>
  <si>
    <t>ACAAA</t>
  </si>
  <si>
    <t>Trade Ally Training</t>
  </si>
  <si>
    <t>TA Training</t>
  </si>
  <si>
    <t>ICF</t>
  </si>
  <si>
    <t>N</t>
  </si>
  <si>
    <t>ACTU Training</t>
  </si>
  <si>
    <t>Batesville, AR</t>
  </si>
  <si>
    <t>Refresher - (DSMT) - SLC and Commercial Program Training</t>
  </si>
  <si>
    <t>Little Rock, AR</t>
  </si>
  <si>
    <t>CLEAResult</t>
  </si>
  <si>
    <t>(DSMT) - SLC and Commercial Program Training</t>
  </si>
  <si>
    <t>Trade Ally Summit 2025</t>
  </si>
  <si>
    <t>Annual awards, best practices review and overview of upcoming changes</t>
  </si>
  <si>
    <t>Engineering Conference</t>
  </si>
  <si>
    <t>Distribution automation, Reliability, Mesh network.</t>
  </si>
  <si>
    <t>Entergy</t>
  </si>
  <si>
    <t>(DSMT) - G&amp;S Calculator and Commercial Program Training</t>
  </si>
  <si>
    <t>In Person</t>
  </si>
  <si>
    <t>Field training</t>
  </si>
  <si>
    <t>Coolsaver tech job shadow</t>
  </si>
  <si>
    <t>In person</t>
  </si>
  <si>
    <t>CEI Workshop</t>
  </si>
  <si>
    <t>CEI 2025 Report Out/2026 Kickoff Workshop</t>
  </si>
  <si>
    <t>BPI Training</t>
  </si>
  <si>
    <t>BPI Training and testing for Tas</t>
  </si>
  <si>
    <t>Bryant, AR</t>
  </si>
  <si>
    <t>VSD vs Fixed Speed Air Compressors</t>
  </si>
  <si>
    <t>Matching the air compressor to your application</t>
  </si>
  <si>
    <t>Virtual</t>
  </si>
  <si>
    <t>Compressed Air Best Practices</t>
  </si>
  <si>
    <t>AESP</t>
  </si>
  <si>
    <t>Industry Conference</t>
  </si>
  <si>
    <t>Phoenix, AZ</t>
  </si>
  <si>
    <t>Indoor Ag Con</t>
  </si>
  <si>
    <t>Las Vegas, NV</t>
  </si>
  <si>
    <t>Coolsaver training</t>
  </si>
  <si>
    <t>trade ally basic coolsaver training</t>
  </si>
  <si>
    <t>Water-Cooled vs Air Cooled Chillers</t>
  </si>
  <si>
    <t>Efficiency and applications</t>
  </si>
  <si>
    <t>Trade ally basic coolsaver training</t>
  </si>
  <si>
    <t>Clearesult</t>
  </si>
  <si>
    <t>Marketing Event</t>
  </si>
  <si>
    <t>2025 ACES Expo - Hot Springs Convention Center</t>
  </si>
  <si>
    <t>Defensive Driving</t>
  </si>
  <si>
    <t>This course provides simple, effective defensive driving techniques you can use to reduce your chances of being involved in a motor vehicle accident.</t>
  </si>
  <si>
    <t>Cabot, AR</t>
  </si>
  <si>
    <t>National Home Performance Conference</t>
  </si>
  <si>
    <t>Building Performance Institute National Home Performance Conference Annual</t>
  </si>
  <si>
    <t>New Orleans LA</t>
  </si>
  <si>
    <t>NHP</t>
  </si>
  <si>
    <t>Speed Curves &amp;Horsepower</t>
  </si>
  <si>
    <t>Unpacking vacuum pump variable frequency contols</t>
  </si>
  <si>
    <t>Rogers Machinery</t>
  </si>
  <si>
    <t>Little Rock/Maumelle</t>
  </si>
  <si>
    <t>Community Action Advocacy Day</t>
  </si>
  <si>
    <t>Community</t>
  </si>
  <si>
    <t>Helena, AR</t>
  </si>
  <si>
    <t>Maumelle, AR</t>
  </si>
  <si>
    <t>AILC Field Operations - Device Installation, maintenance, troubleshooting, safety</t>
  </si>
  <si>
    <t>Training conducted by Craig Ayers (BPL) to SEC field installation contractors. Training includes the review and reinforcement of all installation processes supporting the new and legacy AILC technology including review of required PPE, wiring diagrams, mounting, wire termination, phase angle determination, CT orientation, reporting, site clean up, and electrical &amp; environmental safety.</t>
  </si>
  <si>
    <t>Brinkley, AR</t>
  </si>
  <si>
    <t>BPL</t>
  </si>
  <si>
    <t> </t>
  </si>
  <si>
    <t>CEI Employee Engagement Workshop</t>
  </si>
  <si>
    <t>MHI Congress &amp; Expo</t>
  </si>
  <si>
    <t>Orlando, FL</t>
  </si>
  <si>
    <t>MHI</t>
  </si>
  <si>
    <t>Statewide Community Action Convening</t>
  </si>
  <si>
    <t>Morrilton, AR</t>
  </si>
  <si>
    <t>ICF Utility Leader Summit</t>
  </si>
  <si>
    <t>Santa Barbara CA</t>
  </si>
  <si>
    <t>Lockout/Tagout</t>
  </si>
  <si>
    <t>This course provides information about control of hazardous energy and work under the protection of a lockout/tagout energy control program.</t>
  </si>
  <si>
    <t>Coolsaver QAQC Inspector training</t>
  </si>
  <si>
    <t>Williamson HVAC LRSD job shadow</t>
  </si>
  <si>
    <t>CEU CLASS 22-04CEU</t>
  </si>
  <si>
    <t>This course provided information about the new refrigerant R-454B and infromed of the safety precations that must be taken when working on equipment and installation of equipment</t>
  </si>
  <si>
    <t>Ed Supply</t>
  </si>
  <si>
    <t>CEU CLASS 23-01CEU</t>
  </si>
  <si>
    <t>This course provided information on modern code requirements</t>
  </si>
  <si>
    <t>(DSMT) - SLC Training</t>
  </si>
  <si>
    <t>AEE East</t>
  </si>
  <si>
    <t>Cleveland, Ohio</t>
  </si>
  <si>
    <t>AEE</t>
  </si>
  <si>
    <t>Peak Demand and Power Factor Workshop</t>
  </si>
  <si>
    <t>Air Compressor</t>
  </si>
  <si>
    <t>How Ambient Temperature and Pressure Affect Air Compressor Performance</t>
  </si>
  <si>
    <t>ACAAA LIHEAP Affiliate Meeting</t>
  </si>
  <si>
    <t>Energy Efficiency 101 CAPCA Workshop- Cleburne Co</t>
  </si>
  <si>
    <t>Heber Springs, AR</t>
  </si>
  <si>
    <t>CAPCA</t>
  </si>
  <si>
    <t>Energy Efficiency 101 CAPCA Workshop- White Co</t>
  </si>
  <si>
    <t>Searcy, AR</t>
  </si>
  <si>
    <t>Energy Efficiency 101 CAPCA Workshop- Faulkner Co</t>
  </si>
  <si>
    <t>Conway, AR</t>
  </si>
  <si>
    <t>Electrical Safety</t>
  </si>
  <si>
    <t>This is an awareness-level course that covers how to work safely with electricity. It focuses on specific electrical hazards found in the workplace and methods to minimize or eliminate those hazards.</t>
  </si>
  <si>
    <t>Blowers</t>
  </si>
  <si>
    <t>Selecting Appropriate Blower Control Strategies</t>
  </si>
  <si>
    <t>EAL C&amp;I Summit</t>
  </si>
  <si>
    <t>Demand Management &amp; Power Factor</t>
  </si>
  <si>
    <t>Portal Training</t>
  </si>
  <si>
    <t>AESP SE Chapter</t>
  </si>
  <si>
    <t>Industry conference</t>
  </si>
  <si>
    <t>Core CEI Workshop</t>
  </si>
  <si>
    <t>Core CEI 2025 Report Out/2026 Kickoff Workshop</t>
  </si>
  <si>
    <t>Clearesult Client Summit</t>
  </si>
  <si>
    <t xml:space="preserve">POPS program and PPC System Training </t>
  </si>
  <si>
    <t>EAL C&amp;I Virtual Summit</t>
  </si>
  <si>
    <t>Refresher - (DSMT) - GC/SC Training</t>
  </si>
  <si>
    <t>Compressed Air</t>
  </si>
  <si>
    <t xml:space="preserve">Troubleshooting Common Issues in Compressed Air Systems: Tips and Techniques </t>
  </si>
  <si>
    <t xml:space="preserve">2025 AILC Lessons Learned Meeting </t>
  </si>
  <si>
    <t>Overview presentation of the 2025 Entergy AILC program successes and challenges. Topics included recruiting/enrollment, equipment, customer service, field operations, system execution, software, incentives, and data reporting.</t>
  </si>
  <si>
    <t>Remote</t>
  </si>
  <si>
    <t>BPL/EAI</t>
  </si>
  <si>
    <t>VFDs</t>
  </si>
  <si>
    <t>Optimizing Air Compressor Efficiency with Variable Speed Drives</t>
  </si>
  <si>
    <t>Compressor Types</t>
  </si>
  <si>
    <t>Comparative Analysis of Oil-Free Screw vs. Centrifugal Air Compressors for Industrial Applications.</t>
  </si>
  <si>
    <t xml:space="preserve">Leaks </t>
  </si>
  <si>
    <t>Advanced Leak Detection and Management in Compressed Air Systems</t>
  </si>
  <si>
    <t>Totals:</t>
  </si>
  <si>
    <t>Events:</t>
  </si>
  <si>
    <t>Internal Training (Utility or Administrator Staff)</t>
  </si>
  <si>
    <t>Future of Work Quarterly Location Review</t>
  </si>
  <si>
    <t>Training for Hybrid or Virtual employee</t>
  </si>
  <si>
    <t>Thermal Energy Storage Part 2</t>
  </si>
  <si>
    <t>Thermal energy storage</t>
  </si>
  <si>
    <t>Chiller Plant Optimization</t>
  </si>
  <si>
    <t>Chiller Plant</t>
  </si>
  <si>
    <t>Logistic - Staging incident response role training</t>
  </si>
  <si>
    <t>Employee Compliance</t>
  </si>
  <si>
    <t>Responsible AI</t>
  </si>
  <si>
    <t>Meeting Management</t>
  </si>
  <si>
    <t>Team training</t>
  </si>
  <si>
    <t>Entergy Security 101</t>
  </si>
  <si>
    <t xml:space="preserve">Introduction to security </t>
  </si>
  <si>
    <t>Demand Management, Trane</t>
  </si>
  <si>
    <t>Demand Management</t>
  </si>
  <si>
    <t>Managing Entergy Record</t>
  </si>
  <si>
    <t>Building Electrification</t>
  </si>
  <si>
    <t>FERC Affiliate Rules Training</t>
  </si>
  <si>
    <t>FERC compliance training</t>
  </si>
  <si>
    <t>Engineering Vision for AI</t>
  </si>
  <si>
    <t>AI training</t>
  </si>
  <si>
    <t>From Herding Cats to Training Lions</t>
  </si>
  <si>
    <t>Team Leadership</t>
  </si>
  <si>
    <t>State of the Climate, Matek</t>
  </si>
  <si>
    <t>BPI Building Science Principles</t>
  </si>
  <si>
    <t>BPI BSP exam</t>
  </si>
  <si>
    <t>Large Gas Custom Project M&amp;V Case Study</t>
  </si>
  <si>
    <t>Gas project study</t>
  </si>
  <si>
    <t>Leadership workshop</t>
  </si>
  <si>
    <t>Leadership development</t>
  </si>
  <si>
    <t>Battery Technology</t>
  </si>
  <si>
    <t>kW Link Software</t>
  </si>
  <si>
    <t>kW software</t>
  </si>
  <si>
    <t>Code of Entegrity Acknowledgement Process</t>
  </si>
  <si>
    <t>CO2 Refrigeration</t>
  </si>
  <si>
    <t>HVAC course</t>
  </si>
  <si>
    <t>Waste Heat Recovery, Abbas</t>
  </si>
  <si>
    <t>Waste recovery</t>
  </si>
  <si>
    <t>Workplace Violence prevention and active shooter awareness</t>
  </si>
  <si>
    <t>Safety in the workplace</t>
  </si>
  <si>
    <t>Building Rapport without the Small Talk</t>
  </si>
  <si>
    <t>Program Management Training</t>
  </si>
  <si>
    <t>Program management training</t>
  </si>
  <si>
    <t>Thermal Oxidizers</t>
  </si>
  <si>
    <t>Accelerating Excel,</t>
  </si>
  <si>
    <t>ERVs and HRVs, Ventacity</t>
  </si>
  <si>
    <t>ERV and HRV</t>
  </si>
  <si>
    <t>VPP Peer Discussion, Troutfetter</t>
  </si>
  <si>
    <t xml:space="preserve">Entergy Energy Efficiency Summit </t>
  </si>
  <si>
    <t xml:space="preserve">Best practices and new technologies in utility energy efficiency </t>
  </si>
  <si>
    <t>Getting Answers that Matter</t>
  </si>
  <si>
    <t>New Employee orientation</t>
  </si>
  <si>
    <t>Employee training</t>
  </si>
  <si>
    <t>Houston, TX</t>
  </si>
  <si>
    <t>Security Awareness : Email Phishing links</t>
  </si>
  <si>
    <t>Insider Threat awereness</t>
  </si>
  <si>
    <t>DERMS and Future Ready Buildings</t>
  </si>
  <si>
    <t>Ethics</t>
  </si>
  <si>
    <t>S-CIP-013</t>
  </si>
  <si>
    <t xml:space="preserve">Contract Management Training </t>
  </si>
  <si>
    <t>Strategies for influencing others</t>
  </si>
  <si>
    <t>Project Post-mortems, East team</t>
  </si>
  <si>
    <t>RISE emerging leaders program</t>
  </si>
  <si>
    <t>Discrimination and Harrassment Prevention</t>
  </si>
  <si>
    <t>Fatigue Management</t>
  </si>
  <si>
    <t>NOT USED - HELD FOR FUTURE USE</t>
  </si>
  <si>
    <t>Utility</t>
  </si>
  <si>
    <t>Affiliate</t>
  </si>
  <si>
    <t>3rd Party</t>
  </si>
  <si>
    <t>Portfolio Total</t>
  </si>
  <si>
    <t>EECR Reconciliation Table</t>
  </si>
  <si>
    <t>Total Portfolio Expenditures:</t>
  </si>
  <si>
    <t>EECR Expenses:</t>
  </si>
  <si>
    <t>Explanation for Difference:</t>
  </si>
  <si>
    <t>2025 Budgeted Expenditures compared to 2025 Actual Expenses</t>
  </si>
  <si>
    <t>Methodology for Calculating Net Energy Savings</t>
  </si>
  <si>
    <t>Deemed Savings</t>
  </si>
  <si>
    <t>Custom Savings</t>
  </si>
  <si>
    <t>Other Savings</t>
  </si>
  <si>
    <t>Total Savings</t>
  </si>
  <si>
    <t>Net Energy Savings</t>
  </si>
  <si>
    <t>Total Resource Cost Test (TRC)</t>
  </si>
  <si>
    <t>Annualized Energy Saved</t>
  </si>
  <si>
    <t>Effective NTGR</t>
  </si>
  <si>
    <t>Lifetime Energy Savings</t>
  </si>
  <si>
    <t>Total 
Cost</t>
  </si>
  <si>
    <t>Total Benefits</t>
  </si>
  <si>
    <t>Total 
Net Benefits</t>
  </si>
  <si>
    <t>TRC</t>
  </si>
  <si>
    <t>Weighted Measure Life</t>
  </si>
  <si>
    <t>TRC Levelized Cost</t>
  </si>
  <si>
    <t>Ratio</t>
  </si>
  <si>
    <t>($000's)</t>
  </si>
  <si>
    <t>Portfolio Total:</t>
  </si>
  <si>
    <t>Key Assumptions</t>
  </si>
  <si>
    <t>Discount Rate</t>
  </si>
  <si>
    <t>Notes/Source Documents</t>
  </si>
  <si>
    <t>Nominal Discount Rate (%)</t>
  </si>
  <si>
    <t>EAL FRP 2023 BROB</t>
  </si>
  <si>
    <t>Inflation Rate (%)</t>
  </si>
  <si>
    <t>HSPI_EAL_DSM_CostBenefit_ProgramPlan_24-26_Final</t>
  </si>
  <si>
    <t>Real Discount Rate</t>
  </si>
  <si>
    <t>Calculated</t>
  </si>
  <si>
    <t>Program Benefits</t>
  </si>
  <si>
    <t>Avoided Energy Costs</t>
  </si>
  <si>
    <t>[Class 1]</t>
  </si>
  <si>
    <t>[Class 2]</t>
  </si>
  <si>
    <t>[Class 3]</t>
  </si>
  <si>
    <t>[Class 4]</t>
  </si>
  <si>
    <t>[Class 5]</t>
  </si>
  <si>
    <t>Natural Gas ($/MMBtu)</t>
  </si>
  <si>
    <t>$3.13 in 2022</t>
  </si>
  <si>
    <t>SUA PY2022 Annual Report SARP "Key Assumptions" 07-081-TF_581</t>
  </si>
  <si>
    <t>On-Peak ($/MWh)</t>
  </si>
  <si>
    <t>HSPI: See Docket No 07-085-TF -Doc 800 Direct Testimony of Kandice Fielder Page 4, Line 2 - Page 5, Line 21 and Highly Sensitive EAL Direct Exhibit KF-1</t>
  </si>
  <si>
    <t>Off-Peak ($/MWh)</t>
  </si>
  <si>
    <t>Carbon Cost BY ($/ton)</t>
  </si>
  <si>
    <t>HSPI: See Docket No 07-085-TF -Doc 800 Direct Testimony of Kandice Fielder Page 6, Line 3-16 and Highly Sensitive EAL Direct Exhibit KF-2</t>
  </si>
  <si>
    <t>Carbon Cost BY (YYYY)</t>
  </si>
  <si>
    <t>Carbon Cost EY (YYYY)</t>
  </si>
  <si>
    <t>Small General &amp; Large General Service Line Loss</t>
  </si>
  <si>
    <t>HSPI: See Docket No 07-085-TF -Doc 801 Direct Testimony of Kenneth K. Collison Page 26, Line 1-22 and Highly Sensitive EAL Direct Exhibits KKC-2, 3</t>
  </si>
  <si>
    <t>Large Ind Power Service Line Loss Category</t>
  </si>
  <si>
    <t>Agricultural Pumping Line Loss</t>
  </si>
  <si>
    <t>[Line Loss Category]</t>
  </si>
  <si>
    <t>Avoided Capacity Cost</t>
  </si>
  <si>
    <t>Proxy Unit $/kW</t>
  </si>
  <si>
    <t>HSPI: See Docket No 07-085-TF -Doc 800 Direct Testimony of Kandice Fielder Page 8, Line 15 - Page 9, Line 11 and Highly Sensitive EAI Direct Exhibit KF-3</t>
  </si>
  <si>
    <t>Proxy Unit In Service Date</t>
  </si>
  <si>
    <t>RECC ($/kw-yr)</t>
  </si>
  <si>
    <t>HSPI: See Docket No 07-085-TF -Doc 800 Direct Testimony of Kandice Fielder Page 9, Line 2-11 and Highly Sensitive EAI Direct Exhibit KF-3</t>
  </si>
  <si>
    <t>RECC BY (YYYY)</t>
  </si>
  <si>
    <t>RECC EY (YYYY)</t>
  </si>
  <si>
    <t>Market Price ($/kw-yr)</t>
  </si>
  <si>
    <t>HSPI: See Docket No 07-085-TF -Doc 800 Direct Testimony of Kandice Fielder Page 7, Line 18 - Page 9, Line 11 and Highly Sensitive EAI Direct Exhibit KF-3</t>
  </si>
  <si>
    <t>Market Price BY (YYYY)</t>
  </si>
  <si>
    <t>Market Price EY (YYYY)</t>
  </si>
  <si>
    <t>Capacity Reserve Margin</t>
  </si>
  <si>
    <t>Marginal Distribution ($/kw-yr)</t>
  </si>
  <si>
    <t>HSPI: See Docket No 07-085-TF -Doc 801 Direct Testimony of Kenneth K. Collison Page 5-26, and Highly Sensitive EAI Direct Exhibit KKC-2,3</t>
  </si>
  <si>
    <t>Marginal Transmission ($/kw-yr)</t>
  </si>
  <si>
    <t>NEBs</t>
  </si>
  <si>
    <t>Electricity ($/kWh)</t>
  </si>
  <si>
    <t>Natural Gas ($/Therm)</t>
  </si>
  <si>
    <t>$0.33/Therm</t>
  </si>
  <si>
    <t>LPG ($/gallon)</t>
  </si>
  <si>
    <t>$2.33/gallon</t>
  </si>
  <si>
    <t>TRM 10.0, Protocol L, Page 80</t>
  </si>
  <si>
    <t>Water ($/gallon)</t>
  </si>
  <si>
    <t>$0.00417 (residential); $0.00378 (commercial); $0.00398 (average)</t>
  </si>
  <si>
    <t>TRM 10.0, Protocol L, Table 9</t>
  </si>
  <si>
    <t>Waste Water ($/gallon)</t>
  </si>
  <si>
    <t>$0.00587 (residential); $0.00598 (commercial); $0.00593 (average)</t>
  </si>
  <si>
    <t>Avoided Replacement Cost ($PV)</t>
  </si>
  <si>
    <t>Measures indicated in tracking data or the TRM as replace-on-burnout are categorized as ROB, while measures not assigned a replacement status are categorized as ER. Measure lives for baseline, efficient lighting are determined following TRM v9.2 (residential and commercial) and annual operating hours (commercial).  For all baseline commercial mistream lighting measures in the tracking data which have higher baseline EULs than the efficient unit, EULs are adjusted to be equivalent to the efficient measure EUL so as not to underestimate or overestimate NEBs. This was conducted by matching each midstream lighting measure to its respective TRM v9.2 line item for measure life (in hours) then computing the measure life of the baseline and efficient measures in years following NEBs methodologies highlighted in the PY2024 annual report.</t>
  </si>
  <si>
    <t>All PY2025 NEBs methodologies detailed in sections 17.1 to 17.3 of PY2025 Evaluation Report.</t>
  </si>
  <si>
    <t>Deferred Replacement Cost ($PV)</t>
  </si>
  <si>
    <t xml:space="preserve">When information on the remaining useful life (RUL) of measures is not available, the RUL is assumed to be one-third of the baseline measure life. </t>
  </si>
  <si>
    <t>Notes:</t>
  </si>
  <si>
    <t xml:space="preserve">Certain assumptions may not be applicable to some utilities. </t>
  </si>
  <si>
    <t xml:space="preserve">If there are multiple data values (e.g. annual avoided costs) presented elsewhere (e.g. in testimony) then reference source document. </t>
  </si>
  <si>
    <t xml:space="preserve">Notes/Source Documents column is provided for further definition of the data and/or references to source documents.  </t>
  </si>
  <si>
    <t xml:space="preserve">xt </t>
  </si>
  <si>
    <t>Electric Savings</t>
  </si>
  <si>
    <t>Natural Gas Savings</t>
  </si>
  <si>
    <t>Propane Savings</t>
  </si>
  <si>
    <t>Water/Waste Water</t>
  </si>
  <si>
    <t>Replacement Cost</t>
  </si>
  <si>
    <t>Total
NPV $</t>
  </si>
  <si>
    <t>Annual
KWh</t>
  </si>
  <si>
    <t>NPV $</t>
  </si>
  <si>
    <t>Annual
Therms</t>
  </si>
  <si>
    <t>Annual
Gallons</t>
  </si>
  <si>
    <t>Avoided
NPV $</t>
  </si>
  <si>
    <t>Deferred
NPV $</t>
  </si>
  <si>
    <t>Avoided and deferred replacement costs are calculated simultaneously and cannot be split into separate estimates</t>
  </si>
  <si>
    <t>Nominal discount rate = 6.49%</t>
  </si>
  <si>
    <t>Inflation rate = 2.00%</t>
  </si>
  <si>
    <t>Real discount rate = 4.40%</t>
  </si>
  <si>
    <t>Propane = $2.33/gallon</t>
  </si>
  <si>
    <t>Natural gas = $0.33/Therm</t>
  </si>
  <si>
    <t>Water (residential) = $0.01004/gallon</t>
  </si>
  <si>
    <t>Water (commercial) = $0.00976/gallon</t>
  </si>
  <si>
    <t>Water (unknown) = $0.00990/gallon</t>
  </si>
  <si>
    <t>Cost-Effectiveness Test</t>
  </si>
  <si>
    <t>Participant Cost Test
(PCT)</t>
  </si>
  <si>
    <t>Ratepayer Impact Measure
(RIM)</t>
  </si>
  <si>
    <t>Program Administrator Cost
(PAC)</t>
  </si>
  <si>
    <t>Societal Test
(SCT)</t>
  </si>
  <si>
    <t>Net Benefits
($000's)</t>
  </si>
  <si>
    <t>n/a</t>
  </si>
  <si>
    <t>Current Programs</t>
  </si>
  <si>
    <t>Discontinued Programs</t>
  </si>
  <si>
    <t xml:space="preserve"> </t>
  </si>
  <si>
    <t>Is the Utility currently operating under a Formula Rate Plan (FRP)?</t>
  </si>
  <si>
    <t>Yes</t>
  </si>
  <si>
    <t>If Yes, provide the effective date of FRP.</t>
  </si>
  <si>
    <t xml:space="preserve">Programs savings reported are net savings and include adjustments for leakage. </t>
  </si>
  <si>
    <t>Baseline Calculation</t>
  </si>
  <si>
    <t>Portfolio Level Summary</t>
  </si>
  <si>
    <t>SD Exemptions Adjustment</t>
  </si>
  <si>
    <t>Actual Expenses ($)</t>
  </si>
  <si>
    <t>Adjusted Baseline</t>
  </si>
  <si>
    <t>Portfolio Net Benefits ($)</t>
  </si>
  <si>
    <t>Incentive Calculation</t>
  </si>
  <si>
    <t>Savings Achievement</t>
  </si>
  <si>
    <t>Commission Established Goal</t>
  </si>
  <si>
    <t>% of Goal Achieved</t>
  </si>
  <si>
    <t>10% of Portfolio Net Benefits ($)</t>
  </si>
  <si>
    <t>Incentive Cap</t>
  </si>
  <si>
    <t>Maximum Allowed Incentive ($)</t>
  </si>
  <si>
    <t>Eligible Incentive $'s</t>
  </si>
  <si>
    <t>Historical Data (Program Data - Prior Two Years)</t>
  </si>
  <si>
    <t>Annual Budget &amp; Actual Costs</t>
  </si>
  <si>
    <t>Number of Participants</t>
  </si>
  <si>
    <t>Budget</t>
  </si>
  <si>
    <t>Actual</t>
  </si>
  <si>
    <t>Plan</t>
  </si>
  <si>
    <t>Evaluated</t>
  </si>
  <si>
    <t>Regulatory</t>
  </si>
  <si>
    <t>Total Portfolio - Current Programs</t>
  </si>
  <si>
    <t xml:space="preserve">Note any changes made to a program in the primary reporting year that differ from the prior two years. </t>
  </si>
  <si>
    <t>In 2020, the Lighting and Appliance Program and the Commercial Midstream Program were combined into the Point of Purchase Solutions progam.  The Efficient Cooling Systems (a.k.a. CoolSaver Program) measures were absorbed into both the residential and commercial programs as measures.  The Make Your Thermostat Pay program was discontinued and the bring your own device pathway from the program was incorporated into the new Smart Direct Load Control Pilot. The Benchmarking bevahioral program was discontinued due to duplication with the company's customer engagement portal as well as cost-effectiveness. Low Income Solutions was created for income eligible customers  based off the parameters set out in Act 1102.  Smart Direct Load Control Pilot is a new demand response pilot program. Orders No. 65 and 62 in Docket Nos. 13-002-U and 07-083-TF granted the Arkansas Energy Office to terminate the EEA Comprehensive Program and will no longer need funding from the Arkansas utilities.</t>
  </si>
  <si>
    <t>Arkansas Weatherization Program</t>
  </si>
  <si>
    <t>Lighting and Appliances</t>
  </si>
  <si>
    <t>Efficient Cooling Solutions</t>
  </si>
  <si>
    <t>Res/C&amp;I</t>
  </si>
  <si>
    <t xml:space="preserve">Commercial Midstream </t>
  </si>
  <si>
    <t>Make Your Thermostat Pay Pilot</t>
  </si>
  <si>
    <t>Residential Benchmarking</t>
  </si>
  <si>
    <t xml:space="preserve">Energy Efficiency Arkansas </t>
  </si>
  <si>
    <t>Total Portfolio - Discontinued Programs</t>
  </si>
  <si>
    <t xml:space="preserve">Total Portfolio - Prior Two Years </t>
  </si>
  <si>
    <t>Historical Data (Portfolio Data - Prior Four Years)</t>
  </si>
  <si>
    <t>EE Portfolio</t>
  </si>
  <si>
    <t>Revenue and Sales</t>
  </si>
  <si>
    <t>Costs</t>
  </si>
  <si>
    <t>Savings (MWh)</t>
  </si>
  <si>
    <t>Revenue</t>
  </si>
  <si>
    <t>Glossary</t>
  </si>
  <si>
    <t>Term</t>
  </si>
  <si>
    <t>Definition</t>
  </si>
  <si>
    <t>Actual Expenditures</t>
  </si>
  <si>
    <t>Actual spending for a program/portfolio for the program year being reported.</t>
  </si>
  <si>
    <t>Annual Energy Savings</t>
  </si>
  <si>
    <t>Energy savings realized for a full year. (8,760 hours)</t>
  </si>
  <si>
    <t>Benefit Cost Ratio</t>
  </si>
  <si>
    <t>The ratio of the total benefits of the program to the total costs over the life of the measure discounted as appropriate.</t>
  </si>
  <si>
    <t>Customer Savings</t>
  </si>
  <si>
    <t>Savings that are derived from custom measures where deemed savings are not addressed in the currently approved TRM.</t>
  </si>
  <si>
    <t>A "book" estimate of the gross energy savings (kWh or therms) or gross demand savings (kW or therms) for a single unit of an installed EE measure that (a) has been developed from data sources and analytical methods that are widely considered acceptable for the measure and purpose and (b) is applicable to the set of measures undergoing evaluation.  This information is found in the TRM on the APSC website and is subject to updates effective for estimation of EE savings associated with measures installed since the beginning of the year in which the updated version is approved.  See Volume 2, Section 1.6.</t>
  </si>
  <si>
    <t>Demand</t>
  </si>
  <si>
    <t>The time rate of energy flow.  Demand usually refers to electric power measured in kW but can also refer to natural gas, usually as Btu/hr or therms/day, etc..  The level at which electricity or natural gas is delivered to users at a given point in time.</t>
  </si>
  <si>
    <t>Demand Savings</t>
  </si>
  <si>
    <t>Demand that did not occur due to the installation of an EE measure. (non-coincident peak)</t>
  </si>
  <si>
    <t>Energy Sales</t>
  </si>
  <si>
    <t>Energy sold by the utility in the calendar year.</t>
  </si>
  <si>
    <t>Energy Savings</t>
  </si>
  <si>
    <t>Energy use that did not occur due to the installation of an EE measure.</t>
  </si>
  <si>
    <t>Gross Savings</t>
  </si>
  <si>
    <t>The change in energy consumption and/or demand that results directly from program-related actions taken by participants in an efficiency program, regardless of why they participated.</t>
  </si>
  <si>
    <t>EE budget approved by the Commission for the program year being reported.  This would include any modifications to budgets approved by a specific Commission order.</t>
  </si>
  <si>
    <t>kW</t>
  </si>
  <si>
    <t>A Kilowatt is a measure of electric demand - 1000 watts.</t>
  </si>
  <si>
    <t>kWh</t>
  </si>
  <si>
    <t>The basic unit of electric energy usage over time.  One kWh is equal to one kW of power supplied to a circuit for a period of one hour.</t>
  </si>
  <si>
    <t>LCFC Energy Savings</t>
  </si>
  <si>
    <t>For the current Program Year, the sum of eligible net energy savings from (1) measures installed in prior Program Years (8,760 hours) and (2) measures installed in current Program Year as adjusted for time of installation, weather, etc. (less than 8,760 hours).  Clarification of item (1) above: The savings reported in the current year should only reflect the current year impact of measures installed in prior years but, should not include the savings claimed and reported in prior years.</t>
  </si>
  <si>
    <t>Lifetime</t>
  </si>
  <si>
    <t>The expected useful life, in years, that an installed measure will be in service and producing savings.</t>
  </si>
  <si>
    <t>The sum of the energy savings through the measure's useful life.</t>
  </si>
  <si>
    <t>Measures</t>
  </si>
  <si>
    <t>Specific technology or practice that produces energy and/or demand savings as a result of a ratepayer's participation in a Utility/TPA EE Program.</t>
  </si>
  <si>
    <t>Net Benefits</t>
  </si>
  <si>
    <t>The program benefits minus the program costs discounted at the appropriate rate.</t>
  </si>
  <si>
    <t>Net Savings</t>
  </si>
  <si>
    <t>The total change in load (energy or demand) that is attributable to an EE Program.  This change in load may include, implicitly or explicitly, the effects of free drivers, free riders, EE standards, changes in the level of energy service, and other causes of changes in energy consumption or demand.</t>
  </si>
  <si>
    <t>Net-to-Gross Ratio (NTGR)</t>
  </si>
  <si>
    <t>A factor representing net program savings divided by gross program savings that is applied to gross program impacts, converting them into net program load impacts.</t>
  </si>
  <si>
    <t>Savings for which no deemed savings exist and no custom M&amp;V was performed.</t>
  </si>
  <si>
    <t>Participant Cost Test (PCT)</t>
  </si>
  <si>
    <t>A cost-effectiveness test that measures the economic impact to the participating customer of adopting an EE measure.</t>
  </si>
  <si>
    <t>Participant</t>
  </si>
  <si>
    <t>A consumer that received a service offered through the subject efficiency program, in a given Program Year.  The term "service" is used in this definition to suggest that the service can be a wide variety of services, including financial rebates, technical assistance, product installations, training, EE information or other services, items, or conditions.  Each evaluation plan should define "participant" as it applies to the specific evaluation and in accordance with the C&amp;EE Rules and/or State law.</t>
  </si>
  <si>
    <t>Plan Savings</t>
  </si>
  <si>
    <t>Annual energy savings budgeted by the utility for the Program Year.</t>
  </si>
  <si>
    <t>Portfolio</t>
  </si>
  <si>
    <t>Either (a) a collection of similar programs addressing the same market (e.g., a portfolio of residential programs), technology (e.g., motor-efficiency programs), or mechanisms (e.g., loan programs) or (b) the set of all programs conducted by one organization, such as a utility (and which could include programs that cover multiple markets, technologies, etc..).</t>
  </si>
  <si>
    <t>Program Administrator Cost (PAC) Test</t>
  </si>
  <si>
    <t>The Program Administrator Cost Test measures the net costs of a demand-side management program as a resource option based on the costs incurred by the program administrator (including incentives costs) and excluding any net costs incurred by the participant.</t>
  </si>
  <si>
    <t>The Year in which programs are administered and delivered, for the purposes of planning and reporting, a Program Year shall be considered a calendar year, January 1 - December 31.</t>
  </si>
  <si>
    <t>Program</t>
  </si>
  <si>
    <t>A group of projects, with similar characteristics and installed in similar applications.  Examples could include a utility program to install energy-efficiency lighting in commercial buildings, a developer's program to build a subdivision of homes that have photovoltaic systems, or a state residential EE code program.</t>
  </si>
  <si>
    <t>Ratepayer Impact Measure (RIM) Test</t>
  </si>
  <si>
    <t>The Ratepayer Impact Measure test measures what happens to customer bills or rates due to changes in utility revenues and operating costs caused by the program.</t>
  </si>
  <si>
    <t>Revised Budget</t>
  </si>
  <si>
    <r>
      <t xml:space="preserve">EE Budget the utility used for the program year being reported.  This budget may be different from the </t>
    </r>
    <r>
      <rPr>
        <sz val="10"/>
        <rFont val="Calibri"/>
        <family val="2"/>
      </rPr>
      <t>Initial Budget</t>
    </r>
    <r>
      <rPr>
        <sz val="10"/>
        <color indexed="8"/>
        <rFont val="Calibri"/>
        <family val="2"/>
      </rPr>
      <t>, if the Commission has granted the utility the flexibility to modify its program budgets.</t>
    </r>
  </si>
  <si>
    <t>Sales as Adjusted for SD Exemptions</t>
  </si>
  <si>
    <t>The utility's 2010 Annual Energy Sales minus the 2010 Annual Energy Sales of the customers granted self-direct exemptions by Commission Order.</t>
  </si>
  <si>
    <t>Total Resource Cost (TRC) Test</t>
  </si>
  <si>
    <t>The Total Resource Cost Test measures the net costs of a demand-side management program as a resource option based on the total costs of the program, including both the participants' and the utility's costs.</t>
  </si>
  <si>
    <t xml:space="preserve">The total costs of the program to the utility and its ratepayers on a per kWh or per them basis levelized over the life of the program. </t>
  </si>
  <si>
    <t>Program-Type Definitions</t>
  </si>
  <si>
    <t>Audit - C&amp;I</t>
  </si>
  <si>
    <t>Programs in which an energy assessment is performed on one or more participant commercial or industrial facilities to identify sources of potential energy waste and measures to reduce that waste.</t>
  </si>
  <si>
    <t>Behavior/Education</t>
  </si>
  <si>
    <t>Residential programs designed around directly influencing household habits and decision-making on energy consumption through numerical or graphical feedback on consumption, sometimes accompanied by tips on saving energy. These programs include behavioral feedback programs (in which energy usage reports compare a consumer's household energy usage with those of similar consumers); online audits that are completed by the consumer; and in-home displays that help consumers assess their usage in real time. These programs do not include on-site energy assessments or audits.</t>
  </si>
  <si>
    <t>Programs that incentivize the sale, purchase and installation of energy efficient measures/equipment and or devices (e.g., refrigerators, dishwashers, clothes washers, dryers, electronics, lighting, lighting fixtures, lighting controls, etc.) that are more efficient than those meeting minimum energy performance standards.  All rebate/incentive delivery channels are included (Coupon, upstream retail, upstream manufacturing, web based, point of sale, etc.). Further, these programs typically do not include the local participating contractor (HVAC, Insulation, Auditing, etc.) for installation or incentives/rebates.</t>
  </si>
  <si>
    <t>Programs designed around the delivery of site-specific projects typically characterized by an extensive onsite energy assessment and identification and installation of multiple measures unique to that facility. These measures are likely to vary significantly from site to site</t>
  </si>
  <si>
    <t>Demand response programs</t>
  </si>
  <si>
    <t>Financing</t>
  </si>
  <si>
    <t>Residential - Financing programs for residential projects.  As with other programs, costs here are utility costs, including the costs of any inducements for lenders, e.g., loan loss reserves, interest rate buy downs, etc.
C&amp;I - Projects designed to increase loan financing for C&amp;I energy efficiency projects. As with other programs, program costs here are any costs paid by the PA out of utility-customer funds, including, e.g., loan loss reserves or other credit enhancements, interest rate buy downs, etc., - but not including rebates. Where participant costs are available for collection, these ideally will include the total customer share, i.e., both principal (the participant payment to purchase and install measures) and interest on that debt. Most of these programs will be directed toward enhancing credit or financing for commercial structures.</t>
  </si>
  <si>
    <t>Multi-family and mobile homes programs are designed to encourage the installation of energy efficient measures in common areas, units or both for residential structures of more than four units. These programs may be aimed at building owners/managers, tenants or both. This program may include rebate, direct install and auditing incentives/services.</t>
  </si>
  <si>
    <t>New Construction</t>
  </si>
  <si>
    <t>Residential - Programs that provide incentives and possibly technical services to ensure new homes are built or manufactured to energy performance standards higher than applicable code, e.g., ENERGY STAR Homes. These programs include new multi-family and new/replacement mobile homes.
C&amp;I - Programs that incentivize owners or builders of new commercial or industrial facilities to design and build beyond current code or to a certain certification level, e.g., ENERGY STAR or LEED.</t>
  </si>
  <si>
    <t>Programs not captured by any of the specific Residential, Industrial or Commercial categories but are sufficiently detailed or distinct to not be treated as a "general" program. Example: An EE program aimed specifically at the commercial subsector but is not clearly prescriptive or custom in nature might be classified as C&amp;I: Other.</t>
  </si>
  <si>
    <t>Prescriptive programs that encourage the purchase and installation of some or all of a specified set of pre-approved measures.</t>
  </si>
  <si>
    <t>Measure/Technology Focus</t>
  </si>
  <si>
    <t>Residential Programs that focus on specific a technology or a limited technology that require additional verification, quality control and/or includes specific design engineering prior to installation. Such programs can include water heating programs, pool pumps, HVAC "right sizing" replace on burn out or retrofit. Like the Consumer Product rebate program the Measure/Technology focus program must exceed standards in Arkansas. Unlike the Consumer Product programs these programs will usually require the recruitment and training of installation contractors and reporting from installation contractors followed by quality control practices.</t>
  </si>
  <si>
    <t>Whole-home energy upgrade or retrofit programs combine a comprehensive energy assessment or audit that identifies energy savings opportunities with house-wide improvements in air sealing, insulation and, often, HVAC systems and other end uses. The HVAC improvements may range from duct sealing to a tune up to full replacement of the HVAC systems. Whole-home programs are designed to address a wide variety of individual measures and building systems, including but not limited to: HVAC equipment, thermostats, furnaces, boilers, heat pumps, water heaters, fans, air sealing, insulation (attic, wall, and basement), windows, doors, skylights, lighting, and appliances. As a result, whole­ home programs generally involve one or more rebates for multiple measures. Whole-home programs generally come in two types: comprehensive programs that are broad in scope and less comprehensive, prescriptive programs sometimes referred to as "bundled efficiency" programs. This category addresses all of the former and most of the latter, but it excludes direct-install programs that are accounted for separately and completed outside this program.</t>
  </si>
  <si>
    <t>Definitions - Participants</t>
  </si>
  <si>
    <t>The number of individually metered accounts. A participating customer may have more than one account.</t>
  </si>
  <si>
    <t xml:space="preserve">The number of specific end-users identified by a unique customer identifier. A single customer may have one or more accounts. </t>
  </si>
  <si>
    <t>The specific number of units of energy efficiency equipment installed through the program.</t>
  </si>
  <si>
    <t>Homes</t>
  </si>
  <si>
    <t>The number of residences where assessments were conducted and/or energy efficiency measure(s) installed.</t>
  </si>
  <si>
    <t xml:space="preserve">The number of energy efficiency units installed or performed through the program. </t>
  </si>
  <si>
    <t>Population</t>
  </si>
  <si>
    <t xml:space="preserve">Available number of customers within a specific class code, i.e., Residential, Commercial, etc. If the population refers to the Commercial and Industrial sectors, it may need to be reduced by the number of approved self-direct customers. </t>
  </si>
  <si>
    <t>Projects</t>
  </si>
  <si>
    <t>The number of jobs identified by a unique project identifier. A project may include a single measure or a group of measures.</t>
  </si>
  <si>
    <t>Program Definitions - Residential</t>
  </si>
  <si>
    <t>Consumer Product Rebate/Appliances</t>
  </si>
  <si>
    <t>Programs that incentivize the sale, purchase and installation of appliances (e.g., refrigerators, dishwashers, clothes washers and dryers) that are more efficient than those meeting minimum energy performance standards. Appliance recycling and the sale/purchase/installation of HVAC equipment, water heaters and consumer electronics are accounted for separately.</t>
  </si>
  <si>
    <t>Consumer Product Rebate/Electronics</t>
  </si>
  <si>
    <t xml:space="preserve">Programs that encourage the availability and purchase/lease of more efficient personal and household electronic devices, including but not limited to televisions, set-top boxes, game consoles, advanced power strips, cordless telephones, PCs and peripherals specifically for home use, chargers for phones/smart phones/tablets.  </t>
  </si>
  <si>
    <t>Consumer Product Rebate/Lighting</t>
  </si>
  <si>
    <t>Programs aimed specifically at encouraging the sale/purchase and installation of more efficient lighting in the home. These programs range widely from point-of-sale rebates to CFL mailings or giveaways. Measures tend to be CFLs, fluorescent fixtures, LED lamps, LED fixtures, LED holiday lights and lighting controls, including occupancy monitors/switches.</t>
  </si>
  <si>
    <t>Consumer Product Rebate/Appliance Recycling</t>
  </si>
  <si>
    <t>Programs designed to remove less efficient appliances (typically refrigerators and freezers) from households.</t>
  </si>
  <si>
    <t>Demand Response - Load Control</t>
  </si>
  <si>
    <t>A demand response activity by which the program sponsor or program administer remotely shuts down or cycles a customer's electrical equipment (e.g., air conditioner, water heater) on short notice. Direct load control programs are primarily offered to residential or small commercial customers. Also known as direct control load management.</t>
  </si>
  <si>
    <t>Demand Response - Price/Time Base</t>
  </si>
  <si>
    <t xml:space="preserve">A) Interruptible Load: A demand response program where electric consumption is subject to curtailment or interruption under tariffs contracts that provide a rate discount or bill credit for agreeing to reduce load during system contingencies. In some instances, the demand reduction may be effected by action of the System Operator (remote tripping) after notice to the customer in accordance with contractual provisions. 
b) Time of Use Pricing: Demand-side management that uses a retail rate or Tariff in which customers are charged different prices for using electricity at different times during the day. Examples are time-of-use rates, real time pricing, hourly pricing, and critical peak pricing. Time-based rates do not include seasonal rates, inverted block, or declining block rates.
</t>
  </si>
  <si>
    <t>Financing programs for residential projects. Costs here are utility costs, including the costs of any inducements for lenders, e.g., loan loss reserves, interest rate buy downs, etc.</t>
  </si>
  <si>
    <t>Manufactured programs are designed to encourage the installation of energy efficient measures in manufactured homes.</t>
  </si>
  <si>
    <t>Measure/Technology Focus - HVAC/Furnace</t>
  </si>
  <si>
    <t>Programs designed to encourage the distribution, sale/purchase, proper sizing and installation of HVAC systems that are more efficient than current standards. Programs tend to support activities that focus on central air conditioners, air source heat pumps, ground source heat pumps, and ductless systems that are more efficient than current energy performance standards, as well as climate controls and the promotion of quality installation and quality maintenance.</t>
  </si>
  <si>
    <t>Measure/Technology Focus - Insulation</t>
  </si>
  <si>
    <t>Programs designed to encourage the sale/purchase and installation of insulation in residential structures, often through per-square-foot incentives for insulation of specific R­ values versus existing baseline. Programs may be point-of-sale rebates or rebates to insulation installation contractors.</t>
  </si>
  <si>
    <t>Measure/Technology Focus - Pool Pumps</t>
  </si>
  <si>
    <t>Programs that incentivize the installation of higher efficiency or variable speed pumps and controls, such as timers, for swimming pools.</t>
  </si>
  <si>
    <t>Measure/Technology Focus - Water Heater</t>
  </si>
  <si>
    <t>Programs designed to encourage the distribution, sale/purchase and installation of electric and gas water-heating systems that are more efficient than current standards, including high efficiency water storage tank and tankless systems.</t>
  </si>
  <si>
    <t>Measure/Technology Focus - Windows</t>
  </si>
  <si>
    <t>Programs designed to encourage the sale/purchase and installation of efficient windows in residential structures.</t>
  </si>
  <si>
    <t>Multi-Family</t>
  </si>
  <si>
    <t>Multi-family programs are designed to encourage the installation of energy efficient measures in common areas, units or both for residential structures of more than four units. These programs may be aimed at building owners/managers, tenants or both.</t>
  </si>
  <si>
    <t>All residential programs not specifically captured in the other residential program categorizations.</t>
  </si>
  <si>
    <t>Whole Home/Audits</t>
  </si>
  <si>
    <t>Residential audit programs provide a comprehensive, standalone assessment of a home's energy consumption and identification of opportunities to save energy. The scope of the audit includes the whole home although the thoroughness and completeness of the audit may vary widely from a modest examination and simple engineering-based modeling of the physical structure to a highly detailed inspection of all spaces, testing for air leakage/exchange rates, testing for HVAC duct leakage and highly resolved modeling of the physical structure with benchmarking to customer utility bills.</t>
  </si>
  <si>
    <t>Whole Home/Direct Install</t>
  </si>
  <si>
    <t>Direct-install programs provide a set of pre-approved measures that may be installed at the time of a visit to the customer premises or provided as a kit to the consumer, usually at modest or no cost to the consumer and sometimes accompanied by a rebate.  Typical measures include CFLs, low-flow showerheads, faucet aerators, water-heater wrap and weather stripping. Such programs also may include a basic, walk-through energy assessment or audit, but the savings are principally derived from the installation of the provided measures.</t>
  </si>
  <si>
    <t>Whole Home/Retrofit</t>
  </si>
  <si>
    <t>Whole-home energy upgrade or retrofit programs combine a comprehensive energy assessment or audit that identifies energy savings opportunities with house-wide improvements in air sealing, insulation and, often, HVAC systems and other end uses. The HVAC improvements may range from duct sealing to a tune up to full replacement of the HVAC systems. Whole-home programs are designed to address a wide variety of individual measures and building systems, including but not limited to: HVAC equipment, thermostats, furnaces, boilers, heat pumps, water heaters, fans, air sealing, insulation (attic, wall, and basement), windows, doors, skylights, lighting, and appliances. As a result, whole­ home programs generally involve one or more rebates for multiple measures. Whole-home programs generally come in two types: comprehensive programs that are broad in scope and less comprehensive, prescriptive programs sometimes referred to as "bundled efficiency" programs. This category addresses all of the former and most of the latter, but it excludes direct-install programs that are accounted for separately.</t>
  </si>
  <si>
    <t>Program Definitions - Commercial &amp; Industrial</t>
  </si>
  <si>
    <t>Programs designed around delivery of site-specific projects typically characterized by an extensive onsite energy assessment and identification and installation of multiple measures unique to that facility.  These measures may vary significantly from site to site.  This category is intended to capture "whole-building" approaches to commercial sector efficiency opportunities for a wide range of building types and markets (e.g., office, retail) and wide range of measures.</t>
  </si>
  <si>
    <t>Farm- and orchard-based agricultural programs that primarily involve irrigation pumping and do not include agricultural refrigeration or processing at scale.</t>
  </si>
  <si>
    <t>Data center programs are custom-designed around large-scale server floors or farms that often serve high-tech, banking or academia. Projects tend to be site­ specific and involve some combination of lighting, servers, networking devices, cooling/chillers, and energy management systems/software. Several of these may be of experimental or proprietary design.</t>
  </si>
  <si>
    <t>Industrial programs deliver  custom-designed  projects that are characterized by an onsite energy and process efficiency assessment and a site-specific measure set that may include, for example, substantial changes in a manufacturing line. This category includes all EE program work at industrial sites that is not otherwise covered by the single-measure prescriptive programs below,e.g., lighting, HVAC, water heaters. This category therefore includes, but is not limited to, all industrial and agricultural process efficiency, all non-single measure efficiency activities inside and on industrial buildings.</t>
  </si>
  <si>
    <t>Warehouse programs are aimed at large-scale refrigerated storage. Typical end uses are lighting, climate controls and refrigeration systems.</t>
  </si>
  <si>
    <t xml:space="preserve">a) Direct Load Control: A demand response activity by which the program sponsor or program administer remotely shuts down or cycles a customer's electrical equipment (e.g., air conditioner, water heater) on short notice. Direct load control programs are primarily offered to residential or small commercial customers. Also known as direct control load management.
b) Demand Response Program: A demand response program that provides incentive payments to customers for load reductions achieved during an Emergency Demand Response Event.
c) Interruptible Load: A demand response program where electric consumption is subject to curtailment or interruption under tariffs contracts that provide a rate discount or bill credit for agreeing to reduce load during system contingencies. In some instances, the demand reduction may be effected by action of the System Operator (remote tripping) after notice to the customer in accordance with contractual provisions.
</t>
  </si>
  <si>
    <t>Demand Response - Price/Time Base Response</t>
  </si>
  <si>
    <t xml:space="preserve">a) Critical Peak Pricing: Demand-side management that combines direct load control with a pre-specified high price for use during designated critical peak periods, triggered by system contingencies or high wholesale market prices.
b) Critical Peak Pricing with Load Control: Demand-side management that combines direct load control with a pre-specified high price for use during designated critical peak periods, triggered by system contingencies or high wholesale market prices.
c) Peak Time Rebate: Peak time rebates allow customers to earn a rebate by reducing energy use from a baseline during a specified number of hours on critical peak days. Like Critical Peak Pricing, the number of critical peak days is usually capped for a calendar year and is linked to conditions such as system reliability concerns or very high supply prices.
d) Real time pricing: Demand-side management that uses rate and price structure in which the retail price for electricity typically fluctuates hourly or more often, to reflect changes in the wholesale price of electricity on either a day-ahead or hour-ahead basis.
e) Time of Use Pricing: Demand-side management that uses a retail rate or Tariff in which customers are charged different prices for using electricity at different times during the day. Examples are time-of-use rates, real time pricing, hourly pricing, and critical peak pricing. Time-based rates do not include seasonal rates, inverted block, or declining block rates.
</t>
  </si>
  <si>
    <t>Programs designed to increase loan financing for C&amp;I energy efficiency projects. As with other programs, program costs here are any costs paid by the PA out of utility-customer funds, including, e.g., loan loss reserves or other credit enhancements, interest rate  buy downs, etc.,- but not including rebates. Where participant costs are available for collection, these ideally will include the total customer share, i.e., both principal (the participant payment to purchase and install measures) and interest on that debt. Most of these programs will be directed toward enhancing credit or financing for commercial structures.</t>
  </si>
  <si>
    <t>MUSH (Municipal, University, School &amp; Hospital) and government and non-profit programs cover a broad swath of program types generally aimed at public and institutional facilities. Examples include incentives and/or technical assistance to promote energy efficiency upgrades for elementary schools, recreation halls and homeless shelters. Street lighting is accounted for separately.</t>
  </si>
  <si>
    <t>Programs not captured by any of the specific C&amp;I categories but are sufficiently detailed or distinct to not be treated as a "general" program. Ex ample: An EE program aimed specifically at the C&amp;I subsector but is not clearly prescriptive or custom in nature might be classified as C&amp;I: Other.</t>
  </si>
  <si>
    <t>Grocery programs are prescriptive programs aimed at supermarkets and are designed around indoor and outdoor lighting and refrigerated display cases.</t>
  </si>
  <si>
    <t>C&amp;I HVAC programs encourage the sale/purchase and installation of heating, cooling and chiller systems at higher efficiency than current energy performance standards, across a broad range of unit sizes and configurations. Most of these programs will be directed toward commercial structures.</t>
  </si>
  <si>
    <t>Programs aimed at improving the efficiency of office equipment, chiefly commercially available PCs, printers, monitors, networking devices and mainframes not rising to the scale of a server farm or floor.</t>
  </si>
  <si>
    <t>Prescriptive programs that encourage the purchase and installation of some or all of a specified set of pre-approved industrial measures besides those covered in other measure-specific prescriptive programs.</t>
  </si>
  <si>
    <t>C&amp;I lighting programs incentivize the installation of higher efficiency lighting and controls, compared to the existing baseline. Most of these programs will be directed toward commercial structures. Typical measures might include T-8/T-5 fluorescent lamps and fixtures; CFLs and fixtures; LEDs for lighting, displays, signs and refrigerated lighting; metal halide and ceramic lamps and fixtures; occupancy controls; daylight dimming; and timers.</t>
  </si>
  <si>
    <t>Motors programs usually offer a prescribed set of approved higher efficiency motors, with industrial motors programs typically getting the largest savings from larger, high powered motors (&gt;200 hp).</t>
  </si>
  <si>
    <t>Prescriptive programs applied to small commercial facilities. (See definition of prescriptive programs for additional detail.) Such programs may range from a walk-through audit and direct installation of a few pre-approved measures to a fuller audit and a fuller package of measures.</t>
  </si>
  <si>
    <t>Street lighting programs include incentives and/or technical support for the installation of higher efficiency street lighting and traffic lights than current baseline.</t>
  </si>
  <si>
    <t>Program Definitions - Cross Sector</t>
  </si>
  <si>
    <t>In C&amp;S programs, the PA may engage in a variety of activities designed to advance the adoption, application or compliance level of building codes and end-use energy performance standards. Examples might include advocacy at the state or federal level for higher standards for HVAC equipment; training of architects, engineers and builder/developers on compliance; and training of building inspectors in ensuring the codes are met.</t>
  </si>
  <si>
    <t>Market transformation programs include programs aimed primarily at reducing market barriers to the adoption of more efficient goods and services rather than acquiring energy savings, per se. MT programs are gauged by their market effects, e.g., increased awareness of energy efficient technologies among customers and suppliers; reduced prices for more efficient models; increased availability of more efficient models; and ultimately, increased market share for energy efficient goods, services and design practices.  Example programs might include upstream incentives to manufacturers to make more efficient goods more commercially available; and point-of-sale or installation incentives for emerging technologies that are not yet cost effective. Workforce training and development programs are covered by a separate category. Upstream incentives for commercially available goods are sorted into the program categories for those goods, e.g., consumer electronics or HVAC.</t>
  </si>
  <si>
    <t xml:space="preserve">ME&amp;O programs include most standalone marketing, education and outreach programs, e.g., development and delivery of in-school energy and water efficiency curricula; and statewide marketing, outreach and brand development. </t>
  </si>
  <si>
    <t>Multi-sector rebate programs include providing incentives for commercially available end-use goods for multiple sectors, e.g., PCs, HVAC.</t>
  </si>
  <si>
    <t>This category is intended to capture all programs that cannot be allocated to a specific sector (or are multi-sectoral) and cannot be allocated to a specific program type.</t>
  </si>
  <si>
    <t>Research</t>
  </si>
  <si>
    <t>These programs are aimed generally at helping the PA identify new opportunities for energy savings, e.g., research on emerging technologies or conservation strategies. Research conducted on new program types or the inclusion of new, commercially available measures in an existing program are accounted for separately under cross-cutting program support.</t>
  </si>
  <si>
    <t>Shading/reflective programs include programs designed to lessen heating and cooling loads through generally changes to the exterior of a structure, e.g., tree plantings to shade walls and windows ,window screens and cool/reflective roofs. These programs are not necessarily specific to a sector.</t>
  </si>
  <si>
    <t>Programs that support investments in pre-meter system savings, typically by the program administrator. The most common form of these programs are voltage regulation programs that reduce voltage (within reliability parameters) during select time periods. Other measures may include purchase of higher efficiency transformers.</t>
  </si>
  <si>
    <t>Workforce training and development programs are a distinct category of market transformation program designed to provide the underlying skills and labor base for deployment of energy-efficiency measures.</t>
  </si>
  <si>
    <t>Program Cost Type</t>
  </si>
  <si>
    <t>Planning / Design</t>
  </si>
  <si>
    <t>Marketing &amp; Delivery</t>
  </si>
  <si>
    <t>Program planning cost</t>
  </si>
  <si>
    <t>Advertising costs including, but not limited to, educational/promotional</t>
  </si>
  <si>
    <t>Program design cost</t>
  </si>
  <si>
    <t>materials, website development and updates</t>
  </si>
  <si>
    <t>Research and development cost</t>
  </si>
  <si>
    <t>TV/Radio ads</t>
  </si>
  <si>
    <t>Request for proposal preparation and evaluation</t>
  </si>
  <si>
    <t>Payment to AEO for EEA program</t>
  </si>
  <si>
    <t>Consultants used for program design and planning</t>
  </si>
  <si>
    <t>Commercial and Industrial energy audits</t>
  </si>
  <si>
    <t>Company employee costs relating to program design, planning and</t>
  </si>
  <si>
    <t>Personnel costs for performing marketing and delivery functions</t>
  </si>
  <si>
    <t xml:space="preserve"> research and development</t>
  </si>
  <si>
    <t>Costs of processing rebates</t>
  </si>
  <si>
    <t>Database development/update costs</t>
  </si>
  <si>
    <t>Trade ally training events</t>
  </si>
  <si>
    <t>Incentives / Direct Install Costs</t>
  </si>
  <si>
    <t>Costs to support other EE related events and organizations</t>
  </si>
  <si>
    <t>Rebates</t>
  </si>
  <si>
    <t>Measurement and Verification costs as related to direct program/project/measure</t>
  </si>
  <si>
    <t>Water conservation kits</t>
  </si>
  <si>
    <t>costs to validate savings within the utility program (i.e. customer projects) and</t>
  </si>
  <si>
    <t>Interruptible credits or payments</t>
  </si>
  <si>
    <t>outside of independent EM&amp;V</t>
  </si>
  <si>
    <t>Payments to contractors for weatherization services</t>
  </si>
  <si>
    <t>Direct install costs for all programs with direct install provisions</t>
  </si>
  <si>
    <t>EM&amp;V</t>
  </si>
  <si>
    <t>Coupons and upstream program incentives</t>
  </si>
  <si>
    <t>Payments to consultants for preparation/update of Deemed Savings and</t>
  </si>
  <si>
    <t>Residential energy audits</t>
  </si>
  <si>
    <t>Technical Reference Manual</t>
  </si>
  <si>
    <t>Consultants costs for IEM and independent third party evaluations</t>
  </si>
  <si>
    <t>Administration</t>
  </si>
  <si>
    <t>Utility company personnel training costs</t>
  </si>
  <si>
    <t>Outside counsel legal fees for EE dockets</t>
  </si>
  <si>
    <t>Utility company EE personnel salary and benefits not charged elsewhere</t>
  </si>
  <si>
    <t>Travel costs related to EE dockets</t>
  </si>
  <si>
    <t>Overhead costs (office space, vehicles, etc.)</t>
  </si>
  <si>
    <t xml:space="preserve">Costs for preparing annual reports and EECR filings, including costs related to </t>
  </si>
  <si>
    <t>performing the required cost effectiveness tests</t>
  </si>
  <si>
    <t>Costs related to regulatory specific collaborative meetings and events</t>
  </si>
  <si>
    <t>Target Sectors and Program-Type Name</t>
  </si>
  <si>
    <t>Order</t>
  </si>
  <si>
    <t>Participant List</t>
  </si>
  <si>
    <t>Coupon Redemption</t>
  </si>
  <si>
    <t>******Single-Class******</t>
  </si>
  <si>
    <t>Direct Install</t>
  </si>
  <si>
    <t>Self-Install</t>
  </si>
  <si>
    <t>Statewide Administrator</t>
  </si>
  <si>
    <t>Utility Outreach (email/direct mail)</t>
  </si>
  <si>
    <t>******Multi-Class******</t>
  </si>
  <si>
    <t>Website</t>
  </si>
  <si>
    <t>Small Business/C&amp;I</t>
  </si>
  <si>
    <t>Portfolio Information</t>
  </si>
  <si>
    <t>Sector</t>
  </si>
  <si>
    <t>Type</t>
  </si>
  <si>
    <t>Channel</t>
  </si>
  <si>
    <t>-</t>
  </si>
  <si>
    <t>Program Year Evaluation</t>
  </si>
  <si>
    <t>Lifetime Savings</t>
  </si>
  <si>
    <t>TRC Total Cost</t>
  </si>
  <si>
    <t>TRC Total Benefits</t>
  </si>
  <si>
    <t>TRC Net Benefits</t>
  </si>
  <si>
    <t>TRC Ratio</t>
  </si>
  <si>
    <t>History</t>
  </si>
  <si>
    <t>Savings Energy</t>
  </si>
  <si>
    <t>Savings Demand</t>
  </si>
  <si>
    <t xml:space="preserve">Budget </t>
  </si>
  <si>
    <t>Group</t>
  </si>
  <si>
    <t>Rank</t>
  </si>
  <si>
    <t>Table 1</t>
  </si>
  <si>
    <t>Energy</t>
  </si>
  <si>
    <t>TRC Net $</t>
  </si>
  <si>
    <t>PAC Ratio</t>
  </si>
  <si>
    <t>Target</t>
  </si>
  <si>
    <t>Achieved</t>
  </si>
  <si>
    <t>% Achieved</t>
  </si>
  <si>
    <t>Table 2</t>
  </si>
  <si>
    <t>Table 3</t>
  </si>
  <si>
    <t>Table 4</t>
  </si>
  <si>
    <t>Year</t>
  </si>
  <si>
    <t>Sales</t>
  </si>
  <si>
    <t>EE Budget</t>
  </si>
  <si>
    <t>EE Expense</t>
  </si>
  <si>
    <t>Report 1</t>
  </si>
  <si>
    <t>Benefits</t>
  </si>
  <si>
    <t>Report 2</t>
  </si>
  <si>
    <t>Net</t>
  </si>
  <si>
    <t>Value</t>
  </si>
  <si>
    <t>Cost-Effectiveness</t>
  </si>
  <si>
    <t>Goal Achievement</t>
  </si>
  <si>
    <t>Actual 
Expenditures</t>
  </si>
  <si>
    <t>Performance 
Incentives</t>
  </si>
  <si>
    <t>TRC 
Net Benefits</t>
  </si>
  <si>
    <t>TRC
Ratio</t>
  </si>
  <si>
    <t>PAC
Ratio</t>
  </si>
  <si>
    <t>Commission 
Established 
Target</t>
  </si>
  <si>
    <t>Actual 
Savings 
Achieved</t>
  </si>
  <si>
    <t>% of 
Target 
Achieved</t>
  </si>
  <si>
    <t>(NPV)</t>
  </si>
  <si>
    <t>% of Baseline</t>
  </si>
  <si>
    <t>(%)</t>
  </si>
  <si>
    <t>% of 
Budget</t>
  </si>
  <si>
    <t>($)</t>
  </si>
  <si>
    <t>EE Portfolio Expenditure Summary by Cost Type</t>
  </si>
  <si>
    <t>% of</t>
  </si>
  <si>
    <t>Cost Type</t>
  </si>
  <si>
    <t>Revenue and Expenditures</t>
  </si>
  <si>
    <r>
      <t xml:space="preserve">Total Revenue
</t>
    </r>
    <r>
      <rPr>
        <sz val="10"/>
        <rFont val="Calibri"/>
        <family val="2"/>
      </rPr>
      <t>(a)</t>
    </r>
  </si>
  <si>
    <r>
      <t xml:space="preserve">Total Annual Energy Sales
</t>
    </r>
    <r>
      <rPr>
        <sz val="10"/>
        <rFont val="Calibri"/>
        <family val="2"/>
      </rPr>
      <t>(d)</t>
    </r>
  </si>
  <si>
    <r>
      <t xml:space="preserve">Portfolio Budget
</t>
    </r>
    <r>
      <rPr>
        <sz val="10"/>
        <rFont val="Calibri"/>
        <family val="2"/>
      </rPr>
      <t>(b)</t>
    </r>
  </si>
  <si>
    <t>% of Revenue</t>
  </si>
  <si>
    <r>
      <t xml:space="preserve">Portfolio Spending
</t>
    </r>
    <r>
      <rPr>
        <sz val="10"/>
        <rFont val="Calibri"/>
        <family val="2"/>
      </rPr>
      <t>(c)</t>
    </r>
  </si>
  <si>
    <r>
      <t xml:space="preserve">Net Annual Savings
</t>
    </r>
    <r>
      <rPr>
        <sz val="10"/>
        <rFont val="Calibri"/>
        <family val="2"/>
      </rPr>
      <t>(e)</t>
    </r>
  </si>
  <si>
    <t>% of Energy Sales</t>
  </si>
  <si>
    <r>
      <t xml:space="preserve">Net Annual Savings
</t>
    </r>
    <r>
      <rPr>
        <sz val="10"/>
        <rFont val="Calibri"/>
        <family val="2"/>
      </rPr>
      <t>(f)</t>
    </r>
  </si>
  <si>
    <t>(%=b/a)</t>
  </si>
  <si>
    <t>(%=c/a)</t>
  </si>
  <si>
    <t>(%=e/d)</t>
  </si>
  <si>
    <t>(%=f/d)</t>
  </si>
  <si>
    <t>Table 5</t>
  </si>
  <si>
    <t>Select program from dropdown menu to view details.</t>
  </si>
  <si>
    <t>Expenditures</t>
  </si>
  <si>
    <t>%</t>
  </si>
  <si>
    <t>TOTAL:</t>
  </si>
  <si>
    <t>TOTAL</t>
  </si>
  <si>
    <t>Select the Data to be Displayed in Chart</t>
  </si>
  <si>
    <t>Savings (Therms)</t>
  </si>
  <si>
    <t>Actual Expense</t>
  </si>
  <si>
    <t>Report 3</t>
  </si>
  <si>
    <t>Level of Adoption of NAPEE "Best Practices" (Issue #8)</t>
  </si>
  <si>
    <t>Item #</t>
  </si>
  <si>
    <t>1a.</t>
  </si>
  <si>
    <t>1b.</t>
  </si>
  <si>
    <t>1c.</t>
  </si>
  <si>
    <t>2a.</t>
  </si>
  <si>
    <t>2b.</t>
  </si>
  <si>
    <t>3a.</t>
  </si>
  <si>
    <t>FTEs</t>
  </si>
  <si>
    <t>FTEs / $1M of EE Spending</t>
  </si>
  <si>
    <t>Training Sessions Attended</t>
  </si>
  <si>
    <t>Training Sessions Man-Hours</t>
  </si>
  <si>
    <t>EE Total Portfolio Expenditures
(A)</t>
  </si>
  <si>
    <t>Planning &amp; Design
(B)</t>
  </si>
  <si>
    <t>As % of Total Portfolio Expenditures</t>
  </si>
  <si>
    <t>Implementa-
tion
(C)
(C=A-B-D)</t>
  </si>
  <si>
    <t>EM&amp;V
(D)</t>
  </si>
  <si>
    <t>(%=B/A)</t>
  </si>
  <si>
    <t>(%=C/A)</t>
  </si>
  <si>
    <t>(%=D/A)</t>
  </si>
  <si>
    <t>Index to Docket No. 10-010-U Issue #8 Items</t>
  </si>
  <si>
    <t>Description</t>
  </si>
  <si>
    <t>Where Available?</t>
  </si>
  <si>
    <t>Program Staffing and Training Requirements</t>
  </si>
  <si>
    <t>Above</t>
  </si>
  <si>
    <t>DSM Program Design &amp; Implementation</t>
  </si>
  <si>
    <t>DSM Program Evaluation</t>
  </si>
  <si>
    <t>Estimation of DSM Resource Potential</t>
  </si>
  <si>
    <t>Narrative Section 1.0</t>
  </si>
  <si>
    <t>Shareholder Incentives for Program Performance</t>
  </si>
  <si>
    <t>Incentives Section</t>
  </si>
  <si>
    <t>Resource Planning with Energy Efficiency</t>
  </si>
  <si>
    <t>Utility Best Practices Guidance for Providing Business Customers with Energy Use Cost Data</t>
  </si>
  <si>
    <t>Narrative Section 3.3</t>
  </si>
  <si>
    <t>Customer Incentives for Energy Efficiency Through Electric and Natural Gas Rate Design</t>
  </si>
  <si>
    <t>Expenses</t>
  </si>
  <si>
    <t>Total Cost</t>
  </si>
  <si>
    <t>Levelized cost</t>
  </si>
  <si>
    <t>Historical Data (Next Annual Report)</t>
  </si>
  <si>
    <t>Annual Budget &amp; Actual Cost</t>
  </si>
  <si>
    <t>Tab</t>
  </si>
  <si>
    <t>Title 1</t>
  </si>
  <si>
    <t>Title 2</t>
  </si>
  <si>
    <t>Not Used</t>
  </si>
  <si>
    <t>Title 3</t>
  </si>
  <si>
    <t>Title 4</t>
  </si>
  <si>
    <t>Title 5</t>
  </si>
  <si>
    <t>Energy 1</t>
  </si>
  <si>
    <t>Energy 2</t>
  </si>
  <si>
    <t>Lost Contributions to Fixed Cost</t>
  </si>
  <si>
    <t>Demand 1</t>
  </si>
  <si>
    <t>Utility Performance Incentives</t>
  </si>
  <si>
    <t>Demand 2</t>
  </si>
  <si>
    <t>Utilities</t>
  </si>
  <si>
    <t>Natural Gas</t>
  </si>
  <si>
    <t>MWh</t>
  </si>
  <si>
    <t>Therms</t>
  </si>
  <si>
    <t>MW</t>
  </si>
  <si>
    <t>Empty List</t>
  </si>
  <si>
    <t>Status Report</t>
  </si>
  <si>
    <t>Cells Incomplete</t>
  </si>
  <si>
    <t>Status</t>
  </si>
  <si>
    <t>Report 4</t>
  </si>
  <si>
    <t>Errors:</t>
  </si>
  <si>
    <t>Baseline Year</t>
  </si>
  <si>
    <t>Docket No.</t>
  </si>
  <si>
    <t>Order No.</t>
  </si>
  <si>
    <t>08-137-U</t>
  </si>
  <si>
    <t>13-002-U</t>
  </si>
  <si>
    <t>20xx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</si>
</sst>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0.0%"/>
    <numFmt numFmtId="166" formatCode="[$-409]mmmm\ d\,\ yyyy;@"/>
    <numFmt numFmtId="167" formatCode="##."/>
    <numFmt numFmtId="168" formatCode="#,##0.0_);\(#,##0.0\)"/>
    <numFmt numFmtId="169" formatCode="_(&quot;$&quot;* #,##0.0000_);_(&quot;$&quot;* \(#,##0.0000\);_(&quot;$&quot;* &quot;-&quot;????_);_(@_)"/>
    <numFmt numFmtId="170" formatCode="_(&quot;$&quot;* #,##0.0000_);_(&quot;$&quot;* \(#,##0.0000\);_(&quot;$&quot;* &quot;-&quot;_);_(@_)"/>
    <numFmt numFmtId="171" formatCode="_(&quot;$&quot;* #,##0_);_(&quot;$&quot;* \(#,##0\);_(&quot;$&quot;* &quot;-&quot;??_);_(@_)"/>
    <numFmt numFmtId="172" formatCode="[$-409]mmm\-yyyy;@"/>
    <numFmt numFmtId="173" formatCode="&quot;$&quot;#,##0"/>
    <numFmt numFmtId="174" formatCode="_(* #,##0_);_(* \(#,##0\);_(* &quot;-&quot;??_);_(@_)"/>
    <numFmt numFmtId="175" formatCode="0.0000%"/>
    <numFmt numFmtId="176" formatCode="#,##0.0_);[Red]\(#,##0.0\)"/>
    <numFmt numFmtId="177" formatCode="#.00"/>
    <numFmt numFmtId="178" formatCode="General_)"/>
    <numFmt numFmtId="179" formatCode="@*."/>
    <numFmt numFmtId="180" formatCode="###,###,##0,;\(###,###,##0,\);0"/>
    <numFmt numFmtId="181" formatCode="m/d/yy\ h:mm:ss"/>
    <numFmt numFmtId="182" formatCode="yyyy"/>
    <numFmt numFmtId="183" formatCode="mmm\ dd\,\ yyyy"/>
    <numFmt numFmtId="184" formatCode="mmm\-yyyy"/>
    <numFmt numFmtId="185" formatCode="_ * #,##0.00_ ;_ * \-#,##0.00_ ;_ * &quot;-&quot;??_ ;_ @_ "/>
    <numFmt numFmtId="186" formatCode="m/d/yy\ h:mm"/>
  </numFmts>
  <fonts count="11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56"/>
      <name val="Calibri"/>
      <family val="2"/>
    </font>
    <font>
      <sz val="11"/>
      <color indexed="52"/>
      <name val="Calibri"/>
      <family val="2"/>
    </font>
    <font>
      <sz val="11"/>
      <color indexed="60"/>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0"/>
      <name val="Calibri"/>
      <family val="2"/>
    </font>
    <font>
      <sz val="10"/>
      <color indexed="8"/>
      <name val="Calibri"/>
      <family val="2"/>
    </font>
    <font>
      <b/>
      <sz val="12"/>
      <name val="Calibri"/>
      <family val="2"/>
    </font>
    <font>
      <b/>
      <sz val="10"/>
      <name val="Calibri"/>
      <family val="2"/>
    </font>
    <font>
      <sz val="9"/>
      <color indexed="8"/>
      <name val="Calibri"/>
      <family val="2"/>
    </font>
    <font>
      <b/>
      <u/>
      <sz val="10"/>
      <name val="Calibri"/>
      <family val="2"/>
    </font>
    <font>
      <b/>
      <sz val="11"/>
      <name val="Calibri"/>
      <family val="2"/>
    </font>
    <font>
      <sz val="10"/>
      <color indexed="8"/>
      <name val="Arial"/>
      <family val="2"/>
    </font>
    <font>
      <b/>
      <sz val="10"/>
      <name val="Arial"/>
      <family val="2"/>
    </font>
    <font>
      <b/>
      <sz val="10"/>
      <color indexed="8"/>
      <name val="Arial"/>
      <family val="2"/>
    </font>
    <font>
      <b/>
      <sz val="10"/>
      <color indexed="8"/>
      <name val="Calibri"/>
      <family val="2"/>
    </font>
    <font>
      <sz val="8"/>
      <name val="Calibri"/>
      <family val="2"/>
    </font>
    <font>
      <sz val="9"/>
      <name val="Calibri"/>
      <family val="2"/>
    </font>
    <font>
      <b/>
      <sz val="14"/>
      <name val="Calibri"/>
      <family val="2"/>
    </font>
    <font>
      <b/>
      <sz val="8"/>
      <name val="Calibri"/>
      <family val="2"/>
    </font>
    <font>
      <b/>
      <sz val="9"/>
      <name val="Calibri"/>
      <family val="2"/>
    </font>
    <font>
      <b/>
      <sz val="18"/>
      <name val="Arial"/>
      <family val="2"/>
    </font>
    <font>
      <b/>
      <sz val="9"/>
      <name val="Arial"/>
      <family val="2"/>
    </font>
    <font>
      <sz val="9"/>
      <name val="Arial"/>
      <family val="2"/>
    </font>
    <font>
      <b/>
      <sz val="8"/>
      <name val="Arial"/>
      <family val="2"/>
    </font>
    <font>
      <sz val="8"/>
      <name val="Arial"/>
      <family val="2"/>
    </font>
    <font>
      <i/>
      <sz val="8"/>
      <name val="Calibri"/>
      <family val="2"/>
    </font>
    <font>
      <b/>
      <sz val="11"/>
      <name val="Arial"/>
      <family val="2"/>
    </font>
    <font>
      <sz val="36"/>
      <name val="Calibri"/>
      <family val="2"/>
    </font>
    <font>
      <i/>
      <sz val="24"/>
      <name val="Calibri"/>
      <family val="2"/>
    </font>
    <font>
      <b/>
      <sz val="12"/>
      <color indexed="9"/>
      <name val="Calibri"/>
      <family val="2"/>
    </font>
    <font>
      <sz val="9"/>
      <color indexed="9"/>
      <name val="Calibri"/>
      <family val="2"/>
    </font>
    <font>
      <u/>
      <sz val="10"/>
      <name val="Arial"/>
      <family val="2"/>
    </font>
    <font>
      <b/>
      <sz val="16"/>
      <color indexed="8"/>
      <name val="Calibri"/>
      <family val="2"/>
    </font>
    <font>
      <b/>
      <u/>
      <sz val="14"/>
      <name val="Calibri"/>
      <family val="2"/>
    </font>
    <font>
      <sz val="36"/>
      <name val="Calibri"/>
      <family val="2"/>
      <scheme val="minor"/>
    </font>
    <font>
      <i/>
      <sz val="24"/>
      <name val="Calibri"/>
      <family val="2"/>
      <scheme val="minor"/>
    </font>
    <font>
      <i/>
      <sz val="12"/>
      <name val="Calibri"/>
      <family val="2"/>
      <scheme val="minor"/>
    </font>
    <font>
      <b/>
      <sz val="12"/>
      <color indexed="8"/>
      <name val="Calibri"/>
      <family val="2"/>
    </font>
    <font>
      <b/>
      <u/>
      <sz val="16"/>
      <name val="Calibri"/>
      <family val="2"/>
    </font>
    <font>
      <sz val="10"/>
      <color theme="2" tint="-0.499984740745262"/>
      <name val="Calibri"/>
      <family val="2"/>
    </font>
    <font>
      <sz val="10"/>
      <color theme="0"/>
      <name val="Calibri"/>
      <family val="2"/>
    </font>
    <font>
      <b/>
      <sz val="10"/>
      <color rgb="FFFF0000"/>
      <name val="Arial"/>
      <family val="2"/>
    </font>
    <font>
      <sz val="9"/>
      <color indexed="8"/>
      <name val="Arial"/>
      <family val="2"/>
    </font>
    <font>
      <sz val="8"/>
      <color indexed="8"/>
      <name val="Arial"/>
      <family val="2"/>
    </font>
    <font>
      <b/>
      <u/>
      <sz val="10"/>
      <color rgb="FFFF0000"/>
      <name val="Arial"/>
      <family val="2"/>
    </font>
    <font>
      <sz val="8"/>
      <color indexed="8"/>
      <name val="Calibri"/>
      <family val="2"/>
    </font>
    <font>
      <b/>
      <sz val="9"/>
      <color rgb="FFFF0000"/>
      <name val="Calibri"/>
      <family val="2"/>
    </font>
    <font>
      <sz val="12"/>
      <color rgb="FFFF0000"/>
      <name val="Wingdings"/>
      <charset val="2"/>
    </font>
    <font>
      <sz val="12"/>
      <color rgb="FFFF0000"/>
      <name val="Arial"/>
      <family val="2"/>
    </font>
    <font>
      <b/>
      <sz val="10"/>
      <color theme="0"/>
      <name val="Calibri"/>
      <family val="2"/>
    </font>
    <font>
      <sz val="12"/>
      <color rgb="FFFF0000"/>
      <name val="Calibri"/>
      <family val="2"/>
    </font>
    <font>
      <sz val="12"/>
      <color rgb="FFFF0000"/>
      <name val="Calibri"/>
      <family val="2"/>
      <scheme val="minor"/>
    </font>
    <font>
      <sz val="10"/>
      <color theme="1"/>
      <name val="Calibri"/>
      <family val="2"/>
      <scheme val="minor"/>
    </font>
    <font>
      <sz val="10"/>
      <name val="Calibri"/>
      <family val="2"/>
      <scheme val="minor"/>
    </font>
    <font>
      <sz val="11"/>
      <name val="Calibri"/>
      <family val="2"/>
    </font>
    <font>
      <sz val="10"/>
      <color rgb="FF000000"/>
      <name val="Calibri"/>
      <family val="2"/>
    </font>
    <font>
      <b/>
      <sz val="15"/>
      <color indexed="56"/>
      <name val="Calibri"/>
      <family val="2"/>
    </font>
    <font>
      <b/>
      <sz val="13"/>
      <color indexed="56"/>
      <name val="Calibri"/>
      <family val="2"/>
    </font>
    <font>
      <sz val="11"/>
      <color indexed="62"/>
      <name val="Calibri"/>
      <family val="2"/>
    </font>
    <font>
      <b/>
      <sz val="11"/>
      <color indexed="63"/>
      <name val="Calibri"/>
      <family val="2"/>
    </font>
    <font>
      <sz val="12"/>
      <name val="Tms Rmn"/>
    </font>
    <font>
      <sz val="11"/>
      <name val="Tms Rmn"/>
    </font>
    <font>
      <sz val="10"/>
      <name val="MS Sans Serif"/>
      <family val="2"/>
    </font>
    <font>
      <sz val="11"/>
      <name val="Book Antiqua"/>
      <family val="1"/>
    </font>
    <font>
      <sz val="1"/>
      <color indexed="8"/>
      <name val="Courier"/>
      <family val="3"/>
    </font>
    <font>
      <sz val="12"/>
      <name val="Arial"/>
      <family val="2"/>
    </font>
    <font>
      <b/>
      <sz val="12"/>
      <name val="Arial"/>
      <family val="2"/>
    </font>
    <font>
      <b/>
      <i/>
      <sz val="14"/>
      <color indexed="12"/>
      <name val="Arial"/>
      <family val="2"/>
    </font>
    <font>
      <b/>
      <i/>
      <sz val="12"/>
      <name val="Arial"/>
      <family val="2"/>
    </font>
    <font>
      <b/>
      <sz val="1"/>
      <color indexed="8"/>
      <name val="Courier"/>
      <family val="3"/>
    </font>
    <font>
      <u/>
      <sz val="10"/>
      <color indexed="12"/>
      <name val="Arial"/>
      <family val="2"/>
    </font>
    <font>
      <sz val="7"/>
      <name val="Small Fonts"/>
      <family val="2"/>
    </font>
    <font>
      <b/>
      <i/>
      <sz val="16"/>
      <name val="Helv"/>
    </font>
    <font>
      <i/>
      <sz val="8"/>
      <name val="Arial"/>
      <family val="2"/>
    </font>
    <font>
      <b/>
      <sz val="8"/>
      <name val="Times New Roman"/>
      <family val="1"/>
    </font>
    <font>
      <b/>
      <sz val="10"/>
      <name val="MS Sans Serif"/>
      <family val="2"/>
    </font>
    <font>
      <sz val="14"/>
      <name val="Arial"/>
      <family val="2"/>
    </font>
    <font>
      <i/>
      <sz val="10"/>
      <name val="Arial"/>
      <family val="2"/>
    </font>
    <font>
      <sz val="18"/>
      <name val="Arial"/>
      <family val="2"/>
    </font>
    <font>
      <u/>
      <sz val="11"/>
      <color theme="10"/>
      <name val="Calibri"/>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1"/>
      <name val="Times New Roman"/>
      <family val="1"/>
    </font>
    <font>
      <u/>
      <sz val="10"/>
      <color theme="10"/>
      <name val="Arial"/>
      <family val="2"/>
    </font>
    <font>
      <sz val="10"/>
      <color rgb="FF000000"/>
      <name val="Calibri"/>
      <family val="2"/>
      <scheme val="minor"/>
    </font>
    <font>
      <sz val="10"/>
      <color indexed="8"/>
      <name val="Calibri"/>
      <family val="2"/>
      <scheme val="minor"/>
    </font>
    <font>
      <sz val="10"/>
      <color theme="1"/>
      <name val="Arial"/>
      <family val="2"/>
    </font>
    <font>
      <b/>
      <sz val="15"/>
      <color theme="3"/>
      <name val="Calibri"/>
      <family val="2"/>
      <scheme val="minor"/>
    </font>
    <font>
      <b/>
      <sz val="13"/>
      <color theme="3"/>
      <name val="Calibri"/>
      <family val="2"/>
      <scheme val="minor"/>
    </font>
    <font>
      <sz val="11"/>
      <color rgb="FF3F3F76"/>
      <name val="Calibri"/>
      <family val="2"/>
      <scheme val="minor"/>
    </font>
    <font>
      <sz val="11"/>
      <color rgb="FF000000"/>
      <name val="Calibri"/>
      <family val="2"/>
      <scheme val="minor"/>
    </font>
    <font>
      <u/>
      <sz val="11"/>
      <color theme="10"/>
      <name val="Calibri"/>
      <family val="2"/>
      <scheme val="minor"/>
    </font>
  </fonts>
  <fills count="5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11"/>
      </patternFill>
    </fill>
    <fill>
      <patternFill patternType="solid">
        <fgColor indexed="44"/>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8"/>
        <bgColor indexed="64"/>
      </patternFill>
    </fill>
    <fill>
      <patternFill patternType="solid">
        <fgColor rgb="FFFFFFCC"/>
        <bgColor indexed="64"/>
      </patternFill>
    </fill>
    <fill>
      <patternFill patternType="solid">
        <fgColor rgb="FFC0C0C0"/>
        <bgColor indexed="64"/>
      </patternFill>
    </fill>
    <fill>
      <patternFill patternType="solid">
        <fgColor theme="4"/>
        <bgColor indexed="64"/>
      </patternFill>
    </fill>
    <fill>
      <patternFill patternType="solid">
        <fgColor theme="0" tint="-0.14999847407452621"/>
        <bgColor indexed="64"/>
      </patternFill>
    </fill>
    <fill>
      <patternFill patternType="solid">
        <fgColor theme="4" tint="0.59999389629810485"/>
        <bgColor indexed="64"/>
      </patternFill>
    </fill>
    <fill>
      <patternFill patternType="gray125">
        <bgColor rgb="FFFFFFCC"/>
      </patternFill>
    </fill>
    <fill>
      <patternFill patternType="solid">
        <fgColor theme="0" tint="-0.249977111117893"/>
        <bgColor indexed="64"/>
      </patternFill>
    </fill>
    <fill>
      <patternFill patternType="solid">
        <fgColor theme="0" tint="-4.9989318521683403E-2"/>
        <bgColor indexed="64"/>
      </patternFill>
    </fill>
    <fill>
      <patternFill patternType="mediumGray">
        <fgColor indexed="22"/>
      </patternFill>
    </fill>
    <fill>
      <patternFill patternType="solid">
        <fgColor indexed="9"/>
      </patternFil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15"/>
      </patternFill>
    </fill>
    <fill>
      <patternFill patternType="solid">
        <fgColor indexed="31"/>
        <bgColor indexed="8"/>
      </patternFill>
    </fill>
    <fill>
      <patternFill patternType="solid">
        <fgColor indexed="43"/>
        <bgColor indexed="8"/>
      </patternFill>
    </fill>
    <fill>
      <patternFill patternType="solid">
        <fgColor indexed="63"/>
        <bgColor indexed="8"/>
      </patternFill>
    </fill>
    <fill>
      <patternFill patternType="solid">
        <fgColor rgb="FFFFCC99"/>
      </patternFill>
    </fill>
    <fill>
      <patternFill patternType="solid">
        <fgColor theme="4" tint="0.79998168889431442"/>
        <bgColor indexed="65"/>
      </patternFill>
    </fill>
    <fill>
      <patternFill patternType="solid">
        <fgColor theme="4" tint="0.59999389629810485"/>
        <bgColor indexed="65"/>
      </patternFill>
    </fill>
  </fills>
  <borders count="17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theme="3"/>
      </left>
      <right style="medium">
        <color theme="3"/>
      </right>
      <top style="medium">
        <color theme="3"/>
      </top>
      <bottom style="medium">
        <color theme="3"/>
      </bottom>
      <diagonal/>
    </border>
    <border>
      <left style="medium">
        <color theme="3"/>
      </left>
      <right style="medium">
        <color theme="3"/>
      </right>
      <top style="medium">
        <color theme="3"/>
      </top>
      <bottom/>
      <diagonal/>
    </border>
    <border>
      <left/>
      <right/>
      <top style="dashed">
        <color theme="0" tint="-0.34998626667073579"/>
      </top>
      <bottom/>
      <diagonal/>
    </border>
    <border>
      <left style="medium">
        <color theme="3"/>
      </left>
      <right/>
      <top style="medium">
        <color theme="3"/>
      </top>
      <bottom/>
      <diagonal/>
    </border>
    <border>
      <left/>
      <right/>
      <top style="medium">
        <color theme="3"/>
      </top>
      <bottom/>
      <diagonal/>
    </border>
    <border>
      <left/>
      <right style="medium">
        <color theme="3"/>
      </right>
      <top style="medium">
        <color theme="3"/>
      </top>
      <bottom/>
      <diagonal/>
    </border>
    <border>
      <left style="thin">
        <color indexed="64"/>
      </left>
      <right/>
      <top/>
      <bottom style="medium">
        <color indexed="64"/>
      </bottom>
      <diagonal/>
    </border>
    <border>
      <left style="medium">
        <color theme="3"/>
      </left>
      <right/>
      <top/>
      <bottom/>
      <diagonal/>
    </border>
    <border>
      <left style="thin">
        <color indexed="64"/>
      </left>
      <right style="thin">
        <color indexed="64"/>
      </right>
      <top style="thin">
        <color indexed="64"/>
      </top>
      <bottom style="thin">
        <color indexed="64"/>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right/>
      <top style="thin">
        <color auto="1"/>
      </top>
      <bottom style="thin">
        <color auto="1"/>
      </bottom>
      <diagonal/>
    </border>
    <border>
      <left/>
      <right/>
      <top/>
      <bottom style="thick">
        <color indexed="62"/>
      </bottom>
      <diagonal/>
    </border>
    <border>
      <left/>
      <right/>
      <top/>
      <bottom style="thick">
        <color indexed="22"/>
      </bottom>
      <diagonal/>
    </border>
    <border>
      <left style="thin">
        <color auto="1"/>
      </left>
      <right style="thin">
        <color auto="1"/>
      </right>
      <top style="thin">
        <color auto="1"/>
      </top>
      <bottom style="thin">
        <color auto="1"/>
      </bottom>
      <diagonal/>
    </border>
    <border>
      <left/>
      <right/>
      <top/>
      <bottom style="medium">
        <color auto="1"/>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top/>
      <bottom style="thick">
        <color indexed="8"/>
      </bottom>
      <diagonal/>
    </border>
    <border>
      <left/>
      <right style="thick">
        <color indexed="8"/>
      </right>
      <top/>
      <bottom/>
      <diagonal/>
    </border>
    <border>
      <left style="thin">
        <color indexed="8"/>
      </left>
      <right style="thin">
        <color indexed="8"/>
      </right>
      <top/>
      <bottom/>
      <diagonal/>
    </border>
    <border>
      <left style="thin">
        <color indexed="8"/>
      </left>
      <right/>
      <top/>
      <bottom/>
      <diagonal/>
    </border>
    <border>
      <left style="thin">
        <color indexed="8"/>
      </left>
      <right/>
      <top style="thin">
        <color indexed="8"/>
      </top>
      <bottom style="thin">
        <color indexed="8"/>
      </bottom>
      <diagonal/>
    </border>
    <border>
      <left/>
      <right style="thin">
        <color indexed="8"/>
      </right>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medium">
        <color indexed="39"/>
      </top>
      <bottom/>
      <diagonal/>
    </border>
    <border>
      <left style="medium">
        <color indexed="39"/>
      </left>
      <right/>
      <top style="medium">
        <color indexed="39"/>
      </top>
      <bottom/>
      <diagonal/>
    </border>
    <border>
      <left/>
      <right/>
      <top/>
      <bottom style="medium">
        <color indexed="39"/>
      </bottom>
      <diagonal/>
    </border>
    <border>
      <left/>
      <right/>
      <top style="thin">
        <color auto="1"/>
      </top>
      <bottom style="double">
        <color auto="1"/>
      </bottom>
      <diagonal/>
    </border>
    <border>
      <left/>
      <right/>
      <top/>
      <bottom style="thin">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right/>
      <top style="medium">
        <color auto="1"/>
      </top>
      <bottom style="medium">
        <color auto="1"/>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medium">
        <color indexed="39"/>
      </top>
      <bottom/>
      <diagonal/>
    </border>
    <border>
      <left style="medium">
        <color indexed="39"/>
      </left>
      <right/>
      <top style="medium">
        <color indexed="39"/>
      </top>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ck">
        <color theme="4"/>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style="thin">
        <color indexed="41"/>
      </left>
      <right style="thin">
        <color indexed="48"/>
      </right>
      <top style="medium">
        <color indexed="41"/>
      </top>
      <bottom style="thin">
        <color indexed="48"/>
      </bottom>
      <diagonal/>
    </border>
    <border>
      <left/>
      <right/>
      <top style="medium">
        <color indexed="39"/>
      </top>
      <bottom/>
      <diagonal/>
    </border>
    <border>
      <left style="medium">
        <color indexed="39"/>
      </left>
      <right/>
      <top style="medium">
        <color indexed="39"/>
      </top>
      <bottom/>
      <diagonal/>
    </border>
    <border>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bottom style="medium">
        <color indexed="30"/>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41"/>
      </left>
      <right style="thin">
        <color indexed="48"/>
      </right>
      <top style="medium">
        <color indexed="41"/>
      </top>
      <bottom style="thin">
        <color indexed="48"/>
      </bottom>
      <diagonal/>
    </border>
    <border>
      <left/>
      <right/>
      <top style="medium">
        <color indexed="39"/>
      </top>
      <bottom/>
      <diagonal/>
    </border>
    <border>
      <left style="medium">
        <color indexed="39"/>
      </left>
      <right/>
      <top style="medium">
        <color indexed="39"/>
      </top>
      <bottom/>
      <diagonal/>
    </border>
    <border>
      <left/>
      <right/>
      <top/>
      <bottom style="medium">
        <color indexed="39"/>
      </bottom>
      <diagonal/>
    </border>
    <border>
      <left/>
      <right/>
      <top style="thin">
        <color auto="1"/>
      </top>
      <bottom style="double">
        <color auto="1"/>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3"/>
      </top>
      <bottom style="medium">
        <color indexed="64"/>
      </bottom>
      <diagonal/>
    </border>
    <border>
      <left style="thin">
        <color indexed="63"/>
      </left>
      <right style="medium">
        <color indexed="64"/>
      </right>
      <top style="thin">
        <color indexed="63"/>
      </top>
      <bottom style="medium">
        <color indexed="64"/>
      </bottom>
      <diagonal/>
    </border>
    <border>
      <left style="medium">
        <color indexed="64"/>
      </left>
      <right style="thin">
        <color indexed="63"/>
      </right>
      <top style="thin">
        <color indexed="63"/>
      </top>
      <bottom style="medium">
        <color indexed="64"/>
      </bottom>
      <diagonal/>
    </border>
  </borders>
  <cellStyleXfs count="47861">
    <xf numFmtId="0" fontId="0" fillId="0" borderId="0"/>
    <xf numFmtId="0" fontId="25" fillId="2" borderId="0" applyFill="0">
      <alignment horizontal="left"/>
    </xf>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28" fillId="0" borderId="0" applyNumberFormat="0" applyBorder="0" applyProtection="0">
      <alignment horizontal="left"/>
    </xf>
    <xf numFmtId="0" fontId="10" fillId="8" borderId="0" applyNumberFormat="0" applyBorder="0" applyAlignment="0" applyProtection="0"/>
    <xf numFmtId="0" fontId="10" fillId="9" borderId="0" applyNumberFormat="0" applyBorder="0" applyAlignment="0" applyProtection="0"/>
    <xf numFmtId="0" fontId="10" fillId="5" borderId="0" applyNumberFormat="0" applyBorder="0" applyAlignment="0" applyProtection="0"/>
    <xf numFmtId="0" fontId="10" fillId="10" borderId="0" applyNumberFormat="0" applyBorder="0" applyAlignment="0" applyProtection="0"/>
    <xf numFmtId="0" fontId="52" fillId="29" borderId="34" applyNumberFormat="0" applyProtection="0">
      <alignment horizontal="center" vertical="center"/>
    </xf>
    <xf numFmtId="0" fontId="10" fillId="11" borderId="0" applyNumberFormat="0" applyBorder="0" applyAlignment="0" applyProtection="0"/>
    <xf numFmtId="0" fontId="11" fillId="12"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2" fillId="3" borderId="0" applyNumberFormat="0" applyBorder="0" applyAlignment="0" applyProtection="0"/>
    <xf numFmtId="0" fontId="13" fillId="20" borderId="1" applyNumberFormat="0" applyAlignment="0" applyProtection="0"/>
    <xf numFmtId="0" fontId="13" fillId="20" borderId="1" applyNumberFormat="0" applyAlignment="0" applyProtection="0"/>
    <xf numFmtId="0" fontId="14" fillId="21" borderId="2" applyNumberFormat="0" applyAlignment="0" applyProtection="0"/>
    <xf numFmtId="0" fontId="14" fillId="21" borderId="2" applyNumberFormat="0" applyAlignment="0" applyProtection="0"/>
    <xf numFmtId="41" fontId="7"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37" fontId="24" fillId="0" borderId="0" applyFill="0" applyBorder="0" applyProtection="0">
      <alignment horizontal="center"/>
    </xf>
    <xf numFmtId="168" fontId="24" fillId="0" borderId="0" applyFill="0" applyBorder="0" applyAlignment="0" applyProtection="0"/>
    <xf numFmtId="43" fontId="9" fillId="0" borderId="0" applyFont="0" applyFill="0" applyBorder="0" applyAlignment="0" applyProtection="0"/>
    <xf numFmtId="42" fontId="7" fillId="0" borderId="0" applyFont="0" applyFill="0" applyBorder="0" applyAlignment="0" applyProtection="0"/>
    <xf numFmtId="42" fontId="9" fillId="0" borderId="0" applyFont="0" applyFill="0" applyBorder="0" applyAlignment="0" applyProtection="0"/>
    <xf numFmtId="42" fontId="9" fillId="0" borderId="0" applyFont="0" applyFill="0" applyBorder="0" applyAlignment="0" applyProtection="0"/>
    <xf numFmtId="42" fontId="9" fillId="0" borderId="0" applyFont="0" applyFill="0" applyBorder="0" applyAlignment="0" applyProtection="0"/>
    <xf numFmtId="42" fontId="9" fillId="0" borderId="0" applyFont="0" applyFill="0" applyBorder="0" applyAlignment="0" applyProtection="0"/>
    <xf numFmtId="42" fontId="9" fillId="0" borderId="0" applyFont="0" applyFill="0" applyBorder="0" applyAlignment="0" applyProtection="0"/>
    <xf numFmtId="44" fontId="9" fillId="0" borderId="0" applyFont="0" applyFill="0" applyBorder="0" applyAlignment="0" applyProtection="0"/>
    <xf numFmtId="44" fontId="23" fillId="0" borderId="0" applyFont="0" applyFill="0" applyBorder="0" applyAlignment="0" applyProtection="0"/>
    <xf numFmtId="44" fontId="9" fillId="0" borderId="0" applyFon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4" borderId="0" applyNumberFormat="0" applyBorder="0" applyAlignment="0" applyProtection="0"/>
    <xf numFmtId="0" fontId="16" fillId="4" borderId="0" applyNumberFormat="0" applyBorder="0" applyAlignment="0" applyProtection="0"/>
    <xf numFmtId="0" fontId="26" fillId="0" borderId="0" applyNumberFormat="0" applyFill="0" applyProtection="0">
      <alignment horizontal="left"/>
    </xf>
    <xf numFmtId="0" fontId="26" fillId="0" borderId="0" applyNumberFormat="0" applyFill="0" applyProtection="0">
      <alignment horizontal="left"/>
    </xf>
    <xf numFmtId="0" fontId="27" fillId="0" borderId="0" applyNumberFormat="0" applyFill="0" applyProtection="0">
      <alignment horizontal="left"/>
    </xf>
    <xf numFmtId="0" fontId="27" fillId="0" borderId="0" applyNumberFormat="0" applyFill="0" applyProtection="0">
      <alignment horizontal="left"/>
    </xf>
    <xf numFmtId="0" fontId="17" fillId="0" borderId="3" applyNumberFormat="0" applyFill="0" applyAlignment="0" applyProtection="0"/>
    <xf numFmtId="0" fontId="17" fillId="0" borderId="3"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24" fillId="27" borderId="4" applyNumberFormat="0">
      <alignment horizontal="left"/>
      <protection locked="0"/>
    </xf>
    <xf numFmtId="0" fontId="24" fillId="27" borderId="4" applyNumberFormat="0">
      <alignment horizontal="left"/>
      <protection locked="0"/>
    </xf>
    <xf numFmtId="0" fontId="18" fillId="0" borderId="5" applyNumberFormat="0" applyFill="0" applyAlignment="0" applyProtection="0"/>
    <xf numFmtId="0" fontId="18" fillId="0" borderId="5" applyNumberFormat="0" applyFill="0" applyAlignment="0" applyProtection="0"/>
    <xf numFmtId="0" fontId="19" fillId="23" borderId="0" applyNumberFormat="0" applyBorder="0" applyAlignment="0" applyProtection="0"/>
    <xf numFmtId="0" fontId="19" fillId="23" borderId="0" applyNumberFormat="0" applyBorder="0" applyAlignment="0" applyProtection="0"/>
    <xf numFmtId="0" fontId="8" fillId="24" borderId="6" applyNumberFormat="0" applyFont="0" applyAlignment="0" applyProtection="0"/>
    <xf numFmtId="0" fontId="8" fillId="24" borderId="6" applyNumberFormat="0" applyFont="0" applyAlignment="0" applyProtection="0"/>
    <xf numFmtId="0" fontId="27" fillId="28" borderId="7" applyNumberFormat="0" applyAlignment="0" applyProtection="0"/>
    <xf numFmtId="0" fontId="27" fillId="28" borderId="7" applyNumberFormat="0" applyAlignment="0" applyProtection="0"/>
    <xf numFmtId="9" fontId="7"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1" fillId="0" borderId="8"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167" fontId="24" fillId="0" borderId="0"/>
    <xf numFmtId="0" fontId="25" fillId="2" borderId="0" applyFill="0">
      <alignment horizontal="left"/>
    </xf>
    <xf numFmtId="0" fontId="25" fillId="2" borderId="4" applyFill="0">
      <alignment horizontal="left" vertical="top" wrapText="1"/>
    </xf>
    <xf numFmtId="37" fontId="24" fillId="27" borderId="4" applyProtection="0">
      <alignment horizontal="center"/>
    </xf>
    <xf numFmtId="0" fontId="6" fillId="0" borderId="0"/>
    <xf numFmtId="44" fontId="6" fillId="0" borderId="0" applyFont="0" applyFill="0" applyBorder="0" applyAlignment="0" applyProtection="0"/>
    <xf numFmtId="0" fontId="6" fillId="0" borderId="0"/>
    <xf numFmtId="44" fontId="6" fillId="0" borderId="0" applyFont="0" applyFill="0" applyBorder="0" applyAlignment="0" applyProtection="0"/>
    <xf numFmtId="43" fontId="7" fillId="0" borderId="0" applyFont="0" applyFill="0" applyBorder="0" applyAlignment="0" applyProtection="0"/>
    <xf numFmtId="0" fontId="5" fillId="0" borderId="0"/>
    <xf numFmtId="43" fontId="5" fillId="0" borderId="0" applyFon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0" fontId="24" fillId="27" borderId="42" applyNumberFormat="0">
      <alignment horizontal="left"/>
      <protection locked="0"/>
    </xf>
    <xf numFmtId="37" fontId="24" fillId="0" borderId="0" applyFill="0" applyBorder="0" applyProtection="0">
      <alignment horizont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xf numFmtId="0" fontId="7" fillId="0" borderId="0"/>
    <xf numFmtId="0" fontId="7" fillId="0" borderId="0" applyNumberFormat="0"/>
    <xf numFmtId="0" fontId="7" fillId="0" borderId="0" applyNumberFormat="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7" fillId="0" borderId="0" applyNumberFormat="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80" fillId="0" borderId="0" applyNumberFormat="0" applyFill="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38" fontId="82"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176" fontId="4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3" fillId="0" borderId="0" applyFont="0" applyFill="0" applyBorder="0" applyAlignment="0" applyProtection="0"/>
    <xf numFmtId="0" fontId="83" fillId="0" borderId="0" applyFont="0" applyFill="0" applyBorder="0" applyAlignment="0" applyProtection="0"/>
    <xf numFmtId="0" fontId="83" fillId="0" borderId="0" applyFont="0" applyFill="0" applyBorder="0" applyAlignment="0" applyProtection="0"/>
    <xf numFmtId="0" fontId="83" fillId="0" borderId="0" applyFont="0" applyFill="0" applyBorder="0" applyAlignment="0" applyProtection="0"/>
    <xf numFmtId="0" fontId="83" fillId="0" borderId="0" applyFont="0" applyFill="0" applyBorder="0" applyAlignment="0" applyProtection="0"/>
    <xf numFmtId="0" fontId="83"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2" borderId="0"/>
    <xf numFmtId="0" fontId="7" fillId="22" borderId="0"/>
    <xf numFmtId="0" fontId="7" fillId="22" borderId="0"/>
    <xf numFmtId="0" fontId="7" fillId="22" borderId="0"/>
    <xf numFmtId="0" fontId="7" fillId="22" borderId="0"/>
    <xf numFmtId="0" fontId="7" fillId="22" borderId="0"/>
    <xf numFmtId="0" fontId="7" fillId="22" borderId="0"/>
    <xf numFmtId="0" fontId="7" fillId="22" borderId="0"/>
    <xf numFmtId="0" fontId="7" fillId="22" borderId="0"/>
    <xf numFmtId="0" fontId="7" fillId="22" borderId="0"/>
    <xf numFmtId="0" fontId="7" fillId="22" borderId="0"/>
    <xf numFmtId="0" fontId="7" fillId="22" borderId="0"/>
    <xf numFmtId="0" fontId="7" fillId="22" borderId="0"/>
    <xf numFmtId="0" fontId="7" fillId="22" borderId="0"/>
    <xf numFmtId="0" fontId="7" fillId="22" borderId="0"/>
    <xf numFmtId="0" fontId="7" fillId="22" borderId="0"/>
    <xf numFmtId="0" fontId="7" fillId="22" borderId="0"/>
    <xf numFmtId="0" fontId="7" fillId="22" borderId="0"/>
    <xf numFmtId="0" fontId="7" fillId="22" borderId="0"/>
    <xf numFmtId="0" fontId="7" fillId="22" borderId="0"/>
    <xf numFmtId="0" fontId="7" fillId="22" borderId="0"/>
    <xf numFmtId="0" fontId="7" fillId="22" borderId="0"/>
    <xf numFmtId="0" fontId="7" fillId="22" borderId="0"/>
    <xf numFmtId="0" fontId="7" fillId="22" borderId="0"/>
    <xf numFmtId="0" fontId="7" fillId="22" borderId="0"/>
    <xf numFmtId="0" fontId="7" fillId="22" borderId="0"/>
    <xf numFmtId="0" fontId="7" fillId="22" borderId="0"/>
    <xf numFmtId="0" fontId="84" fillId="0" borderId="0">
      <protection locked="0"/>
    </xf>
    <xf numFmtId="0" fontId="84" fillId="0" borderId="0">
      <protection locked="0"/>
    </xf>
    <xf numFmtId="0" fontId="84" fillId="0" borderId="0">
      <protection locked="0"/>
    </xf>
    <xf numFmtId="0" fontId="84" fillId="0" borderId="0">
      <protection locked="0"/>
    </xf>
    <xf numFmtId="0" fontId="84" fillId="0" borderId="0">
      <protection locked="0"/>
    </xf>
    <xf numFmtId="0" fontId="84" fillId="0" borderId="0">
      <protection locked="0"/>
    </xf>
    <xf numFmtId="22" fontId="7" fillId="0" borderId="0" applyFont="0" applyFill="0" applyBorder="0" applyAlignment="0" applyProtection="0">
      <alignment wrapText="1"/>
    </xf>
    <xf numFmtId="22" fontId="7" fillId="0" borderId="0" applyFont="0" applyFill="0" applyBorder="0" applyAlignment="0" applyProtection="0">
      <alignment wrapText="1"/>
    </xf>
    <xf numFmtId="22" fontId="7" fillId="0" borderId="0" applyFont="0" applyFill="0" applyBorder="0" applyAlignment="0" applyProtection="0">
      <alignment wrapText="1"/>
    </xf>
    <xf numFmtId="22" fontId="7" fillId="0" borderId="0" applyFont="0" applyFill="0" applyBorder="0" applyAlignment="0" applyProtection="0">
      <alignment wrapText="1"/>
    </xf>
    <xf numFmtId="22" fontId="7" fillId="0" borderId="0" applyFont="0" applyFill="0" applyBorder="0" applyAlignment="0" applyProtection="0">
      <alignment wrapText="1"/>
    </xf>
    <xf numFmtId="22" fontId="7" fillId="0" borderId="0" applyFont="0" applyFill="0" applyBorder="0" applyAlignment="0" applyProtection="0">
      <alignment wrapText="1"/>
    </xf>
    <xf numFmtId="22" fontId="7" fillId="0" borderId="0" applyFont="0" applyFill="0" applyBorder="0" applyAlignment="0" applyProtection="0">
      <alignment wrapText="1"/>
    </xf>
    <xf numFmtId="22" fontId="7" fillId="0" borderId="0" applyFont="0" applyFill="0" applyBorder="0" applyAlignment="0" applyProtection="0">
      <alignment wrapText="1"/>
    </xf>
    <xf numFmtId="22" fontId="7" fillId="0" borderId="0" applyFont="0" applyFill="0" applyBorder="0" applyAlignment="0" applyProtection="0">
      <alignment wrapText="1"/>
    </xf>
    <xf numFmtId="22" fontId="7" fillId="0" borderId="0" applyFont="0" applyFill="0" applyBorder="0" applyAlignment="0" applyProtection="0">
      <alignment wrapText="1"/>
    </xf>
    <xf numFmtId="22" fontId="7" fillId="0" borderId="0" applyFont="0" applyFill="0" applyBorder="0" applyAlignment="0" applyProtection="0">
      <alignment wrapText="1"/>
    </xf>
    <xf numFmtId="22" fontId="7" fillId="0" borderId="0" applyFont="0" applyFill="0" applyBorder="0" applyAlignment="0" applyProtection="0">
      <alignment wrapText="1"/>
    </xf>
    <xf numFmtId="22" fontId="7" fillId="0" borderId="0" applyFont="0" applyFill="0" applyBorder="0" applyAlignment="0" applyProtection="0">
      <alignment wrapText="1"/>
    </xf>
    <xf numFmtId="22" fontId="7" fillId="0" borderId="0" applyFont="0" applyFill="0" applyBorder="0" applyAlignment="0" applyProtection="0">
      <alignment wrapText="1"/>
    </xf>
    <xf numFmtId="22" fontId="7" fillId="0" borderId="0" applyFont="0" applyFill="0" applyBorder="0" applyAlignment="0" applyProtection="0">
      <alignment wrapText="1"/>
    </xf>
    <xf numFmtId="22" fontId="7" fillId="0" borderId="0" applyFont="0" applyFill="0" applyBorder="0" applyAlignment="0" applyProtection="0">
      <alignment wrapText="1"/>
    </xf>
    <xf numFmtId="22" fontId="7" fillId="0" borderId="0" applyFont="0" applyFill="0" applyBorder="0" applyAlignment="0" applyProtection="0">
      <alignment wrapText="1"/>
    </xf>
    <xf numFmtId="22" fontId="7" fillId="0" borderId="0" applyFont="0" applyFill="0" applyBorder="0" applyAlignment="0" applyProtection="0">
      <alignment wrapText="1"/>
    </xf>
    <xf numFmtId="22" fontId="7" fillId="0" borderId="0" applyFont="0" applyFill="0" applyBorder="0" applyAlignment="0" applyProtection="0">
      <alignment wrapText="1"/>
    </xf>
    <xf numFmtId="22" fontId="7" fillId="0" borderId="0" applyFont="0" applyFill="0" applyBorder="0" applyAlignment="0" applyProtection="0">
      <alignment wrapText="1"/>
    </xf>
    <xf numFmtId="22" fontId="7" fillId="0" borderId="0" applyFont="0" applyFill="0" applyBorder="0" applyAlignment="0" applyProtection="0">
      <alignment wrapText="1"/>
    </xf>
    <xf numFmtId="22" fontId="7" fillId="0" borderId="0" applyFont="0" applyFill="0" applyBorder="0" applyAlignment="0" applyProtection="0">
      <alignment wrapText="1"/>
    </xf>
    <xf numFmtId="22" fontId="7" fillId="0" borderId="0" applyFont="0" applyFill="0" applyBorder="0" applyAlignment="0" applyProtection="0">
      <alignment wrapText="1"/>
    </xf>
    <xf numFmtId="22" fontId="7" fillId="0" borderId="0" applyFont="0" applyFill="0" applyBorder="0" applyAlignment="0" applyProtection="0">
      <alignment wrapText="1"/>
    </xf>
    <xf numFmtId="22" fontId="7" fillId="0" borderId="0" applyFont="0" applyFill="0" applyBorder="0" applyAlignment="0" applyProtection="0">
      <alignment wrapText="1"/>
    </xf>
    <xf numFmtId="22" fontId="7" fillId="0" borderId="0" applyFont="0" applyFill="0" applyBorder="0" applyAlignment="0" applyProtection="0">
      <alignment wrapText="1"/>
    </xf>
    <xf numFmtId="22" fontId="7" fillId="0" borderId="0" applyFont="0" applyFill="0" applyBorder="0" applyAlignment="0" applyProtection="0">
      <alignment wrapText="1"/>
    </xf>
    <xf numFmtId="38" fontId="44" fillId="0" borderId="0" applyNumberFormat="0" applyFont="0" applyFill="0" applyAlignment="0"/>
    <xf numFmtId="38" fontId="44" fillId="0" borderId="0" applyNumberFormat="0" applyFont="0" applyFill="0" applyAlignment="0"/>
    <xf numFmtId="38" fontId="44" fillId="0" borderId="0" applyNumberFormat="0" applyFont="0" applyFill="0" applyAlignment="0"/>
    <xf numFmtId="38" fontId="44" fillId="0" borderId="0" applyNumberFormat="0" applyFont="0" applyFill="0" applyAlignment="0"/>
    <xf numFmtId="38" fontId="44" fillId="0" borderId="0" applyNumberFormat="0" applyFont="0" applyFill="0" applyAlignment="0"/>
    <xf numFmtId="38" fontId="44" fillId="0" borderId="0" applyNumberFormat="0" applyFont="0" applyFill="0" applyAlignment="0"/>
    <xf numFmtId="38" fontId="44" fillId="0" borderId="0" applyNumberFormat="0" applyFont="0" applyFill="0" applyAlignment="0"/>
    <xf numFmtId="38" fontId="44" fillId="0" borderId="0" applyNumberFormat="0" applyFont="0" applyFill="0" applyAlignment="0"/>
    <xf numFmtId="38" fontId="44" fillId="0" borderId="0" applyNumberFormat="0" applyFont="0" applyFill="0" applyAlignment="0"/>
    <xf numFmtId="38" fontId="44" fillId="0" borderId="0" applyNumberFormat="0" applyFont="0" applyFill="0" applyAlignment="0"/>
    <xf numFmtId="38" fontId="44" fillId="0" borderId="0" applyNumberFormat="0" applyFont="0" applyFill="0" applyAlignment="0"/>
    <xf numFmtId="38" fontId="44" fillId="0" borderId="0" applyNumberFormat="0" applyFont="0" applyFill="0" applyAlignment="0"/>
    <xf numFmtId="38" fontId="44" fillId="0" borderId="0" applyNumberFormat="0" applyFont="0" applyFill="0" applyAlignment="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5" fillId="0" borderId="0" applyNumberFormat="0" applyFont="0" applyFill="0" applyBorder="0" applyAlignment="0" applyProtection="0"/>
    <xf numFmtId="0" fontId="85" fillId="0" borderId="0" applyNumberFormat="0" applyFont="0" applyFill="0" applyBorder="0" applyAlignment="0" applyProtection="0"/>
    <xf numFmtId="0" fontId="85" fillId="0" borderId="0" applyNumberFormat="0" applyFont="0" applyFill="0" applyBorder="0" applyAlignment="0" applyProtection="0"/>
    <xf numFmtId="0" fontId="85" fillId="0" borderId="0" applyNumberFormat="0" applyFont="0" applyFill="0" applyBorder="0" applyAlignment="0" applyProtection="0"/>
    <xf numFmtId="0" fontId="85" fillId="0" borderId="0" applyNumberFormat="0" applyFont="0" applyFill="0" applyBorder="0" applyAlignment="0" applyProtection="0"/>
    <xf numFmtId="0" fontId="85" fillId="0" borderId="0" applyNumberFormat="0" applyFont="0" applyFill="0" applyBorder="0" applyAlignment="0" applyProtection="0"/>
    <xf numFmtId="0" fontId="85" fillId="0" borderId="0" applyNumberFormat="0" applyFont="0" applyFill="0" applyBorder="0" applyAlignment="0" applyProtection="0"/>
    <xf numFmtId="0" fontId="85" fillId="0" borderId="0" applyNumberFormat="0" applyFont="0" applyFill="0" applyBorder="0" applyAlignment="0" applyProtection="0"/>
    <xf numFmtId="0" fontId="85" fillId="0" borderId="0" applyNumberFormat="0" applyFont="0" applyFill="0" applyBorder="0" applyAlignment="0" applyProtection="0"/>
    <xf numFmtId="0" fontId="85" fillId="0" borderId="0" applyNumberFormat="0" applyFont="0" applyFill="0" applyBorder="0" applyAlignment="0" applyProtection="0"/>
    <xf numFmtId="0" fontId="85" fillId="0" borderId="0" applyNumberFormat="0" applyFont="0" applyFill="0" applyBorder="0" applyAlignment="0" applyProtection="0"/>
    <xf numFmtId="0" fontId="85" fillId="0" borderId="0" applyNumberFormat="0" applyFont="0" applyFill="0" applyBorder="0" applyAlignment="0" applyProtection="0"/>
    <xf numFmtId="0" fontId="85" fillId="0" borderId="0" applyNumberFormat="0" applyFont="0" applyFill="0" applyBorder="0" applyAlignment="0" applyProtection="0"/>
    <xf numFmtId="0" fontId="85" fillId="0" borderId="0" applyNumberFormat="0" applyFont="0" applyFill="0" applyBorder="0" applyAlignment="0" applyProtection="0"/>
    <xf numFmtId="0" fontId="85" fillId="0" borderId="0" applyNumberFormat="0" applyFont="0" applyFill="0" applyBorder="0" applyAlignment="0" applyProtection="0"/>
    <xf numFmtId="0" fontId="85" fillId="0" borderId="0" applyNumberFormat="0" applyFont="0" applyFill="0" applyBorder="0" applyAlignment="0" applyProtection="0"/>
    <xf numFmtId="0" fontId="85" fillId="0" borderId="0" applyNumberFormat="0" applyFont="0" applyFill="0" applyBorder="0" applyAlignment="0" applyProtection="0"/>
    <xf numFmtId="0" fontId="85" fillId="0" borderId="0" applyNumberFormat="0" applyFont="0" applyFill="0" applyBorder="0" applyAlignment="0" applyProtection="0"/>
    <xf numFmtId="0" fontId="85" fillId="0" borderId="0" applyNumberFormat="0" applyFont="0" applyFill="0" applyBorder="0" applyAlignment="0" applyProtection="0"/>
    <xf numFmtId="0" fontId="85" fillId="0" borderId="0" applyNumberFormat="0" applyFont="0" applyFill="0" applyBorder="0" applyAlignment="0" applyProtection="0"/>
    <xf numFmtId="0" fontId="85" fillId="0" borderId="0" applyNumberFormat="0" applyFont="0" applyFill="0" applyBorder="0" applyAlignment="0" applyProtection="0"/>
    <xf numFmtId="0" fontId="85" fillId="0" borderId="0" applyNumberFormat="0" applyFont="0" applyFill="0" applyBorder="0" applyAlignment="0" applyProtection="0"/>
    <xf numFmtId="0" fontId="85" fillId="0" borderId="0" applyNumberFormat="0" applyFont="0" applyFill="0" applyBorder="0" applyAlignment="0" applyProtection="0"/>
    <xf numFmtId="0" fontId="85" fillId="0" borderId="0" applyNumberFormat="0" applyFont="0" applyFill="0" applyBorder="0" applyAlignment="0" applyProtection="0"/>
    <xf numFmtId="0" fontId="85" fillId="0" borderId="0" applyNumberFormat="0" applyFont="0" applyFill="0" applyBorder="0" applyAlignment="0" applyProtection="0"/>
    <xf numFmtId="0" fontId="85" fillId="0" borderId="0" applyNumberFormat="0" applyFont="0" applyFill="0" applyBorder="0" applyAlignment="0" applyProtection="0"/>
    <xf numFmtId="0" fontId="85" fillId="0" borderId="0" applyNumberFormat="0" applyFont="0" applyFill="0" applyBorder="0" applyAlignment="0" applyProtection="0"/>
    <xf numFmtId="0" fontId="85" fillId="0" borderId="0" applyNumberFormat="0" applyFont="0" applyFill="0" applyBorder="0" applyAlignment="0" applyProtection="0"/>
    <xf numFmtId="0" fontId="85" fillId="0" borderId="0" applyNumberFormat="0" applyFont="0" applyFill="0" applyBorder="0" applyAlignment="0" applyProtection="0"/>
    <xf numFmtId="0" fontId="85" fillId="0" borderId="0" applyNumberFormat="0" applyFont="0" applyFill="0" applyBorder="0" applyAlignment="0" applyProtection="0"/>
    <xf numFmtId="0" fontId="85" fillId="0" borderId="0" applyNumberFormat="0" applyFont="0" applyFill="0" applyBorder="0" applyAlignment="0" applyProtection="0"/>
    <xf numFmtId="0" fontId="85" fillId="0" borderId="0" applyNumberFormat="0" applyFont="0" applyFill="0" applyBorder="0" applyAlignment="0" applyProtection="0"/>
    <xf numFmtId="0" fontId="85" fillId="0" borderId="0" applyNumberFormat="0" applyFont="0" applyFill="0" applyBorder="0" applyAlignment="0" applyProtection="0"/>
    <xf numFmtId="0" fontId="85" fillId="0" borderId="0" applyNumberFormat="0" applyFont="0" applyFill="0" applyBorder="0" applyAlignment="0" applyProtection="0"/>
    <xf numFmtId="0" fontId="85" fillId="0" borderId="0" applyNumberFormat="0" applyFont="0" applyFill="0" applyBorder="0" applyAlignment="0" applyProtection="0"/>
    <xf numFmtId="0" fontId="85" fillId="0" borderId="0" applyNumberFormat="0" applyFont="0" applyFill="0" applyBorder="0" applyAlignment="0" applyProtection="0"/>
    <xf numFmtId="0" fontId="85" fillId="0" borderId="0" applyNumberFormat="0" applyFont="0" applyFill="0" applyBorder="0" applyAlignment="0" applyProtection="0"/>
    <xf numFmtId="0" fontId="85" fillId="0" borderId="0" applyNumberFormat="0" applyFont="0" applyFill="0" applyBorder="0" applyAlignment="0" applyProtection="0"/>
    <xf numFmtId="0" fontId="85" fillId="0" borderId="0" applyNumberFormat="0" applyFont="0" applyFill="0" applyBorder="0" applyAlignment="0" applyProtection="0"/>
    <xf numFmtId="0" fontId="85" fillId="0" borderId="0" applyNumberFormat="0" applyFont="0" applyFill="0" applyBorder="0" applyAlignment="0" applyProtection="0"/>
    <xf numFmtId="0" fontId="85" fillId="0" borderId="0" applyNumberFormat="0" applyFont="0" applyFill="0" applyBorder="0" applyAlignment="0" applyProtection="0"/>
    <xf numFmtId="0" fontId="85" fillId="0" borderId="0" applyNumberFormat="0" applyFont="0" applyFill="0" applyBorder="0" applyAlignment="0" applyProtection="0"/>
    <xf numFmtId="177" fontId="84" fillId="0" borderId="0">
      <protection locked="0"/>
    </xf>
    <xf numFmtId="177" fontId="84" fillId="0" borderId="0">
      <protection locked="0"/>
    </xf>
    <xf numFmtId="177" fontId="84" fillId="0" borderId="0">
      <protection locked="0"/>
    </xf>
    <xf numFmtId="177" fontId="84" fillId="0" borderId="0">
      <protection locked="0"/>
    </xf>
    <xf numFmtId="177" fontId="84" fillId="0" borderId="0">
      <protection locked="0"/>
    </xf>
    <xf numFmtId="177" fontId="84" fillId="0" borderId="0">
      <protection locked="0"/>
    </xf>
    <xf numFmtId="0" fontId="83" fillId="0" borderId="0" applyFont="0" applyFill="0" applyBorder="0" applyAlignment="0" applyProtection="0"/>
    <xf numFmtId="0" fontId="83" fillId="0" borderId="0" applyFont="0" applyFill="0" applyBorder="0" applyAlignment="0" applyProtection="0"/>
    <xf numFmtId="0" fontId="83" fillId="0" borderId="0" applyFont="0" applyFill="0" applyBorder="0" applyAlignment="0" applyProtection="0"/>
    <xf numFmtId="0" fontId="83" fillId="0" borderId="0" applyFont="0" applyFill="0" applyBorder="0" applyAlignment="0" applyProtection="0"/>
    <xf numFmtId="0" fontId="83" fillId="0" borderId="0" applyFont="0" applyFill="0" applyBorder="0" applyAlignment="0" applyProtection="0"/>
    <xf numFmtId="0" fontId="83" fillId="0" borderId="0" applyFont="0" applyFill="0" applyBorder="0" applyAlignment="0" applyProtection="0"/>
    <xf numFmtId="0" fontId="7" fillId="0" borderId="0" applyFont="0" applyFill="0" applyBorder="0" applyAlignment="0" applyProtection="0">
      <alignment horizontal="center"/>
    </xf>
    <xf numFmtId="0" fontId="7" fillId="0" borderId="0" applyFont="0" applyFill="0" applyBorder="0" applyAlignment="0" applyProtection="0">
      <alignment horizontal="center"/>
    </xf>
    <xf numFmtId="0" fontId="7" fillId="0" borderId="0" applyFont="0" applyFill="0" applyBorder="0" applyAlignment="0" applyProtection="0">
      <alignment horizontal="center"/>
    </xf>
    <xf numFmtId="0" fontId="7" fillId="0" borderId="0" applyFont="0" applyFill="0" applyBorder="0" applyAlignment="0" applyProtection="0">
      <alignment horizontal="center"/>
    </xf>
    <xf numFmtId="0" fontId="7" fillId="0" borderId="0" applyFont="0" applyFill="0" applyBorder="0" applyAlignment="0" applyProtection="0">
      <alignment horizontal="center"/>
    </xf>
    <xf numFmtId="0" fontId="7" fillId="0" borderId="0" applyFont="0" applyFill="0" applyBorder="0" applyAlignment="0" applyProtection="0">
      <alignment horizontal="center"/>
    </xf>
    <xf numFmtId="0" fontId="7" fillId="0" borderId="0" applyFont="0" applyFill="0" applyBorder="0" applyAlignment="0" applyProtection="0">
      <alignment horizontal="center"/>
    </xf>
    <xf numFmtId="0" fontId="7" fillId="0" borderId="0" applyFont="0" applyFill="0" applyBorder="0" applyAlignment="0" applyProtection="0">
      <alignment horizontal="center"/>
    </xf>
    <xf numFmtId="0" fontId="7" fillId="0" borderId="0" applyFont="0" applyFill="0" applyBorder="0" applyAlignment="0" applyProtection="0">
      <alignment horizontal="center"/>
    </xf>
    <xf numFmtId="0" fontId="7" fillId="0" borderId="0" applyFont="0" applyFill="0" applyBorder="0" applyAlignment="0" applyProtection="0">
      <alignment horizontal="center"/>
    </xf>
    <xf numFmtId="0" fontId="7" fillId="0" borderId="0" applyFont="0" applyFill="0" applyBorder="0" applyAlignment="0" applyProtection="0">
      <alignment horizontal="center"/>
    </xf>
    <xf numFmtId="0" fontId="7" fillId="0" borderId="0" applyFont="0" applyFill="0" applyBorder="0" applyAlignment="0" applyProtection="0">
      <alignment horizontal="center"/>
    </xf>
    <xf numFmtId="0" fontId="7" fillId="0" borderId="0" applyFont="0" applyFill="0" applyBorder="0" applyAlignment="0" applyProtection="0">
      <alignment horizontal="center"/>
    </xf>
    <xf numFmtId="0" fontId="7" fillId="0" borderId="0" applyFont="0" applyFill="0" applyBorder="0" applyAlignment="0" applyProtection="0">
      <alignment horizontal="center"/>
    </xf>
    <xf numFmtId="0" fontId="7" fillId="0" borderId="0" applyFont="0" applyFill="0" applyBorder="0" applyAlignment="0" applyProtection="0">
      <alignment horizontal="center"/>
    </xf>
    <xf numFmtId="0" fontId="7" fillId="0" borderId="0" applyFont="0" applyFill="0" applyBorder="0" applyAlignment="0" applyProtection="0">
      <alignment horizontal="center"/>
    </xf>
    <xf numFmtId="0" fontId="7" fillId="0" borderId="0" applyFont="0" applyFill="0" applyBorder="0" applyAlignment="0" applyProtection="0">
      <alignment horizontal="center"/>
    </xf>
    <xf numFmtId="0" fontId="7" fillId="0" borderId="0" applyFont="0" applyFill="0" applyBorder="0" applyAlignment="0" applyProtection="0">
      <alignment horizontal="center"/>
    </xf>
    <xf numFmtId="0" fontId="7" fillId="0" borderId="0" applyFont="0" applyFill="0" applyBorder="0" applyAlignment="0" applyProtection="0">
      <alignment horizontal="center"/>
    </xf>
    <xf numFmtId="0" fontId="7" fillId="0" borderId="0" applyFont="0" applyFill="0" applyBorder="0" applyAlignment="0" applyProtection="0">
      <alignment horizontal="center"/>
    </xf>
    <xf numFmtId="0" fontId="7" fillId="0" borderId="0" applyFont="0" applyFill="0" applyBorder="0" applyAlignment="0" applyProtection="0">
      <alignment horizontal="center"/>
    </xf>
    <xf numFmtId="0" fontId="7" fillId="0" borderId="0" applyFont="0" applyFill="0" applyBorder="0" applyAlignment="0" applyProtection="0">
      <alignment horizontal="center"/>
    </xf>
    <xf numFmtId="0" fontId="7" fillId="0" borderId="0" applyFont="0" applyFill="0" applyBorder="0" applyAlignment="0" applyProtection="0">
      <alignment horizontal="center"/>
    </xf>
    <xf numFmtId="0" fontId="7" fillId="0" borderId="0" applyFont="0" applyFill="0" applyBorder="0" applyAlignment="0" applyProtection="0">
      <alignment horizontal="center"/>
    </xf>
    <xf numFmtId="0" fontId="7" fillId="0" borderId="0" applyFont="0" applyFill="0" applyBorder="0" applyAlignment="0" applyProtection="0">
      <alignment horizontal="center"/>
    </xf>
    <xf numFmtId="0" fontId="7" fillId="0" borderId="0" applyFont="0" applyFill="0" applyBorder="0" applyAlignment="0" applyProtection="0">
      <alignment horizontal="center"/>
    </xf>
    <xf numFmtId="0" fontId="7" fillId="0" borderId="0" applyFont="0" applyFill="0" applyBorder="0" applyAlignment="0" applyProtection="0">
      <alignment horizontal="center"/>
    </xf>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38" fontId="44" fillId="25" borderId="0" applyNumberFormat="0" applyBorder="0" applyAlignment="0" applyProtection="0"/>
    <xf numFmtId="38" fontId="44" fillId="25" borderId="0" applyNumberFormat="0" applyBorder="0" applyAlignment="0" applyProtection="0"/>
    <xf numFmtId="0" fontId="86" fillId="0" borderId="14" applyNumberFormat="0" applyAlignment="0" applyProtection="0">
      <alignment horizontal="left" vertical="center"/>
    </xf>
    <xf numFmtId="0" fontId="86" fillId="0" borderId="46">
      <alignment horizontal="left" vertical="center"/>
    </xf>
    <xf numFmtId="0" fontId="86" fillId="0" borderId="46">
      <alignment horizontal="left" vertical="center"/>
    </xf>
    <xf numFmtId="0" fontId="86" fillId="0" borderId="46">
      <alignment horizontal="left" vertical="center"/>
    </xf>
    <xf numFmtId="0" fontId="86" fillId="0" borderId="46">
      <alignment horizontal="left" vertical="center"/>
    </xf>
    <xf numFmtId="0" fontId="86" fillId="0" borderId="46">
      <alignment horizontal="left" vertical="center"/>
    </xf>
    <xf numFmtId="0" fontId="86" fillId="0" borderId="46">
      <alignment horizontal="left" vertical="center"/>
    </xf>
    <xf numFmtId="0" fontId="86" fillId="0" borderId="46">
      <alignment horizontal="left" vertical="center"/>
    </xf>
    <xf numFmtId="0" fontId="86" fillId="0" borderId="46">
      <alignment horizontal="left" vertical="center"/>
    </xf>
    <xf numFmtId="0" fontId="86" fillId="0" borderId="46">
      <alignment horizontal="left" vertical="center"/>
    </xf>
    <xf numFmtId="0" fontId="86" fillId="0" borderId="46">
      <alignment horizontal="left" vertical="center"/>
    </xf>
    <xf numFmtId="178" fontId="40" fillId="0" borderId="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87" fillId="0" borderId="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87" fillId="0" borderId="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7" fillId="0" borderId="48" applyNumberFormat="0" applyFill="0" applyAlignment="0" applyProtection="0"/>
    <xf numFmtId="0" fontId="77" fillId="0" borderId="48" applyNumberFormat="0" applyFill="0" applyAlignment="0" applyProtection="0"/>
    <xf numFmtId="0" fontId="77" fillId="0" borderId="48" applyNumberFormat="0" applyFill="0" applyAlignment="0" applyProtection="0"/>
    <xf numFmtId="0" fontId="77" fillId="0" borderId="48" applyNumberFormat="0" applyFill="0" applyAlignment="0" applyProtection="0"/>
    <xf numFmtId="0" fontId="77" fillId="0" borderId="48" applyNumberFormat="0" applyFill="0" applyAlignment="0" applyProtection="0"/>
    <xf numFmtId="0" fontId="77" fillId="0" borderId="48" applyNumberFormat="0" applyFill="0" applyAlignment="0" applyProtection="0"/>
    <xf numFmtId="0" fontId="77" fillId="0" borderId="48" applyNumberFormat="0" applyFill="0" applyAlignment="0" applyProtection="0"/>
    <xf numFmtId="0" fontId="77" fillId="0" borderId="48" applyNumberFormat="0" applyFill="0" applyAlignment="0" applyProtection="0"/>
    <xf numFmtId="0" fontId="77" fillId="0" borderId="48" applyNumberFormat="0" applyFill="0" applyAlignment="0" applyProtection="0"/>
    <xf numFmtId="0" fontId="77" fillId="0" borderId="48" applyNumberFormat="0" applyFill="0" applyAlignment="0" applyProtection="0"/>
    <xf numFmtId="0" fontId="77" fillId="0" borderId="48" applyNumberFormat="0" applyFill="0" applyAlignment="0" applyProtection="0"/>
    <xf numFmtId="0" fontId="77" fillId="0" borderId="48" applyNumberFormat="0" applyFill="0" applyAlignment="0" applyProtection="0"/>
    <xf numFmtId="0" fontId="88" fillId="0" borderId="0"/>
    <xf numFmtId="0" fontId="77" fillId="0" borderId="48" applyNumberFormat="0" applyFill="0" applyAlignment="0" applyProtection="0"/>
    <xf numFmtId="0" fontId="77" fillId="0" borderId="48" applyNumberFormat="0" applyFill="0" applyAlignment="0" applyProtection="0"/>
    <xf numFmtId="0" fontId="77" fillId="0" borderId="48" applyNumberFormat="0" applyFill="0" applyAlignment="0" applyProtection="0"/>
    <xf numFmtId="0" fontId="77" fillId="0" borderId="48" applyNumberFormat="0" applyFill="0" applyAlignment="0" applyProtection="0"/>
    <xf numFmtId="0" fontId="77" fillId="0" borderId="48" applyNumberFormat="0" applyFill="0" applyAlignment="0" applyProtection="0"/>
    <xf numFmtId="0" fontId="77" fillId="0" borderId="48" applyNumberFormat="0" applyFill="0" applyAlignment="0" applyProtection="0"/>
    <xf numFmtId="0" fontId="77" fillId="0" borderId="48" applyNumberFormat="0" applyFill="0" applyAlignment="0" applyProtection="0"/>
    <xf numFmtId="0" fontId="77" fillId="0" borderId="48" applyNumberFormat="0" applyFill="0" applyAlignment="0" applyProtection="0"/>
    <xf numFmtId="0" fontId="77" fillId="0" borderId="48" applyNumberFormat="0" applyFill="0" applyAlignment="0" applyProtection="0"/>
    <xf numFmtId="0" fontId="77" fillId="0" borderId="48" applyNumberFormat="0" applyFill="0" applyAlignment="0" applyProtection="0"/>
    <xf numFmtId="0" fontId="77" fillId="0" borderId="48" applyNumberFormat="0" applyFill="0" applyAlignment="0" applyProtection="0"/>
    <xf numFmtId="0" fontId="77" fillId="0" borderId="48" applyNumberFormat="0" applyFill="0" applyAlignment="0" applyProtection="0"/>
    <xf numFmtId="0" fontId="77" fillId="0" borderId="48" applyNumberFormat="0" applyFill="0" applyAlignment="0" applyProtection="0"/>
    <xf numFmtId="0" fontId="77" fillId="0" borderId="48" applyNumberFormat="0" applyFill="0" applyAlignment="0" applyProtection="0"/>
    <xf numFmtId="0" fontId="77" fillId="0" borderId="48" applyNumberFormat="0" applyFill="0" applyAlignment="0" applyProtection="0"/>
    <xf numFmtId="0" fontId="77" fillId="0" borderId="48" applyNumberFormat="0" applyFill="0" applyAlignment="0" applyProtection="0"/>
    <xf numFmtId="0" fontId="77" fillId="0" borderId="48" applyNumberFormat="0" applyFill="0" applyAlignment="0" applyProtection="0"/>
    <xf numFmtId="0" fontId="77" fillId="0" borderId="48" applyNumberFormat="0" applyFill="0" applyAlignment="0" applyProtection="0"/>
    <xf numFmtId="0" fontId="77" fillId="0" borderId="48" applyNumberFormat="0" applyFill="0" applyAlignment="0" applyProtection="0"/>
    <xf numFmtId="0" fontId="77" fillId="0" borderId="48" applyNumberFormat="0" applyFill="0" applyAlignment="0" applyProtection="0"/>
    <xf numFmtId="0" fontId="77" fillId="0" borderId="48" applyNumberFormat="0" applyFill="0" applyAlignment="0" applyProtection="0"/>
    <xf numFmtId="0" fontId="77" fillId="0" borderId="48" applyNumberFormat="0" applyFill="0" applyAlignment="0" applyProtection="0"/>
    <xf numFmtId="0" fontId="77" fillId="0" borderId="48" applyNumberFormat="0" applyFill="0" applyAlignment="0" applyProtection="0"/>
    <xf numFmtId="0" fontId="77" fillId="0" borderId="48" applyNumberFormat="0" applyFill="0" applyAlignment="0" applyProtection="0"/>
    <xf numFmtId="0" fontId="77" fillId="0" borderId="48" applyNumberFormat="0" applyFill="0" applyAlignment="0" applyProtection="0"/>
    <xf numFmtId="0" fontId="77" fillId="0" borderId="48" applyNumberFormat="0" applyFill="0" applyAlignment="0" applyProtection="0"/>
    <xf numFmtId="0" fontId="88" fillId="0" borderId="0"/>
    <xf numFmtId="0" fontId="77" fillId="0" borderId="48" applyNumberFormat="0" applyFill="0" applyAlignment="0" applyProtection="0"/>
    <xf numFmtId="0" fontId="77" fillId="0" borderId="48" applyNumberFormat="0" applyFill="0" applyAlignment="0" applyProtection="0"/>
    <xf numFmtId="0" fontId="77" fillId="0" borderId="48" applyNumberFormat="0" applyFill="0" applyAlignment="0" applyProtection="0"/>
    <xf numFmtId="0" fontId="77" fillId="0" borderId="48" applyNumberFormat="0" applyFill="0" applyAlignment="0" applyProtection="0"/>
    <xf numFmtId="0" fontId="77" fillId="0" borderId="48"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178" fontId="40" fillId="0" borderId="0"/>
    <xf numFmtId="178" fontId="40" fillId="0" borderId="0"/>
    <xf numFmtId="178" fontId="40" fillId="0" borderId="0"/>
    <xf numFmtId="178" fontId="40" fillId="0" borderId="0"/>
    <xf numFmtId="178" fontId="40" fillId="0" borderId="0"/>
    <xf numFmtId="0" fontId="89" fillId="0" borderId="0">
      <protection locked="0"/>
    </xf>
    <xf numFmtId="0" fontId="89" fillId="0" borderId="0">
      <protection locked="0"/>
    </xf>
    <xf numFmtId="0" fontId="89" fillId="0" borderId="0">
      <protection locked="0"/>
    </xf>
    <xf numFmtId="0" fontId="89" fillId="0" borderId="0">
      <protection locked="0"/>
    </xf>
    <xf numFmtId="0" fontId="89" fillId="0" borderId="0">
      <protection locked="0"/>
    </xf>
    <xf numFmtId="0" fontId="89" fillId="0" borderId="0">
      <protection locked="0"/>
    </xf>
    <xf numFmtId="0" fontId="89" fillId="0" borderId="0">
      <protection locked="0"/>
    </xf>
    <xf numFmtId="0" fontId="89" fillId="0" borderId="0">
      <protection locked="0"/>
    </xf>
    <xf numFmtId="0" fontId="89" fillId="0" borderId="0">
      <protection locked="0"/>
    </xf>
    <xf numFmtId="0" fontId="89" fillId="0" borderId="0">
      <protection locked="0"/>
    </xf>
    <xf numFmtId="0" fontId="89" fillId="0" borderId="0">
      <protection locked="0"/>
    </xf>
    <xf numFmtId="0" fontId="89" fillId="0" borderId="0">
      <protection locked="0"/>
    </xf>
    <xf numFmtId="0" fontId="90" fillId="0" borderId="0" applyNumberFormat="0" applyFill="0" applyBorder="0" applyAlignment="0" applyProtection="0">
      <alignment vertical="top"/>
      <protection locked="0"/>
    </xf>
    <xf numFmtId="0" fontId="99" fillId="0" borderId="0" applyNumberFormat="0" applyFill="0" applyBorder="0" applyAlignment="0" applyProtection="0">
      <alignment vertical="top"/>
      <protection locked="0"/>
    </xf>
    <xf numFmtId="0" fontId="78" fillId="7" borderId="1" applyNumberFormat="0" applyAlignment="0" applyProtection="0"/>
    <xf numFmtId="10" fontId="44" fillId="22" borderId="49" applyNumberFormat="0" applyBorder="0" applyAlignment="0" applyProtection="0"/>
    <xf numFmtId="10" fontId="44" fillId="22" borderId="49" applyNumberFormat="0" applyBorder="0" applyAlignment="0" applyProtection="0"/>
    <xf numFmtId="10" fontId="44" fillId="22" borderId="49" applyNumberFormat="0" applyBorder="0" applyAlignment="0" applyProtection="0"/>
    <xf numFmtId="10" fontId="44" fillId="22" borderId="49" applyNumberFormat="0" applyBorder="0" applyAlignment="0" applyProtection="0"/>
    <xf numFmtId="10" fontId="44" fillId="22" borderId="49" applyNumberFormat="0" applyBorder="0" applyAlignment="0" applyProtection="0"/>
    <xf numFmtId="10" fontId="44" fillId="22" borderId="49" applyNumberFormat="0" applyBorder="0" applyAlignment="0" applyProtection="0"/>
    <xf numFmtId="0" fontId="78" fillId="7" borderId="1" applyNumberFormat="0" applyAlignment="0" applyProtection="0"/>
    <xf numFmtId="0" fontId="78" fillId="7" borderId="1" applyNumberFormat="0" applyAlignment="0" applyProtection="0"/>
    <xf numFmtId="0" fontId="78" fillId="7" borderId="1" applyNumberFormat="0" applyAlignment="0" applyProtection="0"/>
    <xf numFmtId="0" fontId="78" fillId="7" borderId="1" applyNumberFormat="0" applyAlignment="0" applyProtection="0"/>
    <xf numFmtId="0" fontId="78" fillId="7" borderId="1" applyNumberFormat="0" applyAlignment="0" applyProtection="0"/>
    <xf numFmtId="0" fontId="78" fillId="7" borderId="1" applyNumberFormat="0" applyAlignment="0" applyProtection="0"/>
    <xf numFmtId="0" fontId="78" fillId="7" borderId="1" applyNumberFormat="0" applyAlignment="0" applyProtection="0"/>
    <xf numFmtId="0" fontId="78" fillId="7" borderId="1" applyNumberFormat="0" applyAlignment="0" applyProtection="0"/>
    <xf numFmtId="0" fontId="78" fillId="7" borderId="1" applyNumberFormat="0" applyAlignment="0" applyProtection="0"/>
    <xf numFmtId="0" fontId="78" fillId="7" borderId="1" applyNumberFormat="0" applyAlignment="0" applyProtection="0"/>
    <xf numFmtId="0" fontId="78" fillId="7" borderId="1" applyNumberFormat="0" applyAlignment="0" applyProtection="0"/>
    <xf numFmtId="0" fontId="78" fillId="7" borderId="1" applyNumberFormat="0" applyAlignment="0" applyProtection="0"/>
    <xf numFmtId="0" fontId="78" fillId="7" borderId="1" applyNumberFormat="0" applyAlignment="0" applyProtection="0"/>
    <xf numFmtId="0" fontId="78" fillId="7" borderId="1" applyNumberFormat="0" applyAlignment="0" applyProtection="0"/>
    <xf numFmtId="0" fontId="78" fillId="7" borderId="1" applyNumberFormat="0" applyAlignment="0" applyProtection="0"/>
    <xf numFmtId="0" fontId="78" fillId="7" borderId="1" applyNumberFormat="0" applyAlignment="0" applyProtection="0"/>
    <xf numFmtId="0" fontId="78" fillId="7" borderId="1" applyNumberFormat="0" applyAlignment="0" applyProtection="0"/>
    <xf numFmtId="0" fontId="78" fillId="7" borderId="1" applyNumberFormat="0" applyAlignment="0" applyProtection="0"/>
    <xf numFmtId="0" fontId="78" fillId="7" borderId="1" applyNumberFormat="0" applyAlignment="0" applyProtection="0"/>
    <xf numFmtId="0" fontId="78" fillId="7" borderId="1" applyNumberFormat="0" applyAlignment="0" applyProtection="0"/>
    <xf numFmtId="0" fontId="78" fillId="7" borderId="1" applyNumberFormat="0" applyAlignment="0" applyProtection="0"/>
    <xf numFmtId="0" fontId="78" fillId="7" borderId="1" applyNumberFormat="0" applyAlignment="0" applyProtection="0"/>
    <xf numFmtId="0" fontId="78" fillId="7" borderId="1" applyNumberFormat="0" applyAlignment="0" applyProtection="0"/>
    <xf numFmtId="0" fontId="78" fillId="7" borderId="1" applyNumberFormat="0" applyAlignment="0" applyProtection="0"/>
    <xf numFmtId="0" fontId="78" fillId="7" borderId="1" applyNumberFormat="0" applyAlignment="0" applyProtection="0"/>
    <xf numFmtId="0" fontId="78" fillId="7" borderId="1" applyNumberFormat="0" applyAlignment="0" applyProtection="0"/>
    <xf numFmtId="0" fontId="78" fillId="7" borderId="1" applyNumberFormat="0" applyAlignment="0" applyProtection="0"/>
    <xf numFmtId="0" fontId="78" fillId="7" borderId="1" applyNumberFormat="0" applyAlignment="0" applyProtection="0"/>
    <xf numFmtId="0" fontId="78" fillId="7" borderId="1" applyNumberFormat="0" applyAlignment="0" applyProtection="0"/>
    <xf numFmtId="0" fontId="78" fillId="7" borderId="1" applyNumberFormat="0" applyAlignment="0" applyProtection="0"/>
    <xf numFmtId="0" fontId="78" fillId="7" borderId="1" applyNumberFormat="0" applyAlignment="0" applyProtection="0"/>
    <xf numFmtId="0" fontId="78" fillId="7" borderId="1" applyNumberFormat="0" applyAlignment="0" applyProtection="0"/>
    <xf numFmtId="0" fontId="78" fillId="7" borderId="1" applyNumberFormat="0" applyAlignment="0" applyProtection="0"/>
    <xf numFmtId="0" fontId="78" fillId="7" borderId="1" applyNumberFormat="0" applyAlignment="0" applyProtection="0"/>
    <xf numFmtId="0" fontId="78" fillId="7" borderId="1" applyNumberFormat="0" applyAlignment="0" applyProtection="0"/>
    <xf numFmtId="0" fontId="78" fillId="7" borderId="1" applyNumberFormat="0" applyAlignment="0" applyProtection="0"/>
    <xf numFmtId="0" fontId="78" fillId="7" borderId="1" applyNumberFormat="0" applyAlignment="0" applyProtection="0"/>
    <xf numFmtId="0" fontId="78" fillId="7" borderId="1" applyNumberFormat="0" applyAlignment="0" applyProtection="0"/>
    <xf numFmtId="0" fontId="78" fillId="7" borderId="1" applyNumberFormat="0" applyAlignment="0" applyProtection="0"/>
    <xf numFmtId="0" fontId="78" fillId="7" borderId="1" applyNumberFormat="0" applyAlignment="0" applyProtection="0"/>
    <xf numFmtId="0" fontId="78" fillId="7" borderId="1" applyNumberFormat="0" applyAlignment="0" applyProtection="0"/>
    <xf numFmtId="0" fontId="78" fillId="7" borderId="1" applyNumberFormat="0" applyAlignment="0" applyProtection="0"/>
    <xf numFmtId="0" fontId="78" fillId="7" borderId="1" applyNumberFormat="0" applyAlignment="0" applyProtection="0"/>
    <xf numFmtId="0" fontId="78" fillId="7" borderId="1" applyNumberFormat="0" applyAlignment="0" applyProtection="0"/>
    <xf numFmtId="179" fontId="85" fillId="0" borderId="0">
      <alignment horizontal="justify"/>
    </xf>
    <xf numFmtId="179" fontId="85" fillId="0" borderId="0">
      <alignment horizontal="justify"/>
    </xf>
    <xf numFmtId="179" fontId="85" fillId="0" borderId="0">
      <alignment horizontal="justify"/>
    </xf>
    <xf numFmtId="179" fontId="85" fillId="0" borderId="0">
      <alignment horizontal="justify"/>
    </xf>
    <xf numFmtId="179" fontId="85" fillId="0" borderId="0">
      <alignment horizontal="justify"/>
    </xf>
    <xf numFmtId="179" fontId="85" fillId="0" borderId="0">
      <alignment horizontal="justify"/>
    </xf>
    <xf numFmtId="179" fontId="85" fillId="0" borderId="0">
      <alignment horizontal="justify"/>
    </xf>
    <xf numFmtId="179" fontId="85" fillId="0" borderId="0">
      <alignment horizontal="justify"/>
    </xf>
    <xf numFmtId="179" fontId="85" fillId="0" borderId="0">
      <alignment horizontal="justify"/>
    </xf>
    <xf numFmtId="179" fontId="85" fillId="0" borderId="0">
      <alignment horizontal="justify"/>
    </xf>
    <xf numFmtId="179" fontId="85" fillId="0" borderId="0">
      <alignment horizontal="justify"/>
    </xf>
    <xf numFmtId="179" fontId="85" fillId="0" borderId="0">
      <alignment horizontal="justify"/>
    </xf>
    <xf numFmtId="179" fontId="85" fillId="0" borderId="0">
      <alignment horizontal="justify"/>
    </xf>
    <xf numFmtId="179" fontId="85" fillId="0" borderId="0">
      <alignment horizontal="justify"/>
    </xf>
    <xf numFmtId="179" fontId="85" fillId="0" borderId="0">
      <alignment horizontal="justify"/>
    </xf>
    <xf numFmtId="179" fontId="85" fillId="0" borderId="0">
      <alignment horizontal="justify"/>
    </xf>
    <xf numFmtId="37" fontId="86" fillId="0" borderId="12" applyNumberFormat="0">
      <alignment horizontal="centerContinuous" wrapText="1"/>
    </xf>
    <xf numFmtId="37" fontId="86" fillId="0" borderId="12" applyNumberFormat="0">
      <alignment horizontal="centerContinuous" wrapText="1"/>
    </xf>
    <xf numFmtId="37" fontId="86" fillId="0" borderId="12" applyNumberFormat="0">
      <alignment horizontal="centerContinuous" wrapText="1"/>
    </xf>
    <xf numFmtId="37" fontId="86" fillId="0" borderId="12" applyNumberFormat="0">
      <alignment horizontal="centerContinuous" wrapText="1"/>
    </xf>
    <xf numFmtId="37" fontId="86" fillId="0" borderId="12" applyNumberFormat="0">
      <alignment horizontal="centerContinuous" wrapText="1"/>
    </xf>
    <xf numFmtId="37" fontId="86" fillId="0" borderId="12" applyNumberFormat="0">
      <alignment horizontal="centerContinuous" wrapText="1"/>
    </xf>
    <xf numFmtId="37" fontId="86" fillId="0" borderId="12" applyNumberFormat="0">
      <alignment horizontal="centerContinuous" wrapText="1"/>
    </xf>
    <xf numFmtId="37" fontId="86" fillId="0" borderId="12" applyNumberFormat="0">
      <alignment horizontal="centerContinuous" wrapText="1"/>
    </xf>
    <xf numFmtId="37" fontId="86" fillId="0" borderId="12" applyNumberFormat="0">
      <alignment horizontal="centerContinuous" wrapText="1"/>
    </xf>
    <xf numFmtId="37" fontId="86" fillId="0" borderId="12" applyNumberFormat="0">
      <alignment horizontal="centerContinuous" wrapText="1"/>
    </xf>
    <xf numFmtId="37" fontId="86" fillId="0" borderId="12" applyNumberFormat="0">
      <alignment horizontal="centerContinuous" wrapText="1"/>
    </xf>
    <xf numFmtId="37" fontId="86" fillId="0" borderId="12" applyNumberFormat="0">
      <alignment horizontal="centerContinuous" wrapText="1"/>
    </xf>
    <xf numFmtId="37" fontId="86" fillId="0" borderId="12" applyNumberFormat="0">
      <alignment horizontal="centerContinuous" wrapText="1"/>
    </xf>
    <xf numFmtId="37" fontId="86" fillId="0" borderId="12" applyNumberFormat="0">
      <alignment horizontal="centerContinuous" wrapText="1"/>
    </xf>
    <xf numFmtId="37" fontId="86" fillId="0" borderId="12" applyNumberFormat="0">
      <alignment horizontal="centerContinuous" wrapText="1"/>
    </xf>
    <xf numFmtId="37" fontId="86" fillId="0" borderId="12" applyNumberFormat="0">
      <alignment horizontal="centerContinuous" wrapText="1"/>
    </xf>
    <xf numFmtId="37" fontId="86" fillId="0" borderId="12" applyNumberFormat="0">
      <alignment horizontal="centerContinuous" wrapText="1"/>
    </xf>
    <xf numFmtId="37" fontId="86" fillId="0" borderId="12" applyNumberFormat="0">
      <alignment horizontal="centerContinuous" wrapText="1"/>
    </xf>
    <xf numFmtId="37" fontId="86" fillId="0" borderId="12" applyNumberFormat="0">
      <alignment horizontal="centerContinuous" wrapText="1"/>
    </xf>
    <xf numFmtId="37" fontId="86" fillId="0" borderId="12" applyNumberFormat="0">
      <alignment horizontal="centerContinuous" wrapText="1"/>
    </xf>
    <xf numFmtId="37" fontId="86" fillId="0" borderId="12" applyNumberFormat="0">
      <alignment horizontal="centerContinuous" wrapText="1"/>
    </xf>
    <xf numFmtId="37" fontId="86" fillId="0" borderId="12" applyNumberFormat="0">
      <alignment horizontal="centerContinuous" wrapText="1"/>
    </xf>
    <xf numFmtId="37" fontId="86" fillId="0" borderId="12" applyNumberFormat="0">
      <alignment horizontal="centerContinuous" wrapText="1"/>
    </xf>
    <xf numFmtId="37" fontId="86" fillId="0" borderId="12" applyNumberFormat="0">
      <alignment horizontal="centerContinuous" wrapText="1"/>
    </xf>
    <xf numFmtId="37" fontId="86" fillId="0" borderId="12" applyNumberFormat="0">
      <alignment horizontal="centerContinuous" wrapText="1"/>
    </xf>
    <xf numFmtId="37" fontId="86" fillId="0" borderId="12" applyNumberFormat="0">
      <alignment horizontal="centerContinuous" wrapText="1"/>
    </xf>
    <xf numFmtId="37" fontId="86" fillId="0" borderId="12" applyNumberFormat="0">
      <alignment horizontal="centerContinuous" wrapText="1"/>
    </xf>
    <xf numFmtId="37" fontId="86" fillId="0" borderId="12" applyNumberFormat="0">
      <alignment horizontal="centerContinuous" wrapText="1"/>
    </xf>
    <xf numFmtId="37" fontId="86" fillId="0" borderId="12" applyNumberFormat="0">
      <alignment horizontal="centerContinuous" wrapText="1"/>
    </xf>
    <xf numFmtId="37" fontId="86" fillId="0" borderId="12" applyNumberFormat="0">
      <alignment horizontal="centerContinuous" wrapText="1"/>
    </xf>
    <xf numFmtId="37" fontId="86" fillId="0" borderId="12" applyNumberFormat="0">
      <alignment horizontal="centerContinuous" wrapText="1"/>
    </xf>
    <xf numFmtId="37" fontId="86" fillId="0" borderId="12" applyNumberFormat="0">
      <alignment horizontal="centerContinuous" wrapText="1"/>
    </xf>
    <xf numFmtId="37" fontId="86" fillId="0" borderId="12" applyNumberFormat="0">
      <alignment horizontal="centerContinuous" wrapText="1"/>
    </xf>
    <xf numFmtId="37" fontId="86" fillId="0" borderId="12" applyNumberFormat="0">
      <alignment horizontal="centerContinuous" wrapText="1"/>
    </xf>
    <xf numFmtId="37" fontId="86" fillId="0" borderId="12" applyNumberFormat="0">
      <alignment horizontal="centerContinuous" wrapText="1"/>
    </xf>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37" fontId="91" fillId="0" borderId="0"/>
    <xf numFmtId="37" fontId="91" fillId="0" borderId="0"/>
    <xf numFmtId="37" fontId="91" fillId="0" borderId="0"/>
    <xf numFmtId="37" fontId="91" fillId="0" borderId="0"/>
    <xf numFmtId="37" fontId="91" fillId="0" borderId="0"/>
    <xf numFmtId="37" fontId="91" fillId="0" borderId="0"/>
    <xf numFmtId="0" fontId="9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10" fillId="0" borderId="0"/>
    <xf numFmtId="0" fontId="7"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10"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7" fillId="0" borderId="0"/>
    <xf numFmtId="0" fontId="7" fillId="0" borderId="0"/>
    <xf numFmtId="0" fontId="10" fillId="0" borderId="0"/>
    <xf numFmtId="0" fontId="10" fillId="0" borderId="0"/>
    <xf numFmtId="0" fontId="10" fillId="0" borderId="0"/>
    <xf numFmtId="0" fontId="10" fillId="0" borderId="0"/>
    <xf numFmtId="0" fontId="7" fillId="0" borderId="0"/>
    <xf numFmtId="0" fontId="10" fillId="0" borderId="0"/>
    <xf numFmtId="0" fontId="7" fillId="0" borderId="0"/>
    <xf numFmtId="0" fontId="10" fillId="0" borderId="0"/>
    <xf numFmtId="0" fontId="7" fillId="0" borderId="0"/>
    <xf numFmtId="0" fontId="10" fillId="0" borderId="0"/>
    <xf numFmtId="0" fontId="7"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0" fontId="79" fillId="20" borderId="7" applyNumberFormat="0" applyAlignment="0" applyProtection="0"/>
    <xf numFmtId="0" fontId="79" fillId="20" borderId="7" applyNumberFormat="0" applyAlignment="0" applyProtection="0"/>
    <xf numFmtId="0" fontId="79" fillId="20" borderId="7" applyNumberFormat="0" applyAlignment="0" applyProtection="0"/>
    <xf numFmtId="0" fontId="79" fillId="20" borderId="7" applyNumberFormat="0" applyAlignment="0" applyProtection="0"/>
    <xf numFmtId="0" fontId="79" fillId="20" borderId="7" applyNumberFormat="0" applyAlignment="0" applyProtection="0"/>
    <xf numFmtId="0" fontId="79" fillId="20" borderId="7" applyNumberFormat="0" applyAlignment="0" applyProtection="0"/>
    <xf numFmtId="0" fontId="79" fillId="20" borderId="7" applyNumberFormat="0" applyAlignment="0" applyProtection="0"/>
    <xf numFmtId="0" fontId="79" fillId="20" borderId="7" applyNumberFormat="0" applyAlignment="0" applyProtection="0"/>
    <xf numFmtId="0" fontId="79" fillId="20" borderId="7" applyNumberFormat="0" applyAlignment="0" applyProtection="0"/>
    <xf numFmtId="0" fontId="79" fillId="20" borderId="7" applyNumberFormat="0" applyAlignment="0" applyProtection="0"/>
    <xf numFmtId="0" fontId="79" fillId="20" borderId="7" applyNumberFormat="0" applyAlignment="0" applyProtection="0"/>
    <xf numFmtId="0" fontId="79" fillId="20" borderId="7" applyNumberFormat="0" applyAlignment="0" applyProtection="0"/>
    <xf numFmtId="0" fontId="79" fillId="20" borderId="7" applyNumberFormat="0" applyAlignment="0" applyProtection="0"/>
    <xf numFmtId="0" fontId="79" fillId="20" borderId="7" applyNumberFormat="0" applyAlignment="0" applyProtection="0"/>
    <xf numFmtId="0" fontId="79" fillId="20" borderId="7" applyNumberFormat="0" applyAlignment="0" applyProtection="0"/>
    <xf numFmtId="0" fontId="79" fillId="20" borderId="7" applyNumberFormat="0" applyAlignment="0" applyProtection="0"/>
    <xf numFmtId="0" fontId="79" fillId="20" borderId="7" applyNumberFormat="0" applyAlignment="0" applyProtection="0"/>
    <xf numFmtId="0" fontId="79" fillId="20" borderId="7" applyNumberFormat="0" applyAlignment="0" applyProtection="0"/>
    <xf numFmtId="0" fontId="79" fillId="20" borderId="7" applyNumberFormat="0" applyAlignment="0" applyProtection="0"/>
    <xf numFmtId="0" fontId="79" fillId="20" borderId="7" applyNumberFormat="0" applyAlignment="0" applyProtection="0"/>
    <xf numFmtId="0" fontId="79" fillId="20" borderId="7" applyNumberFormat="0" applyAlignment="0" applyProtection="0"/>
    <xf numFmtId="0" fontId="79" fillId="20" borderId="7" applyNumberFormat="0" applyAlignment="0" applyProtection="0"/>
    <xf numFmtId="0" fontId="79" fillId="20" borderId="7" applyNumberFormat="0" applyAlignment="0" applyProtection="0"/>
    <xf numFmtId="0" fontId="79" fillId="20" borderId="7" applyNumberFormat="0" applyAlignment="0" applyProtection="0"/>
    <xf numFmtId="0" fontId="79" fillId="20" borderId="7" applyNumberFormat="0" applyAlignment="0" applyProtection="0"/>
    <xf numFmtId="0" fontId="79" fillId="20" borderId="7" applyNumberFormat="0" applyAlignment="0" applyProtection="0"/>
    <xf numFmtId="0" fontId="79" fillId="20" borderId="7" applyNumberFormat="0" applyAlignment="0" applyProtection="0"/>
    <xf numFmtId="0" fontId="79" fillId="20" borderId="7" applyNumberFormat="0" applyAlignment="0" applyProtection="0"/>
    <xf numFmtId="0" fontId="79" fillId="20" borderId="7" applyNumberFormat="0" applyAlignment="0" applyProtection="0"/>
    <xf numFmtId="0" fontId="79" fillId="20" borderId="7" applyNumberFormat="0" applyAlignment="0" applyProtection="0"/>
    <xf numFmtId="0" fontId="79" fillId="20" borderId="7" applyNumberFormat="0" applyAlignment="0" applyProtection="0"/>
    <xf numFmtId="0" fontId="79" fillId="20" borderId="7" applyNumberFormat="0" applyAlignment="0" applyProtection="0"/>
    <xf numFmtId="0" fontId="79" fillId="20" borderId="7" applyNumberFormat="0" applyAlignment="0" applyProtection="0"/>
    <xf numFmtId="0" fontId="79" fillId="20" borderId="7" applyNumberFormat="0" applyAlignment="0" applyProtection="0"/>
    <xf numFmtId="0" fontId="79" fillId="20" borderId="7" applyNumberFormat="0" applyAlignment="0" applyProtection="0"/>
    <xf numFmtId="0" fontId="79" fillId="20" borderId="7" applyNumberFormat="0" applyAlignment="0" applyProtection="0"/>
    <xf numFmtId="0" fontId="79" fillId="20" borderId="7" applyNumberFormat="0" applyAlignment="0" applyProtection="0"/>
    <xf numFmtId="0" fontId="79" fillId="20" borderId="7" applyNumberFormat="0" applyAlignment="0" applyProtection="0"/>
    <xf numFmtId="0" fontId="79" fillId="20" borderId="7" applyNumberFormat="0" applyAlignment="0" applyProtection="0"/>
    <xf numFmtId="0" fontId="79" fillId="20" borderId="7" applyNumberFormat="0" applyAlignment="0" applyProtection="0"/>
    <xf numFmtId="0" fontId="79" fillId="20" borderId="7" applyNumberFormat="0" applyAlignment="0" applyProtection="0"/>
    <xf numFmtId="0" fontId="79" fillId="20" borderId="7" applyNumberFormat="0" applyAlignment="0" applyProtection="0"/>
    <xf numFmtId="0" fontId="79" fillId="20" borderId="7" applyNumberFormat="0" applyAlignment="0" applyProtection="0"/>
    <xf numFmtId="0" fontId="79" fillId="20" borderId="7" applyNumberFormat="0" applyAlignment="0" applyProtection="0"/>
    <xf numFmtId="164" fontId="93" fillId="0" borderId="0"/>
    <xf numFmtId="164" fontId="93" fillId="0" borderId="0"/>
    <xf numFmtId="164" fontId="93" fillId="0" borderId="0"/>
    <xf numFmtId="164" fontId="93" fillId="0" borderId="0"/>
    <xf numFmtId="164" fontId="93" fillId="0" borderId="0"/>
    <xf numFmtId="164" fontId="93" fillId="0" borderId="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78" fontId="94" fillId="0" borderId="0">
      <alignment horizontal="left"/>
    </xf>
    <xf numFmtId="0" fontId="82" fillId="0" borderId="0" applyNumberFormat="0" applyFont="0" applyFill="0" applyBorder="0" applyAlignment="0" applyProtection="0">
      <alignment horizontal="left"/>
    </xf>
    <xf numFmtId="0" fontId="82" fillId="0" borderId="0" applyNumberFormat="0" applyFont="0" applyFill="0" applyBorder="0" applyAlignment="0" applyProtection="0">
      <alignment horizontal="left"/>
    </xf>
    <xf numFmtId="0" fontId="82" fillId="0" borderId="0" applyNumberFormat="0" applyFont="0" applyFill="0" applyBorder="0" applyAlignment="0" applyProtection="0">
      <alignment horizontal="left"/>
    </xf>
    <xf numFmtId="0" fontId="82" fillId="0" borderId="0" applyNumberFormat="0" applyFont="0" applyFill="0" applyBorder="0" applyAlignment="0" applyProtection="0">
      <alignment horizontal="left"/>
    </xf>
    <xf numFmtId="0" fontId="82" fillId="0" borderId="0" applyNumberFormat="0" applyFont="0" applyFill="0" applyBorder="0" applyAlignment="0" applyProtection="0">
      <alignment horizontal="left"/>
    </xf>
    <xf numFmtId="0" fontId="82" fillId="0" borderId="0" applyNumberFormat="0" applyFont="0" applyFill="0" applyBorder="0" applyAlignment="0" applyProtection="0">
      <alignment horizontal="left"/>
    </xf>
    <xf numFmtId="0" fontId="82" fillId="0" borderId="0" applyNumberFormat="0" applyFont="0" applyFill="0" applyBorder="0" applyAlignment="0" applyProtection="0">
      <alignment horizontal="left"/>
    </xf>
    <xf numFmtId="0" fontId="82" fillId="0" borderId="0" applyNumberFormat="0" applyFont="0" applyFill="0" applyBorder="0" applyAlignment="0" applyProtection="0">
      <alignment horizontal="left"/>
    </xf>
    <xf numFmtId="0" fontId="82" fillId="0" borderId="0" applyNumberFormat="0" applyFont="0" applyFill="0" applyBorder="0" applyAlignment="0" applyProtection="0">
      <alignment horizontal="left"/>
    </xf>
    <xf numFmtId="0" fontId="82" fillId="0" borderId="0" applyNumberFormat="0" applyFont="0" applyFill="0" applyBorder="0" applyAlignment="0" applyProtection="0">
      <alignment horizontal="left"/>
    </xf>
    <xf numFmtId="0" fontId="82" fillId="0" borderId="0" applyNumberFormat="0" applyFont="0" applyFill="0" applyBorder="0" applyAlignment="0" applyProtection="0">
      <alignment horizontal="left"/>
    </xf>
    <xf numFmtId="0" fontId="82" fillId="0" borderId="0" applyNumberFormat="0" applyFont="0" applyFill="0" applyBorder="0" applyAlignment="0" applyProtection="0">
      <alignment horizontal="left"/>
    </xf>
    <xf numFmtId="0" fontId="82" fillId="0" borderId="0" applyNumberFormat="0" applyFont="0" applyFill="0" applyBorder="0" applyAlignment="0" applyProtection="0">
      <alignment horizontal="left"/>
    </xf>
    <xf numFmtId="15" fontId="82" fillId="0" borderId="0" applyFont="0" applyFill="0" applyBorder="0" applyAlignment="0" applyProtection="0"/>
    <xf numFmtId="15" fontId="82" fillId="0" borderId="0" applyFont="0" applyFill="0" applyBorder="0" applyAlignment="0" applyProtection="0"/>
    <xf numFmtId="15" fontId="82" fillId="0" borderId="0" applyFont="0" applyFill="0" applyBorder="0" applyAlignment="0" applyProtection="0"/>
    <xf numFmtId="15" fontId="82" fillId="0" borderId="0" applyFont="0" applyFill="0" applyBorder="0" applyAlignment="0" applyProtection="0"/>
    <xf numFmtId="15" fontId="82" fillId="0" borderId="0" applyFont="0" applyFill="0" applyBorder="0" applyAlignment="0" applyProtection="0"/>
    <xf numFmtId="15" fontId="82" fillId="0" borderId="0" applyFont="0" applyFill="0" applyBorder="0" applyAlignment="0" applyProtection="0"/>
    <xf numFmtId="15" fontId="82" fillId="0" borderId="0" applyFont="0" applyFill="0" applyBorder="0" applyAlignment="0" applyProtection="0"/>
    <xf numFmtId="15" fontId="82" fillId="0" borderId="0" applyFont="0" applyFill="0" applyBorder="0" applyAlignment="0" applyProtection="0"/>
    <xf numFmtId="15" fontId="82" fillId="0" borderId="0" applyFont="0" applyFill="0" applyBorder="0" applyAlignment="0" applyProtection="0"/>
    <xf numFmtId="15" fontId="82" fillId="0" borderId="0" applyFont="0" applyFill="0" applyBorder="0" applyAlignment="0" applyProtection="0"/>
    <xf numFmtId="15" fontId="82" fillId="0" borderId="0" applyFont="0" applyFill="0" applyBorder="0" applyAlignment="0" applyProtection="0"/>
    <xf numFmtId="15" fontId="82" fillId="0" borderId="0" applyFont="0" applyFill="0" applyBorder="0" applyAlignment="0" applyProtection="0"/>
    <xf numFmtId="15" fontId="82" fillId="0" borderId="0" applyFont="0" applyFill="0" applyBorder="0" applyAlignment="0" applyProtection="0"/>
    <xf numFmtId="4" fontId="82" fillId="0" borderId="0" applyFont="0" applyFill="0" applyBorder="0" applyAlignment="0" applyProtection="0"/>
    <xf numFmtId="4" fontId="82" fillId="0" borderId="0" applyFont="0" applyFill="0" applyBorder="0" applyAlignment="0" applyProtection="0"/>
    <xf numFmtId="4" fontId="82" fillId="0" borderId="0" applyFont="0" applyFill="0" applyBorder="0" applyAlignment="0" applyProtection="0"/>
    <xf numFmtId="4" fontId="82" fillId="0" borderId="0" applyFont="0" applyFill="0" applyBorder="0" applyAlignment="0" applyProtection="0"/>
    <xf numFmtId="4" fontId="82" fillId="0" borderId="0" applyFont="0" applyFill="0" applyBorder="0" applyAlignment="0" applyProtection="0"/>
    <xf numFmtId="4" fontId="82" fillId="0" borderId="0" applyFont="0" applyFill="0" applyBorder="0" applyAlignment="0" applyProtection="0"/>
    <xf numFmtId="4" fontId="82" fillId="0" borderId="0" applyFont="0" applyFill="0" applyBorder="0" applyAlignment="0" applyProtection="0"/>
    <xf numFmtId="4" fontId="82" fillId="0" borderId="0" applyFont="0" applyFill="0" applyBorder="0" applyAlignment="0" applyProtection="0"/>
    <xf numFmtId="4" fontId="82" fillId="0" borderId="0" applyFont="0" applyFill="0" applyBorder="0" applyAlignment="0" applyProtection="0"/>
    <xf numFmtId="4" fontId="82" fillId="0" borderId="0" applyFont="0" applyFill="0" applyBorder="0" applyAlignment="0" applyProtection="0"/>
    <xf numFmtId="4" fontId="82" fillId="0" borderId="0" applyFont="0" applyFill="0" applyBorder="0" applyAlignment="0" applyProtection="0"/>
    <xf numFmtId="4" fontId="82" fillId="0" borderId="0" applyFont="0" applyFill="0" applyBorder="0" applyAlignment="0" applyProtection="0"/>
    <xf numFmtId="4" fontId="82" fillId="0" borderId="0" applyFont="0" applyFill="0" applyBorder="0" applyAlignment="0" applyProtection="0"/>
    <xf numFmtId="0" fontId="95" fillId="0" borderId="50">
      <alignment horizontal="center"/>
    </xf>
    <xf numFmtId="0" fontId="95" fillId="0" borderId="50">
      <alignment horizontal="center"/>
    </xf>
    <xf numFmtId="0" fontId="95" fillId="0" borderId="50">
      <alignment horizontal="center"/>
    </xf>
    <xf numFmtId="0" fontId="95" fillId="0" borderId="50">
      <alignment horizontal="center"/>
    </xf>
    <xf numFmtId="0" fontId="95" fillId="0" borderId="50">
      <alignment horizontal="center"/>
    </xf>
    <xf numFmtId="0" fontId="95" fillId="0" borderId="50">
      <alignment horizontal="center"/>
    </xf>
    <xf numFmtId="3" fontId="82" fillId="0" borderId="0" applyFont="0" applyFill="0" applyBorder="0" applyAlignment="0" applyProtection="0"/>
    <xf numFmtId="3" fontId="82" fillId="0" borderId="0" applyFont="0" applyFill="0" applyBorder="0" applyAlignment="0" applyProtection="0"/>
    <xf numFmtId="3" fontId="82" fillId="0" borderId="0" applyFont="0" applyFill="0" applyBorder="0" applyAlignment="0" applyProtection="0"/>
    <xf numFmtId="3" fontId="82" fillId="0" borderId="0" applyFont="0" applyFill="0" applyBorder="0" applyAlignment="0" applyProtection="0"/>
    <xf numFmtId="3" fontId="82" fillId="0" borderId="0" applyFont="0" applyFill="0" applyBorder="0" applyAlignment="0" applyProtection="0"/>
    <xf numFmtId="3" fontId="82" fillId="0" borderId="0" applyFont="0" applyFill="0" applyBorder="0" applyAlignment="0" applyProtection="0"/>
    <xf numFmtId="3" fontId="82" fillId="0" borderId="0" applyFont="0" applyFill="0" applyBorder="0" applyAlignment="0" applyProtection="0"/>
    <xf numFmtId="3" fontId="82" fillId="0" borderId="0" applyFont="0" applyFill="0" applyBorder="0" applyAlignment="0" applyProtection="0"/>
    <xf numFmtId="3" fontId="82" fillId="0" borderId="0" applyFont="0" applyFill="0" applyBorder="0" applyAlignment="0" applyProtection="0"/>
    <xf numFmtId="3" fontId="82" fillId="0" borderId="0" applyFont="0" applyFill="0" applyBorder="0" applyAlignment="0" applyProtection="0"/>
    <xf numFmtId="3" fontId="82" fillId="0" borderId="0" applyFont="0" applyFill="0" applyBorder="0" applyAlignment="0" applyProtection="0"/>
    <xf numFmtId="3" fontId="82" fillId="0" borderId="0" applyFont="0" applyFill="0" applyBorder="0" applyAlignment="0" applyProtection="0"/>
    <xf numFmtId="3" fontId="82" fillId="0" borderId="0" applyFont="0" applyFill="0" applyBorder="0" applyAlignment="0" applyProtection="0"/>
    <xf numFmtId="0" fontId="82" fillId="35" borderId="0" applyNumberFormat="0" applyFont="0" applyBorder="0" applyAlignment="0" applyProtection="0"/>
    <xf numFmtId="0" fontId="82" fillId="35" borderId="0" applyNumberFormat="0" applyFont="0" applyBorder="0" applyAlignment="0" applyProtection="0"/>
    <xf numFmtId="0" fontId="82" fillId="35" borderId="0" applyNumberFormat="0" applyFont="0" applyBorder="0" applyAlignment="0" applyProtection="0"/>
    <xf numFmtId="0" fontId="82" fillId="35" borderId="0" applyNumberFormat="0" applyFont="0" applyBorder="0" applyAlignment="0" applyProtection="0"/>
    <xf numFmtId="0" fontId="82" fillId="35" borderId="0" applyNumberFormat="0" applyFont="0" applyBorder="0" applyAlignment="0" applyProtection="0"/>
    <xf numFmtId="0" fontId="82" fillId="35" borderId="0" applyNumberFormat="0" applyFont="0" applyBorder="0" applyAlignment="0" applyProtection="0"/>
    <xf numFmtId="0" fontId="82" fillId="35" borderId="0" applyNumberFormat="0" applyFont="0" applyBorder="0" applyAlignment="0" applyProtection="0"/>
    <xf numFmtId="0" fontId="82" fillId="35" borderId="0" applyNumberFormat="0" applyFont="0" applyBorder="0" applyAlignment="0" applyProtection="0"/>
    <xf numFmtId="0" fontId="82" fillId="35" borderId="0" applyNumberFormat="0" applyFont="0" applyBorder="0" applyAlignment="0" applyProtection="0"/>
    <xf numFmtId="0" fontId="82" fillId="35" borderId="0" applyNumberFormat="0" applyFont="0" applyBorder="0" applyAlignment="0" applyProtection="0"/>
    <xf numFmtId="0" fontId="82" fillId="35" borderId="0" applyNumberFormat="0" applyFont="0" applyBorder="0" applyAlignment="0" applyProtection="0"/>
    <xf numFmtId="0" fontId="82" fillId="35" borderId="0" applyNumberFormat="0" applyFont="0" applyBorder="0" applyAlignment="0" applyProtection="0"/>
    <xf numFmtId="0" fontId="82" fillId="35" borderId="0" applyNumberFormat="0" applyFont="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1"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2"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3"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4" applyNumberFormat="0" applyFont="0" applyFill="0" applyAlignment="0" applyProtection="0"/>
    <xf numFmtId="0" fontId="7" fillId="0" borderId="55" applyNumberFormat="0" applyFont="0" applyFill="0" applyAlignment="0" applyProtection="0"/>
    <xf numFmtId="0" fontId="7" fillId="0" borderId="55" applyNumberFormat="0" applyFont="0" applyFill="0" applyAlignment="0" applyProtection="0"/>
    <xf numFmtId="0" fontId="7" fillId="0" borderId="55" applyNumberFormat="0" applyFont="0" applyFill="0" applyAlignment="0" applyProtection="0"/>
    <xf numFmtId="0" fontId="7" fillId="0" borderId="55" applyNumberFormat="0" applyFont="0" applyFill="0" applyAlignment="0" applyProtection="0"/>
    <xf numFmtId="0" fontId="7" fillId="0" borderId="55" applyNumberFormat="0" applyFont="0" applyFill="0" applyAlignment="0" applyProtection="0"/>
    <xf numFmtId="0" fontId="7" fillId="0" borderId="55" applyNumberFormat="0" applyFont="0" applyFill="0" applyAlignment="0" applyProtection="0"/>
    <xf numFmtId="0" fontId="7" fillId="0" borderId="55" applyNumberFormat="0" applyFont="0" applyFill="0" applyAlignment="0" applyProtection="0"/>
    <xf numFmtId="0" fontId="7" fillId="0" borderId="55" applyNumberFormat="0" applyFont="0" applyFill="0" applyAlignment="0" applyProtection="0"/>
    <xf numFmtId="0" fontId="7" fillId="0" borderId="55" applyNumberFormat="0" applyFont="0" applyFill="0" applyAlignment="0" applyProtection="0"/>
    <xf numFmtId="0" fontId="7" fillId="0" borderId="55" applyNumberFormat="0" applyFont="0" applyFill="0" applyAlignment="0" applyProtection="0"/>
    <xf numFmtId="0" fontId="7" fillId="0" borderId="55" applyNumberFormat="0" applyFont="0" applyFill="0" applyAlignment="0" applyProtection="0"/>
    <xf numFmtId="0" fontId="7" fillId="0" borderId="55" applyNumberFormat="0" applyFont="0" applyFill="0" applyAlignment="0" applyProtection="0"/>
    <xf numFmtId="0" fontId="7" fillId="0" borderId="55" applyNumberFormat="0" applyFont="0" applyFill="0" applyAlignment="0" applyProtection="0"/>
    <xf numFmtId="0" fontId="7" fillId="0" borderId="55" applyNumberFormat="0" applyFont="0" applyFill="0" applyAlignment="0" applyProtection="0"/>
    <xf numFmtId="0" fontId="7" fillId="0" borderId="55" applyNumberFormat="0" applyFont="0" applyFill="0" applyAlignment="0" applyProtection="0"/>
    <xf numFmtId="0" fontId="7" fillId="0" borderId="55" applyNumberFormat="0" applyFont="0" applyFill="0" applyAlignment="0" applyProtection="0"/>
    <xf numFmtId="0" fontId="7" fillId="0" borderId="55" applyNumberFormat="0" applyFont="0" applyFill="0" applyAlignment="0" applyProtection="0"/>
    <xf numFmtId="0" fontId="7" fillId="0" borderId="55" applyNumberFormat="0" applyFont="0" applyFill="0" applyAlignment="0" applyProtection="0"/>
    <xf numFmtId="0" fontId="7" fillId="0" borderId="55" applyNumberFormat="0" applyFont="0" applyFill="0" applyAlignment="0" applyProtection="0"/>
    <xf numFmtId="0" fontId="7" fillId="0" borderId="55" applyNumberFormat="0" applyFont="0" applyFill="0" applyAlignment="0" applyProtection="0"/>
    <xf numFmtId="0" fontId="7" fillId="0" borderId="55" applyNumberFormat="0" applyFont="0" applyFill="0" applyAlignment="0" applyProtection="0"/>
    <xf numFmtId="0" fontId="7" fillId="0" borderId="55" applyNumberFormat="0" applyFont="0" applyFill="0" applyAlignment="0" applyProtection="0"/>
    <xf numFmtId="0" fontId="7" fillId="0" borderId="55" applyNumberFormat="0" applyFont="0" applyFill="0" applyAlignment="0" applyProtection="0"/>
    <xf numFmtId="0" fontId="7" fillId="0" borderId="55" applyNumberFormat="0" applyFont="0" applyFill="0" applyAlignment="0" applyProtection="0"/>
    <xf numFmtId="0" fontId="7" fillId="0" borderId="55" applyNumberFormat="0" applyFont="0" applyFill="0" applyAlignment="0" applyProtection="0"/>
    <xf numFmtId="0" fontId="7" fillId="0" borderId="55" applyNumberFormat="0" applyFont="0" applyFill="0" applyAlignment="0" applyProtection="0"/>
    <xf numFmtId="0" fontId="7" fillId="0" borderId="55" applyNumberFormat="0" applyFont="0" applyFill="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0" borderId="56" applyNumberFormat="0" applyFont="0" applyFill="0" applyAlignment="0" applyProtection="0"/>
    <xf numFmtId="0" fontId="7" fillId="0" borderId="56" applyNumberFormat="0" applyFont="0" applyFill="0" applyAlignment="0" applyProtection="0"/>
    <xf numFmtId="0" fontId="7" fillId="0" borderId="56" applyNumberFormat="0" applyFont="0" applyFill="0" applyAlignment="0" applyProtection="0"/>
    <xf numFmtId="0" fontId="7" fillId="0" borderId="56" applyNumberFormat="0" applyFont="0" applyFill="0" applyAlignment="0" applyProtection="0"/>
    <xf numFmtId="0" fontId="7" fillId="0" borderId="56" applyNumberFormat="0" applyFont="0" applyFill="0" applyAlignment="0" applyProtection="0"/>
    <xf numFmtId="0" fontId="7" fillId="0" borderId="56" applyNumberFormat="0" applyFont="0" applyFill="0" applyAlignment="0" applyProtection="0"/>
    <xf numFmtId="0" fontId="7" fillId="0" borderId="56" applyNumberFormat="0" applyFont="0" applyFill="0" applyAlignment="0" applyProtection="0"/>
    <xf numFmtId="0" fontId="7" fillId="0" borderId="56" applyNumberFormat="0" applyFont="0" applyFill="0" applyAlignment="0" applyProtection="0"/>
    <xf numFmtId="0" fontId="7" fillId="0" borderId="56" applyNumberFormat="0" applyFont="0" applyFill="0" applyAlignment="0" applyProtection="0"/>
    <xf numFmtId="0" fontId="7" fillId="0" borderId="56" applyNumberFormat="0" applyFont="0" applyFill="0" applyAlignment="0" applyProtection="0"/>
    <xf numFmtId="0" fontId="7" fillId="0" borderId="56" applyNumberFormat="0" applyFont="0" applyFill="0" applyAlignment="0" applyProtection="0"/>
    <xf numFmtId="0" fontId="7" fillId="0" borderId="56" applyNumberFormat="0" applyFont="0" applyFill="0" applyAlignment="0" applyProtection="0"/>
    <xf numFmtId="0" fontId="7" fillId="0" borderId="56" applyNumberFormat="0" applyFont="0" applyFill="0" applyAlignment="0" applyProtection="0"/>
    <xf numFmtId="0" fontId="7" fillId="0" borderId="56" applyNumberFormat="0" applyFont="0" applyFill="0" applyAlignment="0" applyProtection="0"/>
    <xf numFmtId="0" fontId="7" fillId="0" borderId="56" applyNumberFormat="0" applyFont="0" applyFill="0" applyAlignment="0" applyProtection="0"/>
    <xf numFmtId="0" fontId="7" fillId="0" borderId="56" applyNumberFormat="0" applyFont="0" applyFill="0" applyAlignment="0" applyProtection="0"/>
    <xf numFmtId="0" fontId="7" fillId="0" borderId="56" applyNumberFormat="0" applyFont="0" applyFill="0" applyAlignment="0" applyProtection="0"/>
    <xf numFmtId="0" fontId="7" fillId="0" borderId="56" applyNumberFormat="0" applyFont="0" applyFill="0" applyAlignment="0" applyProtection="0"/>
    <xf numFmtId="0" fontId="7" fillId="0" borderId="56" applyNumberFormat="0" applyFont="0" applyFill="0" applyAlignment="0" applyProtection="0"/>
    <xf numFmtId="0" fontId="7" fillId="0" borderId="56" applyNumberFormat="0" applyFont="0" applyFill="0" applyAlignment="0" applyProtection="0"/>
    <xf numFmtId="0" fontId="7" fillId="0" borderId="56" applyNumberFormat="0" applyFont="0" applyFill="0" applyAlignment="0" applyProtection="0"/>
    <xf numFmtId="0" fontId="7" fillId="0" borderId="56" applyNumberFormat="0" applyFont="0" applyFill="0" applyAlignment="0" applyProtection="0"/>
    <xf numFmtId="0" fontId="7" fillId="0" borderId="56" applyNumberFormat="0" applyFont="0" applyFill="0" applyAlignment="0" applyProtection="0"/>
    <xf numFmtId="0" fontId="7" fillId="0" borderId="56" applyNumberFormat="0" applyFont="0" applyFill="0" applyAlignment="0" applyProtection="0"/>
    <xf numFmtId="0" fontId="7" fillId="0" borderId="56" applyNumberFormat="0" applyFont="0" applyFill="0" applyAlignment="0" applyProtection="0"/>
    <xf numFmtId="0" fontId="7" fillId="0" borderId="56" applyNumberFormat="0" applyFont="0" applyFill="0" applyAlignment="0" applyProtection="0"/>
    <xf numFmtId="0" fontId="7" fillId="0" borderId="56" applyNumberFormat="0" applyFont="0" applyFill="0" applyAlignment="0" applyProtection="0"/>
    <xf numFmtId="0" fontId="7" fillId="0" borderId="57" applyNumberFormat="0" applyFont="0" applyFill="0" applyAlignment="0" applyProtection="0"/>
    <xf numFmtId="0" fontId="7" fillId="0" borderId="57" applyNumberFormat="0" applyFont="0" applyFill="0" applyAlignment="0" applyProtection="0"/>
    <xf numFmtId="0" fontId="7" fillId="0" borderId="57" applyNumberFormat="0" applyFont="0" applyFill="0" applyAlignment="0" applyProtection="0"/>
    <xf numFmtId="0" fontId="7" fillId="0" borderId="57" applyNumberFormat="0" applyFont="0" applyFill="0" applyAlignment="0" applyProtection="0"/>
    <xf numFmtId="0" fontId="7" fillId="0" borderId="57" applyNumberFormat="0" applyFont="0" applyFill="0" applyAlignment="0" applyProtection="0"/>
    <xf numFmtId="0" fontId="7" fillId="0" borderId="57" applyNumberFormat="0" applyFont="0" applyFill="0" applyAlignment="0" applyProtection="0"/>
    <xf numFmtId="0" fontId="7" fillId="0" borderId="57" applyNumberFormat="0" applyFont="0" applyFill="0" applyAlignment="0" applyProtection="0"/>
    <xf numFmtId="0" fontId="7" fillId="0" borderId="57" applyNumberFormat="0" applyFont="0" applyFill="0" applyAlignment="0" applyProtection="0"/>
    <xf numFmtId="0" fontId="7" fillId="0" borderId="57" applyNumberFormat="0" applyFont="0" applyFill="0" applyAlignment="0" applyProtection="0"/>
    <xf numFmtId="0" fontId="7" fillId="0" borderId="57" applyNumberFormat="0" applyFont="0" applyFill="0" applyAlignment="0" applyProtection="0"/>
    <xf numFmtId="0" fontId="7" fillId="0" borderId="57" applyNumberFormat="0" applyFont="0" applyFill="0" applyAlignment="0" applyProtection="0"/>
    <xf numFmtId="0" fontId="7" fillId="0" borderId="57" applyNumberFormat="0" applyFont="0" applyFill="0" applyAlignment="0" applyProtection="0"/>
    <xf numFmtId="0" fontId="7" fillId="0" borderId="57" applyNumberFormat="0" applyFont="0" applyFill="0" applyAlignment="0" applyProtection="0"/>
    <xf numFmtId="0" fontId="7" fillId="0" borderId="57" applyNumberFormat="0" applyFont="0" applyFill="0" applyAlignment="0" applyProtection="0"/>
    <xf numFmtId="0" fontId="7" fillId="0" borderId="57" applyNumberFormat="0" applyFont="0" applyFill="0" applyAlignment="0" applyProtection="0"/>
    <xf numFmtId="0" fontId="7" fillId="0" borderId="57" applyNumberFormat="0" applyFont="0" applyFill="0" applyAlignment="0" applyProtection="0"/>
    <xf numFmtId="0" fontId="7" fillId="0" borderId="57" applyNumberFormat="0" applyFont="0" applyFill="0" applyAlignment="0" applyProtection="0"/>
    <xf numFmtId="0" fontId="7" fillId="0" borderId="57" applyNumberFormat="0" applyFont="0" applyFill="0" applyAlignment="0" applyProtection="0"/>
    <xf numFmtId="0" fontId="7" fillId="0" borderId="57" applyNumberFormat="0" applyFont="0" applyFill="0" applyAlignment="0" applyProtection="0"/>
    <xf numFmtId="0" fontId="7" fillId="0" borderId="57" applyNumberFormat="0" applyFont="0" applyFill="0" applyAlignment="0" applyProtection="0"/>
    <xf numFmtId="0" fontId="7" fillId="0" borderId="57" applyNumberFormat="0" applyFont="0" applyFill="0" applyAlignment="0" applyProtection="0"/>
    <xf numFmtId="0" fontId="7" fillId="0" borderId="57" applyNumberFormat="0" applyFont="0" applyFill="0" applyAlignment="0" applyProtection="0"/>
    <xf numFmtId="0" fontId="7" fillId="0" borderId="57" applyNumberFormat="0" applyFont="0" applyFill="0" applyAlignment="0" applyProtection="0"/>
    <xf numFmtId="0" fontId="7" fillId="0" borderId="57" applyNumberFormat="0" applyFont="0" applyFill="0" applyAlignment="0" applyProtection="0"/>
    <xf numFmtId="0" fontId="7" fillId="0" borderId="57" applyNumberFormat="0" applyFont="0" applyFill="0" applyAlignment="0" applyProtection="0"/>
    <xf numFmtId="0" fontId="7" fillId="0" borderId="57" applyNumberFormat="0" applyFont="0" applyFill="0" applyAlignment="0" applyProtection="0"/>
    <xf numFmtId="0" fontId="7" fillId="0" borderId="57" applyNumberFormat="0" applyFont="0" applyFill="0" applyAlignment="0" applyProtection="0"/>
    <xf numFmtId="46" fontId="7" fillId="0" borderId="0" applyFont="0" applyFill="0" applyBorder="0" applyAlignment="0" applyProtection="0"/>
    <xf numFmtId="46" fontId="7" fillId="0" borderId="0" applyFont="0" applyFill="0" applyBorder="0" applyAlignment="0" applyProtection="0"/>
    <xf numFmtId="46" fontId="7" fillId="0" borderId="0" applyFont="0" applyFill="0" applyBorder="0" applyAlignment="0" applyProtection="0"/>
    <xf numFmtId="46" fontId="7" fillId="0" borderId="0" applyFont="0" applyFill="0" applyBorder="0" applyAlignment="0" applyProtection="0"/>
    <xf numFmtId="46" fontId="7" fillId="0" borderId="0" applyFont="0" applyFill="0" applyBorder="0" applyAlignment="0" applyProtection="0"/>
    <xf numFmtId="46" fontId="7" fillId="0" borderId="0" applyFont="0" applyFill="0" applyBorder="0" applyAlignment="0" applyProtection="0"/>
    <xf numFmtId="46" fontId="7" fillId="0" borderId="0" applyFont="0" applyFill="0" applyBorder="0" applyAlignment="0" applyProtection="0"/>
    <xf numFmtId="46" fontId="7" fillId="0" borderId="0" applyFont="0" applyFill="0" applyBorder="0" applyAlignment="0" applyProtection="0"/>
    <xf numFmtId="46" fontId="7" fillId="0" borderId="0" applyFont="0" applyFill="0" applyBorder="0" applyAlignment="0" applyProtection="0"/>
    <xf numFmtId="46" fontId="7" fillId="0" borderId="0" applyFont="0" applyFill="0" applyBorder="0" applyAlignment="0" applyProtection="0"/>
    <xf numFmtId="46" fontId="7" fillId="0" borderId="0" applyFont="0" applyFill="0" applyBorder="0" applyAlignment="0" applyProtection="0"/>
    <xf numFmtId="46" fontId="7" fillId="0" borderId="0" applyFont="0" applyFill="0" applyBorder="0" applyAlignment="0" applyProtection="0"/>
    <xf numFmtId="46" fontId="7" fillId="0" borderId="0" applyFont="0" applyFill="0" applyBorder="0" applyAlignment="0" applyProtection="0"/>
    <xf numFmtId="46" fontId="7" fillId="0" borderId="0" applyFont="0" applyFill="0" applyBorder="0" applyAlignment="0" applyProtection="0"/>
    <xf numFmtId="46" fontId="7" fillId="0" borderId="0" applyFont="0" applyFill="0" applyBorder="0" applyAlignment="0" applyProtection="0"/>
    <xf numFmtId="46" fontId="7" fillId="0" borderId="0" applyFont="0" applyFill="0" applyBorder="0" applyAlignment="0" applyProtection="0"/>
    <xf numFmtId="46" fontId="7" fillId="0" borderId="0" applyFont="0" applyFill="0" applyBorder="0" applyAlignment="0" applyProtection="0"/>
    <xf numFmtId="46" fontId="7" fillId="0" borderId="0" applyFont="0" applyFill="0" applyBorder="0" applyAlignment="0" applyProtection="0"/>
    <xf numFmtId="46" fontId="7" fillId="0" borderId="0" applyFont="0" applyFill="0" applyBorder="0" applyAlignment="0" applyProtection="0"/>
    <xf numFmtId="46" fontId="7" fillId="0" borderId="0" applyFont="0" applyFill="0" applyBorder="0" applyAlignment="0" applyProtection="0"/>
    <xf numFmtId="46" fontId="7" fillId="0" borderId="0" applyFont="0" applyFill="0" applyBorder="0" applyAlignment="0" applyProtection="0"/>
    <xf numFmtId="46" fontId="7" fillId="0" borderId="0" applyFont="0" applyFill="0" applyBorder="0" applyAlignment="0" applyProtection="0"/>
    <xf numFmtId="46" fontId="7" fillId="0" borderId="0" applyFont="0" applyFill="0" applyBorder="0" applyAlignment="0" applyProtection="0"/>
    <xf numFmtId="46" fontId="7" fillId="0" borderId="0" applyFont="0" applyFill="0" applyBorder="0" applyAlignment="0" applyProtection="0"/>
    <xf numFmtId="46" fontId="7" fillId="0" borderId="0" applyFont="0" applyFill="0" applyBorder="0" applyAlignment="0" applyProtection="0"/>
    <xf numFmtId="46" fontId="7" fillId="0" borderId="0" applyFont="0" applyFill="0" applyBorder="0" applyAlignment="0" applyProtection="0"/>
    <xf numFmtId="46" fontId="7" fillId="0" borderId="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7" fillId="0" borderId="58" applyNumberFormat="0" applyFont="0" applyFill="0" applyAlignment="0" applyProtection="0"/>
    <xf numFmtId="0" fontId="7" fillId="0" borderId="58" applyNumberFormat="0" applyFont="0" applyFill="0" applyAlignment="0" applyProtection="0"/>
    <xf numFmtId="0" fontId="7" fillId="0" borderId="58" applyNumberFormat="0" applyFont="0" applyFill="0" applyAlignment="0" applyProtection="0"/>
    <xf numFmtId="0" fontId="7" fillId="0" borderId="58" applyNumberFormat="0" applyFont="0" applyFill="0" applyAlignment="0" applyProtection="0"/>
    <xf numFmtId="0" fontId="7" fillId="0" borderId="58" applyNumberFormat="0" applyFont="0" applyFill="0" applyAlignment="0" applyProtection="0"/>
    <xf numFmtId="0" fontId="7" fillId="0" borderId="58" applyNumberFormat="0" applyFont="0" applyFill="0" applyAlignment="0" applyProtection="0"/>
    <xf numFmtId="0" fontId="7" fillId="0" borderId="58" applyNumberFormat="0" applyFont="0" applyFill="0" applyAlignment="0" applyProtection="0"/>
    <xf numFmtId="0" fontId="7" fillId="0" borderId="58" applyNumberFormat="0" applyFont="0" applyFill="0" applyAlignment="0" applyProtection="0"/>
    <xf numFmtId="0" fontId="7" fillId="0" borderId="58" applyNumberFormat="0" applyFont="0" applyFill="0" applyAlignment="0" applyProtection="0"/>
    <xf numFmtId="0" fontId="7" fillId="0" borderId="58" applyNumberFormat="0" applyFont="0" applyFill="0" applyAlignment="0" applyProtection="0"/>
    <xf numFmtId="0" fontId="7" fillId="0" borderId="58" applyNumberFormat="0" applyFont="0" applyFill="0" applyAlignment="0" applyProtection="0"/>
    <xf numFmtId="0" fontId="7" fillId="0" borderId="58" applyNumberFormat="0" applyFont="0" applyFill="0" applyAlignment="0" applyProtection="0"/>
    <xf numFmtId="0" fontId="7" fillId="0" borderId="58" applyNumberFormat="0" applyFont="0" applyFill="0" applyAlignment="0" applyProtection="0"/>
    <xf numFmtId="0" fontId="7" fillId="0" borderId="58" applyNumberFormat="0" applyFont="0" applyFill="0" applyAlignment="0" applyProtection="0"/>
    <xf numFmtId="0" fontId="7" fillId="0" borderId="58" applyNumberFormat="0" applyFont="0" applyFill="0" applyAlignment="0" applyProtection="0"/>
    <xf numFmtId="0" fontId="7" fillId="0" borderId="58" applyNumberFormat="0" applyFont="0" applyFill="0" applyAlignment="0" applyProtection="0"/>
    <xf numFmtId="0" fontId="7" fillId="0" borderId="58" applyNumberFormat="0" applyFont="0" applyFill="0" applyAlignment="0" applyProtection="0"/>
    <xf numFmtId="0" fontId="7" fillId="0" borderId="58" applyNumberFormat="0" applyFont="0" applyFill="0" applyAlignment="0" applyProtection="0"/>
    <xf numFmtId="0" fontId="7" fillId="0" borderId="58" applyNumberFormat="0" applyFont="0" applyFill="0" applyAlignment="0" applyProtection="0"/>
    <xf numFmtId="0" fontId="7" fillId="0" borderId="58" applyNumberFormat="0" applyFont="0" applyFill="0" applyAlignment="0" applyProtection="0"/>
    <xf numFmtId="0" fontId="7" fillId="0" borderId="58" applyNumberFormat="0" applyFont="0" applyFill="0" applyAlignment="0" applyProtection="0"/>
    <xf numFmtId="0" fontId="7" fillId="0" borderId="58" applyNumberFormat="0" applyFont="0" applyFill="0" applyAlignment="0" applyProtection="0"/>
    <xf numFmtId="0" fontId="7" fillId="0" borderId="58" applyNumberFormat="0" applyFont="0" applyFill="0" applyAlignment="0" applyProtection="0"/>
    <xf numFmtId="0" fontId="7" fillId="0" borderId="58" applyNumberFormat="0" applyFont="0" applyFill="0" applyAlignment="0" applyProtection="0"/>
    <xf numFmtId="0" fontId="7" fillId="0" borderId="58" applyNumberFormat="0" applyFont="0" applyFill="0" applyAlignment="0" applyProtection="0"/>
    <xf numFmtId="0" fontId="7" fillId="0" borderId="58" applyNumberFormat="0" applyFont="0" applyFill="0" applyAlignment="0" applyProtection="0"/>
    <xf numFmtId="0" fontId="7" fillId="0" borderId="58" applyNumberFormat="0" applyFont="0" applyFill="0" applyAlignment="0" applyProtection="0"/>
    <xf numFmtId="0" fontId="7" fillId="0" borderId="59" applyNumberFormat="0" applyFont="0" applyFill="0" applyAlignment="0" applyProtection="0"/>
    <xf numFmtId="0" fontId="7" fillId="0" borderId="59" applyNumberFormat="0" applyFont="0" applyFill="0" applyAlignment="0" applyProtection="0"/>
    <xf numFmtId="0" fontId="7" fillId="0" borderId="59" applyNumberFormat="0" applyFont="0" applyFill="0" applyAlignment="0" applyProtection="0"/>
    <xf numFmtId="0" fontId="7" fillId="0" borderId="59" applyNumberFormat="0" applyFont="0" applyFill="0" applyAlignment="0" applyProtection="0"/>
    <xf numFmtId="0" fontId="7" fillId="0" borderId="59" applyNumberFormat="0" applyFont="0" applyFill="0" applyAlignment="0" applyProtection="0"/>
    <xf numFmtId="0" fontId="7" fillId="0" borderId="59" applyNumberFormat="0" applyFont="0" applyFill="0" applyAlignment="0" applyProtection="0"/>
    <xf numFmtId="0" fontId="7" fillId="0" borderId="59" applyNumberFormat="0" applyFont="0" applyFill="0" applyAlignment="0" applyProtection="0"/>
    <xf numFmtId="0" fontId="7" fillId="0" borderId="59" applyNumberFormat="0" applyFont="0" applyFill="0" applyAlignment="0" applyProtection="0"/>
    <xf numFmtId="0" fontId="7" fillId="0" borderId="59" applyNumberFormat="0" applyFont="0" applyFill="0" applyAlignment="0" applyProtection="0"/>
    <xf numFmtId="0" fontId="7" fillId="0" borderId="59" applyNumberFormat="0" applyFont="0" applyFill="0" applyAlignment="0" applyProtection="0"/>
    <xf numFmtId="0" fontId="7" fillId="0" borderId="59" applyNumberFormat="0" applyFont="0" applyFill="0" applyAlignment="0" applyProtection="0"/>
    <xf numFmtId="0" fontId="7" fillId="0" borderId="59" applyNumberFormat="0" applyFont="0" applyFill="0" applyAlignment="0" applyProtection="0"/>
    <xf numFmtId="0" fontId="7" fillId="0" borderId="59" applyNumberFormat="0" applyFont="0" applyFill="0" applyAlignment="0" applyProtection="0"/>
    <xf numFmtId="0" fontId="7" fillId="0" borderId="59" applyNumberFormat="0" applyFont="0" applyFill="0" applyAlignment="0" applyProtection="0"/>
    <xf numFmtId="0" fontId="7" fillId="0" borderId="59" applyNumberFormat="0" applyFont="0" applyFill="0" applyAlignment="0" applyProtection="0"/>
    <xf numFmtId="0" fontId="7" fillId="0" borderId="59" applyNumberFormat="0" applyFont="0" applyFill="0" applyAlignment="0" applyProtection="0"/>
    <xf numFmtId="0" fontId="7" fillId="0" borderId="59" applyNumberFormat="0" applyFont="0" applyFill="0" applyAlignment="0" applyProtection="0"/>
    <xf numFmtId="0" fontId="7" fillId="0" borderId="59" applyNumberFormat="0" applyFont="0" applyFill="0" applyAlignment="0" applyProtection="0"/>
    <xf numFmtId="0" fontId="7" fillId="0" borderId="59" applyNumberFormat="0" applyFont="0" applyFill="0" applyAlignment="0" applyProtection="0"/>
    <xf numFmtId="0" fontId="7" fillId="0" borderId="59" applyNumberFormat="0" applyFont="0" applyFill="0" applyAlignment="0" applyProtection="0"/>
    <xf numFmtId="0" fontId="7" fillId="0" borderId="59" applyNumberFormat="0" applyFont="0" applyFill="0" applyAlignment="0" applyProtection="0"/>
    <xf numFmtId="0" fontId="7" fillId="0" borderId="59" applyNumberFormat="0" applyFont="0" applyFill="0" applyAlignment="0" applyProtection="0"/>
    <xf numFmtId="0" fontId="7" fillId="0" borderId="59" applyNumberFormat="0" applyFont="0" applyFill="0" applyAlignment="0" applyProtection="0"/>
    <xf numFmtId="0" fontId="7" fillId="0" borderId="59" applyNumberFormat="0" applyFont="0" applyFill="0" applyAlignment="0" applyProtection="0"/>
    <xf numFmtId="0" fontId="7" fillId="0" borderId="59" applyNumberFormat="0" applyFont="0" applyFill="0" applyAlignment="0" applyProtection="0"/>
    <xf numFmtId="0" fontId="7" fillId="0" borderId="59" applyNumberFormat="0" applyFont="0" applyFill="0" applyAlignment="0" applyProtection="0"/>
    <xf numFmtId="0" fontId="7" fillId="0" borderId="59"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0" applyNumberFormat="0" applyFont="0" applyFill="0" applyAlignment="0" applyProtection="0"/>
    <xf numFmtId="0" fontId="7" fillId="0" borderId="60" applyNumberFormat="0" applyFont="0" applyFill="0" applyAlignment="0" applyProtection="0"/>
    <xf numFmtId="0" fontId="7" fillId="0" borderId="60" applyNumberFormat="0" applyFont="0" applyFill="0" applyAlignment="0" applyProtection="0"/>
    <xf numFmtId="0" fontId="7" fillId="0" borderId="60" applyNumberFormat="0" applyFont="0" applyFill="0" applyAlignment="0" applyProtection="0"/>
    <xf numFmtId="0" fontId="7" fillId="0" borderId="60" applyNumberFormat="0" applyFont="0" applyFill="0" applyAlignment="0" applyProtection="0"/>
    <xf numFmtId="0" fontId="7" fillId="0" borderId="60" applyNumberFormat="0" applyFont="0" applyFill="0" applyAlignment="0" applyProtection="0"/>
    <xf numFmtId="0" fontId="7" fillId="0" borderId="60" applyNumberFormat="0" applyFont="0" applyFill="0" applyAlignment="0" applyProtection="0"/>
    <xf numFmtId="0" fontId="7" fillId="0" borderId="60" applyNumberFormat="0" applyFont="0" applyFill="0" applyAlignment="0" applyProtection="0"/>
    <xf numFmtId="0" fontId="7" fillId="0" borderId="60" applyNumberFormat="0" applyFont="0" applyFill="0" applyAlignment="0" applyProtection="0"/>
    <xf numFmtId="0" fontId="7" fillId="0" borderId="60" applyNumberFormat="0" applyFont="0" applyFill="0" applyAlignment="0" applyProtection="0"/>
    <xf numFmtId="0" fontId="7" fillId="0" borderId="60" applyNumberFormat="0" applyFont="0" applyFill="0" applyAlignment="0" applyProtection="0"/>
    <xf numFmtId="0" fontId="7" fillId="0" borderId="60" applyNumberFormat="0" applyFont="0" applyFill="0" applyAlignment="0" applyProtection="0"/>
    <xf numFmtId="0" fontId="7" fillId="0" borderId="60" applyNumberFormat="0" applyFont="0" applyFill="0" applyAlignment="0" applyProtection="0"/>
    <xf numFmtId="0" fontId="7" fillId="0" borderId="60" applyNumberFormat="0" applyFont="0" applyFill="0" applyAlignment="0" applyProtection="0"/>
    <xf numFmtId="0" fontId="7" fillId="0" borderId="60" applyNumberFormat="0" applyFont="0" applyFill="0" applyAlignment="0" applyProtection="0"/>
    <xf numFmtId="0" fontId="7" fillId="0" borderId="60" applyNumberFormat="0" applyFont="0" applyFill="0" applyAlignment="0" applyProtection="0"/>
    <xf numFmtId="0" fontId="7" fillId="0" borderId="60" applyNumberFormat="0" applyFont="0" applyFill="0" applyAlignment="0" applyProtection="0"/>
    <xf numFmtId="0" fontId="7" fillId="0" borderId="60" applyNumberFormat="0" applyFont="0" applyFill="0" applyAlignment="0" applyProtection="0"/>
    <xf numFmtId="0" fontId="7" fillId="0" borderId="60" applyNumberFormat="0" applyFont="0" applyFill="0" applyAlignment="0" applyProtection="0"/>
    <xf numFmtId="0" fontId="7" fillId="0" borderId="60" applyNumberFormat="0" applyFont="0" applyFill="0" applyAlignment="0" applyProtection="0"/>
    <xf numFmtId="0" fontId="7" fillId="0" borderId="60" applyNumberFormat="0" applyFont="0" applyFill="0" applyAlignment="0" applyProtection="0"/>
    <xf numFmtId="0" fontId="7" fillId="0" borderId="60" applyNumberFormat="0" applyFont="0" applyFill="0" applyAlignment="0" applyProtection="0"/>
    <xf numFmtId="0" fontId="7" fillId="0" borderId="60" applyNumberFormat="0" applyFont="0" applyFill="0" applyAlignment="0" applyProtection="0"/>
    <xf numFmtId="0" fontId="7" fillId="0" borderId="60" applyNumberFormat="0" applyFont="0" applyFill="0" applyAlignment="0" applyProtection="0"/>
    <xf numFmtId="0" fontId="7" fillId="0" borderId="60" applyNumberFormat="0" applyFont="0" applyFill="0" applyAlignment="0" applyProtection="0"/>
    <xf numFmtId="0" fontId="7" fillId="0" borderId="60" applyNumberFormat="0" applyFont="0" applyFill="0" applyAlignment="0" applyProtection="0"/>
    <xf numFmtId="0" fontId="7" fillId="0" borderId="60"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0" applyNumberFormat="0" applyFont="0" applyFill="0" applyBorder="0" applyProtection="0">
      <alignment horizontal="center"/>
    </xf>
    <xf numFmtId="0" fontId="7" fillId="0" borderId="0" applyNumberFormat="0" applyFont="0" applyFill="0" applyBorder="0" applyProtection="0">
      <alignment horizontal="center"/>
    </xf>
    <xf numFmtId="0" fontId="7" fillId="0" borderId="0" applyNumberFormat="0" applyFont="0" applyFill="0" applyBorder="0" applyProtection="0">
      <alignment horizontal="center"/>
    </xf>
    <xf numFmtId="0" fontId="7" fillId="0" borderId="0" applyNumberFormat="0" applyFont="0" applyFill="0" applyBorder="0" applyProtection="0">
      <alignment horizontal="center"/>
    </xf>
    <xf numFmtId="0" fontId="7" fillId="0" borderId="0" applyNumberFormat="0" applyFont="0" applyFill="0" applyBorder="0" applyProtection="0">
      <alignment horizontal="center"/>
    </xf>
    <xf numFmtId="0" fontId="7" fillId="0" borderId="0" applyNumberFormat="0" applyFont="0" applyFill="0" applyBorder="0" applyProtection="0">
      <alignment horizontal="center"/>
    </xf>
    <xf numFmtId="0" fontId="7" fillId="0" borderId="0" applyNumberFormat="0" applyFont="0" applyFill="0" applyBorder="0" applyProtection="0">
      <alignment horizontal="center"/>
    </xf>
    <xf numFmtId="0" fontId="7" fillId="0" borderId="0" applyNumberFormat="0" applyFont="0" applyFill="0" applyBorder="0" applyProtection="0">
      <alignment horizontal="center"/>
    </xf>
    <xf numFmtId="0" fontId="7" fillId="0" borderId="0" applyNumberFormat="0" applyFont="0" applyFill="0" applyBorder="0" applyProtection="0">
      <alignment horizontal="center"/>
    </xf>
    <xf numFmtId="0" fontId="7" fillId="0" borderId="0" applyNumberFormat="0" applyFont="0" applyFill="0" applyBorder="0" applyProtection="0">
      <alignment horizontal="center"/>
    </xf>
    <xf numFmtId="0" fontId="7" fillId="0" borderId="0" applyNumberFormat="0" applyFont="0" applyFill="0" applyBorder="0" applyProtection="0">
      <alignment horizontal="center"/>
    </xf>
    <xf numFmtId="0" fontId="7" fillId="0" borderId="0" applyNumberFormat="0" applyFont="0" applyFill="0" applyBorder="0" applyProtection="0">
      <alignment horizontal="center"/>
    </xf>
    <xf numFmtId="0" fontId="7" fillId="0" borderId="0" applyNumberFormat="0" applyFont="0" applyFill="0" applyBorder="0" applyProtection="0">
      <alignment horizontal="center"/>
    </xf>
    <xf numFmtId="0" fontId="7" fillId="0" borderId="0" applyNumberFormat="0" applyFont="0" applyFill="0" applyBorder="0" applyProtection="0">
      <alignment horizontal="center"/>
    </xf>
    <xf numFmtId="0" fontId="7" fillId="0" borderId="0" applyNumberFormat="0" applyFont="0" applyFill="0" applyBorder="0" applyProtection="0">
      <alignment horizontal="center"/>
    </xf>
    <xf numFmtId="0" fontId="7" fillId="0" borderId="0" applyNumberFormat="0" applyFont="0" applyFill="0" applyBorder="0" applyProtection="0">
      <alignment horizontal="center"/>
    </xf>
    <xf numFmtId="0" fontId="7" fillId="0" borderId="0" applyNumberFormat="0" applyFont="0" applyFill="0" applyBorder="0" applyProtection="0">
      <alignment horizontal="center"/>
    </xf>
    <xf numFmtId="0" fontId="7" fillId="0" borderId="0" applyNumberFormat="0" applyFont="0" applyFill="0" applyBorder="0" applyProtection="0">
      <alignment horizontal="center"/>
    </xf>
    <xf numFmtId="0" fontId="7" fillId="0" borderId="0" applyNumberFormat="0" applyFont="0" applyFill="0" applyBorder="0" applyProtection="0">
      <alignment horizontal="center"/>
    </xf>
    <xf numFmtId="0" fontId="7" fillId="0" borderId="0" applyNumberFormat="0" applyFont="0" applyFill="0" applyBorder="0" applyProtection="0">
      <alignment horizontal="center"/>
    </xf>
    <xf numFmtId="0" fontId="7" fillId="0" borderId="0" applyNumberFormat="0" applyFont="0" applyFill="0" applyBorder="0" applyProtection="0">
      <alignment horizontal="center"/>
    </xf>
    <xf numFmtId="0" fontId="7" fillId="0" borderId="0" applyNumberFormat="0" applyFont="0" applyFill="0" applyBorder="0" applyProtection="0">
      <alignment horizontal="center"/>
    </xf>
    <xf numFmtId="0" fontId="7" fillId="0" borderId="0" applyNumberFormat="0" applyFont="0" applyFill="0" applyBorder="0" applyProtection="0">
      <alignment horizontal="center"/>
    </xf>
    <xf numFmtId="0" fontId="7" fillId="0" borderId="0" applyNumberFormat="0" applyFont="0" applyFill="0" applyBorder="0" applyProtection="0">
      <alignment horizontal="center"/>
    </xf>
    <xf numFmtId="0" fontId="7" fillId="0" borderId="0" applyNumberFormat="0" applyFont="0" applyFill="0" applyBorder="0" applyProtection="0">
      <alignment horizontal="center"/>
    </xf>
    <xf numFmtId="0" fontId="7" fillId="0" borderId="0" applyNumberFormat="0" applyFont="0" applyFill="0" applyBorder="0" applyProtection="0">
      <alignment horizontal="center"/>
    </xf>
    <xf numFmtId="0" fontId="7" fillId="0" borderId="0" applyNumberFormat="0" applyFont="0" applyFill="0" applyBorder="0" applyProtection="0">
      <alignment horizontal="center"/>
    </xf>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41" fillId="0" borderId="0" applyNumberFormat="0" applyFill="0" applyBorder="0" applyProtection="0">
      <alignment horizontal="left"/>
    </xf>
    <xf numFmtId="0" fontId="41" fillId="0" borderId="0" applyNumberFormat="0" applyFill="0" applyBorder="0" applyProtection="0">
      <alignment horizontal="left"/>
    </xf>
    <xf numFmtId="0" fontId="41" fillId="0" borderId="0" applyNumberFormat="0" applyFill="0" applyBorder="0" applyProtection="0">
      <alignment horizontal="left"/>
    </xf>
    <xf numFmtId="0" fontId="41" fillId="0" borderId="0" applyNumberFormat="0" applyFill="0" applyBorder="0" applyProtection="0">
      <alignment horizontal="left"/>
    </xf>
    <xf numFmtId="0" fontId="41" fillId="0" borderId="0" applyNumberFormat="0" applyFill="0" applyBorder="0" applyProtection="0">
      <alignment horizontal="left"/>
    </xf>
    <xf numFmtId="0" fontId="41" fillId="0" borderId="0" applyNumberFormat="0" applyFill="0" applyBorder="0" applyProtection="0">
      <alignment horizontal="left"/>
    </xf>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7" fillId="36" borderId="0" applyNumberFormat="0" applyFont="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7" fillId="0" borderId="61" applyNumberFormat="0" applyFont="0" applyFill="0" applyAlignment="0" applyProtection="0"/>
    <xf numFmtId="0" fontId="7" fillId="0" borderId="61" applyNumberFormat="0" applyFont="0" applyFill="0" applyAlignment="0" applyProtection="0"/>
    <xf numFmtId="0" fontId="7" fillId="0" borderId="61" applyNumberFormat="0" applyFont="0" applyFill="0" applyAlignment="0" applyProtection="0"/>
    <xf numFmtId="0" fontId="7" fillId="0" borderId="61" applyNumberFormat="0" applyFont="0" applyFill="0" applyAlignment="0" applyProtection="0"/>
    <xf numFmtId="0" fontId="7" fillId="0" borderId="61" applyNumberFormat="0" applyFont="0" applyFill="0" applyAlignment="0" applyProtection="0"/>
    <xf numFmtId="0" fontId="7" fillId="0" borderId="61" applyNumberFormat="0" applyFont="0" applyFill="0" applyAlignment="0" applyProtection="0"/>
    <xf numFmtId="0" fontId="7" fillId="0" borderId="61" applyNumberFormat="0" applyFont="0" applyFill="0" applyAlignment="0" applyProtection="0"/>
    <xf numFmtId="0" fontId="7" fillId="0" borderId="61" applyNumberFormat="0" applyFont="0" applyFill="0" applyAlignment="0" applyProtection="0"/>
    <xf numFmtId="0" fontId="7" fillId="0" borderId="61" applyNumberFormat="0" applyFont="0" applyFill="0" applyAlignment="0" applyProtection="0"/>
    <xf numFmtId="0" fontId="7" fillId="0" borderId="61" applyNumberFormat="0" applyFont="0" applyFill="0" applyAlignment="0" applyProtection="0"/>
    <xf numFmtId="0" fontId="7" fillId="0" borderId="61" applyNumberFormat="0" applyFont="0" applyFill="0" applyAlignment="0" applyProtection="0"/>
    <xf numFmtId="0" fontId="7" fillId="0" borderId="61" applyNumberFormat="0" applyFont="0" applyFill="0" applyAlignment="0" applyProtection="0"/>
    <xf numFmtId="0" fontId="7" fillId="0" borderId="61" applyNumberFormat="0" applyFont="0" applyFill="0" applyAlignment="0" applyProtection="0"/>
    <xf numFmtId="0" fontId="7" fillId="0" borderId="61" applyNumberFormat="0" applyFont="0" applyFill="0" applyAlignment="0" applyProtection="0"/>
    <xf numFmtId="0" fontId="7" fillId="0" borderId="61" applyNumberFormat="0" applyFont="0" applyFill="0" applyAlignment="0" applyProtection="0"/>
    <xf numFmtId="0" fontId="7" fillId="0" borderId="61" applyNumberFormat="0" applyFont="0" applyFill="0" applyAlignment="0" applyProtection="0"/>
    <xf numFmtId="0" fontId="7" fillId="0" borderId="61" applyNumberFormat="0" applyFont="0" applyFill="0" applyAlignment="0" applyProtection="0"/>
    <xf numFmtId="0" fontId="7" fillId="0" borderId="61" applyNumberFormat="0" applyFont="0" applyFill="0" applyAlignment="0" applyProtection="0"/>
    <xf numFmtId="0" fontId="7" fillId="0" borderId="61" applyNumberFormat="0" applyFont="0" applyFill="0" applyAlignment="0" applyProtection="0"/>
    <xf numFmtId="0" fontId="7" fillId="0" borderId="61" applyNumberFormat="0" applyFont="0" applyFill="0" applyAlignment="0" applyProtection="0"/>
    <xf numFmtId="0" fontId="7" fillId="0" borderId="61" applyNumberFormat="0" applyFont="0" applyFill="0" applyAlignment="0" applyProtection="0"/>
    <xf numFmtId="0" fontId="7" fillId="0" borderId="61" applyNumberFormat="0" applyFont="0" applyFill="0" applyAlignment="0" applyProtection="0"/>
    <xf numFmtId="0" fontId="7" fillId="0" borderId="61" applyNumberFormat="0" applyFont="0" applyFill="0" applyAlignment="0" applyProtection="0"/>
    <xf numFmtId="0" fontId="7" fillId="0" borderId="61" applyNumberFormat="0" applyFont="0" applyFill="0" applyAlignment="0" applyProtection="0"/>
    <xf numFmtId="0" fontId="7" fillId="0" borderId="61" applyNumberFormat="0" applyFont="0" applyFill="0" applyAlignment="0" applyProtection="0"/>
    <xf numFmtId="0" fontId="7" fillId="0" borderId="61" applyNumberFormat="0" applyFont="0" applyFill="0" applyAlignment="0" applyProtection="0"/>
    <xf numFmtId="0" fontId="7" fillId="0" borderId="61" applyNumberFormat="0" applyFont="0" applyFill="0" applyAlignment="0" applyProtection="0"/>
    <xf numFmtId="0" fontId="7" fillId="0" borderId="62" applyNumberFormat="0" applyFont="0" applyFill="0" applyAlignment="0" applyProtection="0"/>
    <xf numFmtId="0" fontId="7" fillId="0" borderId="62" applyNumberFormat="0" applyFont="0" applyFill="0" applyAlignment="0" applyProtection="0"/>
    <xf numFmtId="0" fontId="7" fillId="0" borderId="62" applyNumberFormat="0" applyFont="0" applyFill="0" applyAlignment="0" applyProtection="0"/>
    <xf numFmtId="0" fontId="7" fillId="0" borderId="62" applyNumberFormat="0" applyFont="0" applyFill="0" applyAlignment="0" applyProtection="0"/>
    <xf numFmtId="0" fontId="7" fillId="0" borderId="62" applyNumberFormat="0" applyFont="0" applyFill="0" applyAlignment="0" applyProtection="0"/>
    <xf numFmtId="0" fontId="7" fillId="0" borderId="62" applyNumberFormat="0" applyFont="0" applyFill="0" applyAlignment="0" applyProtection="0"/>
    <xf numFmtId="0" fontId="7" fillId="0" borderId="62" applyNumberFormat="0" applyFont="0" applyFill="0" applyAlignment="0" applyProtection="0"/>
    <xf numFmtId="0" fontId="7" fillId="0" borderId="62" applyNumberFormat="0" applyFont="0" applyFill="0" applyAlignment="0" applyProtection="0"/>
    <xf numFmtId="0" fontId="7" fillId="0" borderId="62" applyNumberFormat="0" applyFont="0" applyFill="0" applyAlignment="0" applyProtection="0"/>
    <xf numFmtId="0" fontId="7" fillId="0" borderId="62" applyNumberFormat="0" applyFont="0" applyFill="0" applyAlignment="0" applyProtection="0"/>
    <xf numFmtId="0" fontId="7" fillId="0" borderId="62" applyNumberFormat="0" applyFont="0" applyFill="0" applyAlignment="0" applyProtection="0"/>
    <xf numFmtId="0" fontId="7" fillId="0" borderId="62" applyNumberFormat="0" applyFont="0" applyFill="0" applyAlignment="0" applyProtection="0"/>
    <xf numFmtId="0" fontId="7" fillId="0" borderId="62" applyNumberFormat="0" applyFont="0" applyFill="0" applyAlignment="0" applyProtection="0"/>
    <xf numFmtId="0" fontId="7" fillId="0" borderId="62" applyNumberFormat="0" applyFont="0" applyFill="0" applyAlignment="0" applyProtection="0"/>
    <xf numFmtId="0" fontId="7" fillId="0" borderId="62" applyNumberFormat="0" applyFont="0" applyFill="0" applyAlignment="0" applyProtection="0"/>
    <xf numFmtId="0" fontId="7" fillId="0" borderId="62" applyNumberFormat="0" applyFont="0" applyFill="0" applyAlignment="0" applyProtection="0"/>
    <xf numFmtId="0" fontId="7" fillId="0" borderId="62" applyNumberFormat="0" applyFont="0" applyFill="0" applyAlignment="0" applyProtection="0"/>
    <xf numFmtId="0" fontId="7" fillId="0" borderId="62" applyNumberFormat="0" applyFont="0" applyFill="0" applyAlignment="0" applyProtection="0"/>
    <xf numFmtId="0" fontId="7" fillId="0" borderId="62" applyNumberFormat="0" applyFont="0" applyFill="0" applyAlignment="0" applyProtection="0"/>
    <xf numFmtId="0" fontId="7" fillId="0" borderId="62" applyNumberFormat="0" applyFont="0" applyFill="0" applyAlignment="0" applyProtection="0"/>
    <xf numFmtId="0" fontId="7" fillId="0" borderId="62" applyNumberFormat="0" applyFont="0" applyFill="0" applyAlignment="0" applyProtection="0"/>
    <xf numFmtId="0" fontId="7" fillId="0" borderId="62" applyNumberFormat="0" applyFont="0" applyFill="0" applyAlignment="0" applyProtection="0"/>
    <xf numFmtId="0" fontId="7" fillId="0" borderId="62" applyNumberFormat="0" applyFont="0" applyFill="0" applyAlignment="0" applyProtection="0"/>
    <xf numFmtId="0" fontId="7" fillId="0" borderId="62" applyNumberFormat="0" applyFont="0" applyFill="0" applyAlignment="0" applyProtection="0"/>
    <xf numFmtId="0" fontId="7" fillId="0" borderId="62" applyNumberFormat="0" applyFont="0" applyFill="0" applyAlignment="0" applyProtection="0"/>
    <xf numFmtId="0" fontId="7" fillId="0" borderId="62" applyNumberFormat="0" applyFont="0" applyFill="0" applyAlignment="0" applyProtection="0"/>
    <xf numFmtId="0" fontId="7" fillId="0" borderId="62" applyNumberFormat="0" applyFont="0" applyFill="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0" fontId="7" fillId="0" borderId="63" applyNumberFormat="0" applyFont="0" applyFill="0" applyAlignment="0" applyProtection="0"/>
    <xf numFmtId="0" fontId="7" fillId="0" borderId="63" applyNumberFormat="0" applyFont="0" applyFill="0" applyAlignment="0" applyProtection="0"/>
    <xf numFmtId="0" fontId="7" fillId="0" borderId="63" applyNumberFormat="0" applyFont="0" applyFill="0" applyAlignment="0" applyProtection="0"/>
    <xf numFmtId="0" fontId="7" fillId="0" borderId="63" applyNumberFormat="0" applyFont="0" applyFill="0" applyAlignment="0" applyProtection="0"/>
    <xf numFmtId="0" fontId="7" fillId="0" borderId="63" applyNumberFormat="0" applyFont="0" applyFill="0" applyAlignment="0" applyProtection="0"/>
    <xf numFmtId="0" fontId="7" fillId="0" borderId="63" applyNumberFormat="0" applyFont="0" applyFill="0" applyAlignment="0" applyProtection="0"/>
    <xf numFmtId="0" fontId="7" fillId="0" borderId="63" applyNumberFormat="0" applyFont="0" applyFill="0" applyAlignment="0" applyProtection="0"/>
    <xf numFmtId="0" fontId="7" fillId="0" borderId="63" applyNumberFormat="0" applyFont="0" applyFill="0" applyAlignment="0" applyProtection="0"/>
    <xf numFmtId="0" fontId="7" fillId="0" borderId="63" applyNumberFormat="0" applyFont="0" applyFill="0" applyAlignment="0" applyProtection="0"/>
    <xf numFmtId="0" fontId="7" fillId="0" borderId="63" applyNumberFormat="0" applyFont="0" applyFill="0" applyAlignment="0" applyProtection="0"/>
    <xf numFmtId="0" fontId="7" fillId="0" borderId="63" applyNumberFormat="0" applyFont="0" applyFill="0" applyAlignment="0" applyProtection="0"/>
    <xf numFmtId="0" fontId="7" fillId="0" borderId="63" applyNumberFormat="0" applyFont="0" applyFill="0" applyAlignment="0" applyProtection="0"/>
    <xf numFmtId="0" fontId="7" fillId="0" borderId="63" applyNumberFormat="0" applyFont="0" applyFill="0" applyAlignment="0" applyProtection="0"/>
    <xf numFmtId="0" fontId="7" fillId="0" borderId="63" applyNumberFormat="0" applyFont="0" applyFill="0" applyAlignment="0" applyProtection="0"/>
    <xf numFmtId="0" fontId="7" fillId="0" borderId="63" applyNumberFormat="0" applyFont="0" applyFill="0" applyAlignment="0" applyProtection="0"/>
    <xf numFmtId="0" fontId="7" fillId="0" borderId="63" applyNumberFormat="0" applyFont="0" applyFill="0" applyAlignment="0" applyProtection="0"/>
    <xf numFmtId="0" fontId="7" fillId="0" borderId="63" applyNumberFormat="0" applyFont="0" applyFill="0" applyAlignment="0" applyProtection="0"/>
    <xf numFmtId="0" fontId="7" fillId="0" borderId="63" applyNumberFormat="0" applyFont="0" applyFill="0" applyAlignment="0" applyProtection="0"/>
    <xf numFmtId="0" fontId="7" fillId="0" borderId="63" applyNumberFormat="0" applyFont="0" applyFill="0" applyAlignment="0" applyProtection="0"/>
    <xf numFmtId="0" fontId="7" fillId="0" borderId="63" applyNumberFormat="0" applyFont="0" applyFill="0" applyAlignment="0" applyProtection="0"/>
    <xf numFmtId="0" fontId="7" fillId="0" borderId="63" applyNumberFormat="0" applyFont="0" applyFill="0" applyAlignment="0" applyProtection="0"/>
    <xf numFmtId="0" fontId="7" fillId="0" borderId="63" applyNumberFormat="0" applyFont="0" applyFill="0" applyAlignment="0" applyProtection="0"/>
    <xf numFmtId="0" fontId="7" fillId="0" borderId="63" applyNumberFormat="0" applyFont="0" applyFill="0" applyAlignment="0" applyProtection="0"/>
    <xf numFmtId="0" fontId="7" fillId="0" borderId="63" applyNumberFormat="0" applyFont="0" applyFill="0" applyAlignment="0" applyProtection="0"/>
    <xf numFmtId="0" fontId="7" fillId="0" borderId="63" applyNumberFormat="0" applyFont="0" applyFill="0" applyAlignment="0" applyProtection="0"/>
    <xf numFmtId="0" fontId="7" fillId="0" borderId="63" applyNumberFormat="0" applyFont="0" applyFill="0" applyAlignment="0" applyProtection="0"/>
    <xf numFmtId="0" fontId="7" fillId="0" borderId="63" applyNumberFormat="0" applyFont="0" applyFill="0" applyAlignment="0" applyProtection="0"/>
    <xf numFmtId="0" fontId="7" fillId="0" borderId="64" applyNumberFormat="0" applyFont="0" applyFill="0" applyAlignment="0" applyProtection="0"/>
    <xf numFmtId="0" fontId="7" fillId="0" borderId="64" applyNumberFormat="0" applyFont="0" applyFill="0" applyAlignment="0" applyProtection="0"/>
    <xf numFmtId="0" fontId="7" fillId="0" borderId="64" applyNumberFormat="0" applyFont="0" applyFill="0" applyAlignment="0" applyProtection="0"/>
    <xf numFmtId="0" fontId="7" fillId="0" borderId="64" applyNumberFormat="0" applyFont="0" applyFill="0" applyAlignment="0" applyProtection="0"/>
    <xf numFmtId="0" fontId="7" fillId="0" borderId="64" applyNumberFormat="0" applyFont="0" applyFill="0" applyAlignment="0" applyProtection="0"/>
    <xf numFmtId="0" fontId="7" fillId="0" borderId="64" applyNumberFormat="0" applyFont="0" applyFill="0" applyAlignment="0" applyProtection="0"/>
    <xf numFmtId="0" fontId="7" fillId="0" borderId="64" applyNumberFormat="0" applyFont="0" applyFill="0" applyAlignment="0" applyProtection="0"/>
    <xf numFmtId="0" fontId="7" fillId="0" borderId="64" applyNumberFormat="0" applyFont="0" applyFill="0" applyAlignment="0" applyProtection="0"/>
    <xf numFmtId="0" fontId="7" fillId="0" borderId="64" applyNumberFormat="0" applyFont="0" applyFill="0" applyAlignment="0" applyProtection="0"/>
    <xf numFmtId="0" fontId="7" fillId="0" borderId="64" applyNumberFormat="0" applyFont="0" applyFill="0" applyAlignment="0" applyProtection="0"/>
    <xf numFmtId="0" fontId="7" fillId="0" borderId="64" applyNumberFormat="0" applyFont="0" applyFill="0" applyAlignment="0" applyProtection="0"/>
    <xf numFmtId="0" fontId="7" fillId="0" borderId="64" applyNumberFormat="0" applyFont="0" applyFill="0" applyAlignment="0" applyProtection="0"/>
    <xf numFmtId="0" fontId="7" fillId="0" borderId="64" applyNumberFormat="0" applyFont="0" applyFill="0" applyAlignment="0" applyProtection="0"/>
    <xf numFmtId="0" fontId="7" fillId="0" borderId="64" applyNumberFormat="0" applyFont="0" applyFill="0" applyAlignment="0" applyProtection="0"/>
    <xf numFmtId="0" fontId="7" fillId="0" borderId="64" applyNumberFormat="0" applyFont="0" applyFill="0" applyAlignment="0" applyProtection="0"/>
    <xf numFmtId="0" fontId="7" fillId="0" borderId="64" applyNumberFormat="0" applyFont="0" applyFill="0" applyAlignment="0" applyProtection="0"/>
    <xf numFmtId="0" fontId="7" fillId="0" borderId="64" applyNumberFormat="0" applyFont="0" applyFill="0" applyAlignment="0" applyProtection="0"/>
    <xf numFmtId="0" fontId="7" fillId="0" borderId="64" applyNumberFormat="0" applyFont="0" applyFill="0" applyAlignment="0" applyProtection="0"/>
    <xf numFmtId="0" fontId="7" fillId="0" borderId="64" applyNumberFormat="0" applyFont="0" applyFill="0" applyAlignment="0" applyProtection="0"/>
    <xf numFmtId="0" fontId="7" fillId="0" borderId="64" applyNumberFormat="0" applyFont="0" applyFill="0" applyAlignment="0" applyProtection="0"/>
    <xf numFmtId="0" fontId="7" fillId="0" borderId="64" applyNumberFormat="0" applyFont="0" applyFill="0" applyAlignment="0" applyProtection="0"/>
    <xf numFmtId="0" fontId="7" fillId="0" borderId="64" applyNumberFormat="0" applyFont="0" applyFill="0" applyAlignment="0" applyProtection="0"/>
    <xf numFmtId="0" fontId="7" fillId="0" borderId="64" applyNumberFormat="0" applyFont="0" applyFill="0" applyAlignment="0" applyProtection="0"/>
    <xf numFmtId="0" fontId="7" fillId="0" borderId="64" applyNumberFormat="0" applyFont="0" applyFill="0" applyAlignment="0" applyProtection="0"/>
    <xf numFmtId="0" fontId="7" fillId="0" borderId="64" applyNumberFormat="0" applyFont="0" applyFill="0" applyAlignment="0" applyProtection="0"/>
    <xf numFmtId="0" fontId="7" fillId="0" borderId="64" applyNumberFormat="0" applyFont="0" applyFill="0" applyAlignment="0" applyProtection="0"/>
    <xf numFmtId="0" fontId="7" fillId="0" borderId="64" applyNumberFormat="0" applyFont="0" applyFill="0" applyAlignment="0" applyProtection="0"/>
    <xf numFmtId="0" fontId="7" fillId="0" borderId="65" applyNumberFormat="0" applyFont="0" applyFill="0" applyAlignment="0" applyProtection="0"/>
    <xf numFmtId="0" fontId="7" fillId="0" borderId="65" applyNumberFormat="0" applyFont="0" applyFill="0" applyAlignment="0" applyProtection="0"/>
    <xf numFmtId="0" fontId="7" fillId="0" borderId="65" applyNumberFormat="0" applyFont="0" applyFill="0" applyAlignment="0" applyProtection="0"/>
    <xf numFmtId="0" fontId="7" fillId="0" borderId="65" applyNumberFormat="0" applyFont="0" applyFill="0" applyAlignment="0" applyProtection="0"/>
    <xf numFmtId="0" fontId="7" fillId="0" borderId="65" applyNumberFormat="0" applyFont="0" applyFill="0" applyAlignment="0" applyProtection="0"/>
    <xf numFmtId="0" fontId="7" fillId="0" borderId="65" applyNumberFormat="0" applyFont="0" applyFill="0" applyAlignment="0" applyProtection="0"/>
    <xf numFmtId="0" fontId="7" fillId="0" borderId="65" applyNumberFormat="0" applyFont="0" applyFill="0" applyAlignment="0" applyProtection="0"/>
    <xf numFmtId="0" fontId="7" fillId="0" borderId="65" applyNumberFormat="0" applyFont="0" applyFill="0" applyAlignment="0" applyProtection="0"/>
    <xf numFmtId="0" fontId="7" fillId="0" borderId="65" applyNumberFormat="0" applyFont="0" applyFill="0" applyAlignment="0" applyProtection="0"/>
    <xf numFmtId="0" fontId="7" fillId="0" borderId="65" applyNumberFormat="0" applyFont="0" applyFill="0" applyAlignment="0" applyProtection="0"/>
    <xf numFmtId="0" fontId="7" fillId="0" borderId="65" applyNumberFormat="0" applyFont="0" applyFill="0" applyAlignment="0" applyProtection="0"/>
    <xf numFmtId="0" fontId="7" fillId="0" borderId="65" applyNumberFormat="0" applyFont="0" applyFill="0" applyAlignment="0" applyProtection="0"/>
    <xf numFmtId="0" fontId="7" fillId="0" borderId="65" applyNumberFormat="0" applyFont="0" applyFill="0" applyAlignment="0" applyProtection="0"/>
    <xf numFmtId="0" fontId="7" fillId="0" borderId="65" applyNumberFormat="0" applyFont="0" applyFill="0" applyAlignment="0" applyProtection="0"/>
    <xf numFmtId="0" fontId="7" fillId="0" borderId="65" applyNumberFormat="0" applyFont="0" applyFill="0" applyAlignment="0" applyProtection="0"/>
    <xf numFmtId="0" fontId="7" fillId="0" borderId="65" applyNumberFormat="0" applyFont="0" applyFill="0" applyAlignment="0" applyProtection="0"/>
    <xf numFmtId="0" fontId="7" fillId="0" borderId="65" applyNumberFormat="0" applyFont="0" applyFill="0" applyAlignment="0" applyProtection="0"/>
    <xf numFmtId="0" fontId="7" fillId="0" borderId="65" applyNumberFormat="0" applyFont="0" applyFill="0" applyAlignment="0" applyProtection="0"/>
    <xf numFmtId="0" fontId="7" fillId="0" borderId="65" applyNumberFormat="0" applyFont="0" applyFill="0" applyAlignment="0" applyProtection="0"/>
    <xf numFmtId="0" fontId="7" fillId="0" borderId="65" applyNumberFormat="0" applyFont="0" applyFill="0" applyAlignment="0" applyProtection="0"/>
    <xf numFmtId="0" fontId="7" fillId="0" borderId="65" applyNumberFormat="0" applyFont="0" applyFill="0" applyAlignment="0" applyProtection="0"/>
    <xf numFmtId="0" fontId="7" fillId="0" borderId="65" applyNumberFormat="0" applyFont="0" applyFill="0" applyAlignment="0" applyProtection="0"/>
    <xf numFmtId="0" fontId="7" fillId="0" borderId="65" applyNumberFormat="0" applyFont="0" applyFill="0" applyAlignment="0" applyProtection="0"/>
    <xf numFmtId="0" fontId="7" fillId="0" borderId="65" applyNumberFormat="0" applyFont="0" applyFill="0" applyAlignment="0" applyProtection="0"/>
    <xf numFmtId="0" fontId="7" fillId="0" borderId="65" applyNumberFormat="0" applyFont="0" applyFill="0" applyAlignment="0" applyProtection="0"/>
    <xf numFmtId="0" fontId="7" fillId="0" borderId="65" applyNumberFormat="0" applyFont="0" applyFill="0" applyAlignment="0" applyProtection="0"/>
    <xf numFmtId="0" fontId="7" fillId="0" borderId="65" applyNumberFormat="0" applyFont="0" applyFill="0" applyAlignment="0" applyProtection="0"/>
    <xf numFmtId="0" fontId="7" fillId="0" borderId="66" applyNumberFormat="0" applyFont="0" applyFill="0" applyAlignment="0" applyProtection="0"/>
    <xf numFmtId="0" fontId="7" fillId="0" borderId="66" applyNumberFormat="0" applyFont="0" applyFill="0" applyAlignment="0" applyProtection="0"/>
    <xf numFmtId="0" fontId="7" fillId="0" borderId="66" applyNumberFormat="0" applyFont="0" applyFill="0" applyAlignment="0" applyProtection="0"/>
    <xf numFmtId="0" fontId="7" fillId="0" borderId="66" applyNumberFormat="0" applyFont="0" applyFill="0" applyAlignment="0" applyProtection="0"/>
    <xf numFmtId="0" fontId="7" fillId="0" borderId="66" applyNumberFormat="0" applyFont="0" applyFill="0" applyAlignment="0" applyProtection="0"/>
    <xf numFmtId="0" fontId="7" fillId="0" borderId="66" applyNumberFormat="0" applyFont="0" applyFill="0" applyAlignment="0" applyProtection="0"/>
    <xf numFmtId="0" fontId="7" fillId="0" borderId="66" applyNumberFormat="0" applyFont="0" applyFill="0" applyAlignment="0" applyProtection="0"/>
    <xf numFmtId="0" fontId="7" fillId="0" borderId="66" applyNumberFormat="0" applyFont="0" applyFill="0" applyAlignment="0" applyProtection="0"/>
    <xf numFmtId="0" fontId="7" fillId="0" borderId="66" applyNumberFormat="0" applyFont="0" applyFill="0" applyAlignment="0" applyProtection="0"/>
    <xf numFmtId="0" fontId="7" fillId="0" borderId="66" applyNumberFormat="0" applyFont="0" applyFill="0" applyAlignment="0" applyProtection="0"/>
    <xf numFmtId="0" fontId="7" fillId="0" borderId="66" applyNumberFormat="0" applyFont="0" applyFill="0" applyAlignment="0" applyProtection="0"/>
    <xf numFmtId="0" fontId="7" fillId="0" borderId="66" applyNumberFormat="0" applyFont="0" applyFill="0" applyAlignment="0" applyProtection="0"/>
    <xf numFmtId="0" fontId="7" fillId="0" borderId="66" applyNumberFormat="0" applyFont="0" applyFill="0" applyAlignment="0" applyProtection="0"/>
    <xf numFmtId="0" fontId="7" fillId="0" borderId="66" applyNumberFormat="0" applyFon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7" fillId="0" borderId="0"/>
    <xf numFmtId="0" fontId="7" fillId="0" borderId="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7" fillId="0" borderId="0" applyFont="0" applyFill="0" applyBorder="0" applyAlignment="0" applyProtection="0"/>
    <xf numFmtId="44" fontId="10"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10" fillId="24" borderId="6" applyNumberFormat="0" applyFont="0" applyAlignment="0" applyProtection="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4" borderId="6"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0" fontId="7" fillId="0" borderId="67" applyNumberFormat="0" applyFont="0" applyFill="0" applyAlignment="0" applyProtection="0"/>
    <xf numFmtId="0" fontId="7" fillId="0" borderId="67" applyNumberFormat="0" applyFont="0" applyFill="0" applyAlignment="0" applyProtection="0"/>
    <xf numFmtId="0" fontId="97" fillId="25" borderId="0">
      <alignment horizontal="center"/>
    </xf>
    <xf numFmtId="4" fontId="33" fillId="23" borderId="68" applyNumberFormat="0" applyProtection="0">
      <alignment vertical="center"/>
    </xf>
    <xf numFmtId="4" fontId="100" fillId="37" borderId="68" applyNumberFormat="0" applyProtection="0">
      <alignment vertical="center"/>
    </xf>
    <xf numFmtId="4" fontId="33" fillId="37" borderId="68" applyNumberFormat="0" applyProtection="0">
      <alignment horizontal="left" vertical="center" indent="1"/>
    </xf>
    <xf numFmtId="0" fontId="33" fillId="37" borderId="68" applyNumberFormat="0" applyProtection="0">
      <alignment horizontal="left" vertical="top" indent="1"/>
    </xf>
    <xf numFmtId="4" fontId="33" fillId="38" borderId="0" applyNumberFormat="0" applyProtection="0">
      <alignment horizontal="left" vertical="center" indent="1"/>
    </xf>
    <xf numFmtId="4" fontId="31" fillId="3" borderId="68" applyNumberFormat="0" applyProtection="0">
      <alignment horizontal="right" vertical="center"/>
    </xf>
    <xf numFmtId="4" fontId="31" fillId="8" borderId="68" applyNumberFormat="0" applyProtection="0">
      <alignment horizontal="right" vertical="center"/>
    </xf>
    <xf numFmtId="4" fontId="31" fillId="17" borderId="68" applyNumberFormat="0" applyProtection="0">
      <alignment horizontal="right" vertical="center"/>
    </xf>
    <xf numFmtId="4" fontId="31" fillId="11" borderId="68" applyNumberFormat="0" applyProtection="0">
      <alignment horizontal="right" vertical="center"/>
    </xf>
    <xf numFmtId="4" fontId="31" fillId="15" borderId="68" applyNumberFormat="0" applyProtection="0">
      <alignment horizontal="right" vertical="center"/>
    </xf>
    <xf numFmtId="4" fontId="31" fillId="19" borderId="68" applyNumberFormat="0" applyProtection="0">
      <alignment horizontal="right" vertical="center"/>
    </xf>
    <xf numFmtId="4" fontId="31" fillId="18" borderId="68" applyNumberFormat="0" applyProtection="0">
      <alignment horizontal="right" vertical="center"/>
    </xf>
    <xf numFmtId="4" fontId="31" fillId="39" borderId="68" applyNumberFormat="0" applyProtection="0">
      <alignment horizontal="right" vertical="center"/>
    </xf>
    <xf numFmtId="4" fontId="31" fillId="9" borderId="68" applyNumberFormat="0" applyProtection="0">
      <alignment horizontal="right" vertical="center"/>
    </xf>
    <xf numFmtId="4" fontId="33" fillId="40" borderId="69" applyNumberFormat="0" applyProtection="0">
      <alignment horizontal="left" vertical="center" indent="1"/>
    </xf>
    <xf numFmtId="4" fontId="31" fillId="41" borderId="0" applyNumberFormat="0" applyProtection="0">
      <alignment horizontal="left" vertical="center" indent="1"/>
    </xf>
    <xf numFmtId="4" fontId="101" fillId="42" borderId="0" applyNumberFormat="0" applyProtection="0">
      <alignment horizontal="left" vertical="center" indent="1"/>
    </xf>
    <xf numFmtId="4" fontId="101" fillId="42" borderId="0" applyNumberFormat="0" applyProtection="0">
      <alignment horizontal="left" vertical="center" indent="1"/>
    </xf>
    <xf numFmtId="4" fontId="101" fillId="42" borderId="0" applyNumberFormat="0" applyProtection="0">
      <alignment horizontal="left" vertical="center" indent="1"/>
    </xf>
    <xf numFmtId="4" fontId="31" fillId="43" borderId="68" applyNumberFormat="0" applyProtection="0">
      <alignment horizontal="right" vertical="center"/>
    </xf>
    <xf numFmtId="4" fontId="31" fillId="41" borderId="0" applyNumberFormat="0" applyProtection="0">
      <alignment horizontal="left" vertical="center" indent="1"/>
    </xf>
    <xf numFmtId="4" fontId="31" fillId="41" borderId="0" applyNumberFormat="0" applyProtection="0">
      <alignment horizontal="left" vertical="center" indent="1"/>
    </xf>
    <xf numFmtId="4" fontId="31" fillId="38" borderId="0" applyNumberFormat="0" applyProtection="0">
      <alignment horizontal="left" vertical="center" indent="1"/>
    </xf>
    <xf numFmtId="4" fontId="31" fillId="38" borderId="0" applyNumberFormat="0" applyProtection="0">
      <alignment horizontal="left" vertical="center" indent="1"/>
    </xf>
    <xf numFmtId="0" fontId="7" fillId="42" borderId="68" applyNumberFormat="0" applyProtection="0">
      <alignment horizontal="left" vertical="center" indent="1"/>
    </xf>
    <xf numFmtId="0" fontId="7" fillId="42" borderId="68" applyNumberFormat="0" applyProtection="0">
      <alignment horizontal="left" vertical="center" indent="1"/>
    </xf>
    <xf numFmtId="0" fontId="7" fillId="42" borderId="68" applyNumberFormat="0" applyProtection="0">
      <alignment horizontal="left" vertical="center" indent="1"/>
    </xf>
    <xf numFmtId="0" fontId="7" fillId="42" borderId="68" applyNumberFormat="0" applyProtection="0">
      <alignment horizontal="left" vertical="top" indent="1"/>
    </xf>
    <xf numFmtId="0" fontId="7" fillId="42" borderId="68" applyNumberFormat="0" applyProtection="0">
      <alignment horizontal="left" vertical="top" indent="1"/>
    </xf>
    <xf numFmtId="0" fontId="7" fillId="42" borderId="68" applyNumberFormat="0" applyProtection="0">
      <alignment horizontal="left" vertical="top" indent="1"/>
    </xf>
    <xf numFmtId="0" fontId="7" fillId="38" borderId="68" applyNumberFormat="0" applyProtection="0">
      <alignment horizontal="left" vertical="center" indent="1"/>
    </xf>
    <xf numFmtId="0" fontId="7" fillId="38" borderId="68" applyNumberFormat="0" applyProtection="0">
      <alignment horizontal="left" vertical="center" indent="1"/>
    </xf>
    <xf numFmtId="0" fontId="7" fillId="38" borderId="68" applyNumberFormat="0" applyProtection="0">
      <alignment horizontal="left" vertical="center" indent="1"/>
    </xf>
    <xf numFmtId="0" fontId="7" fillId="38" borderId="68" applyNumberFormat="0" applyProtection="0">
      <alignment horizontal="left" vertical="top" indent="1"/>
    </xf>
    <xf numFmtId="0" fontId="7" fillId="38" borderId="68" applyNumberFormat="0" applyProtection="0">
      <alignment horizontal="left" vertical="top" indent="1"/>
    </xf>
    <xf numFmtId="0" fontId="7" fillId="38" borderId="68" applyNumberFormat="0" applyProtection="0">
      <alignment horizontal="left" vertical="top" indent="1"/>
    </xf>
    <xf numFmtId="0" fontId="7" fillId="44" borderId="68" applyNumberFormat="0" applyProtection="0">
      <alignment horizontal="left" vertical="center" indent="1"/>
    </xf>
    <xf numFmtId="0" fontId="7" fillId="44" borderId="68" applyNumberFormat="0" applyProtection="0">
      <alignment horizontal="left" vertical="center" indent="1"/>
    </xf>
    <xf numFmtId="0" fontId="7" fillId="44" borderId="68" applyNumberFormat="0" applyProtection="0">
      <alignment horizontal="left" vertical="center" indent="1"/>
    </xf>
    <xf numFmtId="0" fontId="7" fillId="44" borderId="68" applyNumberFormat="0" applyProtection="0">
      <alignment horizontal="left" vertical="top" indent="1"/>
    </xf>
    <xf numFmtId="0" fontId="7" fillId="44" borderId="68" applyNumberFormat="0" applyProtection="0">
      <alignment horizontal="left" vertical="top" indent="1"/>
    </xf>
    <xf numFmtId="0" fontId="7" fillId="44" borderId="68" applyNumberFormat="0" applyProtection="0">
      <alignment horizontal="left" vertical="top" indent="1"/>
    </xf>
    <xf numFmtId="0" fontId="7" fillId="45" borderId="68" applyNumberFormat="0" applyProtection="0">
      <alignment horizontal="left" vertical="center" indent="1"/>
    </xf>
    <xf numFmtId="0" fontId="7" fillId="45" borderId="68" applyNumberFormat="0" applyProtection="0">
      <alignment horizontal="left" vertical="center" indent="1"/>
    </xf>
    <xf numFmtId="0" fontId="7" fillId="45" borderId="68" applyNumberFormat="0" applyProtection="0">
      <alignment horizontal="left" vertical="center" indent="1"/>
    </xf>
    <xf numFmtId="0" fontId="7" fillId="45" borderId="68" applyNumberFormat="0" applyProtection="0">
      <alignment horizontal="left" vertical="top" indent="1"/>
    </xf>
    <xf numFmtId="0" fontId="7" fillId="45" borderId="68" applyNumberFormat="0" applyProtection="0">
      <alignment horizontal="left" vertical="top" indent="1"/>
    </xf>
    <xf numFmtId="0" fontId="7" fillId="45" borderId="68" applyNumberFormat="0" applyProtection="0">
      <alignment horizontal="left" vertical="top" indent="1"/>
    </xf>
    <xf numFmtId="4" fontId="31" fillId="22" borderId="68" applyNumberFormat="0" applyProtection="0">
      <alignment vertical="center"/>
    </xf>
    <xf numFmtId="4" fontId="102" fillId="22" borderId="68" applyNumberFormat="0" applyProtection="0">
      <alignment vertical="center"/>
    </xf>
    <xf numFmtId="4" fontId="31" fillId="22" borderId="68" applyNumberFormat="0" applyProtection="0">
      <alignment horizontal="left" vertical="center" indent="1"/>
    </xf>
    <xf numFmtId="0" fontId="31" fillId="22" borderId="68" applyNumberFormat="0" applyProtection="0">
      <alignment horizontal="left" vertical="top" indent="1"/>
    </xf>
    <xf numFmtId="4" fontId="31" fillId="41" borderId="68" applyNumberFormat="0" applyProtection="0">
      <alignment horizontal="right" vertical="center"/>
    </xf>
    <xf numFmtId="4" fontId="102" fillId="41" borderId="68" applyNumberFormat="0" applyProtection="0">
      <alignment horizontal="right" vertical="center"/>
    </xf>
    <xf numFmtId="4" fontId="31" fillId="43" borderId="68" applyNumberFormat="0" applyProtection="0">
      <alignment horizontal="left" vertical="center" indent="1"/>
    </xf>
    <xf numFmtId="0" fontId="31" fillId="38" borderId="68" applyNumberFormat="0" applyProtection="0">
      <alignment horizontal="left" vertical="top" indent="1"/>
    </xf>
    <xf numFmtId="4" fontId="103" fillId="46" borderId="0" applyNumberFormat="0" applyProtection="0">
      <alignment horizontal="left" vertical="center" indent="1"/>
    </xf>
    <xf numFmtId="4" fontId="103" fillId="46" borderId="0" applyNumberFormat="0" applyProtection="0">
      <alignment horizontal="left" vertical="center" indent="1"/>
    </xf>
    <xf numFmtId="4" fontId="103" fillId="46" borderId="0" applyNumberFormat="0" applyProtection="0">
      <alignment horizontal="left" vertical="center" indent="1"/>
    </xf>
    <xf numFmtId="4" fontId="104" fillId="41" borderId="68" applyNumberFormat="0" applyProtection="0">
      <alignment horizontal="right" vertical="center"/>
    </xf>
    <xf numFmtId="0" fontId="32" fillId="47" borderId="70" applyNumberFormat="0" applyProtection="0">
      <alignment horizontal="center" wrapText="1"/>
    </xf>
    <xf numFmtId="0" fontId="32" fillId="47" borderId="71" applyNumberFormat="0" applyAlignment="0" applyProtection="0">
      <alignment wrapText="1"/>
    </xf>
    <xf numFmtId="0" fontId="7" fillId="48" borderId="0" applyNumberFormat="0" applyBorder="0">
      <alignment horizontal="center" wrapText="1"/>
    </xf>
    <xf numFmtId="0" fontId="7" fillId="48" borderId="0" applyNumberFormat="0" applyBorder="0">
      <alignment horizontal="center" wrapText="1"/>
    </xf>
    <xf numFmtId="0" fontId="7" fillId="49" borderId="72" applyNumberFormat="0">
      <alignment wrapText="1"/>
    </xf>
    <xf numFmtId="0" fontId="7" fillId="49" borderId="72" applyNumberFormat="0">
      <alignment wrapText="1"/>
    </xf>
    <xf numFmtId="0" fontId="7" fillId="49" borderId="0" applyNumberFormat="0" applyBorder="0">
      <alignment wrapText="1"/>
    </xf>
    <xf numFmtId="0" fontId="7" fillId="49" borderId="0" applyNumberFormat="0" applyBorder="0">
      <alignment wrapText="1"/>
    </xf>
    <xf numFmtId="0" fontId="7" fillId="0" borderId="0" applyNumberFormat="0" applyFill="0" applyBorder="0" applyProtection="0">
      <alignment horizontal="right" wrapText="1"/>
    </xf>
    <xf numFmtId="0" fontId="7" fillId="0" borderId="0" applyNumberFormat="0" applyFill="0" applyBorder="0" applyProtection="0">
      <alignment horizontal="right" wrapText="1"/>
    </xf>
    <xf numFmtId="183" fontId="7" fillId="0" borderId="0" applyFill="0" applyBorder="0" applyAlignment="0" applyProtection="0">
      <alignment wrapText="1"/>
    </xf>
    <xf numFmtId="183" fontId="7" fillId="0" borderId="0" applyFill="0" applyBorder="0" applyAlignment="0" applyProtection="0">
      <alignment wrapText="1"/>
    </xf>
    <xf numFmtId="184" fontId="7" fillId="0" borderId="0" applyFill="0" applyBorder="0" applyAlignment="0" applyProtection="0">
      <alignment wrapText="1"/>
    </xf>
    <xf numFmtId="184" fontId="7" fillId="0" borderId="0" applyFill="0" applyBorder="0" applyAlignment="0" applyProtection="0">
      <alignment wrapText="1"/>
    </xf>
    <xf numFmtId="182" fontId="7" fillId="0" borderId="0" applyFill="0" applyBorder="0" applyAlignment="0" applyProtection="0">
      <alignment wrapText="1"/>
    </xf>
    <xf numFmtId="182" fontId="7" fillId="0" borderId="0" applyFill="0" applyBorder="0" applyAlignment="0" applyProtection="0">
      <alignment wrapText="1"/>
    </xf>
    <xf numFmtId="0" fontId="7" fillId="0" borderId="0" applyNumberFormat="0" applyFill="0" applyBorder="0" applyProtection="0">
      <alignment horizontal="right" wrapText="1"/>
    </xf>
    <xf numFmtId="0" fontId="7" fillId="0" borderId="0" applyNumberFormat="0" applyFill="0" applyBorder="0" applyProtection="0">
      <alignment horizontal="right" wrapText="1"/>
    </xf>
    <xf numFmtId="0" fontId="7" fillId="0" borderId="0" applyNumberFormat="0" applyFill="0" applyBorder="0">
      <alignment horizontal="right" wrapText="1"/>
    </xf>
    <xf numFmtId="0" fontId="7" fillId="0" borderId="0" applyNumberFormat="0" applyFill="0" applyBorder="0">
      <alignment horizontal="right" wrapText="1"/>
    </xf>
    <xf numFmtId="17" fontId="7" fillId="0" borderId="0" applyFill="0" applyBorder="0">
      <alignment horizontal="right" wrapText="1"/>
    </xf>
    <xf numFmtId="17" fontId="7" fillId="0" borderId="0" applyFill="0" applyBorder="0">
      <alignment horizontal="right" wrapText="1"/>
    </xf>
    <xf numFmtId="8" fontId="7" fillId="0" borderId="0" applyFill="0" applyBorder="0" applyAlignment="0" applyProtection="0">
      <alignment wrapText="1"/>
    </xf>
    <xf numFmtId="8" fontId="7" fillId="0" borderId="0" applyFill="0" applyBorder="0" applyAlignment="0" applyProtection="0">
      <alignment wrapText="1"/>
    </xf>
    <xf numFmtId="0" fontId="86" fillId="0" borderId="0" applyNumberFormat="0" applyFill="0" applyBorder="0">
      <alignment horizontal="left" wrapText="1"/>
    </xf>
    <xf numFmtId="0" fontId="32" fillId="0" borderId="0" applyNumberFormat="0" applyFill="0" applyBorder="0">
      <alignment horizontal="center" wrapText="1"/>
    </xf>
    <xf numFmtId="0" fontId="32" fillId="0" borderId="0" applyNumberFormat="0" applyFill="0" applyBorder="0">
      <alignment horizontal="center" wrapText="1"/>
    </xf>
    <xf numFmtId="2" fontId="44" fillId="0" borderId="0"/>
    <xf numFmtId="2" fontId="44" fillId="0" borderId="0"/>
    <xf numFmtId="40" fontId="105"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84" fillId="0" borderId="73">
      <protection locked="0"/>
    </xf>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0" fillId="24" borderId="6" applyNumberFormat="0" applyFont="0" applyAlignment="0" applyProtection="0"/>
    <xf numFmtId="0" fontId="10" fillId="24" borderId="6"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0" fontId="3" fillId="0" borderId="0"/>
    <xf numFmtId="40" fontId="82" fillId="0" borderId="0" applyFont="0" applyFill="0" applyBorder="0" applyAlignment="0" applyProtection="0"/>
    <xf numFmtId="0" fontId="106" fillId="0" borderId="0" applyNumberFormat="0" applyFill="0" applyBorder="0" applyAlignment="0" applyProtection="0"/>
    <xf numFmtId="9" fontId="3" fillId="0" borderId="0" applyFont="0" applyFill="0" applyBorder="0" applyAlignment="0" applyProtection="0"/>
    <xf numFmtId="43" fontId="7"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26" fillId="0" borderId="0" applyNumberFormat="0" applyFill="0" applyProtection="0">
      <alignment horizontal="left"/>
    </xf>
    <xf numFmtId="0" fontId="27" fillId="0" borderId="0" applyNumberFormat="0" applyFill="0" applyProtection="0">
      <alignment horizontal="left"/>
    </xf>
    <xf numFmtId="0" fontId="25" fillId="2" borderId="0" applyFill="0">
      <alignment horizontal="left"/>
    </xf>
    <xf numFmtId="0" fontId="24" fillId="27" borderId="49" applyNumberFormat="0">
      <alignment horizontal="left"/>
      <protection locked="0"/>
    </xf>
    <xf numFmtId="42" fontId="7" fillId="0" borderId="0" applyFont="0" applyFill="0" applyBorder="0" applyAlignment="0" applyProtection="0"/>
    <xf numFmtId="42" fontId="7" fillId="0" borderId="0" applyFont="0" applyFill="0" applyBorder="0" applyAlignment="0" applyProtection="0"/>
    <xf numFmtId="0" fontId="27" fillId="28" borderId="7" applyNumberFormat="0" applyAlignment="0" applyProtection="0"/>
    <xf numFmtId="0" fontId="28" fillId="0" borderId="0" applyNumberFormat="0" applyBorder="0" applyProtection="0">
      <alignment horizontal="left"/>
    </xf>
    <xf numFmtId="43" fontId="7"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86" fillId="0" borderId="77" applyNumberFormat="0" applyAlignment="0" applyProtection="0">
      <alignment horizontal="left" vertical="center"/>
    </xf>
    <xf numFmtId="0" fontId="78" fillId="7" borderId="1" applyNumberFormat="0" applyAlignment="0" applyProtection="0"/>
    <xf numFmtId="0" fontId="78" fillId="7" borderId="1" applyNumberFormat="0" applyAlignment="0" applyProtection="0"/>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0" fontId="78" fillId="7" borderId="1" applyNumberFormat="0" applyAlignment="0" applyProtection="0"/>
    <xf numFmtId="0" fontId="78" fillId="7" borderId="1" applyNumberFormat="0" applyAlignment="0" applyProtection="0"/>
    <xf numFmtId="0" fontId="7" fillId="0" borderId="0"/>
    <xf numFmtId="0" fontId="7" fillId="0" borderId="0"/>
    <xf numFmtId="0" fontId="10" fillId="24" borderId="6" applyNumberFormat="0" applyFont="0" applyAlignment="0" applyProtection="0"/>
    <xf numFmtId="0" fontId="10" fillId="24" borderId="6" applyNumberFormat="0" applyFont="0" applyAlignment="0" applyProtection="0"/>
    <xf numFmtId="0" fontId="10" fillId="24" borderId="6" applyNumberFormat="0" applyFont="0" applyAlignment="0" applyProtection="0"/>
    <xf numFmtId="0" fontId="10" fillId="24" borderId="6" applyNumberFormat="0" applyFont="0" applyAlignment="0" applyProtection="0"/>
    <xf numFmtId="0" fontId="10" fillId="24" borderId="6" applyNumberFormat="0" applyFont="0" applyAlignment="0" applyProtection="0"/>
    <xf numFmtId="0" fontId="10" fillId="24" borderId="6" applyNumberFormat="0" applyFont="0" applyAlignment="0" applyProtection="0"/>
    <xf numFmtId="0" fontId="10" fillId="24" borderId="6" applyNumberFormat="0" applyFont="0" applyAlignment="0" applyProtection="0"/>
    <xf numFmtId="0" fontId="10" fillId="24" borderId="6" applyNumberFormat="0" applyFont="0" applyAlignment="0" applyProtection="0"/>
    <xf numFmtId="0" fontId="7" fillId="0" borderId="0"/>
    <xf numFmtId="0" fontId="7" fillId="0" borderId="0"/>
    <xf numFmtId="0" fontId="78" fillId="7" borderId="1" applyNumberFormat="0" applyAlignment="0" applyProtection="0"/>
    <xf numFmtId="0" fontId="78" fillId="7" borderId="1" applyNumberFormat="0" applyAlignment="0" applyProtection="0"/>
    <xf numFmtId="0" fontId="78" fillId="7" borderId="1" applyNumberFormat="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4" fontId="7" fillId="0" borderId="0" applyFont="0" applyFill="0" applyBorder="0" applyAlignment="0" applyProtection="0"/>
    <xf numFmtId="0" fontId="7" fillId="0" borderId="0"/>
    <xf numFmtId="44" fontId="7" fillId="0" borderId="0" applyFont="0" applyFill="0" applyBorder="0" applyAlignment="0" applyProtection="0"/>
    <xf numFmtId="44" fontId="7" fillId="0" borderId="0" applyFont="0" applyFill="0" applyBorder="0" applyAlignment="0" applyProtection="0"/>
    <xf numFmtId="0" fontId="78" fillId="7" borderId="1" applyNumberFormat="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 fillId="0" borderId="0"/>
    <xf numFmtId="0" fontId="8" fillId="0" borderId="0"/>
    <xf numFmtId="44" fontId="7" fillId="0" borderId="0" applyFont="0" applyFill="0" applyBorder="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13" fillId="20" borderId="100" applyNumberFormat="0" applyAlignment="0" applyProtection="0"/>
    <xf numFmtId="0" fontId="13" fillId="20" borderId="100" applyNumberFormat="0" applyAlignment="0" applyProtection="0"/>
    <xf numFmtId="0" fontId="13" fillId="20" borderId="100" applyNumberFormat="0" applyAlignment="0" applyProtection="0"/>
    <xf numFmtId="0" fontId="13" fillId="20" borderId="100" applyNumberFormat="0" applyAlignment="0" applyProtection="0"/>
    <xf numFmtId="0" fontId="13" fillId="20" borderId="100" applyNumberFormat="0" applyAlignment="0" applyProtection="0"/>
    <xf numFmtId="0" fontId="13" fillId="20" borderId="100" applyNumberFormat="0" applyAlignment="0" applyProtection="0"/>
    <xf numFmtId="0" fontId="13" fillId="20" borderId="100" applyNumberFormat="0" applyAlignment="0" applyProtection="0"/>
    <xf numFmtId="0" fontId="13" fillId="20" borderId="100" applyNumberFormat="0" applyAlignment="0" applyProtection="0"/>
    <xf numFmtId="0" fontId="13" fillId="20" borderId="100" applyNumberFormat="0" applyAlignment="0" applyProtection="0"/>
    <xf numFmtId="0" fontId="13" fillId="20" borderId="100" applyNumberFormat="0" applyAlignment="0" applyProtection="0"/>
    <xf numFmtId="0" fontId="13" fillId="20" borderId="100" applyNumberFormat="0" applyAlignment="0" applyProtection="0"/>
    <xf numFmtId="0" fontId="13" fillId="20" borderId="100" applyNumberFormat="0" applyAlignment="0" applyProtection="0"/>
    <xf numFmtId="0" fontId="13" fillId="20" borderId="100" applyNumberFormat="0" applyAlignment="0" applyProtection="0"/>
    <xf numFmtId="0" fontId="13" fillId="20" borderId="100" applyNumberFormat="0" applyAlignment="0" applyProtection="0"/>
    <xf numFmtId="0" fontId="13" fillId="20" borderId="100" applyNumberFormat="0" applyAlignment="0" applyProtection="0"/>
    <xf numFmtId="0" fontId="13" fillId="20" borderId="100" applyNumberFormat="0" applyAlignment="0" applyProtection="0"/>
    <xf numFmtId="0" fontId="13" fillId="20" borderId="100" applyNumberFormat="0" applyAlignment="0" applyProtection="0"/>
    <xf numFmtId="0" fontId="13" fillId="20" borderId="100" applyNumberFormat="0" applyAlignment="0" applyProtection="0"/>
    <xf numFmtId="0" fontId="13" fillId="20" borderId="100" applyNumberFormat="0" applyAlignment="0" applyProtection="0"/>
    <xf numFmtId="0" fontId="13" fillId="20" borderId="100" applyNumberFormat="0" applyAlignment="0" applyProtection="0"/>
    <xf numFmtId="0" fontId="13" fillId="20" borderId="100" applyNumberFormat="0" applyAlignment="0" applyProtection="0"/>
    <xf numFmtId="0" fontId="13" fillId="20" borderId="100" applyNumberFormat="0" applyAlignment="0" applyProtection="0"/>
    <xf numFmtId="0" fontId="13" fillId="20" borderId="100" applyNumberFormat="0" applyAlignment="0" applyProtection="0"/>
    <xf numFmtId="0" fontId="13" fillId="20" borderId="100" applyNumberFormat="0" applyAlignment="0" applyProtection="0"/>
    <xf numFmtId="0" fontId="13" fillId="20" borderId="100" applyNumberFormat="0" applyAlignment="0" applyProtection="0"/>
    <xf numFmtId="0" fontId="13" fillId="20" borderId="100" applyNumberFormat="0" applyAlignment="0" applyProtection="0"/>
    <xf numFmtId="0" fontId="13" fillId="20" borderId="100" applyNumberFormat="0" applyAlignment="0" applyProtection="0"/>
    <xf numFmtId="0" fontId="13" fillId="20" borderId="100" applyNumberFormat="0" applyAlignment="0" applyProtection="0"/>
    <xf numFmtId="0" fontId="13" fillId="20" borderId="100" applyNumberFormat="0" applyAlignment="0" applyProtection="0"/>
    <xf numFmtId="0" fontId="13" fillId="20" borderId="100" applyNumberFormat="0" applyAlignment="0" applyProtection="0"/>
    <xf numFmtId="0" fontId="13" fillId="20" borderId="100" applyNumberFormat="0" applyAlignment="0" applyProtection="0"/>
    <xf numFmtId="0" fontId="13" fillId="20" borderId="100" applyNumberFormat="0" applyAlignment="0" applyProtection="0"/>
    <xf numFmtId="0" fontId="13" fillId="20" borderId="100" applyNumberFormat="0" applyAlignment="0" applyProtection="0"/>
    <xf numFmtId="0" fontId="13" fillId="20" borderId="100" applyNumberFormat="0" applyAlignment="0" applyProtection="0"/>
    <xf numFmtId="0" fontId="13" fillId="20" borderId="100" applyNumberFormat="0" applyAlignment="0" applyProtection="0"/>
    <xf numFmtId="0" fontId="13" fillId="20" borderId="100" applyNumberFormat="0" applyAlignment="0" applyProtection="0"/>
    <xf numFmtId="0" fontId="13" fillId="20" borderId="100" applyNumberFormat="0" applyAlignment="0" applyProtection="0"/>
    <xf numFmtId="0" fontId="13" fillId="20" borderId="100" applyNumberFormat="0" applyAlignment="0" applyProtection="0"/>
    <xf numFmtId="0" fontId="13" fillId="20" borderId="100" applyNumberFormat="0" applyAlignment="0" applyProtection="0"/>
    <xf numFmtId="0" fontId="13" fillId="20" borderId="100" applyNumberFormat="0" applyAlignment="0" applyProtection="0"/>
    <xf numFmtId="0" fontId="13" fillId="20" borderId="100" applyNumberFormat="0" applyAlignment="0" applyProtection="0"/>
    <xf numFmtId="0" fontId="13" fillId="20" borderId="100" applyNumberFormat="0" applyAlignment="0" applyProtection="0"/>
    <xf numFmtId="0" fontId="13" fillId="20" borderId="100" applyNumberFormat="0" applyAlignment="0" applyProtection="0"/>
    <xf numFmtId="0" fontId="13" fillId="20" borderId="100" applyNumberFormat="0" applyAlignment="0" applyProtection="0"/>
    <xf numFmtId="0" fontId="78" fillId="7" borderId="100" applyNumberFormat="0" applyAlignment="0" applyProtection="0"/>
    <xf numFmtId="0" fontId="78" fillId="7" borderId="100" applyNumberFormat="0" applyAlignment="0" applyProtection="0"/>
    <xf numFmtId="0" fontId="78" fillId="7" borderId="100" applyNumberFormat="0" applyAlignment="0" applyProtection="0"/>
    <xf numFmtId="0" fontId="78" fillId="7" borderId="100" applyNumberFormat="0" applyAlignment="0" applyProtection="0"/>
    <xf numFmtId="0" fontId="78" fillId="7" borderId="100" applyNumberFormat="0" applyAlignment="0" applyProtection="0"/>
    <xf numFmtId="0" fontId="78" fillId="7" borderId="100" applyNumberFormat="0" applyAlignment="0" applyProtection="0"/>
    <xf numFmtId="0" fontId="78" fillId="7" borderId="100" applyNumberFormat="0" applyAlignment="0" applyProtection="0"/>
    <xf numFmtId="0" fontId="78" fillId="7" borderId="100" applyNumberFormat="0" applyAlignment="0" applyProtection="0"/>
    <xf numFmtId="0" fontId="78" fillId="7" borderId="100" applyNumberFormat="0" applyAlignment="0" applyProtection="0"/>
    <xf numFmtId="0" fontId="78" fillId="7" borderId="100" applyNumberFormat="0" applyAlignment="0" applyProtection="0"/>
    <xf numFmtId="0" fontId="78" fillId="7" borderId="100" applyNumberFormat="0" applyAlignment="0" applyProtection="0"/>
    <xf numFmtId="0" fontId="78" fillId="7" borderId="100" applyNumberFormat="0" applyAlignment="0" applyProtection="0"/>
    <xf numFmtId="0" fontId="78" fillId="7" borderId="100" applyNumberFormat="0" applyAlignment="0" applyProtection="0"/>
    <xf numFmtId="0" fontId="78" fillId="7" borderId="100" applyNumberFormat="0" applyAlignment="0" applyProtection="0"/>
    <xf numFmtId="0" fontId="78" fillId="7" borderId="100" applyNumberFormat="0" applyAlignment="0" applyProtection="0"/>
    <xf numFmtId="0" fontId="78" fillId="7" borderId="100" applyNumberFormat="0" applyAlignment="0" applyProtection="0"/>
    <xf numFmtId="0" fontId="78" fillId="7" borderId="100" applyNumberFormat="0" applyAlignment="0" applyProtection="0"/>
    <xf numFmtId="0" fontId="78" fillId="7" borderId="100" applyNumberFormat="0" applyAlignment="0" applyProtection="0"/>
    <xf numFmtId="0" fontId="78" fillId="7" borderId="100" applyNumberFormat="0" applyAlignment="0" applyProtection="0"/>
    <xf numFmtId="0" fontId="78" fillId="7" borderId="100" applyNumberFormat="0" applyAlignment="0" applyProtection="0"/>
    <xf numFmtId="0" fontId="78" fillId="7" borderId="100" applyNumberFormat="0" applyAlignment="0" applyProtection="0"/>
    <xf numFmtId="0" fontId="78" fillId="7" borderId="100" applyNumberFormat="0" applyAlignment="0" applyProtection="0"/>
    <xf numFmtId="0" fontId="78" fillId="7" borderId="100" applyNumberFormat="0" applyAlignment="0" applyProtection="0"/>
    <xf numFmtId="0" fontId="78" fillId="7" borderId="100" applyNumberFormat="0" applyAlignment="0" applyProtection="0"/>
    <xf numFmtId="0" fontId="78" fillId="7" borderId="100" applyNumberFormat="0" applyAlignment="0" applyProtection="0"/>
    <xf numFmtId="0" fontId="78" fillId="7" borderId="100" applyNumberFormat="0" applyAlignment="0" applyProtection="0"/>
    <xf numFmtId="0" fontId="78" fillId="7" borderId="100" applyNumberFormat="0" applyAlignment="0" applyProtection="0"/>
    <xf numFmtId="0" fontId="78" fillId="7" borderId="100" applyNumberFormat="0" applyAlignment="0" applyProtection="0"/>
    <xf numFmtId="0" fontId="78" fillId="7" borderId="100" applyNumberFormat="0" applyAlignment="0" applyProtection="0"/>
    <xf numFmtId="0" fontId="78" fillId="7" borderId="100" applyNumberFormat="0" applyAlignment="0" applyProtection="0"/>
    <xf numFmtId="0" fontId="78" fillId="7" borderId="100" applyNumberFormat="0" applyAlignment="0" applyProtection="0"/>
    <xf numFmtId="0" fontId="78" fillId="7" borderId="100" applyNumberFormat="0" applyAlignment="0" applyProtection="0"/>
    <xf numFmtId="0" fontId="78" fillId="7" borderId="100" applyNumberFormat="0" applyAlignment="0" applyProtection="0"/>
    <xf numFmtId="0" fontId="78" fillId="7" borderId="100" applyNumberFormat="0" applyAlignment="0" applyProtection="0"/>
    <xf numFmtId="0" fontId="78" fillId="7" borderId="100" applyNumberFormat="0" applyAlignment="0" applyProtection="0"/>
    <xf numFmtId="0" fontId="78" fillId="7" borderId="100" applyNumberFormat="0" applyAlignment="0" applyProtection="0"/>
    <xf numFmtId="0" fontId="78" fillId="7" borderId="100" applyNumberFormat="0" applyAlignment="0" applyProtection="0"/>
    <xf numFmtId="0" fontId="78" fillId="7" borderId="100" applyNumberFormat="0" applyAlignment="0" applyProtection="0"/>
    <xf numFmtId="0" fontId="78" fillId="7" borderId="100" applyNumberFormat="0" applyAlignment="0" applyProtection="0"/>
    <xf numFmtId="0" fontId="78" fillId="7" borderId="100" applyNumberFormat="0" applyAlignment="0" applyProtection="0"/>
    <xf numFmtId="0" fontId="78" fillId="7" borderId="100" applyNumberFormat="0" applyAlignment="0" applyProtection="0"/>
    <xf numFmtId="0" fontId="78" fillId="7" borderId="100" applyNumberFormat="0" applyAlignment="0" applyProtection="0"/>
    <xf numFmtId="0" fontId="78" fillId="7" borderId="100" applyNumberFormat="0" applyAlignment="0" applyProtection="0"/>
    <xf numFmtId="0" fontId="78" fillId="7" borderId="100" applyNumberFormat="0" applyAlignment="0" applyProtection="0"/>
    <xf numFmtId="0" fontId="78" fillId="7" borderId="100" applyNumberFormat="0" applyAlignment="0" applyProtection="0"/>
    <xf numFmtId="0" fontId="10" fillId="24" borderId="6" applyNumberFormat="0" applyFont="0" applyAlignment="0" applyProtection="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 fillId="24" borderId="101" applyNumberFormat="0" applyFont="0" applyAlignment="0" applyProtection="0"/>
    <xf numFmtId="0" fontId="79" fillId="20" borderId="85" applyNumberFormat="0" applyAlignment="0" applyProtection="0"/>
    <xf numFmtId="0" fontId="79" fillId="20" borderId="85" applyNumberFormat="0" applyAlignment="0" applyProtection="0"/>
    <xf numFmtId="0" fontId="79" fillId="20" borderId="85" applyNumberFormat="0" applyAlignment="0" applyProtection="0"/>
    <xf numFmtId="0" fontId="79" fillId="20" borderId="85" applyNumberFormat="0" applyAlignment="0" applyProtection="0"/>
    <xf numFmtId="0" fontId="79" fillId="20" borderId="85" applyNumberFormat="0" applyAlignment="0" applyProtection="0"/>
    <xf numFmtId="0" fontId="79" fillId="20" borderId="85" applyNumberFormat="0" applyAlignment="0" applyProtection="0"/>
    <xf numFmtId="0" fontId="79" fillId="20" borderId="85" applyNumberFormat="0" applyAlignment="0" applyProtection="0"/>
    <xf numFmtId="0" fontId="79" fillId="20" borderId="85" applyNumberFormat="0" applyAlignment="0" applyProtection="0"/>
    <xf numFmtId="0" fontId="79" fillId="20" borderId="85" applyNumberFormat="0" applyAlignment="0" applyProtection="0"/>
    <xf numFmtId="0" fontId="79" fillId="20" borderId="85" applyNumberFormat="0" applyAlignment="0" applyProtection="0"/>
    <xf numFmtId="0" fontId="79" fillId="20" borderId="85" applyNumberFormat="0" applyAlignment="0" applyProtection="0"/>
    <xf numFmtId="0" fontId="79" fillId="20" borderId="85" applyNumberFormat="0" applyAlignment="0" applyProtection="0"/>
    <xf numFmtId="0" fontId="79" fillId="20" borderId="85" applyNumberFormat="0" applyAlignment="0" applyProtection="0"/>
    <xf numFmtId="0" fontId="79" fillId="20" borderId="85" applyNumberFormat="0" applyAlignment="0" applyProtection="0"/>
    <xf numFmtId="0" fontId="79" fillId="20" borderId="85" applyNumberFormat="0" applyAlignment="0" applyProtection="0"/>
    <xf numFmtId="0" fontId="79" fillId="20" borderId="85" applyNumberFormat="0" applyAlignment="0" applyProtection="0"/>
    <xf numFmtId="0" fontId="79" fillId="20" borderId="85" applyNumberFormat="0" applyAlignment="0" applyProtection="0"/>
    <xf numFmtId="0" fontId="79" fillId="20" borderId="85" applyNumberFormat="0" applyAlignment="0" applyProtection="0"/>
    <xf numFmtId="0" fontId="79" fillId="20" borderId="85" applyNumberFormat="0" applyAlignment="0" applyProtection="0"/>
    <xf numFmtId="0" fontId="79" fillId="20" borderId="85" applyNumberFormat="0" applyAlignment="0" applyProtection="0"/>
    <xf numFmtId="0" fontId="79" fillId="20" borderId="85" applyNumberFormat="0" applyAlignment="0" applyProtection="0"/>
    <xf numFmtId="0" fontId="79" fillId="20" borderId="85" applyNumberFormat="0" applyAlignment="0" applyProtection="0"/>
    <xf numFmtId="0" fontId="79" fillId="20" borderId="85" applyNumberFormat="0" applyAlignment="0" applyProtection="0"/>
    <xf numFmtId="0" fontId="79" fillId="20" borderId="85" applyNumberFormat="0" applyAlignment="0" applyProtection="0"/>
    <xf numFmtId="0" fontId="79" fillId="20" borderId="85" applyNumberFormat="0" applyAlignment="0" applyProtection="0"/>
    <xf numFmtId="0" fontId="79" fillId="20" borderId="85" applyNumberFormat="0" applyAlignment="0" applyProtection="0"/>
    <xf numFmtId="0" fontId="79" fillId="20" borderId="85" applyNumberFormat="0" applyAlignment="0" applyProtection="0"/>
    <xf numFmtId="0" fontId="79" fillId="20" borderId="85" applyNumberFormat="0" applyAlignment="0" applyProtection="0"/>
    <xf numFmtId="0" fontId="79" fillId="20" borderId="85" applyNumberFormat="0" applyAlignment="0" applyProtection="0"/>
    <xf numFmtId="0" fontId="79" fillId="20" borderId="85" applyNumberFormat="0" applyAlignment="0" applyProtection="0"/>
    <xf numFmtId="0" fontId="79" fillId="20" borderId="85" applyNumberFormat="0" applyAlignment="0" applyProtection="0"/>
    <xf numFmtId="0" fontId="79" fillId="20" borderId="85" applyNumberFormat="0" applyAlignment="0" applyProtection="0"/>
    <xf numFmtId="0" fontId="79" fillId="20" borderId="85" applyNumberFormat="0" applyAlignment="0" applyProtection="0"/>
    <xf numFmtId="0" fontId="79" fillId="20" borderId="85" applyNumberFormat="0" applyAlignment="0" applyProtection="0"/>
    <xf numFmtId="0" fontId="79" fillId="20" borderId="85" applyNumberFormat="0" applyAlignment="0" applyProtection="0"/>
    <xf numFmtId="0" fontId="79" fillId="20" borderId="85" applyNumberFormat="0" applyAlignment="0" applyProtection="0"/>
    <xf numFmtId="0" fontId="79" fillId="20" borderId="85" applyNumberFormat="0" applyAlignment="0" applyProtection="0"/>
    <xf numFmtId="0" fontId="79" fillId="20" borderId="85" applyNumberFormat="0" applyAlignment="0" applyProtection="0"/>
    <xf numFmtId="0" fontId="79" fillId="20" borderId="85" applyNumberFormat="0" applyAlignment="0" applyProtection="0"/>
    <xf numFmtId="0" fontId="79" fillId="20" borderId="85" applyNumberFormat="0" applyAlignment="0" applyProtection="0"/>
    <xf numFmtId="0" fontId="79" fillId="20" borderId="85" applyNumberFormat="0" applyAlignment="0" applyProtection="0"/>
    <xf numFmtId="0" fontId="79" fillId="20" borderId="85" applyNumberFormat="0" applyAlignment="0" applyProtection="0"/>
    <xf numFmtId="0" fontId="79" fillId="20" borderId="85" applyNumberFormat="0" applyAlignment="0" applyProtection="0"/>
    <xf numFmtId="0" fontId="79" fillId="20" borderId="85" applyNumberFormat="0" applyAlignment="0" applyProtection="0"/>
    <xf numFmtId="10" fontId="44" fillId="22" borderId="128" applyNumberFormat="0" applyBorder="0" applyAlignment="0" applyProtection="0"/>
    <xf numFmtId="10" fontId="44" fillId="22" borderId="128" applyNumberFormat="0" applyBorder="0" applyAlignment="0" applyProtection="0"/>
    <xf numFmtId="10" fontId="44" fillId="22" borderId="128" applyNumberFormat="0" applyBorder="0" applyAlignment="0" applyProtection="0"/>
    <xf numFmtId="10" fontId="44" fillId="22" borderId="128" applyNumberFormat="0" applyBorder="0" applyAlignment="0" applyProtection="0"/>
    <xf numFmtId="10" fontId="44" fillId="22" borderId="128" applyNumberFormat="0" applyBorder="0" applyAlignment="0" applyProtection="0"/>
    <xf numFmtId="10" fontId="44" fillId="22" borderId="128" applyNumberFormat="0" applyBorder="0" applyAlignment="0" applyProtection="0"/>
    <xf numFmtId="0" fontId="78" fillId="7" borderId="115" applyNumberFormat="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86" fillId="0" borderId="127" applyNumberFormat="0" applyAlignment="0" applyProtection="0">
      <alignment horizontal="left" vertical="center"/>
    </xf>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0" fontId="7" fillId="0" borderId="101" applyNumberFormat="0" applyFont="0" applyFill="0" applyAlignment="0" applyProtection="0"/>
    <xf numFmtId="44" fontId="7" fillId="0" borderId="0" applyFont="0" applyFill="0" applyBorder="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10" fillId="24" borderId="101" applyNumberFormat="0" applyFont="0" applyAlignment="0" applyProtection="0"/>
    <xf numFmtId="0" fontId="10" fillId="24" borderId="101" applyNumberFormat="0" applyFont="0" applyAlignment="0" applyProtection="0"/>
    <xf numFmtId="0" fontId="7" fillId="0" borderId="102" applyNumberFormat="0" applyFont="0" applyFill="0" applyAlignment="0" applyProtection="0"/>
    <xf numFmtId="0" fontId="7" fillId="0" borderId="102" applyNumberFormat="0" applyFont="0" applyFill="0" applyAlignment="0" applyProtection="0"/>
    <xf numFmtId="4" fontId="33" fillId="23" borderId="103" applyNumberFormat="0" applyProtection="0">
      <alignment vertical="center"/>
    </xf>
    <xf numFmtId="4" fontId="100" fillId="37" borderId="103" applyNumberFormat="0" applyProtection="0">
      <alignment vertical="center"/>
    </xf>
    <xf numFmtId="4" fontId="33" fillId="37" borderId="103" applyNumberFormat="0" applyProtection="0">
      <alignment horizontal="left" vertical="center" indent="1"/>
    </xf>
    <xf numFmtId="0" fontId="33" fillId="37" borderId="103" applyNumberFormat="0" applyProtection="0">
      <alignment horizontal="left" vertical="top" indent="1"/>
    </xf>
    <xf numFmtId="4" fontId="31" fillId="3" borderId="103" applyNumberFormat="0" applyProtection="0">
      <alignment horizontal="right" vertical="center"/>
    </xf>
    <xf numFmtId="4" fontId="31" fillId="8" borderId="103" applyNumberFormat="0" applyProtection="0">
      <alignment horizontal="right" vertical="center"/>
    </xf>
    <xf numFmtId="4" fontId="31" fillId="17" borderId="103" applyNumberFormat="0" applyProtection="0">
      <alignment horizontal="right" vertical="center"/>
    </xf>
    <xf numFmtId="4" fontId="31" fillId="11" borderId="103" applyNumberFormat="0" applyProtection="0">
      <alignment horizontal="right" vertical="center"/>
    </xf>
    <xf numFmtId="4" fontId="31" fillId="15" borderId="103" applyNumberFormat="0" applyProtection="0">
      <alignment horizontal="right" vertical="center"/>
    </xf>
    <xf numFmtId="4" fontId="31" fillId="19" borderId="103" applyNumberFormat="0" applyProtection="0">
      <alignment horizontal="right" vertical="center"/>
    </xf>
    <xf numFmtId="4" fontId="31" fillId="18" borderId="103" applyNumberFormat="0" applyProtection="0">
      <alignment horizontal="right" vertical="center"/>
    </xf>
    <xf numFmtId="4" fontId="31" fillId="39" borderId="103" applyNumberFormat="0" applyProtection="0">
      <alignment horizontal="right" vertical="center"/>
    </xf>
    <xf numFmtId="4" fontId="31" fillId="9" borderId="103" applyNumberFormat="0" applyProtection="0">
      <alignment horizontal="right" vertical="center"/>
    </xf>
    <xf numFmtId="4" fontId="33" fillId="40" borderId="104" applyNumberFormat="0" applyProtection="0">
      <alignment horizontal="left" vertical="center" indent="1"/>
    </xf>
    <xf numFmtId="4" fontId="31" fillId="43" borderId="103" applyNumberFormat="0" applyProtection="0">
      <alignment horizontal="right" vertical="center"/>
    </xf>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top" indent="1"/>
    </xf>
    <xf numFmtId="0" fontId="7" fillId="45" borderId="103" applyNumberFormat="0" applyProtection="0">
      <alignment horizontal="left" vertical="top" indent="1"/>
    </xf>
    <xf numFmtId="0" fontId="7" fillId="45" borderId="103" applyNumberFormat="0" applyProtection="0">
      <alignment horizontal="left" vertical="top" indent="1"/>
    </xf>
    <xf numFmtId="4" fontId="31" fillId="22" borderId="103" applyNumberFormat="0" applyProtection="0">
      <alignment vertical="center"/>
    </xf>
    <xf numFmtId="4" fontId="102" fillId="22" borderId="103" applyNumberFormat="0" applyProtection="0">
      <alignment vertical="center"/>
    </xf>
    <xf numFmtId="4" fontId="31" fillId="22" borderId="103" applyNumberFormat="0" applyProtection="0">
      <alignment horizontal="left" vertical="center" indent="1"/>
    </xf>
    <xf numFmtId="0" fontId="31" fillId="22" borderId="103" applyNumberFormat="0" applyProtection="0">
      <alignment horizontal="left" vertical="top" indent="1"/>
    </xf>
    <xf numFmtId="4" fontId="31" fillId="41" borderId="103" applyNumberFormat="0" applyProtection="0">
      <alignment horizontal="right" vertical="center"/>
    </xf>
    <xf numFmtId="4" fontId="102" fillId="41" borderId="103" applyNumberFormat="0" applyProtection="0">
      <alignment horizontal="right" vertical="center"/>
    </xf>
    <xf numFmtId="4" fontId="31" fillId="43" borderId="103" applyNumberFormat="0" applyProtection="0">
      <alignment horizontal="left" vertical="center" indent="1"/>
    </xf>
    <xf numFmtId="0" fontId="31" fillId="38" borderId="103" applyNumberFormat="0" applyProtection="0">
      <alignment horizontal="left" vertical="top" indent="1"/>
    </xf>
    <xf numFmtId="4" fontId="104" fillId="41" borderId="103" applyNumberFormat="0" applyProtection="0">
      <alignment horizontal="right" vertical="center"/>
    </xf>
    <xf numFmtId="0" fontId="32" fillId="47" borderId="105" applyNumberFormat="0" applyProtection="0">
      <alignment horizontal="center" wrapText="1"/>
    </xf>
    <xf numFmtId="0" fontId="32" fillId="47" borderId="106" applyNumberFormat="0" applyAlignment="0" applyProtection="0">
      <alignment wrapText="1"/>
    </xf>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10" fillId="24" borderId="101" applyNumberFormat="0" applyFont="0" applyAlignment="0" applyProtection="0"/>
    <xf numFmtId="0" fontId="10" fillId="24" borderId="101" applyNumberFormat="0" applyFont="0" applyAlignment="0" applyProtection="0"/>
    <xf numFmtId="0" fontId="1" fillId="0" borderId="0"/>
    <xf numFmtId="9" fontId="1" fillId="0" borderId="0" applyFont="0" applyFill="0" applyBorder="0" applyAlignment="0" applyProtection="0"/>
    <xf numFmtId="43" fontId="7"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27" fillId="28" borderId="108" applyNumberFormat="0" applyAlignment="0" applyProtection="0"/>
    <xf numFmtId="0" fontId="1" fillId="0" borderId="0"/>
    <xf numFmtId="185" fontId="1" fillId="0" borderId="0" applyFont="0" applyFill="0" applyBorder="0" applyAlignment="0" applyProtection="0"/>
    <xf numFmtId="44" fontId="1" fillId="0" borderId="0" applyFont="0" applyFill="0" applyBorder="0" applyAlignment="0" applyProtection="0"/>
    <xf numFmtId="0" fontId="110" fillId="0" borderId="109" applyNumberFormat="0" applyFill="0" applyAlignment="0" applyProtection="0"/>
    <xf numFmtId="0" fontId="111" fillId="0" borderId="110" applyNumberFormat="0" applyFill="0" applyAlignment="0" applyProtection="0"/>
    <xf numFmtId="0" fontId="112" fillId="50" borderId="111" applyNumberFormat="0" applyAlignment="0" applyProtection="0"/>
    <xf numFmtId="0" fontId="7" fillId="0" borderId="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19"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10" fillId="2" borderId="0" applyNumberFormat="0" applyBorder="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1"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10" fillId="3" borderId="0" applyNumberFormat="0" applyBorder="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10" fillId="4" borderId="0" applyNumberFormat="0" applyBorder="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0" fillId="5" borderId="0" applyNumberFormat="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10" fillId="6" borderId="0" applyNumberFormat="0" applyBorder="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0" fillId="7" borderId="0" applyNumberFormat="0" applyBorder="0" applyAlignment="0" applyProtection="0"/>
    <xf numFmtId="0" fontId="7" fillId="24" borderId="116" applyNumberFormat="0" applyFont="0" applyAlignment="0" applyProtection="0"/>
    <xf numFmtId="0" fontId="86" fillId="0" borderId="112">
      <alignment horizontal="left" vertical="center"/>
    </xf>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10" fillId="10" borderId="0" applyNumberFormat="0" applyBorder="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10" fillId="8" borderId="0" applyNumberFormat="0" applyBorder="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0" fillId="9" borderId="0" applyNumberFormat="0" applyBorder="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0" fillId="5" borderId="0" applyNumberFormat="0" applyBorder="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9" fillId="20" borderId="108" applyNumberFormat="0" applyAlignment="0" applyProtection="0"/>
    <xf numFmtId="0" fontId="79" fillId="20" borderId="108" applyNumberForma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10" fillId="10" borderId="0" applyNumberFormat="0" applyBorder="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0" fillId="11" borderId="0" applyNumberFormat="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1" fillId="12" borderId="0" applyNumberFormat="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1" fillId="8" borderId="0" applyNumberFormat="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1" fillId="9" borderId="0" applyNumberFormat="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1" fillId="13" borderId="0" applyNumberFormat="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11" fillId="14" borderId="0" applyNumberFormat="0" applyBorder="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1" fillId="15" borderId="0" applyNumberFormat="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1" fillId="16" borderId="0" applyNumberFormat="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1" fillId="17" borderId="0" applyNumberFormat="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1" fillId="18" borderId="0" applyNumberFormat="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1" fillId="13" borderId="0" applyNumberFormat="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1" fillId="14" borderId="0" applyNumberFormat="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1" fillId="19" borderId="0" applyNumberFormat="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2" fillId="3" borderId="0" applyNumberFormat="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00"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4" fillId="21" borderId="2"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0"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7" fillId="0" borderId="0" applyFont="0" applyFill="0" applyBorder="0" applyAlignment="0" applyProtection="0"/>
    <xf numFmtId="185" fontId="10" fillId="0" borderId="0" applyFont="0" applyFill="0" applyBorder="0" applyAlignment="0" applyProtection="0"/>
    <xf numFmtId="185" fontId="7" fillId="0" borderId="0" applyFont="0" applyFill="0" applyBorder="0" applyAlignment="0" applyProtection="0"/>
    <xf numFmtId="185" fontId="10"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10" fillId="0" borderId="0" applyFont="0" applyFill="0" applyBorder="0" applyAlignment="0" applyProtection="0"/>
    <xf numFmtId="185" fontId="7" fillId="0" borderId="0" applyFont="0" applyFill="0" applyBorder="0" applyAlignment="0" applyProtection="0"/>
    <xf numFmtId="185" fontId="10" fillId="0" borderId="0" applyFont="0" applyFill="0" applyBorder="0" applyAlignment="0" applyProtection="0"/>
    <xf numFmtId="185" fontId="7" fillId="0" borderId="0" applyFont="0" applyFill="0" applyBorder="0" applyAlignment="0" applyProtection="0"/>
    <xf numFmtId="185" fontId="10"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0"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44" fontId="10" fillId="0" borderId="0" applyFont="0" applyFill="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10" fontId="44" fillId="22" borderId="49" applyNumberFormat="0" applyBorder="0" applyAlignment="0" applyProtection="0"/>
    <xf numFmtId="10" fontId="44" fillId="22" borderId="49" applyNumberFormat="0" applyBorder="0" applyAlignment="0" applyProtection="0"/>
    <xf numFmtId="10" fontId="44" fillId="22" borderId="49" applyNumberFormat="0" applyBorder="0" applyAlignment="0" applyProtection="0"/>
    <xf numFmtId="10" fontId="44" fillId="22" borderId="49" applyNumberFormat="0" applyBorder="0" applyAlignment="0" applyProtection="0"/>
    <xf numFmtId="10" fontId="44" fillId="22" borderId="49" applyNumberFormat="0" applyBorder="0" applyAlignment="0" applyProtection="0"/>
    <xf numFmtId="10" fontId="44" fillId="22" borderId="49" applyNumberFormat="0" applyBorder="0" applyAlignment="0" applyProtection="0"/>
    <xf numFmtId="186" fontId="7" fillId="0" borderId="0" applyFont="0" applyFill="0" applyBorder="0" applyAlignment="0" applyProtection="0">
      <alignment wrapText="1"/>
    </xf>
    <xf numFmtId="186" fontId="7" fillId="0" borderId="0" applyFont="0" applyFill="0" applyBorder="0" applyAlignment="0" applyProtection="0">
      <alignment wrapText="1"/>
    </xf>
    <xf numFmtId="186" fontId="7" fillId="0" borderId="0" applyFont="0" applyFill="0" applyBorder="0" applyAlignment="0" applyProtection="0">
      <alignment wrapText="1"/>
    </xf>
    <xf numFmtId="186" fontId="7" fillId="0" borderId="0" applyFont="0" applyFill="0" applyBorder="0" applyAlignment="0" applyProtection="0">
      <alignment wrapText="1"/>
    </xf>
    <xf numFmtId="186" fontId="7" fillId="0" borderId="0" applyFont="0" applyFill="0" applyBorder="0" applyAlignment="0" applyProtection="0">
      <alignment wrapText="1"/>
    </xf>
    <xf numFmtId="186" fontId="7" fillId="0" borderId="0" applyFont="0" applyFill="0" applyBorder="0" applyAlignment="0" applyProtection="0">
      <alignment wrapText="1"/>
    </xf>
    <xf numFmtId="186" fontId="7" fillId="0" borderId="0" applyFont="0" applyFill="0" applyBorder="0" applyAlignment="0" applyProtection="0">
      <alignment wrapText="1"/>
    </xf>
    <xf numFmtId="186" fontId="7" fillId="0" borderId="0" applyFont="0" applyFill="0" applyBorder="0" applyAlignment="0" applyProtection="0">
      <alignment wrapText="1"/>
    </xf>
    <xf numFmtId="186" fontId="7" fillId="0" borderId="0" applyFont="0" applyFill="0" applyBorder="0" applyAlignment="0" applyProtection="0">
      <alignment wrapText="1"/>
    </xf>
    <xf numFmtId="186" fontId="7" fillId="0" borderId="0" applyFont="0" applyFill="0" applyBorder="0" applyAlignment="0" applyProtection="0">
      <alignment wrapText="1"/>
    </xf>
    <xf numFmtId="186" fontId="7" fillId="0" borderId="0" applyFont="0" applyFill="0" applyBorder="0" applyAlignment="0" applyProtection="0">
      <alignment wrapText="1"/>
    </xf>
    <xf numFmtId="186" fontId="7" fillId="0" borderId="0" applyFont="0" applyFill="0" applyBorder="0" applyAlignment="0" applyProtection="0">
      <alignment wrapText="1"/>
    </xf>
    <xf numFmtId="186" fontId="7" fillId="0" borderId="0" applyFont="0" applyFill="0" applyBorder="0" applyAlignment="0" applyProtection="0">
      <alignment wrapText="1"/>
    </xf>
    <xf numFmtId="186" fontId="7" fillId="0" borderId="0" applyFont="0" applyFill="0" applyBorder="0" applyAlignment="0" applyProtection="0">
      <alignment wrapText="1"/>
    </xf>
    <xf numFmtId="186" fontId="7" fillId="0" borderId="0" applyFont="0" applyFill="0" applyBorder="0" applyAlignment="0" applyProtection="0">
      <alignment wrapText="1"/>
    </xf>
    <xf numFmtId="186" fontId="7" fillId="0" borderId="0" applyFont="0" applyFill="0" applyBorder="0" applyAlignment="0" applyProtection="0">
      <alignment wrapText="1"/>
    </xf>
    <xf numFmtId="186" fontId="7" fillId="0" borderId="0" applyFont="0" applyFill="0" applyBorder="0" applyAlignment="0" applyProtection="0">
      <alignment wrapText="1"/>
    </xf>
    <xf numFmtId="186" fontId="7" fillId="0" borderId="0" applyFont="0" applyFill="0" applyBorder="0" applyAlignment="0" applyProtection="0">
      <alignment wrapText="1"/>
    </xf>
    <xf numFmtId="186" fontId="7" fillId="0" borderId="0" applyFont="0" applyFill="0" applyBorder="0" applyAlignment="0" applyProtection="0">
      <alignment wrapText="1"/>
    </xf>
    <xf numFmtId="186" fontId="7" fillId="0" borderId="0" applyFont="0" applyFill="0" applyBorder="0" applyAlignment="0" applyProtection="0">
      <alignment wrapText="1"/>
    </xf>
    <xf numFmtId="186" fontId="7" fillId="0" borderId="0" applyFont="0" applyFill="0" applyBorder="0" applyAlignment="0" applyProtection="0">
      <alignment wrapText="1"/>
    </xf>
    <xf numFmtId="186" fontId="7" fillId="0" borderId="0" applyFont="0" applyFill="0" applyBorder="0" applyAlignment="0" applyProtection="0">
      <alignment wrapText="1"/>
    </xf>
    <xf numFmtId="186" fontId="7" fillId="0" borderId="0" applyFont="0" applyFill="0" applyBorder="0" applyAlignment="0" applyProtection="0">
      <alignment wrapText="1"/>
    </xf>
    <xf numFmtId="186" fontId="7" fillId="0" borderId="0" applyFont="0" applyFill="0" applyBorder="0" applyAlignment="0" applyProtection="0">
      <alignment wrapText="1"/>
    </xf>
    <xf numFmtId="186" fontId="7" fillId="0" borderId="0" applyFont="0" applyFill="0" applyBorder="0" applyAlignment="0" applyProtection="0">
      <alignment wrapText="1"/>
    </xf>
    <xf numFmtId="186" fontId="7" fillId="0" borderId="0" applyFont="0" applyFill="0" applyBorder="0" applyAlignment="0" applyProtection="0">
      <alignment wrapText="1"/>
    </xf>
    <xf numFmtId="186" fontId="7" fillId="0" borderId="0" applyFont="0" applyFill="0" applyBorder="0" applyAlignment="0" applyProtection="0">
      <alignment wrapText="1"/>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5" fillId="0" borderId="0" applyNumberFormat="0" applyFill="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6" fillId="4" borderId="0" applyNumberFormat="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112">
      <alignment horizontal="left" vertical="center"/>
    </xf>
    <xf numFmtId="0" fontId="86" fillId="0" borderId="112">
      <alignment horizontal="left" vertical="center"/>
    </xf>
    <xf numFmtId="0" fontId="86" fillId="0" borderId="112">
      <alignment horizontal="left" vertical="center"/>
    </xf>
    <xf numFmtId="0" fontId="86" fillId="0" borderId="112">
      <alignment horizontal="left" vertical="center"/>
    </xf>
    <xf numFmtId="0" fontId="86" fillId="0" borderId="112">
      <alignment horizontal="left" vertical="center"/>
    </xf>
    <xf numFmtId="0" fontId="86" fillId="0" borderId="112">
      <alignment horizontal="left" vertical="center"/>
    </xf>
    <xf numFmtId="0" fontId="86" fillId="0" borderId="112">
      <alignment horizontal="left" vertical="center"/>
    </xf>
    <xf numFmtId="0" fontId="86" fillId="0" borderId="112">
      <alignment horizontal="left" vertical="center"/>
    </xf>
    <xf numFmtId="0" fontId="86" fillId="0" borderId="112">
      <alignment horizontal="left" vertical="center"/>
    </xf>
    <xf numFmtId="0" fontId="86" fillId="0" borderId="112">
      <alignment horizontal="left" vertical="center"/>
    </xf>
    <xf numFmtId="0" fontId="7" fillId="24" borderId="116" applyNumberFormat="0" applyFont="0" applyAlignment="0" applyProtection="0"/>
    <xf numFmtId="0" fontId="76" fillId="0" borderId="47" applyNumberForma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7" fillId="0" borderId="48" applyNumberFormat="0" applyFill="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7" fillId="0" borderId="3" applyNumberForma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7" fillId="0" borderId="0" applyNumberFormat="0" applyFill="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00" applyNumberFormat="0" applyAlignment="0" applyProtection="0"/>
    <xf numFmtId="10" fontId="44" fillId="22" borderId="113" applyNumberFormat="0" applyBorder="0" applyAlignment="0" applyProtection="0"/>
    <xf numFmtId="10" fontId="44" fillId="22" borderId="113" applyNumberFormat="0" applyBorder="0" applyAlignment="0" applyProtection="0"/>
    <xf numFmtId="10" fontId="44" fillId="22" borderId="113" applyNumberFormat="0" applyBorder="0" applyAlignment="0" applyProtection="0"/>
    <xf numFmtId="10" fontId="44" fillId="22" borderId="113" applyNumberFormat="0" applyBorder="0" applyAlignment="0" applyProtection="0"/>
    <xf numFmtId="10" fontId="44" fillId="22" borderId="113" applyNumberFormat="0" applyBorder="0" applyAlignment="0" applyProtection="0"/>
    <xf numFmtId="10" fontId="44" fillId="22" borderId="113" applyNumberFormat="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8" fillId="0" borderId="5" applyNumberForma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0" fontId="19" fillId="23" borderId="0" applyNumberFormat="0" applyBorder="0" applyAlignment="0" applyProtection="0"/>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37" fontId="86" fillId="0" borderId="74" applyNumberFormat="0">
      <alignment horizontal="centerContinuous" wrapText="1"/>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0"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112">
      <alignment horizontal="left" vertical="center"/>
    </xf>
    <xf numFmtId="0" fontId="86" fillId="0" borderId="112">
      <alignment horizontal="left" vertical="center"/>
    </xf>
    <xf numFmtId="0" fontId="86" fillId="0" borderId="112">
      <alignment horizontal="left" vertical="center"/>
    </xf>
    <xf numFmtId="0" fontId="86" fillId="0" borderId="112">
      <alignment horizontal="left" vertical="center"/>
    </xf>
    <xf numFmtId="0" fontId="86" fillId="0" borderId="112">
      <alignment horizontal="left" vertical="center"/>
    </xf>
    <xf numFmtId="0" fontId="86" fillId="0" borderId="112">
      <alignment horizontal="left" vertical="center"/>
    </xf>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 fillId="0" borderId="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 fillId="0" borderId="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0" fillId="24" borderId="101"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0"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0"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0" fillId="24" borderId="116" applyNumberFormat="0" applyFont="0" applyAlignment="0" applyProtection="0"/>
    <xf numFmtId="0" fontId="10"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112">
      <alignment horizontal="left" vertical="center"/>
    </xf>
    <xf numFmtId="0" fontId="86" fillId="0" borderId="112">
      <alignment horizontal="left" vertical="center"/>
    </xf>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 fillId="24" borderId="116" applyNumberFormat="0" applyFon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10" fontId="44" fillId="22" borderId="49" applyNumberFormat="0" applyBorder="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10" fontId="44" fillId="22" borderId="49" applyNumberFormat="0" applyBorder="0" applyAlignment="0" applyProtection="0"/>
    <xf numFmtId="10" fontId="44" fillId="22" borderId="49" applyNumberFormat="0" applyBorder="0" applyAlignment="0" applyProtection="0"/>
    <xf numFmtId="10" fontId="44" fillId="22" borderId="49" applyNumberFormat="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9" fontId="10" fillId="0" borderId="0" applyFont="0" applyFill="0" applyBorder="0" applyAlignment="0" applyProtection="0"/>
    <xf numFmtId="0" fontId="7" fillId="24" borderId="116" applyNumberFormat="0" applyFon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95" fillId="0" borderId="50">
      <alignment horizontal="center"/>
    </xf>
    <xf numFmtId="0" fontId="95" fillId="0" borderId="50">
      <alignment horizontal="center"/>
    </xf>
    <xf numFmtId="0" fontId="95" fillId="0" borderId="50">
      <alignment horizontal="center"/>
    </xf>
    <xf numFmtId="0" fontId="95" fillId="0" borderId="50">
      <alignment horizontal="center"/>
    </xf>
    <xf numFmtId="0" fontId="95" fillId="0" borderId="50">
      <alignment horizontal="center"/>
    </xf>
    <xf numFmtId="0" fontId="95" fillId="0" borderId="50">
      <alignment horizont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10" fontId="44" fillId="22" borderId="49" applyNumberFormat="0" applyBorder="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10" fontId="44" fillId="22" borderId="49" applyNumberFormat="0" applyBorder="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10" fontId="44" fillId="22" borderId="49" applyNumberFormat="0" applyBorder="0" applyAlignment="0" applyProtection="0"/>
    <xf numFmtId="10" fontId="44" fillId="22" borderId="49" applyNumberFormat="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10" fontId="44" fillId="22" borderId="49" applyNumberFormat="0" applyBorder="0" applyAlignment="0" applyProtection="0"/>
    <xf numFmtId="10" fontId="44" fillId="22" borderId="49" applyNumberFormat="0" applyBorder="0" applyAlignment="0" applyProtection="0"/>
    <xf numFmtId="10" fontId="44" fillId="22" borderId="49" applyNumberFormat="0" applyBorder="0" applyAlignment="0" applyProtection="0"/>
    <xf numFmtId="10" fontId="44" fillId="22" borderId="49" applyNumberFormat="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19"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10"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0"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1"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0"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0"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19"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9" fillId="20" borderId="108"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185" fontId="7" fillId="0" borderId="0" applyFont="0" applyFill="0" applyBorder="0" applyAlignment="0" applyProtection="0"/>
    <xf numFmtId="0" fontId="7" fillId="24" borderId="116" applyNumberFormat="0" applyFont="0" applyAlignment="0" applyProtection="0"/>
    <xf numFmtId="185" fontId="7"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185" fontId="7" fillId="0" borderId="0" applyFont="0" applyFill="0" applyBorder="0" applyAlignment="0" applyProtection="0"/>
    <xf numFmtId="185" fontId="7" fillId="0" borderId="0" applyFont="0" applyFill="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112">
      <alignment horizontal="left" vertical="center"/>
    </xf>
    <xf numFmtId="0" fontId="86" fillId="0" borderId="112">
      <alignment horizontal="left" vertical="center"/>
    </xf>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49" borderId="72" applyNumberFormat="0">
      <alignment wrapText="1"/>
    </xf>
    <xf numFmtId="0" fontId="7" fillId="49" borderId="72" applyNumberFormat="0">
      <alignment wrapText="1"/>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13" fillId="20" borderId="115" applyNumberFormat="0" applyAlignment="0" applyProtection="0"/>
    <xf numFmtId="0" fontId="7" fillId="24" borderId="116" applyNumberFormat="0" applyFont="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2"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84" fillId="0" borderId="114">
      <protection locked="0"/>
    </xf>
    <xf numFmtId="0" fontId="7" fillId="24" borderId="116" applyNumberFormat="0" applyFont="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112" fillId="50" borderId="111" applyNumberFormat="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1"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44" fontId="1" fillId="0" borderId="0" applyFont="0" applyFill="0" applyBorder="0" applyAlignment="0" applyProtection="0"/>
    <xf numFmtId="185" fontId="1" fillId="0" borderId="0" applyFont="0" applyFill="0" applyBorder="0" applyAlignment="0" applyProtection="0"/>
    <xf numFmtId="0" fontId="1" fillId="0" borderId="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 fillId="0" borderId="0"/>
    <xf numFmtId="0" fontId="7" fillId="24" borderId="116" applyNumberFormat="0" applyFont="0" applyAlignment="0" applyProtection="0"/>
    <xf numFmtId="9" fontId="1" fillId="0" borderId="0" applyFont="0" applyFill="0" applyBorder="0" applyAlignment="0" applyProtection="0"/>
    <xf numFmtId="185" fontId="7" fillId="0" borderId="0" applyFont="0" applyFill="0" applyBorder="0" applyAlignment="0" applyProtection="0"/>
    <xf numFmtId="0" fontId="78" fillId="7" borderId="115" applyNumberFormat="0" applyAlignment="0" applyProtection="0"/>
    <xf numFmtId="0" fontId="7" fillId="24" borderId="116" applyNumberFormat="0" applyFont="0" applyAlignment="0" applyProtection="0"/>
    <xf numFmtId="0" fontId="1" fillId="51" borderId="0" applyNumberFormat="0" applyBorder="0" applyAlignment="0" applyProtection="0"/>
    <xf numFmtId="0" fontId="1" fillId="52" borderId="0" applyNumberFormat="0" applyBorder="0" applyAlignment="0" applyProtection="0"/>
    <xf numFmtId="0" fontId="7" fillId="24" borderId="116" applyNumberFormat="0" applyFont="0" applyAlignment="0" applyProtection="0"/>
    <xf numFmtId="0" fontId="113" fillId="0" borderId="0"/>
    <xf numFmtId="9" fontId="113" fillId="0" borderId="0" applyFont="0" applyFill="0" applyBorder="0" applyAlignment="0" applyProtection="0"/>
    <xf numFmtId="0" fontId="109" fillId="0" borderId="0"/>
    <xf numFmtId="9" fontId="109" fillId="0" borderId="0" applyFont="0" applyFill="0" applyBorder="0" applyAlignment="0" applyProtection="0"/>
    <xf numFmtId="0" fontId="109" fillId="0" borderId="0"/>
    <xf numFmtId="9" fontId="109" fillId="0" borderId="0" applyFont="0" applyFill="0" applyBorder="0" applyAlignment="0" applyProtection="0"/>
    <xf numFmtId="185" fontId="109" fillId="0" borderId="0" applyFont="0" applyFill="0" applyBorder="0" applyAlignment="0" applyProtection="0"/>
    <xf numFmtId="0" fontId="114" fillId="0" borderId="0" applyNumberFormat="0" applyFill="0" applyBorder="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0" borderId="121" applyNumberFormat="0" applyFont="0" applyFill="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46">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46">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20"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8" fillId="7" borderId="115" applyNumberForma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9" fillId="20" borderId="108" applyNumberFormat="0" applyAlignment="0" applyProtection="0"/>
    <xf numFmtId="0" fontId="13" fillId="20" borderId="115" applyNumberFormat="0" applyAlignment="0" applyProtection="0"/>
    <xf numFmtId="0" fontId="79" fillId="20" borderId="108" applyNumberFormat="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13" fillId="20" borderId="115" applyNumberFormat="0" applyAlignment="0" applyProtection="0"/>
    <xf numFmtId="0" fontId="7" fillId="0" borderId="116" applyNumberFormat="0" applyFont="0" applyFill="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79" fillId="20" borderId="108" applyNumberFormat="0" applyAlignment="0" applyProtection="0"/>
    <xf numFmtId="0" fontId="79" fillId="20" borderId="108" applyNumberForma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0" borderId="119" applyNumberFormat="0" applyFont="0" applyFill="0" applyAlignment="0" applyProtection="0"/>
    <xf numFmtId="0" fontId="13" fillId="20" borderId="115" applyNumberFormat="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38" borderId="103" applyNumberFormat="0" applyProtection="0">
      <alignment horizontal="left" vertical="top" indent="1"/>
    </xf>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0" applyNumberFormat="0" applyFont="0" applyFill="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10"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33" fillId="37" borderId="103" applyNumberFormat="0" applyProtection="0">
      <alignment horizontal="left" vertical="top" indent="1"/>
    </xf>
    <xf numFmtId="4" fontId="31" fillId="17" borderId="103" applyNumberFormat="0" applyProtection="0">
      <alignment horizontal="right" vertical="center"/>
    </xf>
    <xf numFmtId="4" fontId="31" fillId="18" borderId="103" applyNumberFormat="0" applyProtection="0">
      <alignment horizontal="right" vertical="center"/>
    </xf>
    <xf numFmtId="0" fontId="7" fillId="0" borderId="117" applyNumberFormat="0" applyFont="0" applyFill="0" applyAlignment="0" applyProtection="0"/>
    <xf numFmtId="4" fontId="31" fillId="43" borderId="103" applyNumberFormat="0" applyProtection="0">
      <alignment horizontal="right" vertical="center"/>
    </xf>
    <xf numFmtId="0" fontId="7" fillId="24" borderId="116" applyNumberFormat="0" applyFont="0" applyAlignment="0" applyProtection="0"/>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top" indent="1"/>
    </xf>
    <xf numFmtId="0" fontId="7" fillId="38"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top" indent="1"/>
    </xf>
    <xf numFmtId="0" fontId="7" fillId="45" borderId="103" applyNumberFormat="0" applyProtection="0">
      <alignment horizontal="left" vertical="center" indent="1"/>
    </xf>
    <xf numFmtId="4" fontId="31" fillId="22" borderId="103" applyNumberFormat="0" applyProtection="0">
      <alignment vertical="center"/>
    </xf>
    <xf numFmtId="4" fontId="31" fillId="41" borderId="103" applyNumberFormat="0" applyProtection="0">
      <alignment horizontal="right" vertical="center"/>
    </xf>
    <xf numFmtId="0" fontId="7" fillId="24" borderId="116" applyNumberFormat="0" applyFont="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2"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0" fontId="79" fillId="20" borderId="108" applyNumberFormat="0" applyAlignment="0" applyProtection="0"/>
    <xf numFmtId="0" fontId="78" fillId="7" borderId="115" applyNumberFormat="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24" borderId="116" applyNumberFormat="0" applyFont="0" applyAlignment="0" applyProtection="0"/>
    <xf numFmtId="0" fontId="13" fillId="20" borderId="115" applyNumberFormat="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19"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21" fillId="0" borderId="107" applyNumberForma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21" fillId="0" borderId="107" applyNumberFormat="0" applyFill="0" applyAlignment="0" applyProtection="0"/>
    <xf numFmtId="0" fontId="7" fillId="24" borderId="116" applyNumberFormat="0" applyFont="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44" fontId="1" fillId="0" borderId="0" applyFont="0" applyFill="0" applyBorder="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44" fontId="1" fillId="0" borderId="0" applyFont="0" applyFill="0" applyBorder="0" applyAlignment="0" applyProtection="0"/>
    <xf numFmtId="0" fontId="10"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185" fontId="1" fillId="0" borderId="0" applyFont="0" applyFill="0" applyBorder="0" applyAlignment="0" applyProtection="0"/>
    <xf numFmtId="0" fontId="7" fillId="24" borderId="116" applyNumberFormat="0" applyFont="0" applyAlignment="0" applyProtection="0"/>
    <xf numFmtId="185" fontId="1" fillId="0" borderId="0" applyFont="0" applyFill="0" applyBorder="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10" fontId="44" fillId="22" borderId="49" applyNumberFormat="0" applyBorder="0" applyAlignment="0" applyProtection="0"/>
    <xf numFmtId="10" fontId="44" fillId="22" borderId="49" applyNumberFormat="0" applyBorder="0" applyAlignment="0" applyProtection="0"/>
    <xf numFmtId="10" fontId="44" fillId="22" borderId="49" applyNumberFormat="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 fillId="24" borderId="116" applyNumberFormat="0" applyFont="0" applyAlignment="0" applyProtection="0"/>
    <xf numFmtId="10" fontId="44" fillId="22" borderId="49" applyNumberFormat="0" applyBorder="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10" fontId="44" fillId="22" borderId="49" applyNumberFormat="0" applyBorder="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8" fillId="7" borderId="115" applyNumberForma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0"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0"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02" applyNumberFormat="0" applyFont="0" applyFill="0" applyAlignment="0" applyProtection="0"/>
    <xf numFmtId="0" fontId="7" fillId="0" borderId="102" applyNumberFormat="0" applyFont="0" applyFill="0" applyAlignment="0" applyProtection="0"/>
    <xf numFmtId="0" fontId="7" fillId="24" borderId="116" applyNumberFormat="0" applyFont="0" applyAlignment="0" applyProtection="0"/>
    <xf numFmtId="4" fontId="33" fillId="23" borderId="103" applyNumberFormat="0" applyProtection="0">
      <alignment vertical="center"/>
    </xf>
    <xf numFmtId="4" fontId="100" fillId="37" borderId="103" applyNumberFormat="0" applyProtection="0">
      <alignment vertical="center"/>
    </xf>
    <xf numFmtId="4" fontId="33" fillId="37" borderId="103" applyNumberFormat="0" applyProtection="0">
      <alignment horizontal="left" vertical="center" indent="1"/>
    </xf>
    <xf numFmtId="0" fontId="33" fillId="37" borderId="103" applyNumberFormat="0" applyProtection="0">
      <alignment horizontal="left" vertical="top" indent="1"/>
    </xf>
    <xf numFmtId="0" fontId="7" fillId="0" borderId="117" applyNumberFormat="0" applyFont="0" applyFill="0" applyAlignment="0" applyProtection="0"/>
    <xf numFmtId="4" fontId="31" fillId="3" borderId="103" applyNumberFormat="0" applyProtection="0">
      <alignment horizontal="right" vertical="center"/>
    </xf>
    <xf numFmtId="4" fontId="31" fillId="8" borderId="103" applyNumberFormat="0" applyProtection="0">
      <alignment horizontal="right" vertical="center"/>
    </xf>
    <xf numFmtId="4" fontId="31" fillId="17" borderId="103" applyNumberFormat="0" applyProtection="0">
      <alignment horizontal="right" vertical="center"/>
    </xf>
    <xf numFmtId="4" fontId="31" fillId="11" borderId="103" applyNumberFormat="0" applyProtection="0">
      <alignment horizontal="right" vertical="center"/>
    </xf>
    <xf numFmtId="4" fontId="31" fillId="15" borderId="103" applyNumberFormat="0" applyProtection="0">
      <alignment horizontal="right" vertical="center"/>
    </xf>
    <xf numFmtId="4" fontId="31" fillId="19" borderId="103" applyNumberFormat="0" applyProtection="0">
      <alignment horizontal="right" vertical="center"/>
    </xf>
    <xf numFmtId="4" fontId="31" fillId="18" borderId="103" applyNumberFormat="0" applyProtection="0">
      <alignment horizontal="right" vertical="center"/>
    </xf>
    <xf numFmtId="4" fontId="31" fillId="39" borderId="103" applyNumberFormat="0" applyProtection="0">
      <alignment horizontal="right" vertical="center"/>
    </xf>
    <xf numFmtId="4" fontId="31" fillId="9" borderId="103" applyNumberFormat="0" applyProtection="0">
      <alignment horizontal="right" vertical="center"/>
    </xf>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4" fontId="31" fillId="43" borderId="103" applyNumberFormat="0" applyProtection="0">
      <alignment horizontal="right" vertical="center"/>
    </xf>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top" indent="1"/>
    </xf>
    <xf numFmtId="0" fontId="7" fillId="45" borderId="103" applyNumberFormat="0" applyProtection="0">
      <alignment horizontal="left" vertical="top" indent="1"/>
    </xf>
    <xf numFmtId="0" fontId="7" fillId="45" borderId="103" applyNumberFormat="0" applyProtection="0">
      <alignment horizontal="left" vertical="top" indent="1"/>
    </xf>
    <xf numFmtId="4" fontId="31" fillId="22" borderId="103" applyNumberFormat="0" applyProtection="0">
      <alignment vertical="center"/>
    </xf>
    <xf numFmtId="4" fontId="102" fillId="22" borderId="103" applyNumberFormat="0" applyProtection="0">
      <alignment vertical="center"/>
    </xf>
    <xf numFmtId="4" fontId="31" fillId="22" borderId="103" applyNumberFormat="0" applyProtection="0">
      <alignment horizontal="left" vertical="center" indent="1"/>
    </xf>
    <xf numFmtId="0" fontId="31" fillId="22" borderId="103" applyNumberFormat="0" applyProtection="0">
      <alignment horizontal="left" vertical="top" indent="1"/>
    </xf>
    <xf numFmtId="4" fontId="31" fillId="41" borderId="103" applyNumberFormat="0" applyProtection="0">
      <alignment horizontal="right" vertical="center"/>
    </xf>
    <xf numFmtId="4" fontId="102" fillId="41" borderId="103" applyNumberFormat="0" applyProtection="0">
      <alignment horizontal="right" vertical="center"/>
    </xf>
    <xf numFmtId="4" fontId="31" fillId="43" borderId="103" applyNumberFormat="0" applyProtection="0">
      <alignment horizontal="left" vertical="center" indent="1"/>
    </xf>
    <xf numFmtId="0" fontId="31" fillId="38" borderId="103" applyNumberFormat="0" applyProtection="0">
      <alignment horizontal="left" vertical="top" indent="1"/>
    </xf>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4" fontId="104" fillId="41" borderId="103" applyNumberFormat="0" applyProtection="0">
      <alignment horizontal="right" vertical="center"/>
    </xf>
    <xf numFmtId="0" fontId="79" fillId="20" borderId="108"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8"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0" borderId="122"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6" applyNumberFormat="0" applyFont="0" applyFill="0" applyAlignment="0" applyProtection="0"/>
    <xf numFmtId="0" fontId="7" fillId="0" borderId="121" applyNumberFormat="0" applyFont="0" applyFill="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0" borderId="121"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10"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86" fillId="0" borderId="112">
      <alignment horizontal="left" vertical="center"/>
    </xf>
    <xf numFmtId="0" fontId="7" fillId="0" borderId="102" applyNumberFormat="0" applyFont="0" applyFill="0" applyAlignment="0" applyProtection="0"/>
    <xf numFmtId="4" fontId="100" fillId="37" borderId="103" applyNumberFormat="0" applyProtection="0">
      <alignment vertical="center"/>
    </xf>
    <xf numFmtId="4" fontId="31" fillId="3" borderId="103" applyNumberFormat="0" applyProtection="0">
      <alignment horizontal="right" vertical="center"/>
    </xf>
    <xf numFmtId="4" fontId="31" fillId="15" borderId="103" applyNumberFormat="0" applyProtection="0">
      <alignment horizontal="right" vertical="center"/>
    </xf>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42" borderId="103" applyNumberFormat="0" applyProtection="0">
      <alignment horizontal="left" vertical="center"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38" borderId="103" applyNumberFormat="0" applyProtection="0">
      <alignment horizontal="left" vertical="center" indent="1"/>
    </xf>
    <xf numFmtId="0" fontId="7" fillId="44"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top" indent="1"/>
    </xf>
    <xf numFmtId="4" fontId="31" fillId="22" borderId="103" applyNumberFormat="0" applyProtection="0">
      <alignment horizontal="left" vertical="center" indent="1"/>
    </xf>
    <xf numFmtId="4" fontId="31" fillId="43" borderId="103" applyNumberFormat="0" applyProtection="0">
      <alignment horizontal="left" vertical="center" indent="1"/>
    </xf>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7" fillId="24" borderId="116" applyNumberFormat="0" applyFont="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112" fillId="50" borderId="111" applyNumberFormat="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112">
      <alignment horizontal="left" vertical="center"/>
    </xf>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112" fillId="50" borderId="111" applyNumberFormat="0" applyAlignment="0" applyProtection="0"/>
    <xf numFmtId="0" fontId="7" fillId="24" borderId="116" applyNumberFormat="0" applyFont="0" applyAlignment="0" applyProtection="0"/>
    <xf numFmtId="44" fontId="1" fillId="0" borderId="0" applyFont="0" applyFill="0" applyBorder="0" applyAlignment="0" applyProtection="0"/>
    <xf numFmtId="0" fontId="1" fillId="0" borderId="0"/>
    <xf numFmtId="0" fontId="10" fillId="24" borderId="116" applyNumberFormat="0" applyFont="0" applyAlignment="0" applyProtection="0"/>
    <xf numFmtId="0" fontId="10"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19"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9" fillId="20" borderId="108" applyNumberFormat="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0" borderId="117" applyNumberFormat="0" applyFont="0" applyFill="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9" fillId="20" borderId="108" applyNumberFormat="0" applyAlignment="0" applyProtection="0"/>
    <xf numFmtId="0" fontId="79" fillId="20" borderId="108" applyNumberFormat="0" applyAlignment="0" applyProtection="0"/>
    <xf numFmtId="0" fontId="13" fillId="20" borderId="115" applyNumberFormat="0" applyAlignment="0" applyProtection="0"/>
    <xf numFmtId="0" fontId="7" fillId="0" borderId="118" applyNumberFormat="0" applyFont="0" applyFill="0" applyAlignment="0" applyProtection="0"/>
    <xf numFmtId="0" fontId="13" fillId="20" borderId="115" applyNumberFormat="0" applyAlignment="0" applyProtection="0"/>
    <xf numFmtId="0" fontId="13" fillId="20" borderId="115" applyNumberFormat="0" applyAlignment="0" applyProtection="0"/>
    <xf numFmtId="0" fontId="7" fillId="0" borderId="119" applyNumberFormat="0" applyFont="0" applyFill="0" applyAlignment="0" applyProtection="0"/>
    <xf numFmtId="0" fontId="7" fillId="0" borderId="116"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10" fontId="44" fillId="22" borderId="113" applyNumberFormat="0" applyBorder="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 fillId="0" borderId="117" applyNumberFormat="0" applyFont="0" applyFill="0" applyAlignment="0" applyProtection="0"/>
    <xf numFmtId="0" fontId="112" fillId="50" borderId="111" applyNumberFormat="0" applyAlignment="0" applyProtection="0"/>
    <xf numFmtId="0" fontId="7" fillId="24" borderId="116" applyNumberFormat="0" applyFont="0" applyAlignment="0" applyProtection="0"/>
    <xf numFmtId="185" fontId="1" fillId="0" borderId="0" applyFont="0" applyFill="0" applyBorder="0" applyAlignment="0" applyProtection="0"/>
    <xf numFmtId="0" fontId="7" fillId="24" borderId="116" applyNumberFormat="0" applyFont="0" applyAlignment="0" applyProtection="0"/>
    <xf numFmtId="0" fontId="86" fillId="0" borderId="112">
      <alignment horizontal="left" vertical="center"/>
    </xf>
    <xf numFmtId="0" fontId="7" fillId="0" borderId="120"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24" borderId="116" applyNumberFormat="0" applyFont="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21"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0" borderId="117" applyNumberFormat="0" applyFont="0" applyFill="0" applyAlignment="0" applyProtection="0"/>
    <xf numFmtId="0" fontId="79" fillId="20" borderId="108" applyNumberFormat="0" applyAlignment="0" applyProtection="0"/>
    <xf numFmtId="0" fontId="7" fillId="0" borderId="117" applyNumberFormat="0" applyFont="0" applyFill="0" applyAlignment="0" applyProtection="0"/>
    <xf numFmtId="0" fontId="13" fillId="20" borderId="115" applyNumberFormat="0" applyAlignment="0" applyProtection="0"/>
    <xf numFmtId="0" fontId="13" fillId="20" borderId="115" applyNumberFormat="0" applyAlignment="0" applyProtection="0"/>
    <xf numFmtId="0" fontId="79" fillId="20" borderId="108" applyNumberFormat="0" applyAlignment="0" applyProtection="0"/>
    <xf numFmtId="0" fontId="7" fillId="24" borderId="116" applyNumberFormat="0" applyFont="0" applyAlignment="0" applyProtection="0"/>
    <xf numFmtId="0" fontId="79" fillId="20" borderId="108" applyNumberFormat="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9" fillId="20" borderId="108"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8"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16" applyNumberFormat="0" applyFont="0" applyFill="0" applyAlignment="0" applyProtection="0"/>
    <xf numFmtId="0" fontId="86" fillId="0" borderId="112">
      <alignment horizontal="left" vertical="center"/>
    </xf>
    <xf numFmtId="0" fontId="7" fillId="24" borderId="116" applyNumberFormat="0" applyFont="0" applyAlignment="0" applyProtection="0"/>
    <xf numFmtId="0" fontId="79" fillId="20" borderId="108" applyNumberFormat="0" applyAlignment="0" applyProtection="0"/>
    <xf numFmtId="0" fontId="7" fillId="0" borderId="120" applyNumberFormat="0" applyFont="0" applyFill="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0" applyNumberFormat="0" applyFont="0" applyFill="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1"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1"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19"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9" fillId="20" borderId="108"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10"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10" fillId="24" borderId="116" applyNumberFormat="0" applyFont="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0" borderId="102" applyNumberFormat="0" applyFont="0" applyFill="0" applyAlignment="0" applyProtection="0"/>
    <xf numFmtId="0" fontId="7" fillId="0" borderId="102" applyNumberFormat="0" applyFont="0" applyFill="0" applyAlignment="0" applyProtection="0"/>
    <xf numFmtId="0" fontId="7" fillId="24" borderId="116" applyNumberFormat="0" applyFont="0" applyAlignment="0" applyProtection="0"/>
    <xf numFmtId="4" fontId="33" fillId="23" borderId="103" applyNumberFormat="0" applyProtection="0">
      <alignment vertical="center"/>
    </xf>
    <xf numFmtId="4" fontId="100" fillId="37" borderId="103" applyNumberFormat="0" applyProtection="0">
      <alignment vertical="center"/>
    </xf>
    <xf numFmtId="4" fontId="33" fillId="37" borderId="103" applyNumberFormat="0" applyProtection="0">
      <alignment horizontal="left" vertical="center" indent="1"/>
    </xf>
    <xf numFmtId="0" fontId="33" fillId="37" borderId="103" applyNumberFormat="0" applyProtection="0">
      <alignment horizontal="left" vertical="top" indent="1"/>
    </xf>
    <xf numFmtId="0" fontId="7" fillId="24" borderId="116" applyNumberFormat="0" applyFont="0" applyAlignment="0" applyProtection="0"/>
    <xf numFmtId="4" fontId="31" fillId="3" borderId="103" applyNumberFormat="0" applyProtection="0">
      <alignment horizontal="right" vertical="center"/>
    </xf>
    <xf numFmtId="4" fontId="31" fillId="8" borderId="103" applyNumberFormat="0" applyProtection="0">
      <alignment horizontal="right" vertical="center"/>
    </xf>
    <xf numFmtId="4" fontId="31" fillId="17" borderId="103" applyNumberFormat="0" applyProtection="0">
      <alignment horizontal="right" vertical="center"/>
    </xf>
    <xf numFmtId="4" fontId="31" fillId="11" borderId="103" applyNumberFormat="0" applyProtection="0">
      <alignment horizontal="right" vertical="center"/>
    </xf>
    <xf numFmtId="4" fontId="31" fillId="15" borderId="103" applyNumberFormat="0" applyProtection="0">
      <alignment horizontal="right" vertical="center"/>
    </xf>
    <xf numFmtId="4" fontId="31" fillId="19" borderId="103" applyNumberFormat="0" applyProtection="0">
      <alignment horizontal="right" vertical="center"/>
    </xf>
    <xf numFmtId="4" fontId="31" fillId="18" borderId="103" applyNumberFormat="0" applyProtection="0">
      <alignment horizontal="right" vertical="center"/>
    </xf>
    <xf numFmtId="4" fontId="31" fillId="39" borderId="103" applyNumberFormat="0" applyProtection="0">
      <alignment horizontal="right" vertical="center"/>
    </xf>
    <xf numFmtId="4" fontId="31" fillId="9" borderId="103" applyNumberFormat="0" applyProtection="0">
      <alignment horizontal="righ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4" fontId="31" fillId="43" borderId="103" applyNumberFormat="0" applyProtection="0">
      <alignment horizontal="righ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top" indent="1"/>
    </xf>
    <xf numFmtId="0" fontId="7" fillId="45" borderId="103" applyNumberFormat="0" applyProtection="0">
      <alignment horizontal="left" vertical="top" indent="1"/>
    </xf>
    <xf numFmtId="0" fontId="7" fillId="45" borderId="103" applyNumberFormat="0" applyProtection="0">
      <alignment horizontal="left" vertical="top" indent="1"/>
    </xf>
    <xf numFmtId="4" fontId="31" fillId="22" borderId="103" applyNumberFormat="0" applyProtection="0">
      <alignment vertical="center"/>
    </xf>
    <xf numFmtId="4" fontId="102" fillId="22" borderId="103" applyNumberFormat="0" applyProtection="0">
      <alignment vertical="center"/>
    </xf>
    <xf numFmtId="4" fontId="31" fillId="22" borderId="103" applyNumberFormat="0" applyProtection="0">
      <alignment horizontal="left" vertical="center" indent="1"/>
    </xf>
    <xf numFmtId="0" fontId="31" fillId="22" borderId="103" applyNumberFormat="0" applyProtection="0">
      <alignment horizontal="left" vertical="top" indent="1"/>
    </xf>
    <xf numFmtId="4" fontId="31" fillId="41" borderId="103" applyNumberFormat="0" applyProtection="0">
      <alignment horizontal="right" vertical="center"/>
    </xf>
    <xf numFmtId="4" fontId="102" fillId="41" borderId="103" applyNumberFormat="0" applyProtection="0">
      <alignment horizontal="right" vertical="center"/>
    </xf>
    <xf numFmtId="4" fontId="31" fillId="43" borderId="103" applyNumberFormat="0" applyProtection="0">
      <alignment horizontal="left" vertical="center" indent="1"/>
    </xf>
    <xf numFmtId="0" fontId="31" fillId="38" borderId="103" applyNumberFormat="0" applyProtection="0">
      <alignment horizontal="left" vertical="top" indent="1"/>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4" fontId="104" fillId="41" borderId="103" applyNumberFormat="0" applyProtection="0">
      <alignment horizontal="righ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9" fillId="20" borderId="108" applyNumberFormat="0" applyAlignment="0" applyProtection="0"/>
    <xf numFmtId="0" fontId="79" fillId="20" borderId="108" applyNumberFormat="0" applyAlignment="0" applyProtection="0"/>
    <xf numFmtId="0" fontId="13" fillId="20" borderId="115" applyNumberFormat="0" applyAlignment="0" applyProtection="0"/>
    <xf numFmtId="0" fontId="13" fillId="20" borderId="115" applyNumberForma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79" fillId="20" borderId="108" applyNumberFormat="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79" fillId="20" borderId="108"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9" fillId="20" borderId="108" applyNumberFormat="0" applyAlignment="0" applyProtection="0"/>
    <xf numFmtId="0" fontId="79" fillId="20" borderId="108" applyNumberFormat="0" applyAlignment="0" applyProtection="0"/>
    <xf numFmtId="0" fontId="13" fillId="20" borderId="115" applyNumberFormat="0" applyAlignment="0" applyProtection="0"/>
    <xf numFmtId="0" fontId="13" fillId="20" borderId="115" applyNumberFormat="0" applyAlignment="0" applyProtection="0"/>
    <xf numFmtId="0" fontId="7" fillId="0" borderId="121"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8" applyNumberFormat="0" applyFont="0" applyFill="0" applyAlignment="0" applyProtection="0"/>
    <xf numFmtId="0" fontId="7" fillId="0" borderId="120"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44" fontId="1" fillId="0" borderId="0" applyFont="0" applyFill="0" applyBorder="0" applyAlignment="0" applyProtection="0"/>
    <xf numFmtId="0" fontId="1" fillId="0" borderId="0"/>
    <xf numFmtId="0" fontId="10" fillId="24" borderId="116" applyNumberFormat="0" applyFont="0" applyAlignment="0" applyProtection="0"/>
    <xf numFmtId="0" fontId="10" fillId="24" borderId="116" applyNumberFormat="0" applyFont="0" applyAlignment="0" applyProtection="0"/>
    <xf numFmtId="0" fontId="86" fillId="0" borderId="112">
      <alignment horizontal="left" vertical="center"/>
    </xf>
    <xf numFmtId="0" fontId="86" fillId="0" borderId="112">
      <alignment horizontal="left" vertical="center"/>
    </xf>
    <xf numFmtId="0" fontId="7" fillId="24" borderId="116" applyNumberFormat="0" applyFont="0" applyAlignment="0" applyProtection="0"/>
    <xf numFmtId="0" fontId="79" fillId="20" borderId="108" applyNumberFormat="0" applyAlignment="0" applyProtection="0"/>
    <xf numFmtId="0" fontId="86" fillId="0" borderId="112">
      <alignment horizontal="left" vertical="center"/>
    </xf>
    <xf numFmtId="0" fontId="79" fillId="20" borderId="108" applyNumberFormat="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86" fillId="0" borderId="112">
      <alignment horizontal="left" vertical="center"/>
    </xf>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19"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112">
      <alignment horizontal="left" vertical="center"/>
    </xf>
    <xf numFmtId="0" fontId="86" fillId="0" borderId="112">
      <alignment horizontal="left" vertical="center"/>
    </xf>
    <xf numFmtId="0" fontId="79" fillId="20" borderId="108" applyNumberForma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86" fillId="0" borderId="112">
      <alignment horizontal="left" vertical="center"/>
    </xf>
    <xf numFmtId="0" fontId="10"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0"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0" borderId="102" applyNumberFormat="0" applyFont="0" applyFill="0" applyAlignment="0" applyProtection="0"/>
    <xf numFmtId="0" fontId="7" fillId="0" borderId="102" applyNumberFormat="0" applyFont="0" applyFill="0" applyAlignment="0" applyProtection="0"/>
    <xf numFmtId="0" fontId="79" fillId="20" borderId="108" applyNumberFormat="0" applyAlignment="0" applyProtection="0"/>
    <xf numFmtId="4" fontId="33" fillId="23" borderId="103" applyNumberFormat="0" applyProtection="0">
      <alignment vertical="center"/>
    </xf>
    <xf numFmtId="4" fontId="100" fillId="37" borderId="103" applyNumberFormat="0" applyProtection="0">
      <alignment vertical="center"/>
    </xf>
    <xf numFmtId="4" fontId="33" fillId="37" borderId="103" applyNumberFormat="0" applyProtection="0">
      <alignment horizontal="left" vertical="center" indent="1"/>
    </xf>
    <xf numFmtId="0" fontId="33" fillId="37" borderId="103" applyNumberFormat="0" applyProtection="0">
      <alignment horizontal="left" vertical="top" indent="1"/>
    </xf>
    <xf numFmtId="0" fontId="13" fillId="20" borderId="115" applyNumberFormat="0" applyAlignment="0" applyProtection="0"/>
    <xf numFmtId="4" fontId="31" fillId="3" borderId="103" applyNumberFormat="0" applyProtection="0">
      <alignment horizontal="right" vertical="center"/>
    </xf>
    <xf numFmtId="4" fontId="31" fillId="8" borderId="103" applyNumberFormat="0" applyProtection="0">
      <alignment horizontal="right" vertical="center"/>
    </xf>
    <xf numFmtId="4" fontId="31" fillId="17" borderId="103" applyNumberFormat="0" applyProtection="0">
      <alignment horizontal="right" vertical="center"/>
    </xf>
    <xf numFmtId="4" fontId="31" fillId="11" borderId="103" applyNumberFormat="0" applyProtection="0">
      <alignment horizontal="right" vertical="center"/>
    </xf>
    <xf numFmtId="4" fontId="31" fillId="15" borderId="103" applyNumberFormat="0" applyProtection="0">
      <alignment horizontal="right" vertical="center"/>
    </xf>
    <xf numFmtId="4" fontId="31" fillId="19" borderId="103" applyNumberFormat="0" applyProtection="0">
      <alignment horizontal="right" vertical="center"/>
    </xf>
    <xf numFmtId="4" fontId="31" fillId="18" borderId="103" applyNumberFormat="0" applyProtection="0">
      <alignment horizontal="right" vertical="center"/>
    </xf>
    <xf numFmtId="4" fontId="31" fillId="39" borderId="103" applyNumberFormat="0" applyProtection="0">
      <alignment horizontal="right" vertical="center"/>
    </xf>
    <xf numFmtId="4" fontId="31" fillId="9" borderId="103" applyNumberFormat="0" applyProtection="0">
      <alignment horizontal="right" vertical="center"/>
    </xf>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4" fontId="31" fillId="43" borderId="103" applyNumberFormat="0" applyProtection="0">
      <alignment horizontal="right" vertical="center"/>
    </xf>
    <xf numFmtId="0" fontId="7" fillId="0" borderId="116" applyNumberFormat="0" applyFont="0" applyFill="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top" indent="1"/>
    </xf>
    <xf numFmtId="0" fontId="7" fillId="45" borderId="103" applyNumberFormat="0" applyProtection="0">
      <alignment horizontal="left" vertical="top" indent="1"/>
    </xf>
    <xf numFmtId="0" fontId="7" fillId="45" borderId="103" applyNumberFormat="0" applyProtection="0">
      <alignment horizontal="left" vertical="top" indent="1"/>
    </xf>
    <xf numFmtId="4" fontId="31" fillId="22" borderId="103" applyNumberFormat="0" applyProtection="0">
      <alignment vertical="center"/>
    </xf>
    <xf numFmtId="4" fontId="102" fillId="22" borderId="103" applyNumberFormat="0" applyProtection="0">
      <alignment vertical="center"/>
    </xf>
    <xf numFmtId="4" fontId="31" fillId="22" borderId="103" applyNumberFormat="0" applyProtection="0">
      <alignment horizontal="left" vertical="center" indent="1"/>
    </xf>
    <xf numFmtId="0" fontId="31" fillId="22" borderId="103" applyNumberFormat="0" applyProtection="0">
      <alignment horizontal="left" vertical="top" indent="1"/>
    </xf>
    <xf numFmtId="4" fontId="31" fillId="41" borderId="103" applyNumberFormat="0" applyProtection="0">
      <alignment horizontal="right" vertical="center"/>
    </xf>
    <xf numFmtId="4" fontId="102" fillId="41" borderId="103" applyNumberFormat="0" applyProtection="0">
      <alignment horizontal="right" vertical="center"/>
    </xf>
    <xf numFmtId="4" fontId="31" fillId="43" borderId="103" applyNumberFormat="0" applyProtection="0">
      <alignment horizontal="left" vertical="center" indent="1"/>
    </xf>
    <xf numFmtId="0" fontId="31" fillId="38" borderId="103" applyNumberFormat="0" applyProtection="0">
      <alignment horizontal="left" vertical="top" indent="1"/>
    </xf>
    <xf numFmtId="0" fontId="79" fillId="20" borderId="108" applyNumberFormat="0" applyAlignment="0" applyProtection="0"/>
    <xf numFmtId="0" fontId="7" fillId="0" borderId="117" applyNumberFormat="0" applyFont="0" applyFill="0" applyAlignment="0" applyProtection="0"/>
    <xf numFmtId="0" fontId="79" fillId="20" borderId="108" applyNumberFormat="0" applyAlignment="0" applyProtection="0"/>
    <xf numFmtId="4" fontId="104" fillId="41" borderId="103" applyNumberFormat="0" applyProtection="0">
      <alignment horizontal="right" vertical="center"/>
    </xf>
    <xf numFmtId="0" fontId="7" fillId="0" borderId="118" applyNumberFormat="0" applyFont="0" applyFill="0" applyAlignment="0" applyProtection="0"/>
    <xf numFmtId="0" fontId="78" fillId="7" borderId="115" applyNumberFormat="0" applyAlignment="0" applyProtection="0"/>
    <xf numFmtId="0" fontId="78" fillId="7" borderId="115" applyNumberFormat="0" applyAlignment="0" applyProtection="0"/>
    <xf numFmtId="0" fontId="7" fillId="0" borderId="121"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4" fontId="31" fillId="9" borderId="103" applyNumberFormat="0" applyProtection="0">
      <alignment horizontal="right" vertical="center"/>
    </xf>
    <xf numFmtId="0" fontId="7" fillId="38" borderId="103" applyNumberFormat="0" applyProtection="0">
      <alignment horizontal="left" vertical="center" indent="1"/>
    </xf>
    <xf numFmtId="0" fontId="7" fillId="24" borderId="116" applyNumberFormat="0" applyFont="0" applyAlignment="0" applyProtection="0"/>
    <xf numFmtId="0" fontId="7" fillId="38" borderId="103" applyNumberFormat="0" applyProtection="0">
      <alignment horizontal="left" vertical="top" indent="1"/>
    </xf>
    <xf numFmtId="0" fontId="7" fillId="0" borderId="119" applyNumberFormat="0" applyFont="0" applyFill="0" applyAlignment="0" applyProtection="0"/>
    <xf numFmtId="0" fontId="7" fillId="38" borderId="103" applyNumberFormat="0" applyProtection="0">
      <alignment horizontal="left" vertical="top" indent="1"/>
    </xf>
    <xf numFmtId="0" fontId="7" fillId="44" borderId="103" applyNumberFormat="0" applyProtection="0">
      <alignment horizontal="left" vertical="center"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5" borderId="103" applyNumberFormat="0" applyProtection="0">
      <alignment horizontal="left" vertical="center" indent="1"/>
    </xf>
    <xf numFmtId="0" fontId="7" fillId="45" borderId="103" applyNumberFormat="0" applyProtection="0">
      <alignment horizontal="left" vertical="top" indent="1"/>
    </xf>
    <xf numFmtId="0" fontId="7" fillId="45" borderId="103" applyNumberFormat="0" applyProtection="0">
      <alignment horizontal="left" vertical="top" indent="1"/>
    </xf>
    <xf numFmtId="4" fontId="102" fillId="22" borderId="103" applyNumberFormat="0" applyProtection="0">
      <alignment vertical="center"/>
    </xf>
    <xf numFmtId="0" fontId="31" fillId="22" borderId="103" applyNumberFormat="0" applyProtection="0">
      <alignment horizontal="left" vertical="top" indent="1"/>
    </xf>
    <xf numFmtId="4" fontId="102" fillId="41" borderId="103" applyNumberFormat="0" applyProtection="0">
      <alignment horizontal="right" vertical="center"/>
    </xf>
    <xf numFmtId="0" fontId="31" fillId="38" borderId="103" applyNumberFormat="0" applyProtection="0">
      <alignment horizontal="left" vertical="top" indent="1"/>
    </xf>
    <xf numFmtId="0" fontId="7" fillId="0" borderId="120" applyNumberFormat="0" applyFont="0" applyFill="0" applyAlignment="0" applyProtection="0"/>
    <xf numFmtId="4" fontId="104" fillId="41" borderId="103" applyNumberFormat="0" applyProtection="0">
      <alignment horizontal="right" vertical="center"/>
    </xf>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0"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8" fillId="7" borderId="115" applyNumberFormat="0" applyAlignment="0" applyProtection="0"/>
    <xf numFmtId="0" fontId="7" fillId="24" borderId="116" applyNumberFormat="0" applyFont="0" applyAlignment="0" applyProtection="0"/>
    <xf numFmtId="0" fontId="7" fillId="0" borderId="121"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79" fillId="20" borderId="108" applyNumberFormat="0" applyAlignment="0" applyProtection="0"/>
    <xf numFmtId="0" fontId="21" fillId="0" borderId="107" applyNumberFormat="0" applyFill="0" applyAlignment="0" applyProtection="0"/>
    <xf numFmtId="0" fontId="21" fillId="0" borderId="107" applyNumberFormat="0" applyFill="0" applyAlignment="0" applyProtection="0"/>
    <xf numFmtId="0" fontId="7" fillId="24" borderId="116" applyNumberFormat="0" applyFont="0" applyAlignment="0" applyProtection="0"/>
    <xf numFmtId="0" fontId="21" fillId="0" borderId="107" applyNumberFormat="0" applyFill="0" applyAlignment="0" applyProtection="0"/>
    <xf numFmtId="0" fontId="21" fillId="0" borderId="107" applyNumberForma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 fillId="0" borderId="0"/>
    <xf numFmtId="0" fontId="10" fillId="24" borderId="116" applyNumberFormat="0" applyFont="0" applyAlignment="0" applyProtection="0"/>
    <xf numFmtId="0" fontId="86" fillId="0" borderId="112">
      <alignment horizontal="left" vertical="center"/>
    </xf>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1" fillId="0" borderId="0"/>
    <xf numFmtId="0" fontId="10" fillId="24" borderId="116" applyNumberFormat="0" applyFont="0" applyAlignment="0" applyProtection="0"/>
    <xf numFmtId="0" fontId="10"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24" borderId="116" applyNumberFormat="0" applyFont="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0" borderId="122"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7"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9" fillId="20" borderId="108" applyNumberFormat="0" applyAlignment="0" applyProtection="0"/>
    <xf numFmtId="0" fontId="7" fillId="0" borderId="120" applyNumberFormat="0" applyFont="0" applyFill="0" applyAlignment="0" applyProtection="0"/>
    <xf numFmtId="0" fontId="7" fillId="0" borderId="119"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1" applyNumberFormat="0" applyFont="0" applyFill="0" applyAlignment="0" applyProtection="0"/>
    <xf numFmtId="0" fontId="7" fillId="24" borderId="116" applyNumberFormat="0" applyFont="0" applyAlignment="0" applyProtection="0"/>
    <xf numFmtId="0" fontId="79" fillId="20" borderId="108" applyNumberForma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 fillId="0" borderId="122" applyNumberFormat="0" applyFont="0" applyFill="0" applyAlignment="0" applyProtection="0"/>
    <xf numFmtId="0" fontId="7" fillId="0" borderId="116" applyNumberFormat="0" applyFont="0" applyFill="0" applyAlignment="0" applyProtection="0"/>
    <xf numFmtId="0" fontId="79" fillId="20" borderId="108" applyNumberFormat="0" applyAlignment="0" applyProtection="0"/>
    <xf numFmtId="0" fontId="7" fillId="24" borderId="116" applyNumberFormat="0" applyFont="0" applyAlignment="0" applyProtection="0"/>
    <xf numFmtId="0" fontId="13" fillId="20" borderId="115" applyNumberFormat="0" applyAlignment="0" applyProtection="0"/>
    <xf numFmtId="0" fontId="7" fillId="0" borderId="121" applyNumberFormat="0" applyFont="0" applyFill="0" applyAlignment="0" applyProtection="0"/>
    <xf numFmtId="0" fontId="7" fillId="0" borderId="116" applyNumberFormat="0" applyFont="0" applyFill="0" applyAlignment="0" applyProtection="0"/>
    <xf numFmtId="0" fontId="7" fillId="0" borderId="121" applyNumberFormat="0" applyFont="0" applyFill="0" applyAlignment="0" applyProtection="0"/>
    <xf numFmtId="0" fontId="112" fillId="50" borderId="111" applyNumberFormat="0" applyAlignment="0" applyProtection="0"/>
    <xf numFmtId="0" fontId="7" fillId="24" borderId="116" applyNumberFormat="0" applyFont="0" applyAlignment="0" applyProtection="0"/>
    <xf numFmtId="185" fontId="1" fillId="0" borderId="0" applyFont="0" applyFill="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4" fontId="31" fillId="39" borderId="103" applyNumberFormat="0" applyProtection="0">
      <alignment horizontal="right" vertical="center"/>
    </xf>
    <xf numFmtId="4" fontId="31" fillId="19" borderId="103" applyNumberFormat="0" applyProtection="0">
      <alignment horizontal="right" vertical="center"/>
    </xf>
    <xf numFmtId="4" fontId="31" fillId="11" borderId="103" applyNumberFormat="0" applyProtection="0">
      <alignment horizontal="right" vertical="center"/>
    </xf>
    <xf numFmtId="4" fontId="31" fillId="8" borderId="103" applyNumberFormat="0" applyProtection="0">
      <alignment horizontal="right" vertical="center"/>
    </xf>
    <xf numFmtId="0" fontId="7" fillId="24" borderId="116" applyNumberFormat="0" applyFont="0" applyAlignment="0" applyProtection="0"/>
    <xf numFmtId="4" fontId="33" fillId="37" borderId="103" applyNumberFormat="0" applyProtection="0">
      <alignment horizontal="left" vertical="center" indent="1"/>
    </xf>
    <xf numFmtId="4" fontId="33" fillId="23" borderId="103" applyNumberFormat="0" applyProtection="0">
      <alignment vertical="center"/>
    </xf>
    <xf numFmtId="0" fontId="7" fillId="0" borderId="102" applyNumberFormat="0" applyFont="0" applyFill="0" applyAlignment="0" applyProtection="0"/>
    <xf numFmtId="0" fontId="86" fillId="0" borderId="112">
      <alignment horizontal="left" vertical="center"/>
    </xf>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9" fillId="20" borderId="108" applyNumberFormat="0" applyAlignment="0" applyProtection="0"/>
    <xf numFmtId="0" fontId="79" fillId="20" borderId="108"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86" fillId="0" borderId="112">
      <alignment horizontal="left" vertical="center"/>
    </xf>
    <xf numFmtId="185" fontId="1" fillId="0" borderId="0" applyFont="0" applyFill="0" applyBorder="0" applyAlignment="0" applyProtection="0"/>
    <xf numFmtId="0" fontId="112" fillId="50" borderId="111"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13" fillId="20" borderId="115" applyNumberFormat="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8" fillId="7" borderId="115" applyNumberForma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10" fontId="44" fillId="22" borderId="49" applyNumberFormat="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24" borderId="116" applyNumberFormat="0" applyFont="0" applyAlignment="0" applyProtection="0"/>
    <xf numFmtId="0" fontId="7" fillId="0" borderId="117" applyNumberFormat="0" applyFont="0" applyFill="0" applyAlignment="0" applyProtection="0"/>
    <xf numFmtId="0" fontId="13" fillId="20" borderId="115" applyNumberFormat="0" applyAlignment="0" applyProtection="0"/>
    <xf numFmtId="0" fontId="79" fillId="20" borderId="108" applyNumberFormat="0" applyAlignment="0" applyProtection="0"/>
    <xf numFmtId="0" fontId="7" fillId="0" borderId="118" applyNumberFormat="0" applyFont="0" applyFill="0" applyAlignment="0" applyProtection="0"/>
    <xf numFmtId="0" fontId="13" fillId="20" borderId="115" applyNumberFormat="0" applyAlignment="0" applyProtection="0"/>
    <xf numFmtId="0" fontId="7" fillId="0" borderId="116" applyNumberFormat="0" applyFont="0" applyFill="0" applyAlignment="0" applyProtection="0"/>
    <xf numFmtId="0" fontId="79" fillId="20" borderId="108" applyNumberFormat="0" applyAlignment="0" applyProtection="0"/>
    <xf numFmtId="0" fontId="7" fillId="0" borderId="120" applyNumberFormat="0" applyFont="0" applyFill="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13" fillId="20" borderId="115" applyNumberFormat="0" applyAlignment="0" applyProtection="0"/>
    <xf numFmtId="0" fontId="7" fillId="0" borderId="119" applyNumberFormat="0" applyFont="0" applyFill="0" applyAlignment="0" applyProtection="0"/>
    <xf numFmtId="0" fontId="7" fillId="0" borderId="116" applyNumberFormat="0" applyFont="0" applyFill="0" applyAlignment="0" applyProtection="0"/>
    <xf numFmtId="0" fontId="13" fillId="20" borderId="115" applyNumberFormat="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13" fillId="20" borderId="115" applyNumberFormat="0" applyAlignment="0" applyProtection="0"/>
    <xf numFmtId="0" fontId="78" fillId="7" borderId="115" applyNumberFormat="0" applyAlignment="0" applyProtection="0"/>
    <xf numFmtId="0" fontId="7" fillId="0" borderId="120" applyNumberFormat="0" applyFont="0" applyFill="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8" fillId="7" borderId="115" applyNumberFormat="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7"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10" fontId="44" fillId="22" borderId="113" applyNumberFormat="0" applyBorder="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8" fillId="7" borderId="115" applyNumberFormat="0" applyAlignment="0" applyProtection="0"/>
    <xf numFmtId="0" fontId="7" fillId="0" borderId="121" applyNumberFormat="0" applyFont="0" applyFill="0" applyAlignment="0" applyProtection="0"/>
    <xf numFmtId="10" fontId="44" fillId="22" borderId="49" applyNumberFormat="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7"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10" fontId="44" fillId="22" borderId="49" applyNumberFormat="0" applyBorder="0" applyAlignment="0" applyProtection="0"/>
    <xf numFmtId="0" fontId="7" fillId="24" borderId="116" applyNumberFormat="0" applyFont="0" applyAlignment="0" applyProtection="0"/>
    <xf numFmtId="0" fontId="7" fillId="24" borderId="116" applyNumberFormat="0" applyFont="0" applyAlignment="0" applyProtection="0"/>
    <xf numFmtId="44" fontId="1" fillId="0" borderId="0" applyFont="0" applyFill="0" applyBorder="0" applyAlignment="0" applyProtection="0"/>
    <xf numFmtId="0" fontId="1" fillId="0" borderId="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10" fontId="44" fillId="22" borderId="49" applyNumberFormat="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0" applyNumberFormat="0" applyFont="0" applyFill="0" applyAlignment="0" applyProtection="0"/>
    <xf numFmtId="0" fontId="112" fillId="50" borderId="111" applyNumberFormat="0" applyAlignment="0" applyProtection="0"/>
    <xf numFmtId="0" fontId="7" fillId="24" borderId="116" applyNumberFormat="0" applyFont="0" applyAlignment="0" applyProtection="0"/>
    <xf numFmtId="185" fontId="1" fillId="0" borderId="0" applyFont="0" applyFill="0" applyBorder="0" applyAlignment="0" applyProtection="0"/>
    <xf numFmtId="0" fontId="7" fillId="24" borderId="116" applyNumberFormat="0" applyFont="0" applyAlignment="0" applyProtection="0"/>
    <xf numFmtId="0" fontId="86" fillId="0" borderId="112">
      <alignment horizontal="left" vertical="center"/>
    </xf>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9" fillId="20" borderId="108"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0" borderId="117" applyNumberFormat="0" applyFont="0" applyFill="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19"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8" applyNumberFormat="0" applyFont="0" applyFill="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8" fillId="7" borderId="115" applyNumberFormat="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112">
      <alignment horizontal="left" vertical="center"/>
    </xf>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0" borderId="117" applyNumberFormat="0" applyFont="0" applyFill="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46">
      <alignment horizontal="left" vertical="center"/>
    </xf>
    <xf numFmtId="0" fontId="86" fillId="0" borderId="46">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0"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10" fontId="44" fillId="22" borderId="49" applyNumberFormat="0" applyBorder="0" applyAlignment="0" applyProtection="0"/>
    <xf numFmtId="0" fontId="78" fillId="7" borderId="115" applyNumberFormat="0" applyAlignment="0" applyProtection="0"/>
    <xf numFmtId="0" fontId="78" fillId="7" borderId="115" applyNumberFormat="0" applyAlignment="0" applyProtection="0"/>
    <xf numFmtId="0" fontId="10" fillId="24" borderId="116" applyNumberFormat="0" applyFont="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0" borderId="102" applyNumberFormat="0" applyFont="0" applyFill="0" applyAlignment="0" applyProtection="0"/>
    <xf numFmtId="0" fontId="7" fillId="0" borderId="102" applyNumberFormat="0" applyFont="0" applyFill="0" applyAlignment="0" applyProtection="0"/>
    <xf numFmtId="4" fontId="33" fillId="23" borderId="103" applyNumberFormat="0" applyProtection="0">
      <alignment vertical="center"/>
    </xf>
    <xf numFmtId="4" fontId="100" fillId="37" borderId="103" applyNumberFormat="0" applyProtection="0">
      <alignment vertical="center"/>
    </xf>
    <xf numFmtId="4" fontId="33" fillId="37" borderId="103" applyNumberFormat="0" applyProtection="0">
      <alignment horizontal="left" vertical="center" indent="1"/>
    </xf>
    <xf numFmtId="0" fontId="33" fillId="37" borderId="103" applyNumberFormat="0" applyProtection="0">
      <alignment horizontal="left" vertical="top" indent="1"/>
    </xf>
    <xf numFmtId="0" fontId="7" fillId="24" borderId="116" applyNumberFormat="0" applyFont="0" applyAlignment="0" applyProtection="0"/>
    <xf numFmtId="4" fontId="31" fillId="3" borderId="103" applyNumberFormat="0" applyProtection="0">
      <alignment horizontal="right" vertical="center"/>
    </xf>
    <xf numFmtId="4" fontId="31" fillId="8" borderId="103" applyNumberFormat="0" applyProtection="0">
      <alignment horizontal="right" vertical="center"/>
    </xf>
    <xf numFmtId="4" fontId="31" fillId="17" borderId="103" applyNumberFormat="0" applyProtection="0">
      <alignment horizontal="right" vertical="center"/>
    </xf>
    <xf numFmtId="4" fontId="31" fillId="11" borderId="103" applyNumberFormat="0" applyProtection="0">
      <alignment horizontal="right" vertical="center"/>
    </xf>
    <xf numFmtId="4" fontId="31" fillId="15" borderId="103" applyNumberFormat="0" applyProtection="0">
      <alignment horizontal="right" vertical="center"/>
    </xf>
    <xf numFmtId="4" fontId="31" fillId="19" borderId="103" applyNumberFormat="0" applyProtection="0">
      <alignment horizontal="right" vertical="center"/>
    </xf>
    <xf numFmtId="4" fontId="31" fillId="18" borderId="103" applyNumberFormat="0" applyProtection="0">
      <alignment horizontal="right" vertical="center"/>
    </xf>
    <xf numFmtId="4" fontId="31" fillId="39" borderId="103" applyNumberFormat="0" applyProtection="0">
      <alignment horizontal="right" vertical="center"/>
    </xf>
    <xf numFmtId="4" fontId="31" fillId="9" borderId="103" applyNumberFormat="0" applyProtection="0">
      <alignment horizontal="right" vertical="center"/>
    </xf>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4" fontId="31" fillId="43" borderId="103" applyNumberFormat="0" applyProtection="0">
      <alignment horizontal="right" vertical="center"/>
    </xf>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top" indent="1"/>
    </xf>
    <xf numFmtId="0" fontId="7" fillId="45" borderId="103" applyNumberFormat="0" applyProtection="0">
      <alignment horizontal="left" vertical="top" indent="1"/>
    </xf>
    <xf numFmtId="0" fontId="7" fillId="45" borderId="103" applyNumberFormat="0" applyProtection="0">
      <alignment horizontal="left" vertical="top" indent="1"/>
    </xf>
    <xf numFmtId="4" fontId="31" fillId="22" borderId="103" applyNumberFormat="0" applyProtection="0">
      <alignment vertical="center"/>
    </xf>
    <xf numFmtId="4" fontId="102" fillId="22" borderId="103" applyNumberFormat="0" applyProtection="0">
      <alignment vertical="center"/>
    </xf>
    <xf numFmtId="4" fontId="31" fillId="22" borderId="103" applyNumberFormat="0" applyProtection="0">
      <alignment horizontal="left" vertical="center" indent="1"/>
    </xf>
    <xf numFmtId="0" fontId="31" fillId="22" borderId="103" applyNumberFormat="0" applyProtection="0">
      <alignment horizontal="left" vertical="top" indent="1"/>
    </xf>
    <xf numFmtId="4" fontId="31" fillId="41" borderId="103" applyNumberFormat="0" applyProtection="0">
      <alignment horizontal="right" vertical="center"/>
    </xf>
    <xf numFmtId="4" fontId="102" fillId="41" borderId="103" applyNumberFormat="0" applyProtection="0">
      <alignment horizontal="right" vertical="center"/>
    </xf>
    <xf numFmtId="4" fontId="31" fillId="43" borderId="103" applyNumberFormat="0" applyProtection="0">
      <alignment horizontal="left" vertical="center" indent="1"/>
    </xf>
    <xf numFmtId="0" fontId="31" fillId="38" borderId="103" applyNumberFormat="0" applyProtection="0">
      <alignment horizontal="left" vertical="top" indent="1"/>
    </xf>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4" fontId="104" fillId="41" borderId="103" applyNumberFormat="0" applyProtection="0">
      <alignment horizontal="right" vertical="center"/>
    </xf>
    <xf numFmtId="0" fontId="7" fillId="0" borderId="122"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9" fillId="20" borderId="108" applyNumberFormat="0" applyAlignment="0" applyProtection="0"/>
    <xf numFmtId="0" fontId="13" fillId="20" borderId="115" applyNumberFormat="0" applyAlignment="0" applyProtection="0"/>
    <xf numFmtId="0" fontId="7" fillId="0" borderId="117" applyNumberFormat="0" applyFont="0" applyFill="0" applyAlignment="0" applyProtection="0"/>
    <xf numFmtId="0" fontId="79" fillId="20" borderId="108" applyNumberForma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9" fillId="20" borderId="108"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20" applyNumberFormat="0" applyFont="0" applyFill="0" applyAlignment="0" applyProtection="0"/>
    <xf numFmtId="0" fontId="7" fillId="0" borderId="118" applyNumberFormat="0" applyFont="0" applyFill="0" applyAlignment="0" applyProtection="0"/>
    <xf numFmtId="0" fontId="7" fillId="0" borderId="121" applyNumberFormat="0" applyFont="0" applyFill="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22" applyNumberFormat="0" applyFont="0" applyFill="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8"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19"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24" borderId="116" applyNumberFormat="0" applyFont="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7" fillId="24" borderId="116" applyNumberFormat="0" applyFont="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7" fillId="0" borderId="121" applyNumberFormat="0" applyFont="0" applyFill="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10" fontId="44" fillId="22" borderId="49" applyNumberFormat="0" applyBorder="0" applyAlignment="0" applyProtection="0"/>
    <xf numFmtId="0" fontId="7" fillId="24" borderId="116" applyNumberFormat="0" applyFont="0" applyAlignment="0" applyProtection="0"/>
    <xf numFmtId="0" fontId="7" fillId="0" borderId="119" applyNumberFormat="0" applyFont="0" applyFill="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44" fontId="1" fillId="0" borderId="0" applyFont="0" applyFill="0" applyBorder="0" applyAlignment="0" applyProtection="0"/>
    <xf numFmtId="0" fontId="1" fillId="0" borderId="0"/>
    <xf numFmtId="0" fontId="10" fillId="24" borderId="116" applyNumberFormat="0" applyFont="0" applyAlignment="0" applyProtection="0"/>
    <xf numFmtId="0" fontId="10" fillId="24" borderId="116" applyNumberFormat="0" applyFont="0" applyAlignment="0" applyProtection="0"/>
    <xf numFmtId="0" fontId="86" fillId="0" borderId="112">
      <alignment horizontal="left" vertical="center"/>
    </xf>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9" fillId="20" borderId="108" applyNumberFormat="0" applyAlignment="0" applyProtection="0"/>
    <xf numFmtId="0" fontId="13" fillId="20" borderId="115" applyNumberForma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44" fontId="1" fillId="0" borderId="0" applyFont="0" applyFill="0" applyBorder="0" applyAlignment="0" applyProtection="0"/>
    <xf numFmtId="0" fontId="1" fillId="0" borderId="0"/>
    <xf numFmtId="0" fontId="7" fillId="24" borderId="116" applyNumberFormat="0" applyFont="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23"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24" borderId="116" applyNumberFormat="0" applyFont="0" applyAlignment="0" applyProtection="0"/>
    <xf numFmtId="0" fontId="78" fillId="7" borderId="115" applyNumberFormat="0" applyAlignment="0" applyProtection="0"/>
    <xf numFmtId="10" fontId="44" fillId="22" borderId="113" applyNumberFormat="0" applyBorder="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10" fontId="44" fillId="22" borderId="113" applyNumberFormat="0" applyBorder="0" applyAlignment="0" applyProtection="0"/>
    <xf numFmtId="10" fontId="44" fillId="22" borderId="113" applyNumberFormat="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19"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9" fillId="20" borderId="108" applyNumberFormat="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0"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10" fontId="44" fillId="22" borderId="49" applyNumberFormat="0" applyBorder="0" applyAlignment="0" applyProtection="0"/>
    <xf numFmtId="10" fontId="44" fillId="22" borderId="49" applyNumberFormat="0" applyBorder="0" applyAlignment="0" applyProtection="0"/>
    <xf numFmtId="0" fontId="78" fillId="7" borderId="115" applyNumberFormat="0" applyAlignment="0" applyProtection="0"/>
    <xf numFmtId="0" fontId="78" fillId="7" borderId="115" applyNumberFormat="0" applyAlignment="0" applyProtection="0"/>
    <xf numFmtId="0" fontId="10" fillId="24" borderId="116" applyNumberFormat="0" applyFont="0" applyAlignment="0" applyProtection="0"/>
    <xf numFmtId="0" fontId="86" fillId="0" borderId="112">
      <alignment horizontal="left" vertical="center"/>
    </xf>
    <xf numFmtId="0" fontId="86" fillId="0" borderId="112">
      <alignment horizontal="left" vertical="center"/>
    </xf>
    <xf numFmtId="0" fontId="7" fillId="24" borderId="116" applyNumberFormat="0" applyFont="0" applyAlignment="0" applyProtection="0"/>
    <xf numFmtId="0" fontId="7" fillId="0" borderId="102" applyNumberFormat="0" applyFont="0" applyFill="0" applyAlignment="0" applyProtection="0"/>
    <xf numFmtId="0" fontId="7" fillId="0" borderId="102" applyNumberFormat="0" applyFont="0" applyFill="0" applyAlignment="0" applyProtection="0"/>
    <xf numFmtId="4" fontId="33" fillId="23" borderId="103" applyNumberFormat="0" applyProtection="0">
      <alignment vertical="center"/>
    </xf>
    <xf numFmtId="4" fontId="100" fillId="37" borderId="103" applyNumberFormat="0" applyProtection="0">
      <alignment vertical="center"/>
    </xf>
    <xf numFmtId="4" fontId="33" fillId="37" borderId="103" applyNumberFormat="0" applyProtection="0">
      <alignment horizontal="left" vertical="center" indent="1"/>
    </xf>
    <xf numFmtId="0" fontId="33" fillId="37" borderId="103" applyNumberFormat="0" applyProtection="0">
      <alignment horizontal="left" vertical="top" indent="1"/>
    </xf>
    <xf numFmtId="0" fontId="7" fillId="24" borderId="116" applyNumberFormat="0" applyFont="0" applyAlignment="0" applyProtection="0"/>
    <xf numFmtId="4" fontId="31" fillId="3" borderId="103" applyNumberFormat="0" applyProtection="0">
      <alignment horizontal="right" vertical="center"/>
    </xf>
    <xf numFmtId="4" fontId="31" fillId="8" borderId="103" applyNumberFormat="0" applyProtection="0">
      <alignment horizontal="right" vertical="center"/>
    </xf>
    <xf numFmtId="4" fontId="31" fillId="17" borderId="103" applyNumberFormat="0" applyProtection="0">
      <alignment horizontal="right" vertical="center"/>
    </xf>
    <xf numFmtId="4" fontId="31" fillId="11" borderId="103" applyNumberFormat="0" applyProtection="0">
      <alignment horizontal="right" vertical="center"/>
    </xf>
    <xf numFmtId="4" fontId="31" fillId="15" borderId="103" applyNumberFormat="0" applyProtection="0">
      <alignment horizontal="right" vertical="center"/>
    </xf>
    <xf numFmtId="4" fontId="31" fillId="19" borderId="103" applyNumberFormat="0" applyProtection="0">
      <alignment horizontal="right" vertical="center"/>
    </xf>
    <xf numFmtId="4" fontId="31" fillId="18" borderId="103" applyNumberFormat="0" applyProtection="0">
      <alignment horizontal="right" vertical="center"/>
    </xf>
    <xf numFmtId="4" fontId="31" fillId="39" borderId="103" applyNumberFormat="0" applyProtection="0">
      <alignment horizontal="right" vertical="center"/>
    </xf>
    <xf numFmtId="4" fontId="31" fillId="9" borderId="103" applyNumberFormat="0" applyProtection="0">
      <alignment horizontal="right" vertical="center"/>
    </xf>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4" fontId="31" fillId="43" borderId="103" applyNumberFormat="0" applyProtection="0">
      <alignment horizontal="right" vertical="center"/>
    </xf>
    <xf numFmtId="0" fontId="79" fillId="20" borderId="108" applyNumberFormat="0" applyAlignment="0" applyProtection="0"/>
    <xf numFmtId="0" fontId="10"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top" indent="1"/>
    </xf>
    <xf numFmtId="0" fontId="7" fillId="45" borderId="103" applyNumberFormat="0" applyProtection="0">
      <alignment horizontal="left" vertical="top" indent="1"/>
    </xf>
    <xf numFmtId="0" fontId="7" fillId="45" borderId="103" applyNumberFormat="0" applyProtection="0">
      <alignment horizontal="left" vertical="top" indent="1"/>
    </xf>
    <xf numFmtId="4" fontId="31" fillId="22" borderId="103" applyNumberFormat="0" applyProtection="0">
      <alignment vertical="center"/>
    </xf>
    <xf numFmtId="4" fontId="102" fillId="22" borderId="103" applyNumberFormat="0" applyProtection="0">
      <alignment vertical="center"/>
    </xf>
    <xf numFmtId="4" fontId="31" fillId="22" borderId="103" applyNumberFormat="0" applyProtection="0">
      <alignment horizontal="left" vertical="center" indent="1"/>
    </xf>
    <xf numFmtId="0" fontId="31" fillId="22" borderId="103" applyNumberFormat="0" applyProtection="0">
      <alignment horizontal="left" vertical="top" indent="1"/>
    </xf>
    <xf numFmtId="4" fontId="31" fillId="41" borderId="103" applyNumberFormat="0" applyProtection="0">
      <alignment horizontal="right" vertical="center"/>
    </xf>
    <xf numFmtId="4" fontId="102" fillId="41" borderId="103" applyNumberFormat="0" applyProtection="0">
      <alignment horizontal="right" vertical="center"/>
    </xf>
    <xf numFmtId="4" fontId="31" fillId="43" borderId="103" applyNumberFormat="0" applyProtection="0">
      <alignment horizontal="left" vertical="center" indent="1"/>
    </xf>
    <xf numFmtId="0" fontId="31" fillId="38" borderId="103" applyNumberFormat="0" applyProtection="0">
      <alignment horizontal="left" vertical="top" indent="1"/>
    </xf>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4" fontId="104" fillId="41" borderId="103" applyNumberFormat="0" applyProtection="0">
      <alignment horizontal="right" vertical="center"/>
    </xf>
    <xf numFmtId="0" fontId="7" fillId="0" borderId="122"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0"/>
    <xf numFmtId="0" fontId="7" fillId="24" borderId="116" applyNumberFormat="0" applyFont="0" applyAlignment="0" applyProtection="0"/>
    <xf numFmtId="0" fontId="7" fillId="0" borderId="117" applyNumberFormat="0" applyFont="0" applyFill="0" applyAlignment="0" applyProtection="0"/>
    <xf numFmtId="0" fontId="79" fillId="20" borderId="108" applyNumberFormat="0" applyAlignment="0" applyProtection="0"/>
    <xf numFmtId="0" fontId="7" fillId="24" borderId="116" applyNumberFormat="0" applyFont="0" applyAlignment="0" applyProtection="0"/>
    <xf numFmtId="0" fontId="86" fillId="0" borderId="46">
      <alignment horizontal="left" vertical="center"/>
    </xf>
    <xf numFmtId="0" fontId="13" fillId="20" borderId="115" applyNumberForma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0" borderId="120"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13" fillId="20" borderId="115" applyNumberFormat="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7" fillId="0" borderId="116" applyNumberFormat="0" applyFont="0" applyFill="0" applyAlignment="0" applyProtection="0"/>
    <xf numFmtId="0" fontId="79" fillId="20" borderId="108" applyNumberFormat="0" applyAlignment="0" applyProtection="0"/>
    <xf numFmtId="0" fontId="7" fillId="0" borderId="117" applyNumberFormat="0" applyFont="0" applyFill="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7" applyNumberFormat="0" applyFont="0" applyFill="0" applyAlignment="0" applyProtection="0"/>
    <xf numFmtId="0" fontId="112" fillId="50" borderId="111" applyNumberFormat="0" applyAlignment="0" applyProtection="0"/>
    <xf numFmtId="0" fontId="7" fillId="24" borderId="116" applyNumberFormat="0" applyFont="0" applyAlignment="0" applyProtection="0"/>
    <xf numFmtId="185" fontId="1" fillId="0" borderId="0" applyFont="0" applyFill="0" applyBorder="0" applyAlignment="0" applyProtection="0"/>
    <xf numFmtId="0" fontId="10" fillId="24" borderId="116" applyNumberFormat="0" applyFont="0" applyAlignment="0" applyProtection="0"/>
    <xf numFmtId="0" fontId="10" fillId="24" borderId="116" applyNumberFormat="0" applyFont="0" applyAlignment="0" applyProtection="0"/>
    <xf numFmtId="0" fontId="86" fillId="0" borderId="112">
      <alignment horizontal="left" vertical="center"/>
    </xf>
    <xf numFmtId="0" fontId="86" fillId="0" borderId="112">
      <alignment horizontal="left" vertical="center"/>
    </xf>
    <xf numFmtId="0" fontId="7" fillId="24" borderId="116" applyNumberFormat="0" applyFont="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8" applyNumberFormat="0" applyFont="0" applyFill="0" applyAlignment="0" applyProtection="0"/>
    <xf numFmtId="0" fontId="13" fillId="20" borderId="115" applyNumberFormat="0" applyAlignment="0" applyProtection="0"/>
    <xf numFmtId="0" fontId="86" fillId="0" borderId="112">
      <alignment horizontal="left" vertical="center"/>
    </xf>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12" fillId="50" borderId="111"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 fillId="24" borderId="116" applyNumberFormat="0" applyFont="0" applyAlignment="0" applyProtection="0"/>
    <xf numFmtId="4" fontId="31" fillId="3" borderId="103" applyNumberFormat="0" applyProtection="0">
      <alignment horizontal="right" vertical="center"/>
    </xf>
    <xf numFmtId="0" fontId="7" fillId="0" borderId="117" applyNumberFormat="0" applyFont="0" applyFill="0" applyAlignment="0" applyProtection="0"/>
    <xf numFmtId="0" fontId="7" fillId="24" borderId="116" applyNumberFormat="0" applyFont="0" applyAlignment="0" applyProtection="0"/>
    <xf numFmtId="0" fontId="7" fillId="38" borderId="103" applyNumberFormat="0" applyProtection="0">
      <alignment horizontal="left" vertical="center" indent="1"/>
    </xf>
    <xf numFmtId="0" fontId="7" fillId="44" borderId="103" applyNumberFormat="0" applyProtection="0">
      <alignment horizontal="left" vertical="top" indent="1"/>
    </xf>
    <xf numFmtId="4" fontId="31" fillId="22" borderId="103" applyNumberFormat="0" applyProtection="0">
      <alignment vertical="center"/>
    </xf>
    <xf numFmtId="0" fontId="7" fillId="0" borderId="120" applyNumberFormat="0" applyFont="0" applyFill="0" applyAlignment="0" applyProtection="0"/>
    <xf numFmtId="0" fontId="7" fillId="24" borderId="116" applyNumberFormat="0" applyFont="0" applyAlignment="0" applyProtection="0"/>
    <xf numFmtId="0" fontId="78" fillId="7" borderId="115" applyNumberForma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44" fontId="1" fillId="0" borderId="0" applyFont="0" applyFill="0" applyBorder="0" applyAlignment="0" applyProtection="0"/>
    <xf numFmtId="0" fontId="1" fillId="0" borderId="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112">
      <alignment horizontal="left" vertical="center"/>
    </xf>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1"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8" fillId="7" borderId="115" applyNumberForma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86" fillId="0" borderId="46">
      <alignment horizontal="left" vertical="center"/>
    </xf>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 fillId="0" borderId="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0"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10" fontId="44" fillId="22" borderId="49" applyNumberFormat="0" applyBorder="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10" fontId="44" fillId="22" borderId="49" applyNumberFormat="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0"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02" applyNumberFormat="0" applyFont="0" applyFill="0" applyAlignment="0" applyProtection="0"/>
    <xf numFmtId="0" fontId="7" fillId="0" borderId="102" applyNumberFormat="0" applyFont="0" applyFill="0" applyAlignment="0" applyProtection="0"/>
    <xf numFmtId="0" fontId="7" fillId="24" borderId="116" applyNumberFormat="0" applyFont="0" applyAlignment="0" applyProtection="0"/>
    <xf numFmtId="4" fontId="33" fillId="23" borderId="103" applyNumberFormat="0" applyProtection="0">
      <alignment vertical="center"/>
    </xf>
    <xf numFmtId="4" fontId="100" fillId="37" borderId="103" applyNumberFormat="0" applyProtection="0">
      <alignment vertical="center"/>
    </xf>
    <xf numFmtId="4" fontId="33" fillId="37" borderId="103" applyNumberFormat="0" applyProtection="0">
      <alignment horizontal="left" vertical="center" indent="1"/>
    </xf>
    <xf numFmtId="0" fontId="33" fillId="37" borderId="103" applyNumberFormat="0" applyProtection="0">
      <alignment horizontal="left" vertical="top" indent="1"/>
    </xf>
    <xf numFmtId="0" fontId="7" fillId="0" borderId="117" applyNumberFormat="0" applyFont="0" applyFill="0" applyAlignment="0" applyProtection="0"/>
    <xf numFmtId="4" fontId="31" fillId="3" borderId="103" applyNumberFormat="0" applyProtection="0">
      <alignment horizontal="right" vertical="center"/>
    </xf>
    <xf numFmtId="4" fontId="31" fillId="8" borderId="103" applyNumberFormat="0" applyProtection="0">
      <alignment horizontal="right" vertical="center"/>
    </xf>
    <xf numFmtId="4" fontId="31" fillId="17" borderId="103" applyNumberFormat="0" applyProtection="0">
      <alignment horizontal="right" vertical="center"/>
    </xf>
    <xf numFmtId="4" fontId="31" fillId="11" borderId="103" applyNumberFormat="0" applyProtection="0">
      <alignment horizontal="right" vertical="center"/>
    </xf>
    <xf numFmtId="4" fontId="31" fillId="15" borderId="103" applyNumberFormat="0" applyProtection="0">
      <alignment horizontal="right" vertical="center"/>
    </xf>
    <xf numFmtId="4" fontId="31" fillId="19" borderId="103" applyNumberFormat="0" applyProtection="0">
      <alignment horizontal="right" vertical="center"/>
    </xf>
    <xf numFmtId="4" fontId="31" fillId="18" borderId="103" applyNumberFormat="0" applyProtection="0">
      <alignment horizontal="right" vertical="center"/>
    </xf>
    <xf numFmtId="4" fontId="31" fillId="39" borderId="103" applyNumberFormat="0" applyProtection="0">
      <alignment horizontal="right" vertical="center"/>
    </xf>
    <xf numFmtId="4" fontId="31" fillId="9" borderId="103" applyNumberFormat="0" applyProtection="0">
      <alignment horizontal="right" vertical="center"/>
    </xf>
    <xf numFmtId="0" fontId="7" fillId="0" borderId="117" applyNumberFormat="0" applyFont="0" applyFill="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4" fontId="31" fillId="43" borderId="103" applyNumberFormat="0" applyProtection="0">
      <alignment horizontal="right" vertical="center"/>
    </xf>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13" fillId="20" borderId="115" applyNumberFormat="0" applyAlignment="0" applyProtection="0"/>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top" indent="1"/>
    </xf>
    <xf numFmtId="0" fontId="7" fillId="45" borderId="103" applyNumberFormat="0" applyProtection="0">
      <alignment horizontal="left" vertical="top" indent="1"/>
    </xf>
    <xf numFmtId="0" fontId="7" fillId="45" borderId="103" applyNumberFormat="0" applyProtection="0">
      <alignment horizontal="left" vertical="top" indent="1"/>
    </xf>
    <xf numFmtId="4" fontId="31" fillId="22" borderId="103" applyNumberFormat="0" applyProtection="0">
      <alignment vertical="center"/>
    </xf>
    <xf numFmtId="4" fontId="102" fillId="22" borderId="103" applyNumberFormat="0" applyProtection="0">
      <alignment vertical="center"/>
    </xf>
    <xf numFmtId="4" fontId="31" fillId="22" borderId="103" applyNumberFormat="0" applyProtection="0">
      <alignment horizontal="left" vertical="center" indent="1"/>
    </xf>
    <xf numFmtId="0" fontId="31" fillId="22" borderId="103" applyNumberFormat="0" applyProtection="0">
      <alignment horizontal="left" vertical="top" indent="1"/>
    </xf>
    <xf numFmtId="4" fontId="31" fillId="41" borderId="103" applyNumberFormat="0" applyProtection="0">
      <alignment horizontal="right" vertical="center"/>
    </xf>
    <xf numFmtId="4" fontId="102" fillId="41" borderId="103" applyNumberFormat="0" applyProtection="0">
      <alignment horizontal="right" vertical="center"/>
    </xf>
    <xf numFmtId="4" fontId="31" fillId="43" borderId="103" applyNumberFormat="0" applyProtection="0">
      <alignment horizontal="left" vertical="center" indent="1"/>
    </xf>
    <xf numFmtId="0" fontId="31" fillId="38" borderId="103" applyNumberFormat="0" applyProtection="0">
      <alignment horizontal="left" vertical="top" indent="1"/>
    </xf>
    <xf numFmtId="0" fontId="7" fillId="0" borderId="118" applyNumberFormat="0" applyFont="0" applyFill="0" applyAlignment="0" applyProtection="0"/>
    <xf numFmtId="0" fontId="7" fillId="0" borderId="118" applyNumberFormat="0" applyFont="0" applyFill="0" applyAlignment="0" applyProtection="0"/>
    <xf numFmtId="0" fontId="7" fillId="0" borderId="123" applyNumberFormat="0" applyFont="0" applyFill="0" applyAlignment="0" applyProtection="0"/>
    <xf numFmtId="4" fontId="104" fillId="41" borderId="103" applyNumberFormat="0" applyProtection="0">
      <alignment horizontal="right" vertical="center"/>
    </xf>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9" fillId="20" borderId="108" applyNumberFormat="0" applyAlignment="0" applyProtection="0"/>
    <xf numFmtId="0" fontId="78" fillId="7" borderId="115" applyNumberFormat="0" applyAlignment="0" applyProtection="0"/>
    <xf numFmtId="0" fontId="7" fillId="24" borderId="116" applyNumberFormat="0" applyFont="0" applyAlignment="0" applyProtection="0"/>
    <xf numFmtId="0" fontId="13" fillId="20" borderId="115" applyNumberFormat="0" applyAlignment="0" applyProtection="0"/>
    <xf numFmtId="0" fontId="7" fillId="24" borderId="116" applyNumberFormat="0" applyFont="0" applyAlignment="0" applyProtection="0"/>
    <xf numFmtId="0" fontId="78" fillId="7" borderId="115" applyNumberFormat="0" applyAlignment="0" applyProtection="0"/>
    <xf numFmtId="0" fontId="7" fillId="24" borderId="116" applyNumberFormat="0" applyFont="0" applyAlignment="0" applyProtection="0"/>
    <xf numFmtId="0" fontId="79" fillId="20" borderId="108" applyNumberFormat="0" applyAlignment="0" applyProtection="0"/>
    <xf numFmtId="0" fontId="13" fillId="20" borderId="115" applyNumberFormat="0" applyAlignment="0" applyProtection="0"/>
    <xf numFmtId="0" fontId="7" fillId="0" borderId="116" applyNumberFormat="0" applyFont="0" applyFill="0" applyAlignment="0" applyProtection="0"/>
    <xf numFmtId="0" fontId="7" fillId="0" borderId="123" applyNumberFormat="0" applyFont="0" applyFill="0" applyAlignment="0" applyProtection="0"/>
    <xf numFmtId="0" fontId="7" fillId="0" borderId="119" applyNumberFormat="0" applyFont="0" applyFill="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0" borderId="118" applyNumberFormat="0" applyFont="0" applyFill="0" applyAlignment="0" applyProtection="0"/>
    <xf numFmtId="0" fontId="7" fillId="0" borderId="118" applyNumberFormat="0" applyFont="0" applyFill="0" applyAlignment="0" applyProtection="0"/>
    <xf numFmtId="10" fontId="44" fillId="22" borderId="49" applyNumberFormat="0" applyBorder="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8" fillId="7" borderId="115" applyNumberFormat="0" applyAlignment="0" applyProtection="0"/>
    <xf numFmtId="0" fontId="78" fillId="7" borderId="115" applyNumberForma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0" borderId="116" applyNumberFormat="0" applyFon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13" fillId="20" borderId="115" applyNumberFormat="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0" fillId="24" borderId="116" applyNumberFormat="0" applyFont="0" applyAlignment="0" applyProtection="0"/>
    <xf numFmtId="0" fontId="7" fillId="0" borderId="0"/>
    <xf numFmtId="0" fontId="7" fillId="24" borderId="116" applyNumberFormat="0" applyFont="0" applyAlignment="0" applyProtection="0"/>
    <xf numFmtId="0" fontId="7" fillId="24" borderId="116" applyNumberFormat="0" applyFont="0" applyAlignment="0" applyProtection="0"/>
    <xf numFmtId="0" fontId="1" fillId="0" borderId="0"/>
    <xf numFmtId="0" fontId="7" fillId="24" borderId="116" applyNumberFormat="0" applyFont="0" applyAlignment="0" applyProtection="0"/>
    <xf numFmtId="0" fontId="78" fillId="7" borderId="115" applyNumberFormat="0" applyAlignment="0" applyProtection="0"/>
    <xf numFmtId="0" fontId="10" fillId="24" borderId="116" applyNumberFormat="0" applyFont="0" applyAlignment="0" applyProtection="0"/>
    <xf numFmtId="4" fontId="100" fillId="37" borderId="103" applyNumberFormat="0" applyProtection="0">
      <alignment vertical="center"/>
    </xf>
    <xf numFmtId="4" fontId="31" fillId="18" borderId="103" applyNumberFormat="0" applyProtection="0">
      <alignment horizontal="right" vertical="center"/>
    </xf>
    <xf numFmtId="0" fontId="7" fillId="24" borderId="116" applyNumberFormat="0" applyFont="0" applyAlignment="0" applyProtection="0"/>
    <xf numFmtId="0" fontId="7" fillId="42" borderId="103" applyNumberFormat="0" applyProtection="0">
      <alignment horizontal="left" vertical="top" indent="1"/>
    </xf>
    <xf numFmtId="0" fontId="7" fillId="44" borderId="103" applyNumberFormat="0" applyProtection="0">
      <alignment horizontal="left" vertical="center" indent="1"/>
    </xf>
    <xf numFmtId="0" fontId="7" fillId="45" borderId="103" applyNumberFormat="0" applyProtection="0">
      <alignment horizontal="left" vertical="center" indent="1"/>
    </xf>
    <xf numFmtId="4" fontId="31" fillId="41" borderId="103" applyNumberFormat="0" applyProtection="0">
      <alignment horizontal="right" vertical="center"/>
    </xf>
    <xf numFmtId="0" fontId="7" fillId="0" borderId="122" applyNumberFormat="0" applyFont="0" applyFill="0" applyAlignment="0" applyProtection="0"/>
    <xf numFmtId="0" fontId="7" fillId="0" borderId="0"/>
    <xf numFmtId="0" fontId="78" fillId="7" borderId="115" applyNumberFormat="0" applyAlignment="0" applyProtection="0"/>
    <xf numFmtId="0" fontId="7" fillId="24" borderId="116" applyNumberFormat="0" applyFont="0" applyAlignment="0" applyProtection="0"/>
    <xf numFmtId="0" fontId="13" fillId="20" borderId="115" applyNumberFormat="0" applyAlignment="0" applyProtection="0"/>
    <xf numFmtId="0" fontId="7" fillId="24" borderId="116" applyNumberFormat="0" applyFont="0" applyAlignment="0" applyProtection="0"/>
    <xf numFmtId="0" fontId="112" fillId="50" borderId="111" applyNumberFormat="0" applyAlignment="0" applyProtection="0"/>
    <xf numFmtId="0" fontId="7" fillId="24" borderId="116" applyNumberFormat="0" applyFont="0" applyAlignment="0" applyProtection="0"/>
    <xf numFmtId="185" fontId="1" fillId="0" borderId="0" applyFont="0" applyFill="0" applyBorder="0" applyAlignment="0" applyProtection="0"/>
    <xf numFmtId="0" fontId="10" fillId="24" borderId="116" applyNumberFormat="0" applyFont="0" applyAlignment="0" applyProtection="0"/>
    <xf numFmtId="0" fontId="10"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0" borderId="120" applyNumberFormat="0" applyFont="0" applyFill="0" applyAlignment="0" applyProtection="0"/>
    <xf numFmtId="0" fontId="7" fillId="0" borderId="116" applyNumberFormat="0" applyFont="0" applyFill="0" applyAlignment="0" applyProtection="0"/>
    <xf numFmtId="0" fontId="7" fillId="0" borderId="120" applyNumberFormat="0" applyFont="0" applyFill="0" applyAlignment="0" applyProtection="0"/>
    <xf numFmtId="0" fontId="78" fillId="7" borderId="115" applyNumberFormat="0" applyAlignment="0" applyProtection="0"/>
    <xf numFmtId="0" fontId="7" fillId="0" borderId="120" applyNumberFormat="0" applyFont="0" applyFill="0" applyAlignment="0" applyProtection="0"/>
    <xf numFmtId="0" fontId="7" fillId="0" borderId="116"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8" fillId="7" borderId="115" applyNumberFormat="0" applyAlignment="0" applyProtection="0"/>
    <xf numFmtId="0" fontId="78" fillId="7" borderId="115" applyNumberFormat="0" applyAlignment="0" applyProtection="0"/>
    <xf numFmtId="10" fontId="44" fillId="22" borderId="49" applyNumberFormat="0" applyBorder="0" applyAlignment="0" applyProtection="0"/>
    <xf numFmtId="0" fontId="78" fillId="7" borderId="115" applyNumberForma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22"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19"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24" borderId="116" applyNumberFormat="0" applyFont="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0"/>
    <xf numFmtId="0" fontId="7" fillId="24" borderId="116" applyNumberFormat="0" applyFont="0" applyAlignment="0" applyProtection="0"/>
    <xf numFmtId="0" fontId="112" fillId="50" borderId="111" applyNumberFormat="0" applyAlignment="0" applyProtection="0"/>
    <xf numFmtId="0" fontId="7" fillId="24" borderId="116" applyNumberFormat="0" applyFont="0" applyAlignment="0" applyProtection="0"/>
    <xf numFmtId="185" fontId="1" fillId="0" borderId="0" applyFont="0" applyFill="0" applyBorder="0" applyAlignment="0" applyProtection="0"/>
    <xf numFmtId="0" fontId="86" fillId="0" borderId="46">
      <alignment horizontal="left" vertical="center"/>
    </xf>
    <xf numFmtId="0" fontId="7" fillId="24" borderId="116" applyNumberFormat="0" applyFont="0" applyAlignment="0" applyProtection="0"/>
    <xf numFmtId="0" fontId="79" fillId="20" borderId="108" applyNumberFormat="0" applyAlignment="0" applyProtection="0"/>
    <xf numFmtId="0" fontId="13" fillId="20" borderId="115" applyNumberFormat="0" applyAlignment="0" applyProtection="0"/>
    <xf numFmtId="0" fontId="13" fillId="20" borderId="115"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10" fontId="44" fillId="22" borderId="49" applyNumberFormat="0" applyBorder="0" applyAlignment="0" applyProtection="0"/>
    <xf numFmtId="0" fontId="78" fillId="7" borderId="115" applyNumberForma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8" fillId="7" borderId="115"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8" fillId="7" borderId="115" applyNumberFormat="0" applyAlignment="0" applyProtection="0"/>
    <xf numFmtId="10" fontId="44" fillId="22" borderId="49" applyNumberFormat="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10"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10" fontId="44" fillId="22" borderId="113" applyNumberFormat="0" applyBorder="0" applyAlignment="0" applyProtection="0"/>
    <xf numFmtId="10" fontId="44" fillId="22" borderId="113" applyNumberFormat="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112">
      <alignment horizontal="left" vertical="center"/>
    </xf>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10"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10" fillId="24" borderId="116" applyNumberFormat="0" applyFont="0" applyAlignment="0" applyProtection="0"/>
    <xf numFmtId="0" fontId="86" fillId="0" borderId="46">
      <alignment horizontal="left" vertical="center"/>
    </xf>
    <xf numFmtId="0" fontId="86" fillId="0" borderId="46">
      <alignment horizontal="left" vertical="center"/>
    </xf>
    <xf numFmtId="0" fontId="7" fillId="24" borderId="116" applyNumberFormat="0" applyFont="0" applyAlignment="0" applyProtection="0"/>
    <xf numFmtId="0" fontId="7" fillId="0" borderId="102" applyNumberFormat="0" applyFont="0" applyFill="0" applyAlignment="0" applyProtection="0"/>
    <xf numFmtId="0" fontId="7" fillId="0" borderId="102" applyNumberFormat="0" applyFont="0" applyFill="0" applyAlignment="0" applyProtection="0"/>
    <xf numFmtId="0" fontId="7" fillId="24" borderId="116" applyNumberFormat="0" applyFont="0" applyAlignment="0" applyProtection="0"/>
    <xf numFmtId="4" fontId="33" fillId="23" borderId="103" applyNumberFormat="0" applyProtection="0">
      <alignment vertical="center"/>
    </xf>
    <xf numFmtId="4" fontId="100" fillId="37" borderId="103" applyNumberFormat="0" applyProtection="0">
      <alignment vertical="center"/>
    </xf>
    <xf numFmtId="4" fontId="33" fillId="37" borderId="103" applyNumberFormat="0" applyProtection="0">
      <alignment horizontal="left" vertical="center" indent="1"/>
    </xf>
    <xf numFmtId="0" fontId="33" fillId="37" borderId="103" applyNumberFormat="0" applyProtection="0">
      <alignment horizontal="left" vertical="top" indent="1"/>
    </xf>
    <xf numFmtId="0" fontId="7" fillId="0" borderId="117" applyNumberFormat="0" applyFont="0" applyFill="0" applyAlignment="0" applyProtection="0"/>
    <xf numFmtId="4" fontId="31" fillId="3" borderId="103" applyNumberFormat="0" applyProtection="0">
      <alignment horizontal="right" vertical="center"/>
    </xf>
    <xf numFmtId="4" fontId="31" fillId="8" borderId="103" applyNumberFormat="0" applyProtection="0">
      <alignment horizontal="right" vertical="center"/>
    </xf>
    <xf numFmtId="4" fontId="31" fillId="17" borderId="103" applyNumberFormat="0" applyProtection="0">
      <alignment horizontal="right" vertical="center"/>
    </xf>
    <xf numFmtId="4" fontId="31" fillId="11" borderId="103" applyNumberFormat="0" applyProtection="0">
      <alignment horizontal="right" vertical="center"/>
    </xf>
    <xf numFmtId="4" fontId="31" fillId="15" borderId="103" applyNumberFormat="0" applyProtection="0">
      <alignment horizontal="right" vertical="center"/>
    </xf>
    <xf numFmtId="4" fontId="31" fillId="19" borderId="103" applyNumberFormat="0" applyProtection="0">
      <alignment horizontal="right" vertical="center"/>
    </xf>
    <xf numFmtId="4" fontId="31" fillId="18" borderId="103" applyNumberFormat="0" applyProtection="0">
      <alignment horizontal="right" vertical="center"/>
    </xf>
    <xf numFmtId="4" fontId="31" fillId="39" borderId="103" applyNumberFormat="0" applyProtection="0">
      <alignment horizontal="right" vertical="center"/>
    </xf>
    <xf numFmtId="4" fontId="31" fillId="9" borderId="103" applyNumberFormat="0" applyProtection="0">
      <alignment horizontal="right" vertical="center"/>
    </xf>
    <xf numFmtId="0" fontId="7" fillId="24" borderId="116" applyNumberFormat="0" applyFont="0" applyAlignment="0" applyProtection="0"/>
    <xf numFmtId="0" fontId="7" fillId="24" borderId="116" applyNumberFormat="0" applyFont="0" applyAlignment="0" applyProtection="0"/>
    <xf numFmtId="0" fontId="86" fillId="0" borderId="46">
      <alignment horizontal="left" vertical="center"/>
    </xf>
    <xf numFmtId="0" fontId="7" fillId="24" borderId="116" applyNumberFormat="0" applyFont="0" applyAlignment="0" applyProtection="0"/>
    <xf numFmtId="0" fontId="7" fillId="24" borderId="116" applyNumberFormat="0" applyFont="0" applyAlignment="0" applyProtection="0"/>
    <xf numFmtId="4" fontId="31" fillId="43" borderId="103" applyNumberFormat="0" applyProtection="0">
      <alignment horizontal="right" vertical="center"/>
    </xf>
    <xf numFmtId="0" fontId="13" fillId="20" borderId="115" applyNumberForma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top" indent="1"/>
    </xf>
    <xf numFmtId="0" fontId="7" fillId="45" borderId="103" applyNumberFormat="0" applyProtection="0">
      <alignment horizontal="left" vertical="top" indent="1"/>
    </xf>
    <xf numFmtId="0" fontId="7" fillId="45" borderId="103" applyNumberFormat="0" applyProtection="0">
      <alignment horizontal="left" vertical="top" indent="1"/>
    </xf>
    <xf numFmtId="4" fontId="31" fillId="22" borderId="103" applyNumberFormat="0" applyProtection="0">
      <alignment vertical="center"/>
    </xf>
    <xf numFmtId="4" fontId="102" fillId="22" borderId="103" applyNumberFormat="0" applyProtection="0">
      <alignment vertical="center"/>
    </xf>
    <xf numFmtId="4" fontId="31" fillId="22" borderId="103" applyNumberFormat="0" applyProtection="0">
      <alignment horizontal="left" vertical="center" indent="1"/>
    </xf>
    <xf numFmtId="0" fontId="31" fillId="22" borderId="103" applyNumberFormat="0" applyProtection="0">
      <alignment horizontal="left" vertical="top" indent="1"/>
    </xf>
    <xf numFmtId="4" fontId="31" fillId="41" borderId="103" applyNumberFormat="0" applyProtection="0">
      <alignment horizontal="right" vertical="center"/>
    </xf>
    <xf numFmtId="4" fontId="102" fillId="41" borderId="103" applyNumberFormat="0" applyProtection="0">
      <alignment horizontal="right" vertical="center"/>
    </xf>
    <xf numFmtId="4" fontId="31" fillId="43" borderId="103" applyNumberFormat="0" applyProtection="0">
      <alignment horizontal="left" vertical="center" indent="1"/>
    </xf>
    <xf numFmtId="0" fontId="31" fillId="38" borderId="103" applyNumberFormat="0" applyProtection="0">
      <alignment horizontal="left" vertical="top" indent="1"/>
    </xf>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4" fontId="104" fillId="41" borderId="103" applyNumberFormat="0" applyProtection="0">
      <alignment horizontal="right" vertical="center"/>
    </xf>
    <xf numFmtId="0" fontId="7"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13" fillId="20" borderId="115" applyNumberFormat="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0" borderId="119" applyNumberFormat="0" applyFont="0" applyFill="0" applyAlignment="0" applyProtection="0"/>
    <xf numFmtId="0" fontId="13" fillId="20" borderId="115" applyNumberFormat="0" applyAlignment="0" applyProtection="0"/>
    <xf numFmtId="0" fontId="7" fillId="0" borderId="119" applyNumberFormat="0" applyFont="0" applyFill="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19"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6"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8" fillId="7" borderId="115" applyNumberFormat="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7" fillId="0" borderId="116" applyNumberFormat="0" applyFon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20"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2" applyNumberFormat="0" applyFont="0" applyFill="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44" fontId="1" fillId="0" borderId="0" applyFont="0" applyFill="0" applyBorder="0" applyAlignment="0" applyProtection="0"/>
    <xf numFmtId="0" fontId="1" fillId="0" borderId="0"/>
    <xf numFmtId="0" fontId="10" fillId="24" borderId="116" applyNumberFormat="0" applyFont="0" applyAlignment="0" applyProtection="0"/>
    <xf numFmtId="0" fontId="10" fillId="24" borderId="116" applyNumberFormat="0" applyFont="0" applyAlignment="0" applyProtection="0"/>
    <xf numFmtId="0" fontId="86" fillId="0" borderId="46">
      <alignment horizontal="left" vertical="center"/>
    </xf>
    <xf numFmtId="0" fontId="86" fillId="0" borderId="46">
      <alignment horizontal="left" vertical="center"/>
    </xf>
    <xf numFmtId="0" fontId="7" fillId="24" borderId="116" applyNumberFormat="0" applyFont="0" applyAlignment="0" applyProtection="0"/>
    <xf numFmtId="0" fontId="79" fillId="20" borderId="108" applyNumberFormat="0" applyAlignment="0" applyProtection="0"/>
    <xf numFmtId="0" fontId="86" fillId="0" borderId="46">
      <alignment horizontal="left" vertical="center"/>
    </xf>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22" applyNumberFormat="0" applyFont="0" applyFill="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0" borderId="117" applyNumberFormat="0" applyFont="0" applyFill="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112">
      <alignment horizontal="left" vertical="center"/>
    </xf>
    <xf numFmtId="0" fontId="86" fillId="0" borderId="112">
      <alignment horizontal="left" vertical="center"/>
    </xf>
    <xf numFmtId="0" fontId="86" fillId="0" borderId="112">
      <alignment horizontal="left" vertical="center"/>
    </xf>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0" fillId="24" borderId="116" applyNumberFormat="0" applyFont="0" applyAlignment="0" applyProtection="0"/>
    <xf numFmtId="0" fontId="7" fillId="24" borderId="116" applyNumberFormat="0" applyFont="0" applyAlignment="0" applyProtection="0"/>
    <xf numFmtId="0" fontId="10"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10"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10"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02" applyNumberFormat="0" applyFont="0" applyFill="0" applyAlignment="0" applyProtection="0"/>
    <xf numFmtId="0" fontId="7" fillId="0" borderId="102" applyNumberFormat="0" applyFont="0" applyFill="0" applyAlignment="0" applyProtection="0"/>
    <xf numFmtId="0" fontId="7" fillId="24" borderId="116" applyNumberFormat="0" applyFont="0" applyAlignment="0" applyProtection="0"/>
    <xf numFmtId="4" fontId="33" fillId="23" borderId="103" applyNumberFormat="0" applyProtection="0">
      <alignment vertical="center"/>
    </xf>
    <xf numFmtId="4" fontId="100" fillId="37" borderId="103" applyNumberFormat="0" applyProtection="0">
      <alignment vertical="center"/>
    </xf>
    <xf numFmtId="4" fontId="33" fillId="37" borderId="103" applyNumberFormat="0" applyProtection="0">
      <alignment horizontal="left" vertical="center" indent="1"/>
    </xf>
    <xf numFmtId="0" fontId="33" fillId="37" borderId="103" applyNumberFormat="0" applyProtection="0">
      <alignment horizontal="left" vertical="top" indent="1"/>
    </xf>
    <xf numFmtId="0" fontId="7" fillId="24" borderId="116" applyNumberFormat="0" applyFont="0" applyAlignment="0" applyProtection="0"/>
    <xf numFmtId="4" fontId="31" fillId="3" borderId="103" applyNumberFormat="0" applyProtection="0">
      <alignment horizontal="right" vertical="center"/>
    </xf>
    <xf numFmtId="4" fontId="31" fillId="8" borderId="103" applyNumberFormat="0" applyProtection="0">
      <alignment horizontal="right" vertical="center"/>
    </xf>
    <xf numFmtId="4" fontId="31" fillId="17" borderId="103" applyNumberFormat="0" applyProtection="0">
      <alignment horizontal="right" vertical="center"/>
    </xf>
    <xf numFmtId="4" fontId="31" fillId="11" borderId="103" applyNumberFormat="0" applyProtection="0">
      <alignment horizontal="right" vertical="center"/>
    </xf>
    <xf numFmtId="4" fontId="31" fillId="15" borderId="103" applyNumberFormat="0" applyProtection="0">
      <alignment horizontal="right" vertical="center"/>
    </xf>
    <xf numFmtId="4" fontId="31" fillId="19" borderId="103" applyNumberFormat="0" applyProtection="0">
      <alignment horizontal="right" vertical="center"/>
    </xf>
    <xf numFmtId="4" fontId="31" fillId="18" borderId="103" applyNumberFormat="0" applyProtection="0">
      <alignment horizontal="right" vertical="center"/>
    </xf>
    <xf numFmtId="4" fontId="31" fillId="39" borderId="103" applyNumberFormat="0" applyProtection="0">
      <alignment horizontal="right" vertical="center"/>
    </xf>
    <xf numFmtId="4" fontId="31" fillId="9" borderId="103" applyNumberFormat="0" applyProtection="0">
      <alignment horizontal="right" vertical="center"/>
    </xf>
    <xf numFmtId="0" fontId="7" fillId="0" borderId="117" applyNumberFormat="0" applyFont="0" applyFill="0" applyAlignment="0" applyProtection="0"/>
    <xf numFmtId="0" fontId="7" fillId="0" borderId="117" applyNumberFormat="0" applyFont="0" applyFill="0" applyAlignment="0" applyProtection="0"/>
    <xf numFmtId="0" fontId="7" fillId="0" borderId="119"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4" fontId="31" fillId="43" borderId="103" applyNumberFormat="0" applyProtection="0">
      <alignment horizontal="righ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top" indent="1"/>
    </xf>
    <xf numFmtId="0" fontId="7" fillId="45" borderId="103" applyNumberFormat="0" applyProtection="0">
      <alignment horizontal="left" vertical="top" indent="1"/>
    </xf>
    <xf numFmtId="0" fontId="7" fillId="45" borderId="103" applyNumberFormat="0" applyProtection="0">
      <alignment horizontal="left" vertical="top" indent="1"/>
    </xf>
    <xf numFmtId="4" fontId="31" fillId="22" borderId="103" applyNumberFormat="0" applyProtection="0">
      <alignment vertical="center"/>
    </xf>
    <xf numFmtId="4" fontId="102" fillId="22" borderId="103" applyNumberFormat="0" applyProtection="0">
      <alignment vertical="center"/>
    </xf>
    <xf numFmtId="4" fontId="31" fillId="22" borderId="103" applyNumberFormat="0" applyProtection="0">
      <alignment horizontal="left" vertical="center" indent="1"/>
    </xf>
    <xf numFmtId="0" fontId="31" fillId="22" borderId="103" applyNumberFormat="0" applyProtection="0">
      <alignment horizontal="left" vertical="top" indent="1"/>
    </xf>
    <xf numFmtId="4" fontId="31" fillId="41" borderId="103" applyNumberFormat="0" applyProtection="0">
      <alignment horizontal="right" vertical="center"/>
    </xf>
    <xf numFmtId="4" fontId="102" fillId="41" borderId="103" applyNumberFormat="0" applyProtection="0">
      <alignment horizontal="right" vertical="center"/>
    </xf>
    <xf numFmtId="4" fontId="31" fillId="43" borderId="103" applyNumberFormat="0" applyProtection="0">
      <alignment horizontal="left" vertical="center" indent="1"/>
    </xf>
    <xf numFmtId="0" fontId="31" fillId="38" borderId="103" applyNumberFormat="0" applyProtection="0">
      <alignment horizontal="left" vertical="top" indent="1"/>
    </xf>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4" fontId="104" fillId="41" borderId="103" applyNumberFormat="0" applyProtection="0">
      <alignment horizontal="right" vertical="center"/>
    </xf>
    <xf numFmtId="0" fontId="7" fillId="0" borderId="122"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1" applyNumberFormat="0" applyFont="0" applyFill="0" applyAlignment="0" applyProtection="0"/>
    <xf numFmtId="0" fontId="7" fillId="24" borderId="116" applyNumberFormat="0" applyFont="0" applyAlignment="0" applyProtection="0"/>
    <xf numFmtId="0" fontId="13" fillId="20" borderId="115" applyNumberFormat="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8" fillId="7" borderId="115" applyNumberFormat="0" applyAlignment="0" applyProtection="0"/>
    <xf numFmtId="0" fontId="7" fillId="24" borderId="116" applyNumberFormat="0" applyFont="0" applyAlignment="0" applyProtection="0"/>
    <xf numFmtId="0" fontId="7" fillId="0" borderId="120" applyNumberFormat="0" applyFont="0" applyFill="0" applyAlignment="0" applyProtection="0"/>
    <xf numFmtId="0" fontId="78" fillId="7" borderId="115" applyNumberFormat="0" applyAlignment="0" applyProtection="0"/>
    <xf numFmtId="0" fontId="7" fillId="0" borderId="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9" applyNumberFormat="0" applyFont="0" applyFill="0" applyAlignment="0" applyProtection="0"/>
    <xf numFmtId="0" fontId="7" fillId="0" borderId="116" applyNumberFormat="0" applyFont="0" applyFill="0" applyAlignment="0" applyProtection="0"/>
    <xf numFmtId="0" fontId="7" fillId="0" borderId="120" applyNumberFormat="0" applyFont="0" applyFill="0" applyAlignment="0" applyProtection="0"/>
    <xf numFmtId="0" fontId="7" fillId="24" borderId="116" applyNumberFormat="0" applyFont="0" applyAlignment="0" applyProtection="0"/>
    <xf numFmtId="0" fontId="78" fillId="7" borderId="115" applyNumberFormat="0" applyAlignment="0" applyProtection="0"/>
    <xf numFmtId="0" fontId="7" fillId="0" borderId="117" applyNumberFormat="0" applyFont="0" applyFill="0" applyAlignment="0" applyProtection="0"/>
    <xf numFmtId="0" fontId="7" fillId="0" borderId="119" applyNumberFormat="0" applyFont="0" applyFill="0" applyAlignment="0" applyProtection="0"/>
    <xf numFmtId="0" fontId="7" fillId="0" borderId="117"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9"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7" fillId="24" borderId="116" applyNumberFormat="0" applyFont="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185" fontId="1" fillId="0" borderId="0" applyFont="0" applyFill="0" applyBorder="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33" fillId="37" borderId="103" applyNumberFormat="0" applyProtection="0">
      <alignment horizontal="left" vertical="top" indent="1"/>
    </xf>
    <xf numFmtId="4" fontId="31" fillId="15" borderId="103" applyNumberFormat="0" applyProtection="0">
      <alignment horizontal="right" vertical="center"/>
    </xf>
    <xf numFmtId="4" fontId="31" fillId="9" borderId="103" applyNumberFormat="0" applyProtection="0">
      <alignment horizontal="right" vertical="center"/>
    </xf>
    <xf numFmtId="0" fontId="7" fillId="0" borderId="117" applyNumberFormat="0" applyFont="0" applyFill="0" applyAlignment="0" applyProtection="0"/>
    <xf numFmtId="4" fontId="31" fillId="43" borderId="103" applyNumberFormat="0" applyProtection="0">
      <alignment horizontal="right" vertical="center"/>
    </xf>
    <xf numFmtId="0" fontId="7" fillId="24" borderId="116" applyNumberFormat="0" applyFont="0" applyAlignment="0" applyProtection="0"/>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top" indent="1"/>
    </xf>
    <xf numFmtId="0" fontId="7" fillId="44"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top" indent="1"/>
    </xf>
    <xf numFmtId="4" fontId="31" fillId="22" borderId="103" applyNumberFormat="0" applyProtection="0">
      <alignment horizontal="left" vertical="center" indent="1"/>
    </xf>
    <xf numFmtId="4" fontId="31" fillId="43" borderId="103" applyNumberFormat="0" applyProtection="0">
      <alignment horizontal="left" vertical="center" indent="1"/>
    </xf>
    <xf numFmtId="0" fontId="7" fillId="0" borderId="120"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13" fillId="20" borderId="115" applyNumberFormat="0" applyAlignment="0" applyProtection="0"/>
    <xf numFmtId="0" fontId="7" fillId="0" borderId="122"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44" fontId="1" fillId="0" borderId="0" applyFont="0" applyFill="0" applyBorder="0" applyAlignment="0" applyProtection="0"/>
    <xf numFmtId="0" fontId="10" fillId="24" borderId="116" applyNumberFormat="0" applyFont="0" applyAlignment="0" applyProtection="0"/>
    <xf numFmtId="0" fontId="10"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16"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44" fontId="1" fillId="0" borderId="0" applyFont="0" applyFill="0" applyBorder="0" applyAlignment="0" applyProtection="0"/>
    <xf numFmtId="0" fontId="1" fillId="0" borderId="0"/>
    <xf numFmtId="0" fontId="7" fillId="24" borderId="116" applyNumberFormat="0" applyFont="0" applyAlignment="0" applyProtection="0"/>
    <xf numFmtId="0" fontId="86" fillId="0" borderId="112">
      <alignment horizontal="left" vertical="center"/>
    </xf>
    <xf numFmtId="0" fontId="7" fillId="0" borderId="120"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8" fillId="7" borderId="115" applyNumberForma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0" borderId="116" applyNumberFormat="0" applyFont="0" applyFill="0" applyAlignment="0" applyProtection="0"/>
    <xf numFmtId="0" fontId="79" fillId="20" borderId="108" applyNumberFormat="0" applyAlignment="0" applyProtection="0"/>
    <xf numFmtId="0" fontId="13" fillId="20" borderId="115" applyNumberFormat="0" applyAlignment="0" applyProtection="0"/>
    <xf numFmtId="0" fontId="13" fillId="20" borderId="115" applyNumberFormat="0" applyAlignment="0" applyProtection="0"/>
    <xf numFmtId="0" fontId="79" fillId="20" borderId="108" applyNumberFormat="0" applyAlignment="0" applyProtection="0"/>
    <xf numFmtId="0" fontId="7" fillId="0" borderId="122" applyNumberFormat="0" applyFont="0" applyFill="0" applyAlignment="0" applyProtection="0"/>
    <xf numFmtId="0" fontId="78" fillId="7" borderId="115" applyNumberForma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9" fillId="20" borderId="108" applyNumberFormat="0" applyAlignment="0" applyProtection="0"/>
    <xf numFmtId="0" fontId="79" fillId="20" borderId="108"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0" borderId="117" applyNumberFormat="0" applyFont="0" applyFill="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10" fontId="44" fillId="22" borderId="49" applyNumberFormat="0" applyBorder="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10" fontId="44" fillId="22" borderId="49" applyNumberFormat="0" applyBorder="0" applyAlignment="0" applyProtection="0"/>
    <xf numFmtId="0" fontId="78" fillId="7" borderId="115" applyNumberFormat="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9" fillId="20" borderId="108" applyNumberFormat="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9" fillId="20" borderId="108" applyNumberFormat="0" applyAlignment="0" applyProtection="0"/>
    <xf numFmtId="0" fontId="79" fillId="20" borderId="108" applyNumberFormat="0" applyAlignment="0" applyProtection="0"/>
    <xf numFmtId="0" fontId="78" fillId="7" borderId="115" applyNumberForma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10" fontId="44" fillId="22" borderId="49" applyNumberFormat="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10" fontId="44" fillId="22" borderId="113" applyNumberFormat="0" applyBorder="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10" fontId="44" fillId="22" borderId="49" applyNumberFormat="0" applyBorder="0" applyAlignment="0" applyProtection="0"/>
    <xf numFmtId="10" fontId="44" fillId="22" borderId="49" applyNumberFormat="0" applyBorder="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0"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0"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10" fillId="24" borderId="116" applyNumberFormat="0" applyFont="0" applyAlignment="0" applyProtection="0"/>
    <xf numFmtId="0" fontId="86" fillId="0" borderId="112">
      <alignment horizontal="left" vertical="center"/>
    </xf>
    <xf numFmtId="0" fontId="86" fillId="0" borderId="112">
      <alignment horizontal="left" vertical="center"/>
    </xf>
    <xf numFmtId="0" fontId="7" fillId="0" borderId="102" applyNumberFormat="0" applyFont="0" applyFill="0" applyAlignment="0" applyProtection="0"/>
    <xf numFmtId="0" fontId="7" fillId="0" borderId="102" applyNumberFormat="0" applyFont="0" applyFill="0" applyAlignment="0" applyProtection="0"/>
    <xf numFmtId="0" fontId="7" fillId="24" borderId="116" applyNumberFormat="0" applyFont="0" applyAlignment="0" applyProtection="0"/>
    <xf numFmtId="4" fontId="33" fillId="23" borderId="103" applyNumberFormat="0" applyProtection="0">
      <alignment vertical="center"/>
    </xf>
    <xf numFmtId="4" fontId="100" fillId="37" borderId="103" applyNumberFormat="0" applyProtection="0">
      <alignment vertical="center"/>
    </xf>
    <xf numFmtId="4" fontId="33" fillId="37" borderId="103" applyNumberFormat="0" applyProtection="0">
      <alignment horizontal="left" vertical="center" indent="1"/>
    </xf>
    <xf numFmtId="0" fontId="33" fillId="37" borderId="103" applyNumberFormat="0" applyProtection="0">
      <alignment horizontal="left" vertical="top" indent="1"/>
    </xf>
    <xf numFmtId="0" fontId="7" fillId="24" borderId="116" applyNumberFormat="0" applyFont="0" applyAlignment="0" applyProtection="0"/>
    <xf numFmtId="4" fontId="31" fillId="3" borderId="103" applyNumberFormat="0" applyProtection="0">
      <alignment horizontal="right" vertical="center"/>
    </xf>
    <xf numFmtId="4" fontId="31" fillId="8" borderId="103" applyNumberFormat="0" applyProtection="0">
      <alignment horizontal="right" vertical="center"/>
    </xf>
    <xf numFmtId="4" fontId="31" fillId="17" borderId="103" applyNumberFormat="0" applyProtection="0">
      <alignment horizontal="right" vertical="center"/>
    </xf>
    <xf numFmtId="4" fontId="31" fillId="11" borderId="103" applyNumberFormat="0" applyProtection="0">
      <alignment horizontal="right" vertical="center"/>
    </xf>
    <xf numFmtId="4" fontId="31" fillId="15" borderId="103" applyNumberFormat="0" applyProtection="0">
      <alignment horizontal="right" vertical="center"/>
    </xf>
    <xf numFmtId="4" fontId="31" fillId="19" borderId="103" applyNumberFormat="0" applyProtection="0">
      <alignment horizontal="right" vertical="center"/>
    </xf>
    <xf numFmtId="4" fontId="31" fillId="18" borderId="103" applyNumberFormat="0" applyProtection="0">
      <alignment horizontal="right" vertical="center"/>
    </xf>
    <xf numFmtId="4" fontId="31" fillId="39" borderId="103" applyNumberFormat="0" applyProtection="0">
      <alignment horizontal="right" vertical="center"/>
    </xf>
    <xf numFmtId="4" fontId="31" fillId="9" borderId="103" applyNumberFormat="0" applyProtection="0">
      <alignment horizontal="righ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4" fontId="31" fillId="43" borderId="103" applyNumberFormat="0" applyProtection="0">
      <alignment horizontal="righ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top" indent="1"/>
    </xf>
    <xf numFmtId="0" fontId="7" fillId="45" borderId="103" applyNumberFormat="0" applyProtection="0">
      <alignment horizontal="left" vertical="top" indent="1"/>
    </xf>
    <xf numFmtId="0" fontId="7" fillId="45" borderId="103" applyNumberFormat="0" applyProtection="0">
      <alignment horizontal="left" vertical="top" indent="1"/>
    </xf>
    <xf numFmtId="4" fontId="31" fillId="22" borderId="103" applyNumberFormat="0" applyProtection="0">
      <alignment vertical="center"/>
    </xf>
    <xf numFmtId="4" fontId="102" fillId="22" borderId="103" applyNumberFormat="0" applyProtection="0">
      <alignment vertical="center"/>
    </xf>
    <xf numFmtId="4" fontId="31" fillId="22" borderId="103" applyNumberFormat="0" applyProtection="0">
      <alignment horizontal="left" vertical="center" indent="1"/>
    </xf>
    <xf numFmtId="0" fontId="31" fillId="22" borderId="103" applyNumberFormat="0" applyProtection="0">
      <alignment horizontal="left" vertical="top" indent="1"/>
    </xf>
    <xf numFmtId="4" fontId="31" fillId="41" borderId="103" applyNumberFormat="0" applyProtection="0">
      <alignment horizontal="right" vertical="center"/>
    </xf>
    <xf numFmtId="4" fontId="102" fillId="41" borderId="103" applyNumberFormat="0" applyProtection="0">
      <alignment horizontal="right" vertical="center"/>
    </xf>
    <xf numFmtId="4" fontId="31" fillId="43" borderId="103" applyNumberFormat="0" applyProtection="0">
      <alignment horizontal="left" vertical="center" indent="1"/>
    </xf>
    <xf numFmtId="0" fontId="31" fillId="38" borderId="103" applyNumberFormat="0" applyProtection="0">
      <alignment horizontal="left" vertical="top" indent="1"/>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4" fontId="104" fillId="41" borderId="103" applyNumberFormat="0" applyProtection="0">
      <alignment horizontal="right" vertical="center"/>
    </xf>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9" fillId="20" borderId="108" applyNumberFormat="0" applyAlignment="0" applyProtection="0"/>
    <xf numFmtId="0" fontId="13" fillId="20" borderId="115" applyNumberFormat="0" applyAlignment="0" applyProtection="0"/>
    <xf numFmtId="0" fontId="13" fillId="20" borderId="115" applyNumberFormat="0" applyAlignment="0" applyProtection="0"/>
    <xf numFmtId="0" fontId="79" fillId="20" borderId="108" applyNumberFormat="0" applyAlignment="0" applyProtection="0"/>
    <xf numFmtId="0" fontId="79" fillId="20" borderId="108" applyNumberFormat="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16" applyNumberFormat="0" applyFont="0" applyFill="0" applyAlignment="0" applyProtection="0"/>
    <xf numFmtId="0" fontId="7" fillId="0" borderId="117" applyNumberFormat="0" applyFont="0" applyFill="0" applyAlignment="0" applyProtection="0"/>
    <xf numFmtId="0" fontId="78" fillId="7" borderId="115" applyNumberFormat="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24" borderId="116" applyNumberFormat="0" applyFont="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8" fillId="7" borderId="115" applyNumberFormat="0" applyAlignment="0" applyProtection="0"/>
    <xf numFmtId="0" fontId="7" fillId="24" borderId="116" applyNumberFormat="0" applyFont="0" applyAlignment="0" applyProtection="0"/>
    <xf numFmtId="10" fontId="44" fillId="22" borderId="49" applyNumberFormat="0" applyBorder="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7" fillId="24" borderId="116" applyNumberFormat="0" applyFont="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7" fillId="24" borderId="116" applyNumberFormat="0" applyFont="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0" borderId="121"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9" fillId="20" borderId="108" applyNumberFormat="0" applyAlignment="0" applyProtection="0"/>
    <xf numFmtId="0" fontId="78" fillId="7" borderId="115" applyNumberFormat="0" applyAlignment="0" applyProtection="0"/>
    <xf numFmtId="0" fontId="78" fillId="7" borderId="115" applyNumberFormat="0" applyAlignment="0" applyProtection="0"/>
    <xf numFmtId="0" fontId="7" fillId="0" borderId="120"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112" fillId="50" borderId="111" applyNumberFormat="0" applyAlignment="0" applyProtection="0"/>
    <xf numFmtId="0" fontId="7" fillId="24" borderId="116" applyNumberFormat="0" applyFont="0" applyAlignment="0" applyProtection="0"/>
    <xf numFmtId="185" fontId="1" fillId="0" borderId="0" applyFont="0" applyFill="0" applyBorder="0" applyAlignment="0" applyProtection="0"/>
    <xf numFmtId="0" fontId="10" fillId="24" borderId="116" applyNumberFormat="0" applyFont="0" applyAlignment="0" applyProtection="0"/>
    <xf numFmtId="0" fontId="10" fillId="24" borderId="116" applyNumberFormat="0" applyFont="0" applyAlignment="0" applyProtection="0"/>
    <xf numFmtId="0" fontId="86" fillId="0" borderId="112">
      <alignment horizontal="left" vertical="center"/>
    </xf>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18"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21" fillId="0" borderId="107" applyNumberForma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7" fillId="24" borderId="116" applyNumberFormat="0" applyFont="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79" fillId="20" borderId="108" applyNumberFormat="0" applyAlignment="0" applyProtection="0"/>
    <xf numFmtId="0" fontId="79" fillId="20" borderId="108"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9" fillId="20" borderId="108" applyNumberFormat="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24" borderId="116" applyNumberFormat="0" applyFont="0" applyAlignment="0" applyProtection="0"/>
    <xf numFmtId="44" fontId="1" fillId="0" borderId="0" applyFont="0" applyFill="0" applyBorder="0" applyAlignment="0" applyProtection="0"/>
    <xf numFmtId="0" fontId="10" fillId="24" borderId="116" applyNumberFormat="0" applyFont="0" applyAlignment="0" applyProtection="0"/>
    <xf numFmtId="0" fontId="86" fillId="0" borderId="112">
      <alignment horizontal="left" vertical="center"/>
    </xf>
    <xf numFmtId="0" fontId="7" fillId="24" borderId="116" applyNumberFormat="0" applyFont="0" applyAlignment="0" applyProtection="0"/>
    <xf numFmtId="0" fontId="86" fillId="0" borderId="112">
      <alignment horizontal="left" vertical="center"/>
    </xf>
    <xf numFmtId="0" fontId="86" fillId="0" borderId="46">
      <alignment horizontal="left" vertical="center"/>
    </xf>
    <xf numFmtId="0" fontId="78" fillId="7" borderId="115" applyNumberFormat="0" applyAlignment="0" applyProtection="0"/>
    <xf numFmtId="0" fontId="86" fillId="0" borderId="112">
      <alignment horizontal="left" vertical="center"/>
    </xf>
    <xf numFmtId="0" fontId="112" fillId="50" borderId="111" applyNumberFormat="0" applyAlignment="0" applyProtection="0"/>
    <xf numFmtId="0" fontId="79" fillId="20" borderId="108" applyNumberFormat="0" applyAlignment="0" applyProtection="0"/>
    <xf numFmtId="185" fontId="1" fillId="0" borderId="0" applyFont="0" applyFill="0" applyBorder="0" applyAlignment="0" applyProtection="0"/>
    <xf numFmtId="0" fontId="7" fillId="24" borderId="116" applyNumberFormat="0" applyFont="0" applyAlignment="0" applyProtection="0"/>
    <xf numFmtId="0" fontId="79" fillId="20" borderId="108" applyNumberFormat="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7" applyNumberFormat="0" applyFont="0" applyFill="0" applyAlignment="0" applyProtection="0"/>
    <xf numFmtId="0" fontId="7" fillId="0" borderId="118"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21"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13" fillId="20" borderId="115" applyNumberFormat="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9" fillId="20" borderId="108" applyNumberFormat="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9" fillId="20" borderId="108"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112">
      <alignment horizontal="left" vertical="center"/>
    </xf>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10"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0"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0" borderId="102" applyNumberFormat="0" applyFont="0" applyFill="0" applyAlignment="0" applyProtection="0"/>
    <xf numFmtId="0" fontId="7" fillId="0" borderId="102" applyNumberFormat="0" applyFont="0" applyFill="0" applyAlignment="0" applyProtection="0"/>
    <xf numFmtId="0" fontId="7" fillId="24" borderId="116" applyNumberFormat="0" applyFont="0" applyAlignment="0" applyProtection="0"/>
    <xf numFmtId="4" fontId="33" fillId="23" borderId="103" applyNumberFormat="0" applyProtection="0">
      <alignment vertical="center"/>
    </xf>
    <xf numFmtId="4" fontId="100" fillId="37" borderId="103" applyNumberFormat="0" applyProtection="0">
      <alignment vertical="center"/>
    </xf>
    <xf numFmtId="4" fontId="33" fillId="37" borderId="103" applyNumberFormat="0" applyProtection="0">
      <alignment horizontal="left" vertical="center" indent="1"/>
    </xf>
    <xf numFmtId="0" fontId="33" fillId="37" borderId="103" applyNumberFormat="0" applyProtection="0">
      <alignment horizontal="left" vertical="top" indent="1"/>
    </xf>
    <xf numFmtId="0" fontId="13" fillId="20" borderId="115" applyNumberFormat="0" applyAlignment="0" applyProtection="0"/>
    <xf numFmtId="4" fontId="31" fillId="3" borderId="103" applyNumberFormat="0" applyProtection="0">
      <alignment horizontal="right" vertical="center"/>
    </xf>
    <xf numFmtId="4" fontId="31" fillId="8" borderId="103" applyNumberFormat="0" applyProtection="0">
      <alignment horizontal="right" vertical="center"/>
    </xf>
    <xf numFmtId="4" fontId="31" fillId="17" borderId="103" applyNumberFormat="0" applyProtection="0">
      <alignment horizontal="right" vertical="center"/>
    </xf>
    <xf numFmtId="4" fontId="31" fillId="11" borderId="103" applyNumberFormat="0" applyProtection="0">
      <alignment horizontal="right" vertical="center"/>
    </xf>
    <xf numFmtId="4" fontId="31" fillId="15" borderId="103" applyNumberFormat="0" applyProtection="0">
      <alignment horizontal="right" vertical="center"/>
    </xf>
    <xf numFmtId="4" fontId="31" fillId="19" borderId="103" applyNumberFormat="0" applyProtection="0">
      <alignment horizontal="right" vertical="center"/>
    </xf>
    <xf numFmtId="4" fontId="31" fillId="18" borderId="103" applyNumberFormat="0" applyProtection="0">
      <alignment horizontal="right" vertical="center"/>
    </xf>
    <xf numFmtId="4" fontId="31" fillId="39" borderId="103" applyNumberFormat="0" applyProtection="0">
      <alignment horizontal="right" vertical="center"/>
    </xf>
    <xf numFmtId="4" fontId="31" fillId="9" borderId="103" applyNumberFormat="0" applyProtection="0">
      <alignment horizontal="right" vertical="center"/>
    </xf>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4" fontId="31" fillId="43" borderId="103" applyNumberFormat="0" applyProtection="0">
      <alignment horizontal="right" vertical="center"/>
    </xf>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top" indent="1"/>
    </xf>
    <xf numFmtId="0" fontId="7" fillId="45" borderId="103" applyNumberFormat="0" applyProtection="0">
      <alignment horizontal="left" vertical="top" indent="1"/>
    </xf>
    <xf numFmtId="0" fontId="7" fillId="45" borderId="103" applyNumberFormat="0" applyProtection="0">
      <alignment horizontal="left" vertical="top" indent="1"/>
    </xf>
    <xf numFmtId="4" fontId="31" fillId="22" borderId="103" applyNumberFormat="0" applyProtection="0">
      <alignment vertical="center"/>
    </xf>
    <xf numFmtId="4" fontId="102" fillId="22" borderId="103" applyNumberFormat="0" applyProtection="0">
      <alignment vertical="center"/>
    </xf>
    <xf numFmtId="4" fontId="31" fillId="22" borderId="103" applyNumberFormat="0" applyProtection="0">
      <alignment horizontal="left" vertical="center" indent="1"/>
    </xf>
    <xf numFmtId="0" fontId="31" fillId="22" borderId="103" applyNumberFormat="0" applyProtection="0">
      <alignment horizontal="left" vertical="top" indent="1"/>
    </xf>
    <xf numFmtId="4" fontId="31" fillId="41" borderId="103" applyNumberFormat="0" applyProtection="0">
      <alignment horizontal="right" vertical="center"/>
    </xf>
    <xf numFmtId="4" fontId="102" fillId="41" borderId="103" applyNumberFormat="0" applyProtection="0">
      <alignment horizontal="right" vertical="center"/>
    </xf>
    <xf numFmtId="4" fontId="31" fillId="43" borderId="103" applyNumberFormat="0" applyProtection="0">
      <alignment horizontal="left" vertical="center" indent="1"/>
    </xf>
    <xf numFmtId="0" fontId="31" fillId="38" borderId="103" applyNumberFormat="0" applyProtection="0">
      <alignment horizontal="left" vertical="top" indent="1"/>
    </xf>
    <xf numFmtId="0" fontId="7" fillId="24" borderId="116" applyNumberFormat="0" applyFont="0" applyAlignment="0" applyProtection="0"/>
    <xf numFmtId="0" fontId="7" fillId="24" borderId="116" applyNumberFormat="0" applyFont="0" applyAlignment="0" applyProtection="0"/>
    <xf numFmtId="4" fontId="104" fillId="41" borderId="103" applyNumberFormat="0" applyProtection="0">
      <alignment horizontal="right" vertical="center"/>
    </xf>
    <xf numFmtId="0" fontId="7" fillId="24" borderId="116" applyNumberFormat="0" applyFont="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21" applyNumberFormat="0" applyFont="0" applyFill="0" applyAlignment="0" applyProtection="0"/>
    <xf numFmtId="0" fontId="78" fillId="7" borderId="115" applyNumberFormat="0" applyAlignment="0" applyProtection="0"/>
    <xf numFmtId="0" fontId="7" fillId="0" borderId="117"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21"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02" applyNumberFormat="0" applyFont="0" applyFill="0" applyAlignment="0" applyProtection="0"/>
    <xf numFmtId="0" fontId="7" fillId="24" borderId="116" applyNumberFormat="0" applyFont="0" applyAlignment="0" applyProtection="0"/>
    <xf numFmtId="4" fontId="31" fillId="17" borderId="103" applyNumberFormat="0" applyProtection="0">
      <alignment horizontal="right" vertical="center"/>
    </xf>
    <xf numFmtId="0" fontId="7" fillId="42" borderId="103" applyNumberFormat="0" applyProtection="0">
      <alignment horizontal="left" vertical="center" indent="1"/>
    </xf>
    <xf numFmtId="0" fontId="86" fillId="0" borderId="46">
      <alignment horizontal="left" vertical="center"/>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38" borderId="103" applyNumberFormat="0" applyProtection="0">
      <alignment horizontal="left" vertical="center"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44" borderId="103" applyNumberFormat="0" applyProtection="0">
      <alignment horizontal="left" vertical="center"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5" borderId="103" applyNumberFormat="0" applyProtection="0">
      <alignment horizontal="left" vertical="center" indent="1"/>
    </xf>
    <xf numFmtId="0" fontId="7" fillId="45" borderId="103" applyNumberFormat="0" applyProtection="0">
      <alignment horizontal="left" vertical="top" indent="1"/>
    </xf>
    <xf numFmtId="0" fontId="7" fillId="45" borderId="103" applyNumberFormat="0" applyProtection="0">
      <alignment horizontal="left" vertical="top" indent="1"/>
    </xf>
    <xf numFmtId="4" fontId="102" fillId="22" borderId="103" applyNumberFormat="0" applyProtection="0">
      <alignment vertical="center"/>
    </xf>
    <xf numFmtId="0" fontId="31" fillId="22" borderId="103" applyNumberFormat="0" applyProtection="0">
      <alignment horizontal="left" vertical="top" indent="1"/>
    </xf>
    <xf numFmtId="4" fontId="102" fillId="41" borderId="103" applyNumberFormat="0" applyProtection="0">
      <alignment horizontal="right" vertical="center"/>
    </xf>
    <xf numFmtId="0" fontId="31" fillId="38" borderId="103" applyNumberFormat="0" applyProtection="0">
      <alignment horizontal="left" vertical="top" indent="1"/>
    </xf>
    <xf numFmtId="0" fontId="7" fillId="0" borderId="120" applyNumberFormat="0" applyFont="0" applyFill="0" applyAlignment="0" applyProtection="0"/>
    <xf numFmtId="4" fontId="104" fillId="41" borderId="103" applyNumberFormat="0" applyProtection="0">
      <alignment horizontal="right" vertical="center"/>
    </xf>
    <xf numFmtId="0" fontId="7" fillId="0" borderId="123" applyNumberFormat="0" applyFont="0" applyFill="0" applyAlignment="0" applyProtection="0"/>
    <xf numFmtId="0" fontId="78" fillId="7" borderId="115" applyNumberForma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8" fillId="7" borderId="115" applyNumberFormat="0" applyAlignment="0" applyProtection="0"/>
    <xf numFmtId="10" fontId="44" fillId="22" borderId="49" applyNumberFormat="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7" fillId="24" borderId="116" applyNumberFormat="0" applyFont="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7" fillId="24" borderId="116" applyNumberFormat="0" applyFont="0" applyAlignment="0" applyProtection="0"/>
    <xf numFmtId="0" fontId="21" fillId="0" borderId="107" applyNumberFormat="0" applyFill="0" applyAlignment="0" applyProtection="0"/>
    <xf numFmtId="0" fontId="21" fillId="0" borderId="107" applyNumberFormat="0" applyFill="0" applyAlignment="0" applyProtection="0"/>
    <xf numFmtId="0" fontId="7" fillId="0" borderId="121" applyNumberFormat="0" applyFont="0" applyFill="0" applyAlignment="0" applyProtection="0"/>
    <xf numFmtId="0" fontId="79" fillId="20" borderId="108" applyNumberFormat="0" applyAlignment="0" applyProtection="0"/>
    <xf numFmtId="0" fontId="79" fillId="20" borderId="108" applyNumberFormat="0" applyAlignment="0" applyProtection="0"/>
    <xf numFmtId="0" fontId="13" fillId="20" borderId="115" applyNumberFormat="0" applyAlignment="0" applyProtection="0"/>
    <xf numFmtId="0" fontId="13" fillId="20" borderId="115"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0" borderId="116" applyNumberFormat="0" applyFont="0" applyFill="0" applyAlignment="0" applyProtection="0"/>
    <xf numFmtId="0" fontId="79" fillId="20" borderId="108" applyNumberFormat="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9" fillId="20" borderId="108" applyNumberFormat="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1" fillId="0" borderId="0"/>
    <xf numFmtId="0" fontId="10" fillId="24" borderId="116" applyNumberFormat="0" applyFont="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10" fillId="24" borderId="116" applyNumberFormat="0" applyFont="0" applyAlignment="0" applyProtection="0"/>
    <xf numFmtId="44" fontId="1" fillId="0" borderId="0" applyFont="0" applyFill="0" applyBorder="0" applyAlignment="0" applyProtection="0"/>
    <xf numFmtId="0" fontId="1" fillId="0" borderId="0"/>
    <xf numFmtId="0" fontId="10" fillId="24" borderId="116" applyNumberFormat="0" applyFont="0" applyAlignment="0" applyProtection="0"/>
    <xf numFmtId="0" fontId="10"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1" applyNumberFormat="0" applyFont="0" applyFill="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13" fillId="20" borderId="115" applyNumberFormat="0" applyAlignment="0" applyProtection="0"/>
    <xf numFmtId="0" fontId="78" fillId="7" borderId="115" applyNumberFormat="0" applyAlignment="0" applyProtection="0"/>
    <xf numFmtId="0" fontId="79" fillId="20" borderId="108" applyNumberFormat="0" applyAlignment="0" applyProtection="0"/>
    <xf numFmtId="0" fontId="13" fillId="20" borderId="115" applyNumberFormat="0" applyAlignment="0" applyProtection="0"/>
    <xf numFmtId="0" fontId="7" fillId="0" borderId="116"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4" fontId="33" fillId="23" borderId="103" applyNumberFormat="0" applyProtection="0">
      <alignment vertical="center"/>
    </xf>
    <xf numFmtId="0" fontId="79" fillId="20" borderId="108" applyNumberFormat="0" applyAlignment="0" applyProtection="0"/>
    <xf numFmtId="0" fontId="7" fillId="24" borderId="116" applyNumberFormat="0" applyFont="0" applyAlignment="0" applyProtection="0"/>
    <xf numFmtId="0" fontId="13" fillId="20" borderId="115" applyNumberFormat="0" applyAlignment="0" applyProtection="0"/>
    <xf numFmtId="0" fontId="7" fillId="0" borderId="121" applyNumberFormat="0" applyFont="0" applyFill="0" applyAlignment="0" applyProtection="0"/>
    <xf numFmtId="0" fontId="7" fillId="0" borderId="119"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13" fillId="20" borderId="115" applyNumberForma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86" fillId="0" borderId="46">
      <alignment horizontal="left" vertical="center"/>
    </xf>
    <xf numFmtId="0" fontId="7" fillId="24" borderId="116" applyNumberFormat="0" applyFont="0" applyAlignment="0" applyProtection="0"/>
    <xf numFmtId="0" fontId="7" fillId="0" borderId="123"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185" fontId="1" fillId="0" borderId="0" applyFont="0" applyFill="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22" applyNumberFormat="0" applyFont="0" applyFill="0" applyAlignment="0" applyProtection="0"/>
    <xf numFmtId="0" fontId="7" fillId="0" borderId="120"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19" applyNumberFormat="0" applyFont="0" applyFill="0" applyAlignment="0" applyProtection="0"/>
    <xf numFmtId="0" fontId="79" fillId="20" borderId="108" applyNumberFormat="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10" fontId="44" fillId="22" borderId="49" applyNumberFormat="0" applyBorder="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12" fillId="50" borderId="111" applyNumberFormat="0" applyAlignment="0" applyProtection="0"/>
    <xf numFmtId="0" fontId="7" fillId="24" borderId="116" applyNumberFormat="0" applyFont="0" applyAlignment="0" applyProtection="0"/>
    <xf numFmtId="185" fontId="1" fillId="0" borderId="0" applyFont="0" applyFill="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4" fontId="31" fillId="39" borderId="103" applyNumberFormat="0" applyProtection="0">
      <alignment horizontal="right" vertical="center"/>
    </xf>
    <xf numFmtId="4" fontId="31" fillId="19" borderId="103" applyNumberFormat="0" applyProtection="0">
      <alignment horizontal="right" vertical="center"/>
    </xf>
    <xf numFmtId="4" fontId="31" fillId="11" borderId="103" applyNumberFormat="0" applyProtection="0">
      <alignment horizontal="right" vertical="center"/>
    </xf>
    <xf numFmtId="4" fontId="31" fillId="8" borderId="103" applyNumberFormat="0" applyProtection="0">
      <alignment horizontal="right" vertical="center"/>
    </xf>
    <xf numFmtId="0" fontId="7" fillId="24" borderId="116" applyNumberFormat="0" applyFont="0" applyAlignment="0" applyProtection="0"/>
    <xf numFmtId="4" fontId="33" fillId="37" borderId="103" applyNumberFormat="0" applyProtection="0">
      <alignment horizontal="left" vertical="center" indent="1"/>
    </xf>
    <xf numFmtId="4" fontId="33" fillId="23" borderId="103" applyNumberFormat="0" applyProtection="0">
      <alignment vertical="center"/>
    </xf>
    <xf numFmtId="0" fontId="7" fillId="0" borderId="102" applyNumberFormat="0" applyFont="0" applyFill="0" applyAlignment="0" applyProtection="0"/>
    <xf numFmtId="0" fontId="86" fillId="0" borderId="112">
      <alignment horizontal="left" vertical="center"/>
    </xf>
    <xf numFmtId="0" fontId="78" fillId="7" borderId="115" applyNumberForma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6"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8" fillId="7" borderId="115" applyNumberFormat="0" applyAlignment="0" applyProtection="0"/>
    <xf numFmtId="10" fontId="44" fillId="22" borderId="49" applyNumberFormat="0" applyBorder="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8" fillId="7" borderId="115" applyNumberFormat="0" applyAlignment="0" applyProtection="0"/>
    <xf numFmtId="0" fontId="78" fillId="7" borderId="115" applyNumberFormat="0" applyAlignment="0" applyProtection="0"/>
    <xf numFmtId="0" fontId="86" fillId="0" borderId="112">
      <alignment horizontal="left" vertical="center"/>
    </xf>
    <xf numFmtId="185" fontId="1" fillId="0" borderId="0" applyFont="0" applyFill="0" applyBorder="0" applyAlignment="0" applyProtection="0"/>
    <xf numFmtId="0" fontId="112" fillId="50" borderId="111" applyNumberFormat="0" applyAlignment="0" applyProtection="0"/>
    <xf numFmtId="0" fontId="7" fillId="0" borderId="122" applyNumberFormat="0" applyFont="0" applyFill="0" applyAlignment="0" applyProtection="0"/>
    <xf numFmtId="0" fontId="7" fillId="0" borderId="120" applyNumberFormat="0" applyFont="0" applyFill="0" applyAlignment="0" applyProtection="0"/>
    <xf numFmtId="0" fontId="7" fillId="0" borderId="119" applyNumberFormat="0" applyFont="0" applyFill="0" applyAlignment="0" applyProtection="0"/>
    <xf numFmtId="0" fontId="79" fillId="20" borderId="108" applyNumberFormat="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8" fillId="7" borderId="115" applyNumberForma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 fillId="24" borderId="116" applyNumberFormat="0" applyFont="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2"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0" borderId="118" applyNumberFormat="0" applyFont="0" applyFill="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46">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8" fillId="7" borderId="115" applyNumberFormat="0" applyAlignment="0" applyProtection="0"/>
    <xf numFmtId="0" fontId="78" fillId="7" borderId="115" applyNumberFormat="0" applyAlignment="0" applyProtection="0"/>
    <xf numFmtId="0" fontId="79" fillId="20" borderId="108" applyNumberFormat="0" applyAlignment="0" applyProtection="0"/>
    <xf numFmtId="0" fontId="78" fillId="7" borderId="115" applyNumberFormat="0" applyAlignment="0" applyProtection="0"/>
    <xf numFmtId="0" fontId="78" fillId="7" borderId="115" applyNumberFormat="0" applyAlignment="0" applyProtection="0"/>
    <xf numFmtId="0" fontId="79" fillId="20" borderId="108" applyNumberFormat="0" applyAlignment="0" applyProtection="0"/>
    <xf numFmtId="0" fontId="7" fillId="0" borderId="117" applyNumberFormat="0" applyFont="0" applyFill="0" applyAlignment="0" applyProtection="0"/>
    <xf numFmtId="10" fontId="44" fillId="22" borderId="49" applyNumberFormat="0" applyBorder="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10" fontId="44" fillId="22" borderId="49" applyNumberFormat="0" applyBorder="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0" borderId="117" applyNumberFormat="0" applyFont="0" applyFill="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8" fillId="7" borderId="115" applyNumberForma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8" fillId="7" borderId="115" applyNumberForma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13" fillId="20" borderId="115" applyNumberFormat="0" applyAlignment="0" applyProtection="0"/>
    <xf numFmtId="0" fontId="7" fillId="0" borderId="117" applyNumberFormat="0" applyFont="0" applyFill="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0" borderId="117" applyNumberFormat="0" applyFont="0" applyFill="0" applyAlignment="0" applyProtection="0"/>
    <xf numFmtId="0" fontId="79" fillId="20" borderId="108" applyNumberFormat="0" applyAlignment="0" applyProtection="0"/>
    <xf numFmtId="0" fontId="7" fillId="0" borderId="116" applyNumberFormat="0" applyFont="0" applyFill="0" applyAlignment="0" applyProtection="0"/>
    <xf numFmtId="0" fontId="7" fillId="0" borderId="117"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9" applyNumberFormat="0" applyFont="0" applyFill="0" applyAlignment="0" applyProtection="0"/>
    <xf numFmtId="0" fontId="7" fillId="0" borderId="120" applyNumberFormat="0" applyFont="0" applyFill="0" applyAlignment="0" applyProtection="0"/>
    <xf numFmtId="0" fontId="7" fillId="0" borderId="122"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13" fillId="20" borderId="115" applyNumberForma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8" fillId="7" borderId="115" applyNumberFormat="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86" fillId="0" borderId="46">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7" fillId="24" borderId="116" applyNumberFormat="0" applyFont="0" applyAlignment="0" applyProtection="0"/>
    <xf numFmtId="0" fontId="7" fillId="0" borderId="117" applyNumberFormat="0" applyFont="0" applyFill="0" applyAlignment="0" applyProtection="0"/>
    <xf numFmtId="0" fontId="78" fillId="7" borderId="115" applyNumberFormat="0" applyAlignment="0" applyProtection="0"/>
    <xf numFmtId="0" fontId="7" fillId="0" borderId="120" applyNumberFormat="0" applyFont="0" applyFill="0" applyAlignment="0" applyProtection="0"/>
    <xf numFmtId="0" fontId="13" fillId="20" borderId="115" applyNumberFormat="0" applyAlignment="0" applyProtection="0"/>
    <xf numFmtId="0" fontId="7" fillId="0" borderId="119" applyNumberFormat="0" applyFont="0" applyFill="0" applyAlignment="0" applyProtection="0"/>
    <xf numFmtId="0" fontId="7" fillId="0" borderId="122" applyNumberFormat="0" applyFont="0" applyFill="0" applyAlignment="0" applyProtection="0"/>
    <xf numFmtId="0" fontId="7" fillId="0" borderId="120" applyNumberFormat="0" applyFont="0" applyFill="0" applyAlignment="0" applyProtection="0"/>
    <xf numFmtId="0" fontId="7" fillId="0" borderId="119" applyNumberFormat="0" applyFont="0" applyFill="0" applyAlignment="0" applyProtection="0"/>
    <xf numFmtId="0" fontId="7" fillId="0" borderId="122" applyNumberFormat="0" applyFont="0" applyFill="0" applyAlignment="0" applyProtection="0"/>
    <xf numFmtId="0" fontId="7" fillId="0" borderId="120" applyNumberFormat="0" applyFont="0" applyFill="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3" applyNumberFormat="0" applyFont="0" applyFill="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24" borderId="116" applyNumberFormat="0" applyFont="0" applyAlignment="0" applyProtection="0"/>
    <xf numFmtId="0" fontId="13" fillId="20" borderId="115" applyNumberFormat="0" applyAlignment="0" applyProtection="0"/>
    <xf numFmtId="0" fontId="7" fillId="0" borderId="117"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2"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7" fillId="24" borderId="116" applyNumberFormat="0" applyFont="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0" applyNumberFormat="0" applyFont="0" applyFill="0" applyAlignment="0" applyProtection="0"/>
    <xf numFmtId="0" fontId="79" fillId="20" borderId="108" applyNumberFormat="0" applyAlignment="0" applyProtection="0"/>
    <xf numFmtId="0" fontId="79" fillId="20" borderId="108" applyNumberFormat="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13" fillId="20" borderId="115" applyNumberFormat="0" applyAlignment="0" applyProtection="0"/>
    <xf numFmtId="0" fontId="13" fillId="20" borderId="115"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8" fillId="7" borderId="115" applyNumberForma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44" fontId="1" fillId="0" borderId="0" applyFont="0" applyFill="0" applyBorder="0" applyAlignment="0" applyProtection="0"/>
    <xf numFmtId="0" fontId="1" fillId="0" borderId="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24" borderId="116" applyNumberFormat="0" applyFont="0" applyAlignment="0" applyProtection="0"/>
    <xf numFmtId="0" fontId="78" fillId="7" borderId="115" applyNumberFormat="0" applyAlignment="0" applyProtection="0"/>
    <xf numFmtId="0" fontId="86" fillId="0" borderId="112">
      <alignment horizontal="left" vertical="center"/>
    </xf>
    <xf numFmtId="0" fontId="7" fillId="24" borderId="116" applyNumberFormat="0" applyFont="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24" borderId="116" applyNumberFormat="0" applyFont="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2"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33" fillId="37" borderId="103" applyNumberFormat="0" applyProtection="0">
      <alignment horizontal="left" vertical="top" indent="1"/>
    </xf>
    <xf numFmtId="4" fontId="31" fillId="3" borderId="103" applyNumberFormat="0" applyProtection="0">
      <alignment horizontal="right" vertical="center"/>
    </xf>
    <xf numFmtId="4" fontId="31" fillId="17" borderId="103" applyNumberFormat="0" applyProtection="0">
      <alignment horizontal="right" vertical="center"/>
    </xf>
    <xf numFmtId="4" fontId="31" fillId="15" borderId="103" applyNumberFormat="0" applyProtection="0">
      <alignment horizontal="right" vertical="center"/>
    </xf>
    <xf numFmtId="4" fontId="31" fillId="39" borderId="103" applyNumberFormat="0" applyProtection="0">
      <alignment horizontal="right" vertical="center"/>
    </xf>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42"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top" indent="1"/>
    </xf>
    <xf numFmtId="0" fontId="7" fillId="44"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top" indent="1"/>
    </xf>
    <xf numFmtId="4" fontId="31" fillId="22" borderId="103" applyNumberFormat="0" applyProtection="0">
      <alignment horizontal="left" vertical="center" indent="1"/>
    </xf>
    <xf numFmtId="4" fontId="31" fillId="43" borderId="103" applyNumberFormat="0" applyProtection="0">
      <alignment horizontal="left" vertical="center" indent="1"/>
    </xf>
    <xf numFmtId="0" fontId="7" fillId="0" borderId="119" applyNumberFormat="0" applyFont="0" applyFill="0" applyAlignment="0" applyProtection="0"/>
    <xf numFmtId="0" fontId="7" fillId="24" borderId="116" applyNumberFormat="0" applyFont="0" applyAlignment="0" applyProtection="0"/>
    <xf numFmtId="0" fontId="7" fillId="0" borderId="116" applyNumberFormat="0" applyFont="0" applyFill="0" applyAlignment="0" applyProtection="0"/>
    <xf numFmtId="0" fontId="112" fillId="50" borderId="111" applyNumberFormat="0" applyAlignment="0" applyProtection="0"/>
    <xf numFmtId="0" fontId="7" fillId="24" borderId="116" applyNumberFormat="0" applyFont="0" applyAlignment="0" applyProtection="0"/>
    <xf numFmtId="185" fontId="1" fillId="0" borderId="0" applyFont="0" applyFill="0" applyBorder="0" applyAlignment="0" applyProtection="0"/>
    <xf numFmtId="0" fontId="7" fillId="24" borderId="116" applyNumberFormat="0" applyFont="0" applyAlignment="0" applyProtection="0"/>
    <xf numFmtId="0" fontId="86" fillId="0" borderId="112">
      <alignment horizontal="left" vertical="center"/>
    </xf>
    <xf numFmtId="0" fontId="7" fillId="0" borderId="118" applyNumberFormat="0" applyFont="0" applyFill="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13" fillId="20" borderId="115" applyNumberFormat="0" applyAlignment="0" applyProtection="0"/>
    <xf numFmtId="0" fontId="13" fillId="20" borderId="115" applyNumberFormat="0" applyAlignment="0" applyProtection="0"/>
    <xf numFmtId="0" fontId="79" fillId="20" borderId="108"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13" fillId="20" borderId="115"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46">
      <alignment horizontal="left" vertical="center"/>
    </xf>
    <xf numFmtId="0" fontId="86" fillId="0" borderId="46">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0"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0" borderId="117" applyNumberFormat="0" applyFont="0" applyFill="0" applyAlignment="0" applyProtection="0"/>
    <xf numFmtId="10" fontId="44" fillId="22" borderId="49" applyNumberFormat="0" applyBorder="0" applyAlignment="0" applyProtection="0"/>
    <xf numFmtId="10" fontId="44" fillId="22" borderId="49" applyNumberFormat="0" applyBorder="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0" borderId="117" applyNumberFormat="0" applyFont="0" applyFill="0" applyAlignment="0" applyProtection="0"/>
    <xf numFmtId="10" fontId="44" fillId="22" borderId="49" applyNumberFormat="0" applyBorder="0" applyAlignment="0" applyProtection="0"/>
    <xf numFmtId="10" fontId="44" fillId="22" borderId="49" applyNumberFormat="0" applyBorder="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0" borderId="117" applyNumberFormat="0" applyFont="0" applyFill="0" applyAlignment="0" applyProtection="0"/>
    <xf numFmtId="0" fontId="78" fillId="7" borderId="115" applyNumberFormat="0" applyAlignment="0" applyProtection="0"/>
    <xf numFmtId="0" fontId="7" fillId="0" borderId="117" applyNumberFormat="0" applyFont="0" applyFill="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0"/>
    <xf numFmtId="0" fontId="7" fillId="0" borderId="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8" fillId="7" borderId="115"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10" fontId="44" fillId="22" borderId="49" applyNumberFormat="0" applyBorder="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10" fontId="44" fillId="22" borderId="49" applyNumberFormat="0" applyBorder="0" applyAlignment="0" applyProtection="0"/>
    <xf numFmtId="10" fontId="44" fillId="22" borderId="49" applyNumberFormat="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10" fontId="44" fillId="22" borderId="113" applyNumberFormat="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10" fontId="44" fillId="22" borderId="49" applyNumberFormat="0" applyBorder="0" applyAlignment="0" applyProtection="0"/>
    <xf numFmtId="10" fontId="44" fillId="22" borderId="49" applyNumberFormat="0" applyBorder="0" applyAlignment="0" applyProtection="0"/>
    <xf numFmtId="10" fontId="44" fillId="22" borderId="49" applyNumberFormat="0" applyBorder="0" applyAlignment="0" applyProtection="0"/>
    <xf numFmtId="10" fontId="44" fillId="22" borderId="113" applyNumberFormat="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86" fillId="0" borderId="46">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0"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10" fillId="24" borderId="116" applyNumberFormat="0" applyFont="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0" borderId="102" applyNumberFormat="0" applyFont="0" applyFill="0" applyAlignment="0" applyProtection="0"/>
    <xf numFmtId="0" fontId="7" fillId="0" borderId="102" applyNumberFormat="0" applyFont="0" applyFill="0" applyAlignment="0" applyProtection="0"/>
    <xf numFmtId="0" fontId="7" fillId="0" borderId="116" applyNumberFormat="0" applyFont="0" applyFill="0" applyAlignment="0" applyProtection="0"/>
    <xf numFmtId="4" fontId="33" fillId="23" borderId="103" applyNumberFormat="0" applyProtection="0">
      <alignment vertical="center"/>
    </xf>
    <xf numFmtId="4" fontId="100" fillId="37" borderId="103" applyNumberFormat="0" applyProtection="0">
      <alignment vertical="center"/>
    </xf>
    <xf numFmtId="4" fontId="33" fillId="37" borderId="103" applyNumberFormat="0" applyProtection="0">
      <alignment horizontal="left" vertical="center" indent="1"/>
    </xf>
    <xf numFmtId="0" fontId="33" fillId="37" borderId="103" applyNumberFormat="0" applyProtection="0">
      <alignment horizontal="left" vertical="top" indent="1"/>
    </xf>
    <xf numFmtId="0" fontId="7" fillId="24" borderId="116" applyNumberFormat="0" applyFont="0" applyAlignment="0" applyProtection="0"/>
    <xf numFmtId="4" fontId="31" fillId="3" borderId="103" applyNumberFormat="0" applyProtection="0">
      <alignment horizontal="right" vertical="center"/>
    </xf>
    <xf numFmtId="4" fontId="31" fillId="8" borderId="103" applyNumberFormat="0" applyProtection="0">
      <alignment horizontal="right" vertical="center"/>
    </xf>
    <xf numFmtId="4" fontId="31" fillId="17" borderId="103" applyNumberFormat="0" applyProtection="0">
      <alignment horizontal="right" vertical="center"/>
    </xf>
    <xf numFmtId="4" fontId="31" fillId="11" borderId="103" applyNumberFormat="0" applyProtection="0">
      <alignment horizontal="right" vertical="center"/>
    </xf>
    <xf numFmtId="4" fontId="31" fillId="15" borderId="103" applyNumberFormat="0" applyProtection="0">
      <alignment horizontal="right" vertical="center"/>
    </xf>
    <xf numFmtId="4" fontId="31" fillId="19" borderId="103" applyNumberFormat="0" applyProtection="0">
      <alignment horizontal="right" vertical="center"/>
    </xf>
    <xf numFmtId="4" fontId="31" fillId="18" borderId="103" applyNumberFormat="0" applyProtection="0">
      <alignment horizontal="right" vertical="center"/>
    </xf>
    <xf numFmtId="4" fontId="31" fillId="39" borderId="103" applyNumberFormat="0" applyProtection="0">
      <alignment horizontal="right" vertical="center"/>
    </xf>
    <xf numFmtId="4" fontId="31" fillId="9" borderId="103" applyNumberFormat="0" applyProtection="0">
      <alignment horizontal="right" vertical="center"/>
    </xf>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4" fontId="31" fillId="43" borderId="103" applyNumberFormat="0" applyProtection="0">
      <alignment horizontal="right" vertical="center"/>
    </xf>
    <xf numFmtId="0" fontId="7" fillId="0" borderId="119" applyNumberFormat="0" applyFont="0" applyFill="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top" indent="1"/>
    </xf>
    <xf numFmtId="0" fontId="7" fillId="45" borderId="103" applyNumberFormat="0" applyProtection="0">
      <alignment horizontal="left" vertical="top" indent="1"/>
    </xf>
    <xf numFmtId="0" fontId="7" fillId="45" borderId="103" applyNumberFormat="0" applyProtection="0">
      <alignment horizontal="left" vertical="top" indent="1"/>
    </xf>
    <xf numFmtId="4" fontId="31" fillId="22" borderId="103" applyNumberFormat="0" applyProtection="0">
      <alignment vertical="center"/>
    </xf>
    <xf numFmtId="4" fontId="102" fillId="22" borderId="103" applyNumberFormat="0" applyProtection="0">
      <alignment vertical="center"/>
    </xf>
    <xf numFmtId="4" fontId="31" fillId="22" borderId="103" applyNumberFormat="0" applyProtection="0">
      <alignment horizontal="left" vertical="center" indent="1"/>
    </xf>
    <xf numFmtId="0" fontId="31" fillId="22" borderId="103" applyNumberFormat="0" applyProtection="0">
      <alignment horizontal="left" vertical="top" indent="1"/>
    </xf>
    <xf numFmtId="4" fontId="31" fillId="41" borderId="103" applyNumberFormat="0" applyProtection="0">
      <alignment horizontal="right" vertical="center"/>
    </xf>
    <xf numFmtId="4" fontId="102" fillId="41" borderId="103" applyNumberFormat="0" applyProtection="0">
      <alignment horizontal="right" vertical="center"/>
    </xf>
    <xf numFmtId="4" fontId="31" fillId="43" borderId="103" applyNumberFormat="0" applyProtection="0">
      <alignment horizontal="left" vertical="center" indent="1"/>
    </xf>
    <xf numFmtId="0" fontId="31" fillId="38" borderId="103" applyNumberFormat="0" applyProtection="0">
      <alignment horizontal="left" vertical="top" indent="1"/>
    </xf>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4" fontId="104" fillId="41" borderId="103" applyNumberFormat="0" applyProtection="0">
      <alignment horizontal="right" vertical="center"/>
    </xf>
    <xf numFmtId="0" fontId="7" fillId="0" borderId="122"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1"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8" fillId="7" borderId="115" applyNumberFormat="0" applyAlignment="0" applyProtection="0"/>
    <xf numFmtId="0" fontId="78" fillId="7" borderId="115" applyNumberFormat="0" applyAlignment="0" applyProtection="0"/>
    <xf numFmtId="0" fontId="13" fillId="20" borderId="115" applyNumberFormat="0" applyAlignment="0" applyProtection="0"/>
    <xf numFmtId="0" fontId="7" fillId="0" borderId="116"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10" fontId="44" fillId="22" borderId="49" applyNumberFormat="0" applyBorder="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7" fillId="24" borderId="116" applyNumberFormat="0" applyFont="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46">
      <alignment horizontal="left" vertical="center"/>
    </xf>
    <xf numFmtId="0" fontId="7" fillId="0" borderId="102" applyNumberFormat="0" applyFont="0" applyFill="0" applyAlignment="0" applyProtection="0"/>
    <xf numFmtId="4" fontId="33" fillId="37" borderId="103" applyNumberFormat="0" applyProtection="0">
      <alignment horizontal="left" vertical="center" indent="1"/>
    </xf>
    <xf numFmtId="0" fontId="7" fillId="24" borderId="116" applyNumberFormat="0" applyFont="0" applyAlignment="0" applyProtection="0"/>
    <xf numFmtId="4" fontId="31" fillId="8" borderId="103" applyNumberFormat="0" applyProtection="0">
      <alignment horizontal="right" vertical="center"/>
    </xf>
    <xf numFmtId="4" fontId="31" fillId="11" borderId="103" applyNumberFormat="0" applyProtection="0">
      <alignment horizontal="right" vertical="center"/>
    </xf>
    <xf numFmtId="4" fontId="31" fillId="18" borderId="103" applyNumberFormat="0" applyProtection="0">
      <alignment horizontal="right" vertical="center"/>
    </xf>
    <xf numFmtId="0" fontId="7" fillId="24" borderId="116" applyNumberFormat="0" applyFont="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42" borderId="103" applyNumberFormat="0" applyProtection="0">
      <alignment horizontal="left" vertical="center" indent="1"/>
    </xf>
    <xf numFmtId="0" fontId="7" fillId="42" borderId="103" applyNumberFormat="0" applyProtection="0">
      <alignment horizontal="left" vertical="top" indent="1"/>
    </xf>
    <xf numFmtId="0" fontId="7" fillId="38"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top" indent="1"/>
    </xf>
    <xf numFmtId="0" fontId="7" fillId="45" borderId="103" applyNumberFormat="0" applyProtection="0">
      <alignment horizontal="left" vertical="center" indent="1"/>
    </xf>
    <xf numFmtId="4" fontId="31" fillId="22" borderId="103" applyNumberFormat="0" applyProtection="0">
      <alignment vertical="center"/>
    </xf>
    <xf numFmtId="4" fontId="31" fillId="41" borderId="103" applyNumberFormat="0" applyProtection="0">
      <alignment horizontal="right" vertical="center"/>
    </xf>
    <xf numFmtId="0" fontId="79" fillId="20" borderId="108" applyNumberFormat="0" applyAlignment="0" applyProtection="0"/>
    <xf numFmtId="0" fontId="7" fillId="0" borderId="119" applyNumberFormat="0" applyFont="0" applyFill="0" applyAlignment="0" applyProtection="0"/>
    <xf numFmtId="0" fontId="7" fillId="24" borderId="116" applyNumberFormat="0" applyFont="0" applyAlignment="0" applyProtection="0"/>
    <xf numFmtId="0" fontId="79" fillId="20" borderId="108" applyNumberFormat="0" applyAlignment="0" applyProtection="0"/>
    <xf numFmtId="0" fontId="7" fillId="0" borderId="119" applyNumberFormat="0" applyFont="0" applyFill="0" applyAlignment="0" applyProtection="0"/>
    <xf numFmtId="0" fontId="7" fillId="0" borderId="121" applyNumberFormat="0" applyFont="0" applyFill="0" applyAlignment="0" applyProtection="0"/>
    <xf numFmtId="0" fontId="7" fillId="24" borderId="116" applyNumberFormat="0" applyFont="0" applyAlignment="0" applyProtection="0"/>
    <xf numFmtId="44" fontId="1" fillId="0" borderId="0" applyFont="0" applyFill="0" applyBorder="0" applyAlignment="0" applyProtection="0"/>
    <xf numFmtId="0" fontId="1" fillId="0" borderId="0"/>
    <xf numFmtId="0" fontId="10" fillId="24" borderId="116" applyNumberFormat="0" applyFont="0" applyAlignment="0" applyProtection="0"/>
    <xf numFmtId="0" fontId="10" fillId="24" borderId="116" applyNumberFormat="0" applyFont="0" applyAlignment="0" applyProtection="0"/>
    <xf numFmtId="0" fontId="86" fillId="0" borderId="112">
      <alignment horizontal="left" vertical="center"/>
    </xf>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0" borderId="118" applyNumberFormat="0" applyFont="0" applyFill="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86" fillId="0" borderId="112">
      <alignment horizontal="left" vertical="center"/>
    </xf>
    <xf numFmtId="0" fontId="7" fillId="24" borderId="116" applyNumberFormat="0" applyFont="0" applyAlignment="0" applyProtection="0"/>
    <xf numFmtId="0" fontId="78" fillId="7" borderId="115" applyNumberFormat="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46">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21" applyNumberFormat="0" applyFont="0" applyFill="0" applyAlignment="0" applyProtection="0"/>
    <xf numFmtId="0" fontId="7" fillId="0" borderId="117"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1"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9" fillId="20" borderId="108" applyNumberFormat="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16" applyNumberFormat="0" applyFont="0" applyFill="0" applyAlignment="0" applyProtection="0"/>
    <xf numFmtId="0" fontId="7" fillId="0" borderId="123" applyNumberFormat="0" applyFont="0" applyFill="0" applyAlignment="0" applyProtection="0"/>
    <xf numFmtId="0" fontId="79" fillId="20" borderId="108" applyNumberFormat="0" applyAlignment="0" applyProtection="0"/>
    <xf numFmtId="0" fontId="13" fillId="20" borderId="115" applyNumberFormat="0" applyAlignment="0" applyProtection="0"/>
    <xf numFmtId="0" fontId="13" fillId="20" borderId="115" applyNumberFormat="0" applyAlignment="0" applyProtection="0"/>
    <xf numFmtId="0" fontId="112" fillId="50" borderId="111" applyNumberFormat="0" applyAlignment="0" applyProtection="0"/>
    <xf numFmtId="0" fontId="7" fillId="24" borderId="116" applyNumberFormat="0" applyFont="0" applyAlignment="0" applyProtection="0"/>
    <xf numFmtId="185" fontId="1" fillId="0" borderId="0" applyFont="0" applyFill="0" applyBorder="0" applyAlignment="0" applyProtection="0"/>
    <xf numFmtId="0" fontId="7" fillId="24" borderId="116" applyNumberFormat="0" applyFont="0" applyAlignment="0" applyProtection="0"/>
    <xf numFmtId="0" fontId="86" fillId="0" borderId="112">
      <alignment horizontal="left" vertical="center"/>
    </xf>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9" fillId="20" borderId="108" applyNumberFormat="0" applyAlignment="0" applyProtection="0"/>
    <xf numFmtId="0" fontId="10" fillId="24" borderId="116" applyNumberFormat="0" applyFont="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86" fillId="0" borderId="46">
      <alignment horizontal="left" vertical="center"/>
    </xf>
    <xf numFmtId="0" fontId="7" fillId="24" borderId="116" applyNumberFormat="0" applyFont="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17"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86" fillId="0" borderId="46">
      <alignment horizontal="left" vertical="center"/>
    </xf>
    <xf numFmtId="0" fontId="112" fillId="50" borderId="111" applyNumberFormat="0" applyAlignment="0" applyProtection="0"/>
    <xf numFmtId="0" fontId="7" fillId="0" borderId="120"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19"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7" fillId="24" borderId="116" applyNumberFormat="0" applyFon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 fillId="0" borderId="120" applyNumberFormat="0" applyFont="0" applyFill="0" applyAlignment="0" applyProtection="0"/>
    <xf numFmtId="0" fontId="7" fillId="0" borderId="122" applyNumberFormat="0" applyFont="0" applyFill="0" applyAlignment="0" applyProtection="0"/>
    <xf numFmtId="0" fontId="13" fillId="20" borderId="115" applyNumberFormat="0" applyAlignment="0" applyProtection="0"/>
    <xf numFmtId="0" fontId="7" fillId="0" borderId="116"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24" borderId="116" applyNumberFormat="0" applyFont="0" applyAlignment="0" applyProtection="0"/>
    <xf numFmtId="4" fontId="31" fillId="39" borderId="103" applyNumberFormat="0" applyProtection="0">
      <alignment horizontal="right" vertical="center"/>
    </xf>
    <xf numFmtId="0" fontId="7" fillId="44" borderId="103" applyNumberFormat="0" applyProtection="0">
      <alignment horizontal="left" vertical="center" indent="1"/>
    </xf>
    <xf numFmtId="0" fontId="7" fillId="0" borderId="117" applyNumberFormat="0" applyFont="0" applyFill="0" applyAlignment="0" applyProtection="0"/>
    <xf numFmtId="0" fontId="7" fillId="0" borderId="116"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2" applyNumberFormat="0" applyFont="0" applyFill="0" applyAlignment="0" applyProtection="0"/>
    <xf numFmtId="0" fontId="7" fillId="24" borderId="116" applyNumberFormat="0" applyFont="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24" borderId="116" applyNumberFormat="0" applyFont="0" applyAlignment="0" applyProtection="0"/>
    <xf numFmtId="10" fontId="44" fillId="22" borderId="49" applyNumberFormat="0" applyBorder="0" applyAlignment="0" applyProtection="0"/>
    <xf numFmtId="0" fontId="79" fillId="20" borderId="108" applyNumberFormat="0" applyAlignment="0" applyProtection="0"/>
    <xf numFmtId="0" fontId="79" fillId="20" borderId="108" applyNumberFormat="0" applyAlignment="0" applyProtection="0"/>
    <xf numFmtId="0" fontId="78" fillId="7" borderId="115" applyNumberFormat="0" applyAlignment="0" applyProtection="0"/>
    <xf numFmtId="0" fontId="13" fillId="20" borderId="115" applyNumberFormat="0" applyAlignment="0" applyProtection="0"/>
    <xf numFmtId="0" fontId="78" fillId="7" borderId="115" applyNumberFormat="0" applyAlignment="0" applyProtection="0"/>
    <xf numFmtId="0" fontId="79" fillId="20" borderId="108"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112">
      <alignment horizontal="left" vertical="center"/>
    </xf>
    <xf numFmtId="0" fontId="7" fillId="24" borderId="116" applyNumberFormat="0" applyFont="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0" fillId="24" borderId="116" applyNumberFormat="0" applyFont="0" applyAlignment="0" applyProtection="0"/>
    <xf numFmtId="0" fontId="78" fillId="7" borderId="115" applyNumberFormat="0" applyAlignment="0" applyProtection="0"/>
    <xf numFmtId="0" fontId="7" fillId="0" borderId="119" applyNumberFormat="0" applyFont="0" applyFill="0" applyAlignment="0" applyProtection="0"/>
    <xf numFmtId="0" fontId="7" fillId="0" borderId="121" applyNumberFormat="0" applyFont="0" applyFill="0" applyAlignment="0" applyProtection="0"/>
    <xf numFmtId="0" fontId="78" fillId="7" borderId="115" applyNumberFormat="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9" fillId="20" borderId="108" applyNumberFormat="0" applyAlignment="0" applyProtection="0"/>
    <xf numFmtId="0" fontId="7" fillId="0" borderId="116" applyNumberFormat="0" applyFont="0" applyFill="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0" borderId="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10" fontId="44" fillId="22" borderId="49" applyNumberFormat="0" applyBorder="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8" fillId="7" borderId="115" applyNumberForma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10"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10" fillId="24" borderId="116" applyNumberFormat="0" applyFont="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0" borderId="102" applyNumberFormat="0" applyFont="0" applyFill="0" applyAlignment="0" applyProtection="0"/>
    <xf numFmtId="0" fontId="7" fillId="0" borderId="102" applyNumberFormat="0" applyFont="0" applyFill="0" applyAlignment="0" applyProtection="0"/>
    <xf numFmtId="4" fontId="33" fillId="23" borderId="103" applyNumberFormat="0" applyProtection="0">
      <alignment vertical="center"/>
    </xf>
    <xf numFmtId="4" fontId="100" fillId="37" borderId="103" applyNumberFormat="0" applyProtection="0">
      <alignment vertical="center"/>
    </xf>
    <xf numFmtId="4" fontId="33" fillId="37" borderId="103" applyNumberFormat="0" applyProtection="0">
      <alignment horizontal="left" vertical="center" indent="1"/>
    </xf>
    <xf numFmtId="0" fontId="33" fillId="37" borderId="103" applyNumberFormat="0" applyProtection="0">
      <alignment horizontal="left" vertical="top" indent="1"/>
    </xf>
    <xf numFmtId="0" fontId="7" fillId="24" borderId="116" applyNumberFormat="0" applyFont="0" applyAlignment="0" applyProtection="0"/>
    <xf numFmtId="4" fontId="31" fillId="3" borderId="103" applyNumberFormat="0" applyProtection="0">
      <alignment horizontal="right" vertical="center"/>
    </xf>
    <xf numFmtId="4" fontId="31" fillId="8" borderId="103" applyNumberFormat="0" applyProtection="0">
      <alignment horizontal="right" vertical="center"/>
    </xf>
    <xf numFmtId="4" fontId="31" fillId="17" borderId="103" applyNumberFormat="0" applyProtection="0">
      <alignment horizontal="right" vertical="center"/>
    </xf>
    <xf numFmtId="4" fontId="31" fillId="11" borderId="103" applyNumberFormat="0" applyProtection="0">
      <alignment horizontal="right" vertical="center"/>
    </xf>
    <xf numFmtId="4" fontId="31" fillId="15" borderId="103" applyNumberFormat="0" applyProtection="0">
      <alignment horizontal="right" vertical="center"/>
    </xf>
    <xf numFmtId="4" fontId="31" fillId="19" borderId="103" applyNumberFormat="0" applyProtection="0">
      <alignment horizontal="right" vertical="center"/>
    </xf>
    <xf numFmtId="4" fontId="31" fillId="18" borderId="103" applyNumberFormat="0" applyProtection="0">
      <alignment horizontal="right" vertical="center"/>
    </xf>
    <xf numFmtId="4" fontId="31" fillId="39" borderId="103" applyNumberFormat="0" applyProtection="0">
      <alignment horizontal="right" vertical="center"/>
    </xf>
    <xf numFmtId="4" fontId="31" fillId="9" borderId="103" applyNumberFormat="0" applyProtection="0">
      <alignment horizontal="right" vertical="center"/>
    </xf>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4" fontId="31" fillId="43" borderId="103" applyNumberFormat="0" applyProtection="0">
      <alignment horizontal="righ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top" indent="1"/>
    </xf>
    <xf numFmtId="0" fontId="7" fillId="45" borderId="103" applyNumberFormat="0" applyProtection="0">
      <alignment horizontal="left" vertical="top" indent="1"/>
    </xf>
    <xf numFmtId="0" fontId="7" fillId="45" borderId="103" applyNumberFormat="0" applyProtection="0">
      <alignment horizontal="left" vertical="top" indent="1"/>
    </xf>
    <xf numFmtId="4" fontId="31" fillId="22" borderId="103" applyNumberFormat="0" applyProtection="0">
      <alignment vertical="center"/>
    </xf>
    <xf numFmtId="4" fontId="102" fillId="22" borderId="103" applyNumberFormat="0" applyProtection="0">
      <alignment vertical="center"/>
    </xf>
    <xf numFmtId="4" fontId="31" fillId="22" borderId="103" applyNumberFormat="0" applyProtection="0">
      <alignment horizontal="left" vertical="center" indent="1"/>
    </xf>
    <xf numFmtId="0" fontId="31" fillId="22" borderId="103" applyNumberFormat="0" applyProtection="0">
      <alignment horizontal="left" vertical="top" indent="1"/>
    </xf>
    <xf numFmtId="4" fontId="31" fillId="41" borderId="103" applyNumberFormat="0" applyProtection="0">
      <alignment horizontal="right" vertical="center"/>
    </xf>
    <xf numFmtId="4" fontId="102" fillId="41" borderId="103" applyNumberFormat="0" applyProtection="0">
      <alignment horizontal="right" vertical="center"/>
    </xf>
    <xf numFmtId="4" fontId="31" fillId="43" borderId="103" applyNumberFormat="0" applyProtection="0">
      <alignment horizontal="left" vertical="center" indent="1"/>
    </xf>
    <xf numFmtId="0" fontId="31" fillId="38" borderId="103" applyNumberFormat="0" applyProtection="0">
      <alignment horizontal="left" vertical="top" indent="1"/>
    </xf>
    <xf numFmtId="0" fontId="7" fillId="24" borderId="116" applyNumberFormat="0" applyFont="0" applyAlignment="0" applyProtection="0"/>
    <xf numFmtId="0" fontId="86" fillId="0" borderId="46">
      <alignment horizontal="left" vertical="center"/>
    </xf>
    <xf numFmtId="0" fontId="86" fillId="0" borderId="46">
      <alignment horizontal="left" vertical="center"/>
    </xf>
    <xf numFmtId="4" fontId="104" fillId="41" borderId="103" applyNumberFormat="0" applyProtection="0">
      <alignment horizontal="righ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0" borderId="118" applyNumberFormat="0" applyFont="0" applyFill="0" applyAlignment="0" applyProtection="0"/>
    <xf numFmtId="0" fontId="7" fillId="24" borderId="116" applyNumberFormat="0" applyFont="0" applyAlignment="0" applyProtection="0"/>
    <xf numFmtId="0" fontId="86" fillId="0" borderId="46">
      <alignment horizontal="left" vertical="center"/>
    </xf>
    <xf numFmtId="0" fontId="7" fillId="24" borderId="116" applyNumberFormat="0" applyFont="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9" fillId="20" borderId="108" applyNumberFormat="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86" fillId="0" borderId="112">
      <alignment horizontal="left" vertical="center"/>
    </xf>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0" borderId="118"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7" fillId="24" borderId="116" applyNumberFormat="0" applyFont="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13" fillId="20" borderId="115" applyNumberForma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 fillId="0" borderId="119" applyNumberFormat="0" applyFont="0" applyFill="0" applyAlignment="0" applyProtection="0"/>
    <xf numFmtId="0" fontId="79" fillId="20" borderId="108" applyNumberFormat="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13" fillId="20" borderId="115" applyNumberFormat="0" applyAlignment="0" applyProtection="0"/>
    <xf numFmtId="0" fontId="7" fillId="0" borderId="117" applyNumberFormat="0" applyFont="0" applyFill="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44" fontId="1" fillId="0" borderId="0" applyFont="0" applyFill="0" applyBorder="0" applyAlignment="0" applyProtection="0"/>
    <xf numFmtId="0" fontId="1" fillId="0" borderId="0"/>
    <xf numFmtId="0" fontId="10" fillId="24" borderId="116" applyNumberFormat="0" applyFont="0" applyAlignment="0" applyProtection="0"/>
    <xf numFmtId="0" fontId="10" fillId="24" borderId="116" applyNumberFormat="0" applyFont="0" applyAlignment="0" applyProtection="0"/>
    <xf numFmtId="0" fontId="86" fillId="0" borderId="112">
      <alignment horizontal="left" vertical="center"/>
    </xf>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21" fillId="0" borderId="107" applyNumberFormat="0" applyFill="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0" borderId="121"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112" fillId="50" borderId="111" applyNumberFormat="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86" fillId="0" borderId="46">
      <alignment horizontal="left" vertical="center"/>
    </xf>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24" borderId="116" applyNumberFormat="0" applyFont="0" applyAlignment="0" applyProtection="0"/>
    <xf numFmtId="44" fontId="1" fillId="0" borderId="0" applyFont="0" applyFill="0" applyBorder="0" applyAlignment="0" applyProtection="0"/>
    <xf numFmtId="0" fontId="7" fillId="0" borderId="117" applyNumberFormat="0" applyFont="0" applyFill="0" applyAlignment="0" applyProtection="0"/>
    <xf numFmtId="44" fontId="1" fillId="0" borderId="0" applyFont="0" applyFill="0" applyBorder="0" applyAlignment="0" applyProtection="0"/>
    <xf numFmtId="0" fontId="1" fillId="0" borderId="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0" borderId="117" applyNumberFormat="0" applyFont="0" applyFill="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8" fillId="7" borderId="115" applyNumberFormat="0" applyAlignment="0" applyProtection="0"/>
    <xf numFmtId="0" fontId="78" fillId="7" borderId="115" applyNumberFormat="0" applyAlignment="0" applyProtection="0"/>
    <xf numFmtId="10" fontId="44" fillId="22" borderId="49" applyNumberFormat="0" applyBorder="0" applyAlignment="0" applyProtection="0"/>
    <xf numFmtId="0" fontId="78" fillId="7" borderId="115"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1"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46">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46">
      <alignment horizontal="left" vertical="center"/>
    </xf>
    <xf numFmtId="0" fontId="86" fillId="0" borderId="46">
      <alignment horizontal="left" vertical="center"/>
    </xf>
    <xf numFmtId="0" fontId="86" fillId="0" borderId="46">
      <alignment horizontal="left" vertical="center"/>
    </xf>
    <xf numFmtId="0" fontId="86" fillId="0" borderId="46">
      <alignment horizontal="left" vertical="center"/>
    </xf>
    <xf numFmtId="0" fontId="86" fillId="0" borderId="46">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10"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8" fillId="7" borderId="115" applyNumberFormat="0" applyAlignment="0" applyProtection="0"/>
    <xf numFmtId="0" fontId="79" fillId="20" borderId="108"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10" fontId="44" fillId="22" borderId="49" applyNumberFormat="0" applyBorder="0" applyAlignment="0" applyProtection="0"/>
    <xf numFmtId="10" fontId="44" fillId="22" borderId="49" applyNumberFormat="0" applyBorder="0" applyAlignment="0" applyProtection="0"/>
    <xf numFmtId="10" fontId="44" fillId="22" borderId="49" applyNumberFormat="0" applyBorder="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0"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46">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0"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02" applyNumberFormat="0" applyFont="0" applyFill="0" applyAlignment="0" applyProtection="0"/>
    <xf numFmtId="0" fontId="7" fillId="0" borderId="102" applyNumberFormat="0" applyFont="0" applyFill="0" applyAlignment="0" applyProtection="0"/>
    <xf numFmtId="0" fontId="7" fillId="0" borderId="121" applyNumberFormat="0" applyFont="0" applyFill="0" applyAlignment="0" applyProtection="0"/>
    <xf numFmtId="4" fontId="33" fillId="23" borderId="103" applyNumberFormat="0" applyProtection="0">
      <alignment vertical="center"/>
    </xf>
    <xf numFmtId="4" fontId="100" fillId="37" borderId="103" applyNumberFormat="0" applyProtection="0">
      <alignment vertical="center"/>
    </xf>
    <xf numFmtId="4" fontId="33" fillId="37" borderId="103" applyNumberFormat="0" applyProtection="0">
      <alignment horizontal="left" vertical="center" indent="1"/>
    </xf>
    <xf numFmtId="0" fontId="33" fillId="37" borderId="103" applyNumberFormat="0" applyProtection="0">
      <alignment horizontal="left" vertical="top" indent="1"/>
    </xf>
    <xf numFmtId="0" fontId="7" fillId="0" borderId="123" applyNumberFormat="0" applyFont="0" applyFill="0" applyAlignment="0" applyProtection="0"/>
    <xf numFmtId="4" fontId="31" fillId="3" borderId="103" applyNumberFormat="0" applyProtection="0">
      <alignment horizontal="right" vertical="center"/>
    </xf>
    <xf numFmtId="4" fontId="31" fillId="8" borderId="103" applyNumberFormat="0" applyProtection="0">
      <alignment horizontal="right" vertical="center"/>
    </xf>
    <xf numFmtId="4" fontId="31" fillId="17" borderId="103" applyNumberFormat="0" applyProtection="0">
      <alignment horizontal="right" vertical="center"/>
    </xf>
    <xf numFmtId="4" fontId="31" fillId="11" borderId="103" applyNumberFormat="0" applyProtection="0">
      <alignment horizontal="right" vertical="center"/>
    </xf>
    <xf numFmtId="4" fontId="31" fillId="15" borderId="103" applyNumberFormat="0" applyProtection="0">
      <alignment horizontal="right" vertical="center"/>
    </xf>
    <xf numFmtId="4" fontId="31" fillId="19" borderId="103" applyNumberFormat="0" applyProtection="0">
      <alignment horizontal="right" vertical="center"/>
    </xf>
    <xf numFmtId="4" fontId="31" fillId="18" borderId="103" applyNumberFormat="0" applyProtection="0">
      <alignment horizontal="right" vertical="center"/>
    </xf>
    <xf numFmtId="4" fontId="31" fillId="39" borderId="103" applyNumberFormat="0" applyProtection="0">
      <alignment horizontal="right" vertical="center"/>
    </xf>
    <xf numFmtId="4" fontId="31" fillId="9" borderId="103" applyNumberFormat="0" applyProtection="0">
      <alignment horizontal="righ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4" fontId="31" fillId="43" borderId="103" applyNumberFormat="0" applyProtection="0">
      <alignment horizontal="righ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top" indent="1"/>
    </xf>
    <xf numFmtId="0" fontId="7" fillId="45" borderId="103" applyNumberFormat="0" applyProtection="0">
      <alignment horizontal="left" vertical="top" indent="1"/>
    </xf>
    <xf numFmtId="0" fontId="7" fillId="45" borderId="103" applyNumberFormat="0" applyProtection="0">
      <alignment horizontal="left" vertical="top" indent="1"/>
    </xf>
    <xf numFmtId="4" fontId="31" fillId="22" borderId="103" applyNumberFormat="0" applyProtection="0">
      <alignment vertical="center"/>
    </xf>
    <xf numFmtId="4" fontId="102" fillId="22" borderId="103" applyNumberFormat="0" applyProtection="0">
      <alignment vertical="center"/>
    </xf>
    <xf numFmtId="4" fontId="31" fillId="22" borderId="103" applyNumberFormat="0" applyProtection="0">
      <alignment horizontal="left" vertical="center" indent="1"/>
    </xf>
    <xf numFmtId="0" fontId="31" fillId="22" borderId="103" applyNumberFormat="0" applyProtection="0">
      <alignment horizontal="left" vertical="top" indent="1"/>
    </xf>
    <xf numFmtId="4" fontId="31" fillId="41" borderId="103" applyNumberFormat="0" applyProtection="0">
      <alignment horizontal="right" vertical="center"/>
    </xf>
    <xf numFmtId="4" fontId="102" fillId="41" borderId="103" applyNumberFormat="0" applyProtection="0">
      <alignment horizontal="right" vertical="center"/>
    </xf>
    <xf numFmtId="4" fontId="31" fillId="43" borderId="103" applyNumberFormat="0" applyProtection="0">
      <alignment horizontal="left" vertical="center" indent="1"/>
    </xf>
    <xf numFmtId="0" fontId="31" fillId="38" borderId="103" applyNumberFormat="0" applyProtection="0">
      <alignment horizontal="left" vertical="top" indent="1"/>
    </xf>
    <xf numFmtId="0" fontId="13" fillId="20" borderId="115" applyNumberFormat="0" applyAlignment="0" applyProtection="0"/>
    <xf numFmtId="0" fontId="79" fillId="20" borderId="108" applyNumberFormat="0" applyAlignment="0" applyProtection="0"/>
    <xf numFmtId="4" fontId="104" fillId="41" borderId="103" applyNumberFormat="0" applyProtection="0">
      <alignment horizontal="right" vertical="center"/>
    </xf>
    <xf numFmtId="0" fontId="7" fillId="0" borderId="122"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22" applyNumberFormat="0" applyFont="0" applyFill="0" applyAlignment="0" applyProtection="0"/>
    <xf numFmtId="0" fontId="7" fillId="24" borderId="116" applyNumberFormat="0" applyFont="0" applyAlignment="0" applyProtection="0"/>
    <xf numFmtId="0" fontId="7" fillId="0" borderId="122" applyNumberFormat="0" applyFont="0" applyFill="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19"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13" fillId="20" borderId="115"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4" fontId="31" fillId="19" borderId="103" applyNumberFormat="0" applyProtection="0">
      <alignment horizontal="right" vertical="center"/>
    </xf>
    <xf numFmtId="4" fontId="33" fillId="23" borderId="103" applyNumberFormat="0" applyProtection="0">
      <alignment vertical="center"/>
    </xf>
    <xf numFmtId="4" fontId="31" fillId="9" borderId="103" applyNumberFormat="0" applyProtection="0">
      <alignment horizontal="right" vertical="center"/>
    </xf>
    <xf numFmtId="0" fontId="7" fillId="0" borderId="118"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4" fontId="31" fillId="43" borderId="103" applyNumberFormat="0" applyProtection="0">
      <alignment horizontal="right" vertical="center"/>
    </xf>
    <xf numFmtId="0" fontId="7" fillId="0" borderId="121" applyNumberFormat="0" applyFont="0" applyFill="0" applyAlignment="0" applyProtection="0"/>
    <xf numFmtId="0" fontId="7" fillId="0" borderId="122" applyNumberFormat="0" applyFont="0" applyFill="0" applyAlignment="0" applyProtection="0"/>
    <xf numFmtId="0" fontId="7" fillId="42" borderId="103" applyNumberFormat="0" applyProtection="0">
      <alignment horizontal="left" vertical="center"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38" borderId="103" applyNumberFormat="0" applyProtection="0">
      <alignment horizontal="left" vertical="center"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44" borderId="103" applyNumberFormat="0" applyProtection="0">
      <alignment horizontal="left" vertical="center"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5" borderId="103" applyNumberFormat="0" applyProtection="0">
      <alignment horizontal="left" vertical="center" indent="1"/>
    </xf>
    <xf numFmtId="0" fontId="7" fillId="45" borderId="103" applyNumberFormat="0" applyProtection="0">
      <alignment horizontal="left" vertical="top" indent="1"/>
    </xf>
    <xf numFmtId="0" fontId="7" fillId="45" borderId="103" applyNumberFormat="0" applyProtection="0">
      <alignment horizontal="left" vertical="top" indent="1"/>
    </xf>
    <xf numFmtId="4" fontId="102" fillId="22" borderId="103" applyNumberFormat="0" applyProtection="0">
      <alignment vertical="center"/>
    </xf>
    <xf numFmtId="0" fontId="31" fillId="22" borderId="103" applyNumberFormat="0" applyProtection="0">
      <alignment horizontal="left" vertical="top" indent="1"/>
    </xf>
    <xf numFmtId="4" fontId="102" fillId="41" borderId="103" applyNumberFormat="0" applyProtection="0">
      <alignment horizontal="right" vertical="center"/>
    </xf>
    <xf numFmtId="0" fontId="31" fillId="38" borderId="103" applyNumberFormat="0" applyProtection="0">
      <alignment horizontal="left" vertical="top" indent="1"/>
    </xf>
    <xf numFmtId="0" fontId="79" fillId="20" borderId="108" applyNumberFormat="0" applyAlignment="0" applyProtection="0"/>
    <xf numFmtId="4" fontId="104" fillId="41" borderId="103" applyNumberFormat="0" applyProtection="0">
      <alignment horizontal="right" vertical="center"/>
    </xf>
    <xf numFmtId="0" fontId="7" fillId="0" borderId="120" applyNumberFormat="0" applyFont="0" applyFill="0" applyAlignment="0" applyProtection="0"/>
    <xf numFmtId="0" fontId="7" fillId="0" borderId="121" applyNumberFormat="0" applyFont="0" applyFill="0" applyAlignment="0" applyProtection="0"/>
    <xf numFmtId="0" fontId="78" fillId="7" borderId="115" applyNumberFormat="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 fillId="0" borderId="118" applyNumberFormat="0" applyFont="0" applyFill="0" applyAlignment="0" applyProtection="0"/>
    <xf numFmtId="0" fontId="7" fillId="24" borderId="116" applyNumberFormat="0" applyFont="0" applyAlignment="0" applyProtection="0"/>
    <xf numFmtId="0" fontId="86" fillId="0" borderId="46">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7" fillId="24" borderId="116" applyNumberFormat="0" applyFont="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84" fillId="0" borderId="114">
      <protection locked="0"/>
    </xf>
    <xf numFmtId="0" fontId="21" fillId="0" borderId="107" applyNumberFormat="0" applyFill="0" applyAlignment="0" applyProtection="0"/>
    <xf numFmtId="0" fontId="21" fillId="0" borderId="107" applyNumberFormat="0" applyFill="0" applyAlignment="0" applyProtection="0"/>
    <xf numFmtId="0" fontId="7" fillId="0" borderId="120" applyNumberFormat="0" applyFont="0" applyFill="0" applyAlignment="0" applyProtection="0"/>
    <xf numFmtId="0" fontId="86" fillId="0" borderId="46">
      <alignment horizontal="left" vertical="center"/>
    </xf>
    <xf numFmtId="0" fontId="7" fillId="24" borderId="116" applyNumberFormat="0" applyFont="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24" borderId="116" applyNumberFormat="0" applyFont="0" applyAlignment="0" applyProtection="0"/>
    <xf numFmtId="0" fontId="1" fillId="0" borderId="0"/>
    <xf numFmtId="0" fontId="7" fillId="24" borderId="116" applyNumberFormat="0" applyFont="0" applyAlignment="0" applyProtection="0"/>
    <xf numFmtId="185" fontId="1" fillId="0" borderId="0" applyFont="0" applyFill="0" applyBorder="0" applyAlignment="0" applyProtection="0"/>
    <xf numFmtId="0" fontId="10" fillId="24" borderId="116" applyNumberFormat="0" applyFont="0" applyAlignment="0" applyProtection="0"/>
    <xf numFmtId="0" fontId="10"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8" applyNumberFormat="0" applyFont="0" applyFill="0" applyAlignment="0" applyProtection="0"/>
    <xf numFmtId="0" fontId="7" fillId="0" borderId="120" applyNumberFormat="0" applyFont="0" applyFill="0" applyAlignment="0" applyProtection="0"/>
    <xf numFmtId="0" fontId="7" fillId="0" borderId="122" applyNumberFormat="0" applyFont="0" applyFill="0" applyAlignment="0" applyProtection="0"/>
    <xf numFmtId="0" fontId="7" fillId="0" borderId="120" applyNumberFormat="0" applyFont="0" applyFill="0" applyAlignment="0" applyProtection="0"/>
    <xf numFmtId="0" fontId="79" fillId="20" borderId="108" applyNumberFormat="0" applyAlignment="0" applyProtection="0"/>
    <xf numFmtId="0" fontId="79" fillId="20" borderId="108" applyNumberFormat="0" applyAlignment="0" applyProtection="0"/>
    <xf numFmtId="0" fontId="13" fillId="20" borderId="115" applyNumberFormat="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22" applyNumberFormat="0" applyFont="0" applyFill="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2" applyNumberFormat="0" applyFont="0" applyFill="0" applyAlignment="0" applyProtection="0"/>
    <xf numFmtId="0" fontId="7" fillId="0" borderId="120" applyNumberFormat="0" applyFont="0" applyFill="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38" borderId="103" applyNumberFormat="0" applyProtection="0">
      <alignment horizontal="left" vertical="center" indent="1"/>
    </xf>
    <xf numFmtId="0" fontId="7" fillId="44" borderId="103" applyNumberFormat="0" applyProtection="0">
      <alignment horizontal="left" vertical="center" indent="1"/>
    </xf>
    <xf numFmtId="0" fontId="7" fillId="45" borderId="103" applyNumberFormat="0" applyProtection="0">
      <alignment horizontal="left" vertical="top" indent="1"/>
    </xf>
    <xf numFmtId="0" fontId="79" fillId="20" borderId="108" applyNumberFormat="0" applyAlignment="0" applyProtection="0"/>
    <xf numFmtId="0" fontId="32" fillId="47" borderId="125" applyNumberFormat="0" applyProtection="0">
      <alignment horizontal="center" wrapText="1"/>
    </xf>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7" fillId="24" borderId="116" applyNumberFormat="0" applyFont="0" applyAlignment="0" applyProtection="0"/>
    <xf numFmtId="0" fontId="7" fillId="0" borderId="121"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0" borderId="120" applyNumberFormat="0" applyFont="0" applyFill="0" applyAlignment="0" applyProtection="0"/>
    <xf numFmtId="0" fontId="7" fillId="0" borderId="122" applyNumberFormat="0" applyFont="0" applyFill="0" applyAlignment="0" applyProtection="0"/>
    <xf numFmtId="4" fontId="31" fillId="8" borderId="103" applyNumberFormat="0" applyProtection="0">
      <alignment horizontal="right" vertical="center"/>
    </xf>
    <xf numFmtId="0" fontId="13" fillId="20" borderId="115" applyNumberFormat="0" applyAlignment="0" applyProtection="0"/>
    <xf numFmtId="0" fontId="13" fillId="20" borderId="115" applyNumberFormat="0" applyAlignment="0" applyProtection="0"/>
    <xf numFmtId="0" fontId="7" fillId="0" borderId="121" applyNumberFormat="0" applyFont="0" applyFill="0" applyAlignment="0" applyProtection="0"/>
    <xf numFmtId="0" fontId="112" fillId="50" borderId="111" applyNumberFormat="0" applyAlignment="0" applyProtection="0"/>
    <xf numFmtId="0" fontId="7" fillId="24" borderId="116" applyNumberFormat="0" applyFont="0" applyAlignment="0" applyProtection="0"/>
    <xf numFmtId="0" fontId="79" fillId="20" borderId="108" applyNumberFormat="0" applyAlignment="0" applyProtection="0"/>
    <xf numFmtId="44" fontId="1" fillId="0" borderId="0" applyFont="0" applyFill="0" applyBorder="0" applyAlignment="0" applyProtection="0"/>
    <xf numFmtId="0" fontId="1" fillId="0" borderId="0"/>
    <xf numFmtId="0" fontId="7" fillId="0" borderId="116" applyNumberFormat="0" applyFont="0" applyFill="0" applyAlignment="0" applyProtection="0"/>
    <xf numFmtId="0" fontId="7" fillId="24" borderId="116" applyNumberFormat="0" applyFont="0" applyAlignment="0" applyProtection="0"/>
    <xf numFmtId="0" fontId="7" fillId="0" borderId="102" applyNumberFormat="0" applyFont="0" applyFill="0" applyAlignment="0" applyProtection="0"/>
    <xf numFmtId="0" fontId="86" fillId="0" borderId="46">
      <alignment horizontal="left" vertical="center"/>
    </xf>
    <xf numFmtId="0" fontId="10" fillId="24" borderId="116" applyNumberFormat="0" applyFon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0"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8" fillId="7" borderId="115"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9" fillId="20" borderId="108"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10" fontId="44" fillId="22" borderId="49" applyNumberFormat="0" applyBorder="0" applyAlignment="0" applyProtection="0"/>
    <xf numFmtId="0" fontId="7" fillId="24" borderId="116" applyNumberFormat="0" applyFont="0" applyAlignment="0" applyProtection="0"/>
    <xf numFmtId="0" fontId="13" fillId="20" borderId="115" applyNumberForma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86" fillId="0" borderId="112">
      <alignment horizontal="left" vertical="center"/>
    </xf>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19"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86" fillId="0" borderId="46">
      <alignment horizontal="left" vertical="center"/>
    </xf>
    <xf numFmtId="0" fontId="86" fillId="0" borderId="46">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13" fillId="20" borderId="115" applyNumberFormat="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13" fillId="20" borderId="115" applyNumberFormat="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8" fillId="7" borderId="115" applyNumberFormat="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86" fillId="0" borderId="46">
      <alignment horizontal="left" vertical="center"/>
    </xf>
    <xf numFmtId="0" fontId="86" fillId="0" borderId="46">
      <alignment horizontal="left" vertical="center"/>
    </xf>
    <xf numFmtId="0" fontId="7" fillId="0" borderId="120"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22"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9" fillId="20" borderId="108" applyNumberFormat="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13" fillId="20" borderId="115" applyNumberFormat="0" applyAlignment="0" applyProtection="0"/>
    <xf numFmtId="0" fontId="7" fillId="0" borderId="121" applyNumberFormat="0" applyFont="0" applyFill="0" applyAlignment="0" applyProtection="0"/>
    <xf numFmtId="0" fontId="13" fillId="20" borderId="115" applyNumberFormat="0" applyAlignment="0" applyProtection="0"/>
    <xf numFmtId="0" fontId="13" fillId="20" borderId="115" applyNumberFormat="0" applyAlignment="0" applyProtection="0"/>
    <xf numFmtId="0" fontId="7" fillId="0" borderId="116"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9" fillId="20" borderId="108" applyNumberFormat="0" applyAlignment="0" applyProtection="0"/>
    <xf numFmtId="0" fontId="13" fillId="20" borderId="115" applyNumberFormat="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2" applyNumberFormat="0" applyFont="0" applyFill="0" applyAlignment="0" applyProtection="0"/>
    <xf numFmtId="0" fontId="7" fillId="24" borderId="116" applyNumberFormat="0" applyFont="0" applyAlignment="0" applyProtection="0"/>
    <xf numFmtId="0" fontId="7" fillId="0" borderId="121" applyNumberFormat="0" applyFont="0" applyFill="0" applyAlignment="0" applyProtection="0"/>
    <xf numFmtId="0" fontId="7" fillId="24" borderId="116" applyNumberFormat="0" applyFont="0" applyAlignment="0" applyProtection="0"/>
    <xf numFmtId="0" fontId="112" fillId="50" borderId="111" applyNumberFormat="0" applyAlignment="0" applyProtection="0"/>
    <xf numFmtId="0" fontId="7" fillId="24" borderId="116" applyNumberFormat="0" applyFont="0" applyAlignment="0" applyProtection="0"/>
    <xf numFmtId="0" fontId="13" fillId="20" borderId="115" applyNumberForma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1" applyNumberFormat="0" applyFont="0" applyFill="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78" fillId="7" borderId="115" applyNumberForma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13" fillId="20" borderId="115" applyNumberFormat="0" applyAlignment="0" applyProtection="0"/>
    <xf numFmtId="0" fontId="13" fillId="20"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9" fillId="20" borderId="108" applyNumberFormat="0" applyAlignment="0" applyProtection="0"/>
    <xf numFmtId="0" fontId="86" fillId="0" borderId="46">
      <alignment horizontal="left" vertical="center"/>
    </xf>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112">
      <alignment horizontal="left" vertical="center"/>
    </xf>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6" applyNumberFormat="0" applyFont="0" applyFill="0" applyAlignment="0" applyProtection="0"/>
    <xf numFmtId="0" fontId="7" fillId="0" borderId="119" applyNumberFormat="0" applyFont="0" applyFill="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46">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19"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13" fillId="20" borderId="115" applyNumberFormat="0" applyAlignment="0" applyProtection="0"/>
    <xf numFmtId="0" fontId="7" fillId="24" borderId="116" applyNumberFormat="0" applyFont="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0" borderId="119" applyNumberFormat="0" applyFont="0" applyFill="0" applyAlignment="0" applyProtection="0"/>
    <xf numFmtId="0" fontId="79" fillId="20" borderId="108" applyNumberFormat="0" applyAlignment="0" applyProtection="0"/>
    <xf numFmtId="0" fontId="79" fillId="20" borderId="108" applyNumberFormat="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86" fillId="0" borderId="46">
      <alignment horizontal="left" vertical="center"/>
    </xf>
    <xf numFmtId="0" fontId="7" fillId="0" borderId="117" applyNumberFormat="0" applyFont="0" applyFill="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0" borderId="116" applyNumberFormat="0" applyFont="0" applyFill="0" applyAlignment="0" applyProtection="0"/>
    <xf numFmtId="0" fontId="7" fillId="0" borderId="119" applyNumberFormat="0" applyFont="0" applyFill="0" applyAlignment="0" applyProtection="0"/>
    <xf numFmtId="0" fontId="7" fillId="0" borderId="121" applyNumberFormat="0" applyFont="0" applyFill="0" applyAlignment="0" applyProtection="0"/>
    <xf numFmtId="0" fontId="7" fillId="0" borderId="123" applyNumberFormat="0" applyFont="0" applyFill="0" applyAlignment="0" applyProtection="0"/>
    <xf numFmtId="0" fontId="7" fillId="0" borderId="121" applyNumberFormat="0" applyFont="0" applyFill="0" applyAlignment="0" applyProtection="0"/>
    <xf numFmtId="0" fontId="7" fillId="24" borderId="116" applyNumberFormat="0" applyFont="0" applyAlignment="0" applyProtection="0"/>
    <xf numFmtId="0" fontId="7" fillId="0" borderId="117" applyNumberFormat="0" applyFont="0" applyFill="0" applyAlignment="0" applyProtection="0"/>
    <xf numFmtId="0" fontId="13" fillId="20" borderId="115" applyNumberFormat="0" applyAlignment="0" applyProtection="0"/>
    <xf numFmtId="0" fontId="7" fillId="0" borderId="118" applyNumberFormat="0" applyFont="0" applyFill="0" applyAlignment="0" applyProtection="0"/>
    <xf numFmtId="0" fontId="7" fillId="0" borderId="119" applyNumberFormat="0" applyFont="0" applyFill="0" applyAlignment="0" applyProtection="0"/>
    <xf numFmtId="0" fontId="7" fillId="0" borderId="117"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19"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21" fillId="0" borderId="107" applyNumberFormat="0" applyFill="0" applyAlignment="0" applyProtection="0"/>
    <xf numFmtId="0" fontId="7" fillId="0" borderId="122" applyNumberFormat="0" applyFont="0" applyFill="0" applyAlignment="0" applyProtection="0"/>
    <xf numFmtId="0" fontId="7" fillId="0" borderId="120" applyNumberFormat="0" applyFont="0" applyFill="0" applyAlignment="0" applyProtection="0"/>
    <xf numFmtId="0" fontId="7" fillId="0" borderId="119" applyNumberFormat="0" applyFont="0" applyFill="0" applyAlignment="0" applyProtection="0"/>
    <xf numFmtId="0" fontId="7" fillId="0" borderId="123"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4" fontId="31" fillId="17" borderId="103" applyNumberFormat="0" applyProtection="0">
      <alignment horizontal="right" vertical="center"/>
    </xf>
    <xf numFmtId="0" fontId="7" fillId="42" borderId="103" applyNumberFormat="0" applyProtection="0">
      <alignment horizontal="left" vertical="center" indent="1"/>
    </xf>
    <xf numFmtId="0" fontId="7" fillId="38" borderId="103" applyNumberFormat="0" applyProtection="0">
      <alignment horizontal="left" vertical="top" indent="1"/>
    </xf>
    <xf numFmtId="0" fontId="7" fillId="44" borderId="103" applyNumberFormat="0" applyProtection="0">
      <alignment horizontal="left" vertical="top" indent="1"/>
    </xf>
    <xf numFmtId="0" fontId="31" fillId="38" borderId="103" applyNumberFormat="0" applyProtection="0">
      <alignment horizontal="left" vertical="top" indent="1"/>
    </xf>
    <xf numFmtId="0" fontId="7" fillId="24" borderId="116" applyNumberFormat="0" applyFont="0" applyAlignment="0" applyProtection="0"/>
    <xf numFmtId="0" fontId="7" fillId="0" borderId="116" applyNumberFormat="0" applyFont="0" applyFill="0" applyAlignment="0" applyProtection="0"/>
    <xf numFmtId="0" fontId="7" fillId="24" borderId="116" applyNumberFormat="0" applyFont="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7" fillId="24" borderId="116" applyNumberFormat="0" applyFont="0" applyAlignment="0" applyProtection="0"/>
    <xf numFmtId="0" fontId="7" fillId="0" borderId="119" applyNumberFormat="0" applyFont="0" applyFill="0" applyAlignment="0" applyProtection="0"/>
    <xf numFmtId="0" fontId="79" fillId="20" borderId="108" applyNumberFormat="0" applyAlignment="0" applyProtection="0"/>
    <xf numFmtId="0" fontId="21" fillId="0" borderId="107" applyNumberFormat="0" applyFill="0" applyAlignment="0" applyProtection="0"/>
    <xf numFmtId="0" fontId="7" fillId="0" borderId="121"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02"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24" borderId="116" applyNumberFormat="0" applyFont="0" applyAlignment="0" applyProtection="0"/>
    <xf numFmtId="0" fontId="112" fillId="50" borderId="111" applyNumberFormat="0" applyAlignment="0" applyProtection="0"/>
    <xf numFmtId="0" fontId="7" fillId="24" borderId="116" applyNumberFormat="0" applyFont="0" applyAlignment="0" applyProtection="0"/>
    <xf numFmtId="185" fontId="1" fillId="0" borderId="0" applyFont="0" applyFill="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0" borderId="118" applyNumberFormat="0" applyFont="0" applyFill="0" applyAlignment="0" applyProtection="0"/>
    <xf numFmtId="4" fontId="100" fillId="37" borderId="103" applyNumberFormat="0" applyProtection="0">
      <alignment vertical="center"/>
    </xf>
    <xf numFmtId="0" fontId="7" fillId="24" borderId="116" applyNumberFormat="0" applyFont="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10" fillId="24" borderId="116" applyNumberFormat="0" applyFont="0" applyAlignment="0" applyProtection="0"/>
    <xf numFmtId="0" fontId="10" fillId="24" borderId="116" applyNumberFormat="0" applyFont="0" applyAlignment="0" applyProtection="0"/>
    <xf numFmtId="0" fontId="86" fillId="0" borderId="46">
      <alignment horizontal="left" vertical="center"/>
    </xf>
    <xf numFmtId="0" fontId="86" fillId="0" borderId="46">
      <alignment horizontal="left" vertical="center"/>
    </xf>
    <xf numFmtId="0" fontId="7" fillId="24" borderId="116" applyNumberFormat="0" applyFont="0" applyAlignment="0" applyProtection="0"/>
    <xf numFmtId="0" fontId="79" fillId="20" borderId="108" applyNumberFormat="0" applyAlignment="0" applyProtection="0"/>
    <xf numFmtId="0" fontId="86" fillId="0" borderId="46">
      <alignment horizontal="left" vertical="center"/>
    </xf>
    <xf numFmtId="0" fontId="79" fillId="20" borderId="108" applyNumberFormat="0" applyAlignment="0" applyProtection="0"/>
    <xf numFmtId="0" fontId="7" fillId="24" borderId="116" applyNumberFormat="0" applyFont="0" applyAlignment="0" applyProtection="0"/>
    <xf numFmtId="0" fontId="78" fillId="7" borderId="115" applyNumberFormat="0" applyAlignment="0" applyProtection="0"/>
    <xf numFmtId="0" fontId="7" fillId="0" borderId="122" applyNumberFormat="0" applyFont="0" applyFill="0" applyAlignment="0" applyProtection="0"/>
    <xf numFmtId="0" fontId="13" fillId="20" borderId="115"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86" fillId="0" borderId="46">
      <alignment horizontal="left" vertical="center"/>
    </xf>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185" fontId="1" fillId="0" borderId="0" applyFont="0" applyFill="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13" fillId="20" borderId="115" applyNumberFormat="0" applyAlignment="0" applyProtection="0"/>
    <xf numFmtId="0" fontId="86" fillId="0" borderId="112">
      <alignment horizontal="left" vertical="center"/>
    </xf>
    <xf numFmtId="0" fontId="7" fillId="0" borderId="117" applyNumberFormat="0" applyFont="0" applyFill="0" applyAlignment="0" applyProtection="0"/>
    <xf numFmtId="0" fontId="7" fillId="0" borderId="117" applyNumberFormat="0" applyFont="0" applyFill="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20"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13" fillId="20" borderId="115" applyNumberFormat="0" applyAlignment="0" applyProtection="0"/>
    <xf numFmtId="0" fontId="86" fillId="0" borderId="46">
      <alignment horizontal="left" vertical="center"/>
    </xf>
    <xf numFmtId="185" fontId="1" fillId="0" borderId="0" applyFont="0" applyFill="0" applyBorder="0" applyAlignment="0" applyProtection="0"/>
    <xf numFmtId="0" fontId="112" fillId="50" borderId="111" applyNumberFormat="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24" borderId="116" applyNumberFormat="0" applyFont="0" applyAlignment="0" applyProtection="0"/>
    <xf numFmtId="0" fontId="7" fillId="0" borderId="123" applyNumberFormat="0" applyFont="0" applyFill="0" applyAlignment="0" applyProtection="0"/>
    <xf numFmtId="0" fontId="79" fillId="20" borderId="108" applyNumberFormat="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13" fillId="20" borderId="115" applyNumberFormat="0" applyAlignment="0" applyProtection="0"/>
    <xf numFmtId="0" fontId="13" fillId="20" borderId="115" applyNumberFormat="0" applyAlignment="0" applyProtection="0"/>
    <xf numFmtId="0" fontId="7" fillId="0" borderId="118"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4" fontId="31" fillId="11" borderId="103" applyNumberFormat="0" applyProtection="0">
      <alignment horizontal="right" vertical="center"/>
    </xf>
    <xf numFmtId="0" fontId="7" fillId="0" borderId="116" applyNumberFormat="0" applyFont="0" applyFill="0" applyAlignment="0" applyProtection="0"/>
    <xf numFmtId="0" fontId="7" fillId="0" borderId="116" applyNumberFormat="0" applyFont="0" applyFill="0" applyAlignment="0" applyProtection="0"/>
    <xf numFmtId="0" fontId="7" fillId="0" borderId="120" applyNumberFormat="0" applyFont="0" applyFill="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19" applyNumberFormat="0" applyFont="0" applyFill="0" applyAlignment="0" applyProtection="0"/>
    <xf numFmtId="0" fontId="7" fillId="0" borderId="120" applyNumberFormat="0" applyFont="0" applyFill="0" applyAlignment="0" applyProtection="0"/>
    <xf numFmtId="0" fontId="13" fillId="20" borderId="115" applyNumberFormat="0" applyAlignment="0" applyProtection="0"/>
    <xf numFmtId="0" fontId="7" fillId="0" borderId="120"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13" fillId="20" borderId="115" applyNumberFormat="0" applyAlignment="0" applyProtection="0"/>
    <xf numFmtId="0" fontId="7" fillId="24" borderId="116" applyNumberFormat="0" applyFont="0" applyAlignment="0" applyProtection="0"/>
    <xf numFmtId="10" fontId="44" fillId="22" borderId="49" applyNumberFormat="0" applyBorder="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10" fontId="44" fillId="22" borderId="49" applyNumberFormat="0" applyBorder="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86" fillId="0" borderId="46">
      <alignment horizontal="left" vertical="center"/>
    </xf>
    <xf numFmtId="0" fontId="86" fillId="0" borderId="46">
      <alignment horizontal="left" vertical="center"/>
    </xf>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112">
      <alignment horizontal="left" vertical="center"/>
    </xf>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9" fillId="20" borderId="108" applyNumberFormat="0" applyAlignment="0" applyProtection="0"/>
    <xf numFmtId="0" fontId="79" fillId="20" borderId="108" applyNumberFormat="0" applyAlignment="0" applyProtection="0"/>
    <xf numFmtId="0" fontId="7" fillId="0" borderId="0"/>
    <xf numFmtId="0" fontId="79" fillId="20" borderId="108" applyNumberFormat="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10" fontId="44" fillId="22" borderId="113" applyNumberFormat="0" applyBorder="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02" applyNumberFormat="0" applyFont="0" applyFill="0" applyAlignment="0" applyProtection="0"/>
    <xf numFmtId="0" fontId="7" fillId="0" borderId="102" applyNumberFormat="0" applyFont="0" applyFill="0" applyAlignment="0" applyProtection="0"/>
    <xf numFmtId="0" fontId="7" fillId="24" borderId="116" applyNumberFormat="0" applyFont="0" applyAlignment="0" applyProtection="0"/>
    <xf numFmtId="4" fontId="33" fillId="23" borderId="103" applyNumberFormat="0" applyProtection="0">
      <alignment vertical="center"/>
    </xf>
    <xf numFmtId="4" fontId="100" fillId="37" borderId="103" applyNumberFormat="0" applyProtection="0">
      <alignment vertical="center"/>
    </xf>
    <xf numFmtId="4" fontId="33" fillId="37" borderId="103" applyNumberFormat="0" applyProtection="0">
      <alignment horizontal="left" vertical="center" indent="1"/>
    </xf>
    <xf numFmtId="0" fontId="33" fillId="37" borderId="103" applyNumberFormat="0" applyProtection="0">
      <alignment horizontal="left" vertical="top" indent="1"/>
    </xf>
    <xf numFmtId="0" fontId="7" fillId="24" borderId="116" applyNumberFormat="0" applyFont="0" applyAlignment="0" applyProtection="0"/>
    <xf numFmtId="4" fontId="31" fillId="3" borderId="103" applyNumberFormat="0" applyProtection="0">
      <alignment horizontal="right" vertical="center"/>
    </xf>
    <xf numFmtId="4" fontId="31" fillId="8" borderId="103" applyNumberFormat="0" applyProtection="0">
      <alignment horizontal="right" vertical="center"/>
    </xf>
    <xf numFmtId="4" fontId="31" fillId="17" borderId="103" applyNumberFormat="0" applyProtection="0">
      <alignment horizontal="right" vertical="center"/>
    </xf>
    <xf numFmtId="4" fontId="31" fillId="11" borderId="103" applyNumberFormat="0" applyProtection="0">
      <alignment horizontal="right" vertical="center"/>
    </xf>
    <xf numFmtId="4" fontId="31" fillId="15" borderId="103" applyNumberFormat="0" applyProtection="0">
      <alignment horizontal="right" vertical="center"/>
    </xf>
    <xf numFmtId="4" fontId="31" fillId="19" borderId="103" applyNumberFormat="0" applyProtection="0">
      <alignment horizontal="right" vertical="center"/>
    </xf>
    <xf numFmtId="4" fontId="31" fillId="18" borderId="103" applyNumberFormat="0" applyProtection="0">
      <alignment horizontal="right" vertical="center"/>
    </xf>
    <xf numFmtId="4" fontId="31" fillId="39" borderId="103" applyNumberFormat="0" applyProtection="0">
      <alignment horizontal="right" vertical="center"/>
    </xf>
    <xf numFmtId="4" fontId="31" fillId="9" borderId="103" applyNumberFormat="0" applyProtection="0">
      <alignment horizontal="right" vertical="center"/>
    </xf>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4" fontId="31" fillId="43" borderId="103" applyNumberFormat="0" applyProtection="0">
      <alignment horizontal="right" vertical="center"/>
    </xf>
    <xf numFmtId="0" fontId="7" fillId="24" borderId="116" applyNumberFormat="0" applyFont="0" applyAlignment="0" applyProtection="0"/>
    <xf numFmtId="0" fontId="7" fillId="0" borderId="117" applyNumberFormat="0" applyFont="0" applyFill="0" applyAlignment="0" applyProtection="0"/>
    <xf numFmtId="10" fontId="44" fillId="22" borderId="49" applyNumberFormat="0" applyBorder="0" applyAlignment="0" applyProtection="0"/>
    <xf numFmtId="0" fontId="78" fillId="7" borderId="115" applyNumberFormat="0" applyAlignment="0" applyProtection="0"/>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top" indent="1"/>
    </xf>
    <xf numFmtId="0" fontId="7" fillId="45" borderId="103" applyNumberFormat="0" applyProtection="0">
      <alignment horizontal="left" vertical="top" indent="1"/>
    </xf>
    <xf numFmtId="0" fontId="7" fillId="45" borderId="103" applyNumberFormat="0" applyProtection="0">
      <alignment horizontal="left" vertical="top" indent="1"/>
    </xf>
    <xf numFmtId="4" fontId="31" fillId="22" borderId="103" applyNumberFormat="0" applyProtection="0">
      <alignment vertical="center"/>
    </xf>
    <xf numFmtId="4" fontId="102" fillId="22" borderId="103" applyNumberFormat="0" applyProtection="0">
      <alignment vertical="center"/>
    </xf>
    <xf numFmtId="4" fontId="31" fillId="22" borderId="103" applyNumberFormat="0" applyProtection="0">
      <alignment horizontal="left" vertical="center" indent="1"/>
    </xf>
    <xf numFmtId="0" fontId="31" fillId="22" borderId="103" applyNumberFormat="0" applyProtection="0">
      <alignment horizontal="left" vertical="top" indent="1"/>
    </xf>
    <xf numFmtId="4" fontId="31" fillId="41" borderId="103" applyNumberFormat="0" applyProtection="0">
      <alignment horizontal="right" vertical="center"/>
    </xf>
    <xf numFmtId="4" fontId="102" fillId="41" borderId="103" applyNumberFormat="0" applyProtection="0">
      <alignment horizontal="right" vertical="center"/>
    </xf>
    <xf numFmtId="4" fontId="31" fillId="43" borderId="103" applyNumberFormat="0" applyProtection="0">
      <alignment horizontal="left" vertical="center" indent="1"/>
    </xf>
    <xf numFmtId="0" fontId="31" fillId="38" borderId="103" applyNumberFormat="0" applyProtection="0">
      <alignment horizontal="left" vertical="top" indent="1"/>
    </xf>
    <xf numFmtId="0" fontId="7" fillId="0" borderId="120"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4" fontId="104" fillId="41" borderId="103" applyNumberFormat="0" applyProtection="0">
      <alignment horizontal="right" vertical="center"/>
    </xf>
    <xf numFmtId="0" fontId="7" fillId="0" borderId="121"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19"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3"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7" fillId="0" borderId="119" applyNumberFormat="0" applyFont="0" applyFill="0" applyAlignment="0" applyProtection="0"/>
    <xf numFmtId="0" fontId="13" fillId="20" borderId="115" applyNumberFormat="0" applyAlignment="0" applyProtection="0"/>
    <xf numFmtId="0" fontId="7" fillId="24" borderId="116" applyNumberFormat="0" applyFont="0" applyAlignment="0" applyProtection="0"/>
    <xf numFmtId="0" fontId="1" fillId="0" borderId="0"/>
    <xf numFmtId="0" fontId="10"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22"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2" applyNumberFormat="0" applyFont="0" applyFill="0" applyAlignment="0" applyProtection="0"/>
    <xf numFmtId="0" fontId="7" fillId="0" borderId="116" applyNumberFormat="0" applyFont="0" applyFill="0" applyAlignment="0" applyProtection="0"/>
    <xf numFmtId="0" fontId="78" fillId="7" borderId="115" applyNumberFormat="0" applyAlignment="0" applyProtection="0"/>
    <xf numFmtId="0" fontId="7" fillId="0" borderId="116" applyNumberFormat="0" applyFont="0" applyFill="0" applyAlignment="0" applyProtection="0"/>
    <xf numFmtId="0" fontId="7" fillId="0" borderId="122"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9" fillId="20" borderId="108" applyNumberFormat="0" applyAlignment="0" applyProtection="0"/>
    <xf numFmtId="0" fontId="79" fillId="20" borderId="108" applyNumberFormat="0" applyAlignment="0" applyProtection="0"/>
    <xf numFmtId="0" fontId="7" fillId="0" borderId="116"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8" applyNumberFormat="0" applyFon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7" fillId="24" borderId="116" applyNumberFormat="0" applyFont="0" applyAlignment="0" applyProtection="0"/>
    <xf numFmtId="0" fontId="79" fillId="20" borderId="108" applyNumberFormat="0" applyAlignment="0" applyProtection="0"/>
    <xf numFmtId="44" fontId="1" fillId="0" borderId="0" applyFont="0" applyFill="0" applyBorder="0" applyAlignment="0" applyProtection="0"/>
    <xf numFmtId="0" fontId="7" fillId="24" borderId="116" applyNumberFormat="0" applyFont="0" applyAlignment="0" applyProtection="0"/>
    <xf numFmtId="0" fontId="7" fillId="0" borderId="121" applyNumberFormat="0" applyFont="0" applyFill="0" applyAlignment="0" applyProtection="0"/>
    <xf numFmtId="0" fontId="7" fillId="0" borderId="119" applyNumberFormat="0" applyFont="0" applyFill="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22" applyNumberFormat="0" applyFont="0" applyFill="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38" borderId="103" applyNumberFormat="0" applyProtection="0">
      <alignment horizontal="left" vertical="center" indent="1"/>
    </xf>
    <xf numFmtId="0" fontId="7" fillId="0" borderId="117" applyNumberFormat="0" applyFont="0" applyFill="0" applyAlignment="0" applyProtection="0"/>
    <xf numFmtId="0" fontId="13" fillId="20" borderId="115" applyNumberFormat="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44" fontId="1" fillId="0" borderId="0" applyFont="0" applyFill="0" applyBorder="0" applyAlignment="0" applyProtection="0"/>
    <xf numFmtId="0" fontId="1" fillId="0" borderId="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0" borderId="118" applyNumberFormat="0" applyFont="0" applyFill="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86" fillId="0" borderId="112">
      <alignment horizontal="left" vertical="center"/>
    </xf>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10" fillId="24" borderId="116" applyNumberFormat="0" applyFont="0" applyAlignment="0" applyProtection="0"/>
    <xf numFmtId="0" fontId="79" fillId="20" borderId="108" applyNumberFormat="0" applyAlignment="0" applyProtection="0"/>
    <xf numFmtId="0" fontId="7" fillId="0" borderId="0"/>
    <xf numFmtId="0" fontId="7" fillId="24" borderId="116" applyNumberFormat="0" applyFont="0" applyAlignment="0" applyProtection="0"/>
    <xf numFmtId="0" fontId="10" fillId="24" borderId="116" applyNumberFormat="0" applyFont="0" applyAlignment="0" applyProtection="0"/>
    <xf numFmtId="0" fontId="7" fillId="0" borderId="0"/>
    <xf numFmtId="0" fontId="78" fillId="7" borderId="115"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10" fontId="44" fillId="22" borderId="113" applyNumberFormat="0" applyBorder="0" applyAlignment="0" applyProtection="0"/>
    <xf numFmtId="0" fontId="10" fillId="24" borderId="116" applyNumberFormat="0" applyFont="0" applyAlignment="0" applyProtection="0"/>
    <xf numFmtId="0" fontId="86" fillId="0" borderId="46">
      <alignment horizontal="left" vertical="center"/>
    </xf>
    <xf numFmtId="0" fontId="86" fillId="0" borderId="46">
      <alignment horizontal="left" vertical="center"/>
    </xf>
    <xf numFmtId="0" fontId="7" fillId="24" borderId="116" applyNumberFormat="0" applyFont="0" applyAlignment="0" applyProtection="0"/>
    <xf numFmtId="0" fontId="7" fillId="0" borderId="102" applyNumberFormat="0" applyFont="0" applyFill="0" applyAlignment="0" applyProtection="0"/>
    <xf numFmtId="0" fontId="7" fillId="0" borderId="102" applyNumberFormat="0" applyFont="0" applyFill="0" applyAlignment="0" applyProtection="0"/>
    <xf numFmtId="0" fontId="7" fillId="24" borderId="116" applyNumberFormat="0" applyFont="0" applyAlignment="0" applyProtection="0"/>
    <xf numFmtId="4" fontId="33" fillId="23" borderId="103" applyNumberFormat="0" applyProtection="0">
      <alignment vertical="center"/>
    </xf>
    <xf numFmtId="4" fontId="100" fillId="37" borderId="103" applyNumberFormat="0" applyProtection="0">
      <alignment vertical="center"/>
    </xf>
    <xf numFmtId="4" fontId="33" fillId="37" borderId="103" applyNumberFormat="0" applyProtection="0">
      <alignment horizontal="left" vertical="center" indent="1"/>
    </xf>
    <xf numFmtId="0" fontId="33" fillId="37" borderId="103" applyNumberFormat="0" applyProtection="0">
      <alignment horizontal="left" vertical="top" indent="1"/>
    </xf>
    <xf numFmtId="0" fontId="7" fillId="0" borderId="117" applyNumberFormat="0" applyFont="0" applyFill="0" applyAlignment="0" applyProtection="0"/>
    <xf numFmtId="4" fontId="31" fillId="3" borderId="103" applyNumberFormat="0" applyProtection="0">
      <alignment horizontal="right" vertical="center"/>
    </xf>
    <xf numFmtId="4" fontId="31" fillId="8" borderId="103" applyNumberFormat="0" applyProtection="0">
      <alignment horizontal="right" vertical="center"/>
    </xf>
    <xf numFmtId="4" fontId="31" fillId="17" borderId="103" applyNumberFormat="0" applyProtection="0">
      <alignment horizontal="right" vertical="center"/>
    </xf>
    <xf numFmtId="4" fontId="31" fillId="11" borderId="103" applyNumberFormat="0" applyProtection="0">
      <alignment horizontal="right" vertical="center"/>
    </xf>
    <xf numFmtId="4" fontId="31" fillId="15" borderId="103" applyNumberFormat="0" applyProtection="0">
      <alignment horizontal="right" vertical="center"/>
    </xf>
    <xf numFmtId="4" fontId="31" fillId="19" borderId="103" applyNumberFormat="0" applyProtection="0">
      <alignment horizontal="right" vertical="center"/>
    </xf>
    <xf numFmtId="4" fontId="31" fillId="18" borderId="103" applyNumberFormat="0" applyProtection="0">
      <alignment horizontal="right" vertical="center"/>
    </xf>
    <xf numFmtId="4" fontId="31" fillId="39" borderId="103" applyNumberFormat="0" applyProtection="0">
      <alignment horizontal="right" vertical="center"/>
    </xf>
    <xf numFmtId="4" fontId="31" fillId="9" borderId="103" applyNumberFormat="0" applyProtection="0">
      <alignment horizontal="righ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4" fontId="31" fillId="43" borderId="103" applyNumberFormat="0" applyProtection="0">
      <alignment horizontal="right" vertical="center"/>
    </xf>
    <xf numFmtId="0" fontId="13" fillId="20" borderId="115" applyNumberForma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top" indent="1"/>
    </xf>
    <xf numFmtId="0" fontId="7" fillId="45" borderId="103" applyNumberFormat="0" applyProtection="0">
      <alignment horizontal="left" vertical="top" indent="1"/>
    </xf>
    <xf numFmtId="0" fontId="7" fillId="45" borderId="103" applyNumberFormat="0" applyProtection="0">
      <alignment horizontal="left" vertical="top" indent="1"/>
    </xf>
    <xf numFmtId="4" fontId="31" fillId="22" borderId="103" applyNumberFormat="0" applyProtection="0">
      <alignment vertical="center"/>
    </xf>
    <xf numFmtId="4" fontId="102" fillId="22" borderId="103" applyNumberFormat="0" applyProtection="0">
      <alignment vertical="center"/>
    </xf>
    <xf numFmtId="4" fontId="31" fillId="22" borderId="103" applyNumberFormat="0" applyProtection="0">
      <alignment horizontal="left" vertical="center" indent="1"/>
    </xf>
    <xf numFmtId="0" fontId="31" fillId="22" borderId="103" applyNumberFormat="0" applyProtection="0">
      <alignment horizontal="left" vertical="top" indent="1"/>
    </xf>
    <xf numFmtId="4" fontId="31" fillId="41" borderId="103" applyNumberFormat="0" applyProtection="0">
      <alignment horizontal="right" vertical="center"/>
    </xf>
    <xf numFmtId="4" fontId="102" fillId="41" borderId="103" applyNumberFormat="0" applyProtection="0">
      <alignment horizontal="right" vertical="center"/>
    </xf>
    <xf numFmtId="4" fontId="31" fillId="43" borderId="103" applyNumberFormat="0" applyProtection="0">
      <alignment horizontal="left" vertical="center" indent="1"/>
    </xf>
    <xf numFmtId="0" fontId="31" fillId="38" borderId="103" applyNumberFormat="0" applyProtection="0">
      <alignment horizontal="left" vertical="top" indent="1"/>
    </xf>
    <xf numFmtId="0" fontId="7" fillId="0" borderId="123"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4" fontId="104" fillId="41" borderId="103" applyNumberFormat="0" applyProtection="0">
      <alignment horizontal="right" vertical="center"/>
    </xf>
    <xf numFmtId="0" fontId="78" fillId="7" borderId="115" applyNumberFormat="0" applyAlignment="0" applyProtection="0"/>
    <xf numFmtId="0" fontId="78" fillId="7" borderId="115" applyNumberFormat="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79" fillId="20" borderId="108" applyNumberFormat="0" applyAlignment="0" applyProtection="0"/>
    <xf numFmtId="0" fontId="7" fillId="0" borderId="117" applyNumberFormat="0" applyFont="0" applyFill="0" applyAlignment="0" applyProtection="0"/>
    <xf numFmtId="0" fontId="13" fillId="20" borderId="115" applyNumberFormat="0" applyAlignment="0" applyProtection="0"/>
    <xf numFmtId="0" fontId="7" fillId="24" borderId="116" applyNumberFormat="0" applyFont="0" applyAlignment="0" applyProtection="0"/>
    <xf numFmtId="0" fontId="13" fillId="20" borderId="115" applyNumberForma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13" fillId="20" borderId="115" applyNumberFormat="0" applyAlignment="0" applyProtection="0"/>
    <xf numFmtId="0" fontId="13" fillId="20" borderId="115" applyNumberFormat="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19" applyNumberFormat="0" applyFont="0" applyFill="0" applyAlignment="0" applyProtection="0"/>
    <xf numFmtId="0" fontId="7" fillId="0" borderId="122" applyNumberFormat="0" applyFont="0" applyFill="0" applyAlignment="0" applyProtection="0"/>
    <xf numFmtId="0" fontId="7" fillId="0" borderId="119" applyNumberFormat="0" applyFont="0" applyFill="0" applyAlignment="0" applyProtection="0"/>
    <xf numFmtId="0" fontId="7" fillId="0" borderId="118" applyNumberFormat="0" applyFon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84" fillId="0" borderId="114">
      <protection locked="0"/>
    </xf>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22" applyNumberFormat="0" applyFont="0" applyFill="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7"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9" fillId="20" borderId="108" applyNumberFormat="0" applyAlignment="0" applyProtection="0"/>
    <xf numFmtId="0" fontId="7" fillId="24" borderId="116" applyNumberFormat="0" applyFont="0" applyAlignment="0" applyProtection="0"/>
    <xf numFmtId="44" fontId="1" fillId="0" borderId="0" applyFont="0" applyFill="0" applyBorder="0" applyAlignment="0" applyProtection="0"/>
    <xf numFmtId="0" fontId="1" fillId="0" borderId="0"/>
    <xf numFmtId="0" fontId="10" fillId="24" borderId="116" applyNumberFormat="0" applyFont="0" applyAlignment="0" applyProtection="0"/>
    <xf numFmtId="0" fontId="10" fillId="24" borderId="116" applyNumberFormat="0" applyFont="0" applyAlignment="0" applyProtection="0"/>
    <xf numFmtId="0" fontId="86" fillId="0" borderId="46">
      <alignment horizontal="left" vertical="center"/>
    </xf>
    <xf numFmtId="0" fontId="86" fillId="0" borderId="46">
      <alignment horizontal="left" vertical="center"/>
    </xf>
    <xf numFmtId="0" fontId="7" fillId="24" borderId="116" applyNumberFormat="0" applyFont="0" applyAlignment="0" applyProtection="0"/>
    <xf numFmtId="0" fontId="7" fillId="24" borderId="116" applyNumberFormat="0" applyFont="0" applyAlignment="0" applyProtection="0"/>
    <xf numFmtId="0" fontId="86" fillId="0" borderId="46">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46">
      <alignment horizontal="left" vertical="center"/>
    </xf>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13" fillId="20" borderId="115" applyNumberFormat="0" applyAlignment="0" applyProtection="0"/>
    <xf numFmtId="0" fontId="13" fillId="20" borderId="115"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4" fontId="33" fillId="37" borderId="103" applyNumberFormat="0" applyProtection="0">
      <alignment horizontal="left" vertical="center" indent="1"/>
    </xf>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 fillId="24" borderId="116" applyNumberFormat="0" applyFont="0" applyAlignment="0" applyProtection="0"/>
    <xf numFmtId="44" fontId="1" fillId="0" borderId="0" applyFont="0" applyFill="0" applyBorder="0" applyAlignment="0" applyProtection="0"/>
    <xf numFmtId="0" fontId="1" fillId="0" borderId="0"/>
    <xf numFmtId="0" fontId="7" fillId="24" borderId="116" applyNumberFormat="0" applyFont="0" applyAlignment="0" applyProtection="0"/>
    <xf numFmtId="0" fontId="7" fillId="0" borderId="121"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10" fontId="44" fillId="22" borderId="49" applyNumberFormat="0" applyBorder="0" applyAlignment="0" applyProtection="0"/>
    <xf numFmtId="0" fontId="79" fillId="20" borderId="108"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13" fillId="20" borderId="115" applyNumberForma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13" fillId="20" borderId="115" applyNumberFormat="0" applyAlignment="0" applyProtection="0"/>
    <xf numFmtId="0" fontId="86" fillId="0" borderId="46">
      <alignment horizontal="left" vertical="center"/>
    </xf>
    <xf numFmtId="0" fontId="86" fillId="0" borderId="46">
      <alignment horizontal="left" vertical="center"/>
    </xf>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112">
      <alignment horizontal="left" vertical="center"/>
    </xf>
    <xf numFmtId="0" fontId="86" fillId="0" borderId="112">
      <alignment horizontal="left" vertical="center"/>
    </xf>
    <xf numFmtId="0" fontId="86" fillId="0" borderId="112">
      <alignment horizontal="left" vertical="center"/>
    </xf>
    <xf numFmtId="0" fontId="86" fillId="0" borderId="112">
      <alignment horizontal="left" vertical="center"/>
    </xf>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112">
      <alignment horizontal="left" vertical="center"/>
    </xf>
    <xf numFmtId="0" fontId="86" fillId="0" borderId="112">
      <alignment horizontal="left" vertical="center"/>
    </xf>
    <xf numFmtId="0" fontId="86" fillId="0" borderId="112">
      <alignment horizontal="left" vertical="center"/>
    </xf>
    <xf numFmtId="0" fontId="86" fillId="0" borderId="112">
      <alignment horizontal="left" vertical="center"/>
    </xf>
    <xf numFmtId="0" fontId="86" fillId="0" borderId="112">
      <alignment horizontal="left" vertical="center"/>
    </xf>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10"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10" fillId="24" borderId="116" applyNumberFormat="0" applyFont="0" applyAlignment="0" applyProtection="0"/>
    <xf numFmtId="0" fontId="86" fillId="0" borderId="46">
      <alignment horizontal="left" vertical="center"/>
    </xf>
    <xf numFmtId="0" fontId="86" fillId="0" borderId="46">
      <alignment horizontal="left" vertical="center"/>
    </xf>
    <xf numFmtId="0" fontId="86" fillId="0" borderId="46">
      <alignment horizontal="left" vertical="center"/>
    </xf>
    <xf numFmtId="0" fontId="7" fillId="0" borderId="102" applyNumberFormat="0" applyFont="0" applyFill="0" applyAlignment="0" applyProtection="0"/>
    <xf numFmtId="0" fontId="7" fillId="0" borderId="102" applyNumberFormat="0" applyFont="0" applyFill="0" applyAlignment="0" applyProtection="0"/>
    <xf numFmtId="0" fontId="7" fillId="0" borderId="119" applyNumberFormat="0" applyFont="0" applyFill="0" applyAlignment="0" applyProtection="0"/>
    <xf numFmtId="4" fontId="33" fillId="23" borderId="103" applyNumberFormat="0" applyProtection="0">
      <alignment vertical="center"/>
    </xf>
    <xf numFmtId="4" fontId="100" fillId="37" borderId="103" applyNumberFormat="0" applyProtection="0">
      <alignment vertical="center"/>
    </xf>
    <xf numFmtId="4" fontId="33" fillId="37" borderId="103" applyNumberFormat="0" applyProtection="0">
      <alignment horizontal="left" vertical="center" indent="1"/>
    </xf>
    <xf numFmtId="0" fontId="33" fillId="37" borderId="103" applyNumberFormat="0" applyProtection="0">
      <alignment horizontal="left" vertical="top" indent="1"/>
    </xf>
    <xf numFmtId="0" fontId="7" fillId="0" borderId="120" applyNumberFormat="0" applyFont="0" applyFill="0" applyAlignment="0" applyProtection="0"/>
    <xf numFmtId="4" fontId="31" fillId="3" borderId="103" applyNumberFormat="0" applyProtection="0">
      <alignment horizontal="right" vertical="center"/>
    </xf>
    <xf numFmtId="4" fontId="31" fillId="8" borderId="103" applyNumberFormat="0" applyProtection="0">
      <alignment horizontal="right" vertical="center"/>
    </xf>
    <xf numFmtId="4" fontId="31" fillId="17" borderId="103" applyNumberFormat="0" applyProtection="0">
      <alignment horizontal="right" vertical="center"/>
    </xf>
    <xf numFmtId="4" fontId="31" fillId="11" borderId="103" applyNumberFormat="0" applyProtection="0">
      <alignment horizontal="right" vertical="center"/>
    </xf>
    <xf numFmtId="4" fontId="31" fillId="15" borderId="103" applyNumberFormat="0" applyProtection="0">
      <alignment horizontal="right" vertical="center"/>
    </xf>
    <xf numFmtId="4" fontId="31" fillId="19" borderId="103" applyNumberFormat="0" applyProtection="0">
      <alignment horizontal="right" vertical="center"/>
    </xf>
    <xf numFmtId="4" fontId="31" fillId="18" borderId="103" applyNumberFormat="0" applyProtection="0">
      <alignment horizontal="right" vertical="center"/>
    </xf>
    <xf numFmtId="4" fontId="31" fillId="39" borderId="103" applyNumberFormat="0" applyProtection="0">
      <alignment horizontal="right" vertical="center"/>
    </xf>
    <xf numFmtId="4" fontId="31" fillId="9" borderId="103" applyNumberFormat="0" applyProtection="0">
      <alignment horizontal="right" vertical="center"/>
    </xf>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22" applyNumberFormat="0" applyFont="0" applyFill="0" applyAlignment="0" applyProtection="0"/>
    <xf numFmtId="4" fontId="31" fillId="43" borderId="103" applyNumberFormat="0" applyProtection="0">
      <alignment horizontal="right" vertical="center"/>
    </xf>
    <xf numFmtId="0" fontId="7" fillId="24" borderId="116" applyNumberFormat="0" applyFont="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top" indent="1"/>
    </xf>
    <xf numFmtId="0" fontId="7" fillId="45" borderId="103" applyNumberFormat="0" applyProtection="0">
      <alignment horizontal="left" vertical="top" indent="1"/>
    </xf>
    <xf numFmtId="0" fontId="7" fillId="45" borderId="103" applyNumberFormat="0" applyProtection="0">
      <alignment horizontal="left" vertical="top" indent="1"/>
    </xf>
    <xf numFmtId="4" fontId="31" fillId="22" borderId="103" applyNumberFormat="0" applyProtection="0">
      <alignment vertical="center"/>
    </xf>
    <xf numFmtId="4" fontId="102" fillId="22" borderId="103" applyNumberFormat="0" applyProtection="0">
      <alignment vertical="center"/>
    </xf>
    <xf numFmtId="4" fontId="31" fillId="22" borderId="103" applyNumberFormat="0" applyProtection="0">
      <alignment horizontal="left" vertical="center" indent="1"/>
    </xf>
    <xf numFmtId="0" fontId="31" fillId="22" borderId="103" applyNumberFormat="0" applyProtection="0">
      <alignment horizontal="left" vertical="top" indent="1"/>
    </xf>
    <xf numFmtId="4" fontId="31" fillId="41" borderId="103" applyNumberFormat="0" applyProtection="0">
      <alignment horizontal="right" vertical="center"/>
    </xf>
    <xf numFmtId="4" fontId="102" fillId="41" borderId="103" applyNumberFormat="0" applyProtection="0">
      <alignment horizontal="right" vertical="center"/>
    </xf>
    <xf numFmtId="4" fontId="31" fillId="43" borderId="103" applyNumberFormat="0" applyProtection="0">
      <alignment horizontal="left" vertical="center" indent="1"/>
    </xf>
    <xf numFmtId="0" fontId="31" fillId="38" borderId="103" applyNumberFormat="0" applyProtection="0">
      <alignment horizontal="left" vertical="top" indent="1"/>
    </xf>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4" fontId="104" fillId="41" borderId="103" applyNumberFormat="0" applyProtection="0">
      <alignment horizontal="right" vertical="center"/>
    </xf>
    <xf numFmtId="0" fontId="7" fillId="0" borderId="122" applyNumberFormat="0" applyFont="0" applyFill="0" applyAlignment="0" applyProtection="0"/>
    <xf numFmtId="0" fontId="7" fillId="0" borderId="123" applyNumberFormat="0" applyFont="0" applyFill="0" applyAlignment="0" applyProtection="0"/>
    <xf numFmtId="0" fontId="13" fillId="20" borderId="115" applyNumberFormat="0" applyAlignment="0" applyProtection="0"/>
    <xf numFmtId="0" fontId="79" fillId="20" borderId="108" applyNumberFormat="0" applyAlignment="0" applyProtection="0"/>
    <xf numFmtId="0" fontId="7" fillId="0" borderId="117" applyNumberFormat="0" applyFont="0" applyFill="0" applyAlignment="0" applyProtection="0"/>
    <xf numFmtId="0" fontId="13" fillId="20" borderId="115" applyNumberFormat="0" applyAlignment="0" applyProtection="0"/>
    <xf numFmtId="0" fontId="7" fillId="0" borderId="116" applyNumberFormat="0" applyFont="0" applyFill="0" applyAlignment="0" applyProtection="0"/>
    <xf numFmtId="0" fontId="79" fillId="20" borderId="108" applyNumberFormat="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02"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13" fillId="20" borderId="115" applyNumberFormat="0" applyAlignment="0" applyProtection="0"/>
    <xf numFmtId="0" fontId="7" fillId="0" borderId="121" applyNumberFormat="0" applyFont="0" applyFill="0" applyAlignment="0" applyProtection="0"/>
    <xf numFmtId="0" fontId="13" fillId="20" borderId="115" applyNumberForma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19" applyNumberFormat="0" applyFont="0" applyFill="0" applyAlignment="0" applyProtection="0"/>
    <xf numFmtId="0" fontId="7" fillId="0" borderId="123" applyNumberFormat="0" applyFont="0" applyFill="0" applyAlignment="0" applyProtection="0"/>
    <xf numFmtId="0" fontId="7" fillId="0" borderId="120" applyNumberFormat="0" applyFon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7" fillId="0" borderId="122" applyNumberFormat="0" applyFon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112" fillId="50" borderId="111" applyNumberFormat="0" applyAlignment="0" applyProtection="0"/>
    <xf numFmtId="185" fontId="1" fillId="0" borderId="0" applyFont="0" applyFill="0" applyBorder="0" applyAlignment="0" applyProtection="0"/>
    <xf numFmtId="0" fontId="10" fillId="24" borderId="116" applyNumberFormat="0" applyFont="0" applyAlignment="0" applyProtection="0"/>
    <xf numFmtId="0" fontId="10" fillId="24" borderId="116" applyNumberFormat="0" applyFont="0" applyAlignment="0" applyProtection="0"/>
    <xf numFmtId="0" fontId="86" fillId="0" borderId="46">
      <alignment horizontal="left" vertical="center"/>
    </xf>
    <xf numFmtId="0" fontId="86" fillId="0" borderId="46">
      <alignment horizontal="left" vertical="center"/>
    </xf>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0" borderId="122" applyNumberFormat="0" applyFont="0" applyFill="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46">
      <alignment horizontal="left" vertical="center"/>
    </xf>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112" fillId="50" borderId="111" applyNumberFormat="0" applyAlignment="0" applyProtection="0"/>
    <xf numFmtId="0" fontId="7" fillId="24" borderId="116" applyNumberFormat="0" applyFont="0" applyAlignment="0" applyProtection="0"/>
    <xf numFmtId="185" fontId="1" fillId="0" borderId="0" applyFont="0" applyFill="0" applyBorder="0" applyAlignment="0" applyProtection="0"/>
    <xf numFmtId="0" fontId="7" fillId="24" borderId="116" applyNumberFormat="0" applyFont="0" applyAlignment="0" applyProtection="0"/>
    <xf numFmtId="0" fontId="86" fillId="0" borderId="112">
      <alignment horizontal="left" vertical="center"/>
    </xf>
    <xf numFmtId="0" fontId="7"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0" fontId="79" fillId="20" borderId="108" applyNumberFormat="0" applyAlignment="0" applyProtection="0"/>
    <xf numFmtId="0" fontId="7" fillId="0" borderId="122" applyNumberFormat="0" applyFont="0" applyFill="0" applyAlignment="0" applyProtection="0"/>
    <xf numFmtId="0" fontId="10" fillId="24" borderId="116" applyNumberFormat="0" applyFont="0" applyAlignment="0" applyProtection="0"/>
    <xf numFmtId="0" fontId="7" fillId="0" borderId="121"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1" fillId="0" borderId="0"/>
    <xf numFmtId="0" fontId="7" fillId="24" borderId="116" applyNumberFormat="0" applyFont="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13" fillId="20" borderId="115" applyNumberFormat="0" applyAlignment="0" applyProtection="0"/>
    <xf numFmtId="0" fontId="7" fillId="24" borderId="116" applyNumberFormat="0" applyFont="0" applyAlignment="0" applyProtection="0"/>
    <xf numFmtId="0" fontId="7" fillId="0" borderId="116" applyNumberFormat="0" applyFont="0" applyFill="0" applyAlignment="0" applyProtection="0"/>
    <xf numFmtId="4" fontId="104" fillId="41" borderId="103" applyNumberFormat="0" applyProtection="0">
      <alignment horizontal="right" vertical="center"/>
    </xf>
    <xf numFmtId="0" fontId="31" fillId="22" borderId="103" applyNumberFormat="0" applyProtection="0">
      <alignment horizontal="left" vertical="top" indent="1"/>
    </xf>
    <xf numFmtId="0" fontId="7" fillId="45" borderId="103" applyNumberFormat="0" applyProtection="0">
      <alignment horizontal="left" vertical="center" indent="1"/>
    </xf>
    <xf numFmtId="0" fontId="7" fillId="44" borderId="103" applyNumberFormat="0" applyProtection="0">
      <alignment horizontal="left" vertical="center" indent="1"/>
    </xf>
    <xf numFmtId="0" fontId="7" fillId="38" borderId="103" applyNumberFormat="0" applyProtection="0">
      <alignment horizontal="left" vertical="top" indent="1"/>
    </xf>
    <xf numFmtId="0" fontId="7" fillId="38" borderId="103" applyNumberFormat="0" applyProtection="0">
      <alignment horizontal="left" vertical="center" indent="1"/>
    </xf>
    <xf numFmtId="0" fontId="7" fillId="42" borderId="103" applyNumberFormat="0" applyProtection="0">
      <alignment horizontal="left" vertical="top" indent="1"/>
    </xf>
    <xf numFmtId="0" fontId="7" fillId="24" borderId="116" applyNumberFormat="0" applyFont="0" applyAlignment="0" applyProtection="0"/>
    <xf numFmtId="4" fontId="31" fillId="18" borderId="103" applyNumberFormat="0" applyProtection="0">
      <alignment horizontal="right" vertical="center"/>
    </xf>
    <xf numFmtId="4" fontId="100" fillId="37" borderId="103" applyNumberFormat="0" applyProtection="0">
      <alignmen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13" fillId="20" borderId="115" applyNumberFormat="0" applyAlignment="0" applyProtection="0"/>
    <xf numFmtId="0" fontId="79" fillId="20" borderId="108" applyNumberFormat="0" applyAlignment="0" applyProtection="0"/>
    <xf numFmtId="0" fontId="7" fillId="0" borderId="119" applyNumberFormat="0" applyFont="0" applyFill="0" applyAlignment="0" applyProtection="0"/>
    <xf numFmtId="0" fontId="7" fillId="0" borderId="120"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19" applyNumberFormat="0" applyFont="0" applyFill="0" applyAlignment="0" applyProtection="0"/>
    <xf numFmtId="0" fontId="7" fillId="0" borderId="120" applyNumberFormat="0" applyFont="0" applyFill="0" applyAlignment="0" applyProtection="0"/>
    <xf numFmtId="44" fontId="1" fillId="0" borderId="0" applyFont="0" applyFill="0" applyBorder="0" applyAlignment="0" applyProtection="0"/>
    <xf numFmtId="0" fontId="7" fillId="0" borderId="119" applyNumberFormat="0" applyFont="0" applyFill="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4" fontId="33" fillId="40" borderId="124" applyNumberFormat="0" applyProtection="0">
      <alignment horizontal="left" vertical="center" indent="1"/>
    </xf>
    <xf numFmtId="0" fontId="7" fillId="24" borderId="116" applyNumberFormat="0" applyFont="0" applyAlignment="0" applyProtection="0"/>
    <xf numFmtId="0" fontId="7" fillId="24" borderId="116" applyNumberFormat="0" applyFont="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19"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4" fontId="100" fillId="37" borderId="103" applyNumberFormat="0" applyProtection="0">
      <alignment vertical="center"/>
    </xf>
    <xf numFmtId="0" fontId="112" fillId="50" borderId="111" applyNumberFormat="0" applyAlignment="0" applyProtection="0"/>
    <xf numFmtId="0" fontId="7" fillId="0" borderId="122" applyNumberFormat="0" applyFont="0" applyFill="0" applyAlignment="0" applyProtection="0"/>
    <xf numFmtId="0" fontId="7" fillId="0" borderId="120" applyNumberFormat="0" applyFont="0" applyFill="0" applyAlignment="0" applyProtection="0"/>
    <xf numFmtId="0" fontId="7" fillId="0" borderId="122" applyNumberFormat="0" applyFont="0" applyFill="0" applyAlignment="0" applyProtection="0"/>
    <xf numFmtId="0" fontId="7" fillId="0" borderId="120" applyNumberFormat="0" applyFont="0" applyFill="0" applyAlignment="0" applyProtection="0"/>
    <xf numFmtId="0" fontId="7" fillId="0" borderId="119" applyNumberFormat="0" applyFont="0" applyFill="0" applyAlignment="0" applyProtection="0"/>
    <xf numFmtId="0" fontId="7" fillId="0" borderId="116" applyNumberFormat="0" applyFont="0" applyFill="0" applyAlignment="0" applyProtection="0"/>
    <xf numFmtId="0" fontId="13" fillId="20" borderId="115" applyNumberFormat="0" applyAlignment="0" applyProtection="0"/>
    <xf numFmtId="0" fontId="13" fillId="20" borderId="115" applyNumberFormat="0" applyAlignment="0" applyProtection="0"/>
    <xf numFmtId="0" fontId="7" fillId="0" borderId="117" applyNumberFormat="0" applyFont="0" applyFill="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19"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16"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19"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13" fillId="20" borderId="115" applyNumberFormat="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0" borderId="117" applyNumberFormat="0" applyFont="0" applyFill="0" applyAlignment="0" applyProtection="0"/>
    <xf numFmtId="0" fontId="13" fillId="20" borderId="115" applyNumberFormat="0" applyAlignment="0" applyProtection="0"/>
    <xf numFmtId="0" fontId="13" fillId="20" borderId="115" applyNumberForma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86" fillId="0" borderId="46">
      <alignment horizontal="left" vertical="center"/>
    </xf>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13" fillId="20" borderId="115"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9" fillId="20" borderId="108" applyNumberForma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0" fillId="24" borderId="116" applyNumberFormat="0" applyFont="0" applyAlignment="0" applyProtection="0"/>
    <xf numFmtId="0" fontId="78" fillId="7" borderId="115"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8" fillId="7" borderId="115" applyNumberFormat="0" applyAlignment="0" applyProtection="0"/>
    <xf numFmtId="0" fontId="78" fillId="7" borderId="115" applyNumberFormat="0" applyAlignment="0" applyProtection="0"/>
    <xf numFmtId="0" fontId="79" fillId="20" borderId="108" applyNumberForma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10" fillId="24" borderId="116" applyNumberFormat="0" applyFont="0" applyAlignment="0" applyProtection="0"/>
    <xf numFmtId="0" fontId="86" fillId="0" borderId="112">
      <alignment horizontal="left" vertical="center"/>
    </xf>
    <xf numFmtId="0" fontId="7" fillId="24" borderId="116" applyNumberFormat="0" applyFont="0" applyAlignment="0" applyProtection="0"/>
    <xf numFmtId="0" fontId="7" fillId="0" borderId="102" applyNumberFormat="0" applyFont="0" applyFill="0" applyAlignment="0" applyProtection="0"/>
    <xf numFmtId="0" fontId="7" fillId="0" borderId="102" applyNumberFormat="0" applyFont="0" applyFill="0" applyAlignment="0" applyProtection="0"/>
    <xf numFmtId="4" fontId="33" fillId="23" borderId="103" applyNumberFormat="0" applyProtection="0">
      <alignment vertical="center"/>
    </xf>
    <xf numFmtId="4" fontId="100" fillId="37" borderId="103" applyNumberFormat="0" applyProtection="0">
      <alignment vertical="center"/>
    </xf>
    <xf numFmtId="4" fontId="33" fillId="37" borderId="103" applyNumberFormat="0" applyProtection="0">
      <alignment horizontal="left" vertical="center" indent="1"/>
    </xf>
    <xf numFmtId="0" fontId="33" fillId="37" borderId="103" applyNumberFormat="0" applyProtection="0">
      <alignment horizontal="left" vertical="top" indent="1"/>
    </xf>
    <xf numFmtId="0" fontId="78" fillId="7" borderId="115" applyNumberFormat="0" applyAlignment="0" applyProtection="0"/>
    <xf numFmtId="4" fontId="31" fillId="3" borderId="103" applyNumberFormat="0" applyProtection="0">
      <alignment horizontal="right" vertical="center"/>
    </xf>
    <xf numFmtId="4" fontId="31" fillId="8" borderId="103" applyNumberFormat="0" applyProtection="0">
      <alignment horizontal="right" vertical="center"/>
    </xf>
    <xf numFmtId="4" fontId="31" fillId="17" borderId="103" applyNumberFormat="0" applyProtection="0">
      <alignment horizontal="right" vertical="center"/>
    </xf>
    <xf numFmtId="4" fontId="31" fillId="11" borderId="103" applyNumberFormat="0" applyProtection="0">
      <alignment horizontal="right" vertical="center"/>
    </xf>
    <xf numFmtId="4" fontId="31" fillId="15" borderId="103" applyNumberFormat="0" applyProtection="0">
      <alignment horizontal="right" vertical="center"/>
    </xf>
    <xf numFmtId="4" fontId="31" fillId="19" borderId="103" applyNumberFormat="0" applyProtection="0">
      <alignment horizontal="right" vertical="center"/>
    </xf>
    <xf numFmtId="4" fontId="31" fillId="18" borderId="103" applyNumberFormat="0" applyProtection="0">
      <alignment horizontal="right" vertical="center"/>
    </xf>
    <xf numFmtId="4" fontId="31" fillId="39" borderId="103" applyNumberFormat="0" applyProtection="0">
      <alignment horizontal="right" vertical="center"/>
    </xf>
    <xf numFmtId="4" fontId="31" fillId="9" borderId="103" applyNumberFormat="0" applyProtection="0">
      <alignment horizontal="right" vertical="center"/>
    </xf>
    <xf numFmtId="4" fontId="31" fillId="43" borderId="103" applyNumberFormat="0" applyProtection="0">
      <alignment horizontal="right" vertical="center"/>
    </xf>
    <xf numFmtId="0" fontId="86" fillId="0" borderId="112">
      <alignment horizontal="left" vertical="center"/>
    </xf>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top" indent="1"/>
    </xf>
    <xf numFmtId="0" fontId="7" fillId="45" borderId="103" applyNumberFormat="0" applyProtection="0">
      <alignment horizontal="left" vertical="top" indent="1"/>
    </xf>
    <xf numFmtId="0" fontId="7" fillId="45" borderId="103" applyNumberFormat="0" applyProtection="0">
      <alignment horizontal="left" vertical="top" indent="1"/>
    </xf>
    <xf numFmtId="4" fontId="31" fillId="22" borderId="103" applyNumberFormat="0" applyProtection="0">
      <alignment vertical="center"/>
    </xf>
    <xf numFmtId="4" fontId="102" fillId="22" borderId="103" applyNumberFormat="0" applyProtection="0">
      <alignment vertical="center"/>
    </xf>
    <xf numFmtId="4" fontId="31" fillId="22" borderId="103" applyNumberFormat="0" applyProtection="0">
      <alignment horizontal="left" vertical="center" indent="1"/>
    </xf>
    <xf numFmtId="0" fontId="31" fillId="22" borderId="103" applyNumberFormat="0" applyProtection="0">
      <alignment horizontal="left" vertical="top" indent="1"/>
    </xf>
    <xf numFmtId="4" fontId="31" fillId="41" borderId="103" applyNumberFormat="0" applyProtection="0">
      <alignment horizontal="right" vertical="center"/>
    </xf>
    <xf numFmtId="4" fontId="102" fillId="41" borderId="103" applyNumberFormat="0" applyProtection="0">
      <alignment horizontal="right" vertical="center"/>
    </xf>
    <xf numFmtId="4" fontId="31" fillId="43" borderId="103" applyNumberFormat="0" applyProtection="0">
      <alignment horizontal="left" vertical="center" indent="1"/>
    </xf>
    <xf numFmtId="0" fontId="31" fillId="38" borderId="103" applyNumberFormat="0" applyProtection="0">
      <alignment horizontal="left" vertical="top" indent="1"/>
    </xf>
    <xf numFmtId="0" fontId="86" fillId="0" borderId="46">
      <alignment horizontal="left" vertical="center"/>
    </xf>
    <xf numFmtId="0" fontId="7" fillId="24" borderId="116" applyNumberFormat="0" applyFont="0" applyAlignment="0" applyProtection="0"/>
    <xf numFmtId="0" fontId="7" fillId="24" borderId="116" applyNumberFormat="0" applyFont="0" applyAlignment="0" applyProtection="0"/>
    <xf numFmtId="4" fontId="104" fillId="41" borderId="103" applyNumberFormat="0" applyProtection="0">
      <alignment horizontal="right" vertical="center"/>
    </xf>
    <xf numFmtId="0" fontId="79" fillId="20" borderId="108"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86" fillId="0" borderId="112">
      <alignment horizontal="left" vertical="center"/>
    </xf>
    <xf numFmtId="0" fontId="7" fillId="0" borderId="119" applyNumberFormat="0" applyFont="0" applyFill="0" applyAlignment="0" applyProtection="0"/>
    <xf numFmtId="0" fontId="7" fillId="0" borderId="116" applyNumberFormat="0" applyFont="0" applyFill="0" applyAlignment="0" applyProtection="0"/>
    <xf numFmtId="0" fontId="7" fillId="0" borderId="121" applyNumberFormat="0" applyFont="0" applyFill="0" applyAlignment="0" applyProtection="0"/>
    <xf numFmtId="0" fontId="7" fillId="0" borderId="119" applyNumberFormat="0" applyFont="0" applyFill="0" applyAlignment="0" applyProtection="0"/>
    <xf numFmtId="0" fontId="7" fillId="0" borderId="117" applyNumberFormat="0" applyFont="0" applyFill="0" applyAlignment="0" applyProtection="0"/>
    <xf numFmtId="0" fontId="7" fillId="0" borderId="120"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0" borderId="118" applyNumberFormat="0" applyFont="0" applyFill="0" applyAlignment="0" applyProtection="0"/>
    <xf numFmtId="0" fontId="7" fillId="0" borderId="120" applyNumberFormat="0" applyFont="0" applyFill="0" applyAlignment="0" applyProtection="0"/>
    <xf numFmtId="0" fontId="7" fillId="0" borderId="116" applyNumberFormat="0" applyFont="0" applyFill="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13" fillId="20" borderId="115" applyNumberFormat="0" applyAlignment="0" applyProtection="0"/>
    <xf numFmtId="0" fontId="13" fillId="20" borderId="115"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42" borderId="103" applyNumberFormat="0" applyProtection="0">
      <alignment horizontal="left" vertical="top" indent="1"/>
    </xf>
    <xf numFmtId="185" fontId="1" fillId="0" borderId="0" applyFont="0" applyFill="0" applyBorder="0" applyAlignment="0" applyProtection="0"/>
    <xf numFmtId="4" fontId="31" fillId="39" borderId="103" applyNumberFormat="0" applyProtection="0">
      <alignment horizontal="righ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19" applyNumberFormat="0" applyFon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79" fillId="20" borderId="108" applyNumberFormat="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7" fillId="24" borderId="116" applyNumberFormat="0" applyFont="0" applyAlignment="0" applyProtection="0"/>
    <xf numFmtId="0" fontId="13" fillId="20" borderId="115" applyNumberFormat="0" applyAlignment="0" applyProtection="0"/>
    <xf numFmtId="0" fontId="7" fillId="0" borderId="120" applyNumberFormat="0" applyFont="0" applyFill="0" applyAlignment="0" applyProtection="0"/>
    <xf numFmtId="0" fontId="7" fillId="0" borderId="123" applyNumberFormat="0" applyFont="0" applyFill="0" applyAlignment="0" applyProtection="0"/>
    <xf numFmtId="0" fontId="7" fillId="0" borderId="116" applyNumberFormat="0" applyFont="0" applyFill="0" applyAlignment="0" applyProtection="0"/>
    <xf numFmtId="0" fontId="7" fillId="0" borderId="120" applyNumberFormat="0" applyFont="0" applyFill="0" applyAlignment="0" applyProtection="0"/>
    <xf numFmtId="0" fontId="7" fillId="0" borderId="118" applyNumberFormat="0" applyFont="0" applyFill="0" applyAlignment="0" applyProtection="0"/>
    <xf numFmtId="0" fontId="7" fillId="0" borderId="122" applyNumberFormat="0" applyFont="0" applyFill="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44" fontId="1" fillId="0" borderId="0" applyFont="0" applyFill="0" applyBorder="0" applyAlignment="0" applyProtection="0"/>
    <xf numFmtId="0" fontId="1" fillId="0" borderId="0"/>
    <xf numFmtId="0" fontId="10" fillId="24" borderId="116" applyNumberFormat="0" applyFont="0" applyAlignment="0" applyProtection="0"/>
    <xf numFmtId="0" fontId="10" fillId="24" borderId="116" applyNumberFormat="0" applyFont="0" applyAlignment="0" applyProtection="0"/>
    <xf numFmtId="0" fontId="86" fillId="0" borderId="112">
      <alignment horizontal="left" vertical="center"/>
    </xf>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8" fillId="7" borderId="115" applyNumberFormat="0" applyAlignment="0" applyProtection="0"/>
    <xf numFmtId="0" fontId="7" fillId="24" borderId="116" applyNumberFormat="0" applyFont="0" applyAlignment="0" applyProtection="0"/>
    <xf numFmtId="0" fontId="86" fillId="0" borderId="112">
      <alignment horizontal="left" vertical="center"/>
    </xf>
    <xf numFmtId="0" fontId="7" fillId="24" borderId="116" applyNumberFormat="0" applyFont="0" applyAlignment="0" applyProtection="0"/>
    <xf numFmtId="0" fontId="78" fillId="7" borderId="115" applyNumberFormat="0" applyAlignment="0" applyProtection="0"/>
    <xf numFmtId="0" fontId="86" fillId="0" borderId="112">
      <alignment horizontal="left" vertical="center"/>
    </xf>
    <xf numFmtId="0" fontId="7" fillId="24" borderId="116" applyNumberFormat="0" applyFont="0" applyAlignment="0" applyProtection="0"/>
    <xf numFmtId="0" fontId="7" fillId="0" borderId="117" applyNumberFormat="0" applyFont="0" applyFill="0" applyAlignment="0" applyProtection="0"/>
    <xf numFmtId="0" fontId="78" fillId="7" borderId="115" applyNumberFormat="0" applyAlignment="0" applyProtection="0"/>
    <xf numFmtId="0" fontId="10" fillId="24" borderId="116" applyNumberFormat="0" applyFont="0" applyAlignment="0" applyProtection="0"/>
    <xf numFmtId="0" fontId="7" fillId="24" borderId="116" applyNumberFormat="0" applyFont="0" applyAlignment="0" applyProtection="0"/>
    <xf numFmtId="0" fontId="33" fillId="37" borderId="103" applyNumberFormat="0" applyProtection="0">
      <alignment horizontal="left" vertical="top" indent="1"/>
    </xf>
    <xf numFmtId="4" fontId="31" fillId="3" borderId="103" applyNumberFormat="0" applyProtection="0">
      <alignment horizontal="right" vertical="center"/>
    </xf>
    <xf numFmtId="4" fontId="31" fillId="17" borderId="103" applyNumberFormat="0" applyProtection="0">
      <alignment horizontal="right" vertical="center"/>
    </xf>
    <xf numFmtId="4" fontId="31" fillId="15" borderId="103" applyNumberFormat="0" applyProtection="0">
      <alignment horizontal="right" vertical="center"/>
    </xf>
    <xf numFmtId="4" fontId="31" fillId="18" borderId="103" applyNumberFormat="0" applyProtection="0">
      <alignment horizontal="right" vertical="center"/>
    </xf>
    <xf numFmtId="4" fontId="102" fillId="41" borderId="103" applyNumberFormat="0" applyProtection="0">
      <alignment horizontal="right" vertical="center"/>
    </xf>
    <xf numFmtId="4" fontId="31" fillId="9" borderId="103" applyNumberFormat="0" applyProtection="0">
      <alignment horizontal="right" vertical="center"/>
    </xf>
    <xf numFmtId="4" fontId="31" fillId="43" borderId="103" applyNumberFormat="0" applyProtection="0">
      <alignment horizontal="right" vertical="center"/>
    </xf>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top" indent="1"/>
    </xf>
    <xf numFmtId="0" fontId="7" fillId="45" borderId="103" applyNumberFormat="0" applyProtection="0">
      <alignment horizontal="left" vertical="top" indent="1"/>
    </xf>
    <xf numFmtId="0" fontId="7" fillId="45" borderId="103" applyNumberFormat="0" applyProtection="0">
      <alignment horizontal="left" vertical="top" indent="1"/>
    </xf>
    <xf numFmtId="4" fontId="31" fillId="22" borderId="103" applyNumberFormat="0" applyProtection="0">
      <alignment vertical="center"/>
    </xf>
    <xf numFmtId="4" fontId="102" fillId="22" borderId="103" applyNumberFormat="0" applyProtection="0">
      <alignment vertical="center"/>
    </xf>
    <xf numFmtId="4" fontId="31" fillId="22" borderId="103" applyNumberFormat="0" applyProtection="0">
      <alignment horizontal="left" vertical="center" indent="1"/>
    </xf>
    <xf numFmtId="0" fontId="31" fillId="22" borderId="103" applyNumberFormat="0" applyProtection="0">
      <alignment horizontal="left" vertical="top" indent="1"/>
    </xf>
    <xf numFmtId="4" fontId="31" fillId="43" borderId="103" applyNumberFormat="0" applyProtection="0">
      <alignment horizontal="left" vertical="center" indent="1"/>
    </xf>
    <xf numFmtId="0" fontId="31" fillId="38" borderId="103" applyNumberFormat="0" applyProtection="0">
      <alignment horizontal="left" vertical="top" indent="1"/>
    </xf>
    <xf numFmtId="0" fontId="21" fillId="0" borderId="107" applyNumberFormat="0" applyFill="0" applyAlignment="0" applyProtection="0"/>
    <xf numFmtId="4" fontId="104" fillId="41" borderId="103" applyNumberFormat="0" applyProtection="0">
      <alignment horizontal="right" vertical="center"/>
    </xf>
    <xf numFmtId="0" fontId="7" fillId="0" borderId="117" applyNumberFormat="0" applyFont="0" applyFill="0" applyAlignment="0" applyProtection="0"/>
    <xf numFmtId="0" fontId="7" fillId="0" borderId="122" applyNumberFormat="0" applyFont="0" applyFill="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33" fillId="37" borderId="103" applyNumberFormat="0" applyProtection="0">
      <alignment horizontal="left" vertical="top" indent="1"/>
    </xf>
    <xf numFmtId="0" fontId="7" fillId="44" borderId="103" applyNumberFormat="0" applyProtection="0">
      <alignment horizontal="left" vertical="top"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4" fontId="31" fillId="22" borderId="103" applyNumberFormat="0" applyProtection="0">
      <alignment vertical="center"/>
    </xf>
    <xf numFmtId="4" fontId="31" fillId="41" borderId="103" applyNumberFormat="0" applyProtection="0">
      <alignment horizontal="right" vertical="center"/>
    </xf>
    <xf numFmtId="0" fontId="7" fillId="0" borderId="119" applyNumberFormat="0" applyFont="0" applyFill="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22" applyNumberFormat="0" applyFont="0" applyFill="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13" fillId="20" borderId="115" applyNumberFormat="0" applyAlignment="0" applyProtection="0"/>
    <xf numFmtId="0" fontId="7" fillId="0" borderId="120" applyNumberFormat="0" applyFont="0" applyFill="0" applyAlignment="0" applyProtection="0"/>
    <xf numFmtId="0" fontId="21" fillId="0" borderId="107" applyNumberFormat="0" applyFill="0" applyAlignment="0" applyProtection="0"/>
    <xf numFmtId="0" fontId="21" fillId="0" borderId="107" applyNumberFormat="0" applyFill="0" applyAlignment="0" applyProtection="0"/>
    <xf numFmtId="0" fontId="112" fillId="50" borderId="111" applyNumberFormat="0" applyAlignment="0" applyProtection="0"/>
    <xf numFmtId="0" fontId="7" fillId="0" borderId="116" applyNumberFormat="0" applyFont="0" applyFill="0" applyAlignment="0" applyProtection="0"/>
    <xf numFmtId="185" fontId="1" fillId="0" borderId="0" applyFont="0" applyFill="0" applyBorder="0" applyAlignment="0" applyProtection="0"/>
    <xf numFmtId="0" fontId="7" fillId="24" borderId="116" applyNumberFormat="0" applyFont="0" applyAlignment="0" applyProtection="0"/>
    <xf numFmtId="0" fontId="86" fillId="0" borderId="112">
      <alignment horizontal="left" vertical="center"/>
    </xf>
    <xf numFmtId="4" fontId="33" fillId="37" borderId="103" applyNumberFormat="0" applyProtection="0">
      <alignment horizontal="left" vertical="center" indent="1"/>
    </xf>
    <xf numFmtId="0" fontId="7" fillId="24" borderId="116" applyNumberFormat="0" applyFont="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9"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19"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13" fillId="20" borderId="115" applyNumberFormat="0" applyAlignment="0" applyProtection="0"/>
    <xf numFmtId="0" fontId="7" fillId="0" borderId="118" applyNumberFormat="0" applyFont="0" applyFill="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112">
      <alignment horizontal="left" vertical="center"/>
    </xf>
    <xf numFmtId="0" fontId="86" fillId="0" borderId="112">
      <alignment horizontal="left" vertical="center"/>
    </xf>
    <xf numFmtId="0" fontId="86" fillId="0" borderId="112">
      <alignment horizontal="left" vertical="center"/>
    </xf>
    <xf numFmtId="0" fontId="86" fillId="0" borderId="112">
      <alignment horizontal="left" vertical="center"/>
    </xf>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13" fillId="20" borderId="115" applyNumberFormat="0" applyAlignment="0" applyProtection="0"/>
    <xf numFmtId="0" fontId="13" fillId="20" borderId="115" applyNumberFormat="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10" fontId="44" fillId="22" borderId="49" applyNumberFormat="0" applyBorder="0" applyAlignment="0" applyProtection="0"/>
    <xf numFmtId="10" fontId="44" fillId="22" borderId="49" applyNumberFormat="0" applyBorder="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86" fillId="0" borderId="46">
      <alignment horizontal="left" vertical="center"/>
    </xf>
    <xf numFmtId="0" fontId="86" fillId="0" borderId="46">
      <alignment horizontal="left" vertical="center"/>
    </xf>
    <xf numFmtId="0" fontId="86" fillId="0" borderId="46">
      <alignment horizontal="left" vertical="center"/>
    </xf>
    <xf numFmtId="0" fontId="86" fillId="0" borderId="46">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0"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9" fillId="20" borderId="108" applyNumberForma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8" fillId="7" borderId="115" applyNumberFormat="0" applyAlignment="0" applyProtection="0"/>
    <xf numFmtId="0" fontId="78" fillId="7" borderId="115" applyNumberFormat="0" applyAlignment="0" applyProtection="0"/>
    <xf numFmtId="0" fontId="10" fillId="24" borderId="116" applyNumberFormat="0" applyFont="0" applyAlignment="0" applyProtection="0"/>
    <xf numFmtId="0" fontId="86" fillId="0" borderId="112">
      <alignment horizontal="left" vertical="center"/>
    </xf>
    <xf numFmtId="0" fontId="7" fillId="0" borderId="116" applyNumberFormat="0" applyFont="0" applyFill="0" applyAlignment="0" applyProtection="0"/>
    <xf numFmtId="0" fontId="7" fillId="0" borderId="116" applyNumberFormat="0" applyFont="0" applyFill="0" applyAlignment="0" applyProtection="0"/>
    <xf numFmtId="0" fontId="7" fillId="0" borderId="102" applyNumberFormat="0" applyFont="0" applyFill="0" applyAlignment="0" applyProtection="0"/>
    <xf numFmtId="0" fontId="7" fillId="0" borderId="102" applyNumberFormat="0" applyFont="0" applyFill="0" applyAlignment="0" applyProtection="0"/>
    <xf numFmtId="4" fontId="33" fillId="23" borderId="103" applyNumberFormat="0" applyProtection="0">
      <alignment vertical="center"/>
    </xf>
    <xf numFmtId="4" fontId="100" fillId="37" borderId="103" applyNumberFormat="0" applyProtection="0">
      <alignment vertical="center"/>
    </xf>
    <xf numFmtId="4" fontId="33" fillId="37" borderId="103" applyNumberFormat="0" applyProtection="0">
      <alignment horizontal="left" vertical="center" indent="1"/>
    </xf>
    <xf numFmtId="0" fontId="33" fillId="37" borderId="103" applyNumberFormat="0" applyProtection="0">
      <alignment horizontal="left" vertical="top" indent="1"/>
    </xf>
    <xf numFmtId="4" fontId="31" fillId="3" borderId="103" applyNumberFormat="0" applyProtection="0">
      <alignment horizontal="right" vertical="center"/>
    </xf>
    <xf numFmtId="4" fontId="31" fillId="8" borderId="103" applyNumberFormat="0" applyProtection="0">
      <alignment horizontal="right" vertical="center"/>
    </xf>
    <xf numFmtId="4" fontId="31" fillId="17" borderId="103" applyNumberFormat="0" applyProtection="0">
      <alignment horizontal="right" vertical="center"/>
    </xf>
    <xf numFmtId="4" fontId="31" fillId="11" borderId="103" applyNumberFormat="0" applyProtection="0">
      <alignment horizontal="right" vertical="center"/>
    </xf>
    <xf numFmtId="4" fontId="31" fillId="15" borderId="103" applyNumberFormat="0" applyProtection="0">
      <alignment horizontal="right" vertical="center"/>
    </xf>
    <xf numFmtId="4" fontId="31" fillId="19" borderId="103" applyNumberFormat="0" applyProtection="0">
      <alignment horizontal="right" vertical="center"/>
    </xf>
    <xf numFmtId="4" fontId="31" fillId="18" borderId="103" applyNumberFormat="0" applyProtection="0">
      <alignment horizontal="right" vertical="center"/>
    </xf>
    <xf numFmtId="4" fontId="31" fillId="39" borderId="103" applyNumberFormat="0" applyProtection="0">
      <alignment horizontal="right" vertical="center"/>
    </xf>
    <xf numFmtId="4" fontId="31" fillId="9" borderId="103" applyNumberFormat="0" applyProtection="0">
      <alignment horizontal="right" vertical="center"/>
    </xf>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4" fontId="31" fillId="43" borderId="103" applyNumberFormat="0" applyProtection="0">
      <alignment horizontal="right" vertical="center"/>
    </xf>
    <xf numFmtId="0" fontId="7" fillId="0" borderId="118" applyNumberFormat="0" applyFont="0" applyFill="0" applyAlignment="0" applyProtection="0"/>
    <xf numFmtId="0" fontId="7" fillId="0" borderId="116" applyNumberFormat="0" applyFont="0" applyFill="0" applyAlignment="0" applyProtection="0"/>
    <xf numFmtId="0" fontId="7" fillId="0" borderId="121" applyNumberFormat="0" applyFont="0" applyFill="0" applyAlignment="0" applyProtection="0"/>
    <xf numFmtId="0" fontId="7" fillId="0" borderId="119" applyNumberFormat="0" applyFont="0" applyFill="0" applyAlignment="0" applyProtection="0"/>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top" indent="1"/>
    </xf>
    <xf numFmtId="0" fontId="7" fillId="45" borderId="103" applyNumberFormat="0" applyProtection="0">
      <alignment horizontal="left" vertical="top" indent="1"/>
    </xf>
    <xf numFmtId="0" fontId="7" fillId="45" borderId="103" applyNumberFormat="0" applyProtection="0">
      <alignment horizontal="left" vertical="top" indent="1"/>
    </xf>
    <xf numFmtId="4" fontId="31" fillId="22" borderId="103" applyNumberFormat="0" applyProtection="0">
      <alignment vertical="center"/>
    </xf>
    <xf numFmtId="4" fontId="102" fillId="22" borderId="103" applyNumberFormat="0" applyProtection="0">
      <alignment vertical="center"/>
    </xf>
    <xf numFmtId="4" fontId="31" fillId="22" borderId="103" applyNumberFormat="0" applyProtection="0">
      <alignment horizontal="left" vertical="center" indent="1"/>
    </xf>
    <xf numFmtId="0" fontId="31" fillId="22" borderId="103" applyNumberFormat="0" applyProtection="0">
      <alignment horizontal="left" vertical="top" indent="1"/>
    </xf>
    <xf numFmtId="4" fontId="31" fillId="41" borderId="103" applyNumberFormat="0" applyProtection="0">
      <alignment horizontal="right" vertical="center"/>
    </xf>
    <xf numFmtId="4" fontId="102" fillId="41" borderId="103" applyNumberFormat="0" applyProtection="0">
      <alignment horizontal="right" vertical="center"/>
    </xf>
    <xf numFmtId="4" fontId="31" fillId="43" borderId="103" applyNumberFormat="0" applyProtection="0">
      <alignment horizontal="left" vertical="center" indent="1"/>
    </xf>
    <xf numFmtId="0" fontId="31" fillId="38" borderId="103" applyNumberFormat="0" applyProtection="0">
      <alignment horizontal="left" vertical="top" indent="1"/>
    </xf>
    <xf numFmtId="0" fontId="7" fillId="0" borderId="118" applyNumberFormat="0" applyFont="0" applyFill="0" applyAlignment="0" applyProtection="0"/>
    <xf numFmtId="4" fontId="104" fillId="41" borderId="103" applyNumberFormat="0" applyProtection="0">
      <alignment horizontal="right" vertical="center"/>
    </xf>
    <xf numFmtId="0" fontId="7" fillId="24" borderId="116" applyNumberFormat="0" applyFont="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19" applyNumberFormat="0" applyFont="0" applyFill="0" applyAlignment="0" applyProtection="0"/>
    <xf numFmtId="0" fontId="7" fillId="0" borderId="102" applyNumberFormat="0" applyFont="0" applyFill="0" applyAlignment="0" applyProtection="0"/>
    <xf numFmtId="0" fontId="7" fillId="24" borderId="116" applyNumberFormat="0" applyFont="0" applyAlignment="0" applyProtection="0"/>
    <xf numFmtId="0" fontId="21" fillId="0" borderId="107" applyNumberFormat="0" applyFill="0" applyAlignment="0" applyProtection="0"/>
    <xf numFmtId="0" fontId="21" fillId="0" borderId="107" applyNumberForma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0" borderId="121" applyNumberFormat="0" applyFont="0" applyFill="0" applyAlignment="0" applyProtection="0"/>
    <xf numFmtId="0" fontId="7" fillId="24" borderId="116" applyNumberFormat="0" applyFont="0" applyAlignment="0" applyProtection="0"/>
    <xf numFmtId="0" fontId="79" fillId="20" borderId="108" applyNumberFormat="0" applyAlignment="0" applyProtection="0"/>
    <xf numFmtId="0" fontId="13" fillId="20" borderId="115" applyNumberFormat="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24" borderId="116" applyNumberFormat="0" applyFont="0" applyAlignment="0" applyProtection="0"/>
    <xf numFmtId="4" fontId="100" fillId="37" borderId="103" applyNumberFormat="0" applyProtection="0">
      <alignment vertical="center"/>
    </xf>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0"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4" fontId="33" fillId="23" borderId="103" applyNumberFormat="0" applyProtection="0">
      <alignment vertical="center"/>
    </xf>
    <xf numFmtId="0" fontId="13" fillId="20" borderId="115" applyNumberFormat="0" applyAlignment="0" applyProtection="0"/>
    <xf numFmtId="4" fontId="31" fillId="8" borderId="103" applyNumberFormat="0" applyProtection="0">
      <alignment horizontal="right" vertical="center"/>
    </xf>
    <xf numFmtId="4" fontId="31" fillId="11" borderId="103" applyNumberFormat="0" applyProtection="0">
      <alignment horizontal="right" vertical="center"/>
    </xf>
    <xf numFmtId="4" fontId="31" fillId="19" borderId="103" applyNumberFormat="0" applyProtection="0">
      <alignment horizontal="right" vertical="center"/>
    </xf>
    <xf numFmtId="4" fontId="31" fillId="39" borderId="103" applyNumberFormat="0" applyProtection="0">
      <alignment horizontal="right" vertical="center"/>
    </xf>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4" fontId="31" fillId="41" borderId="103" applyNumberFormat="0" applyProtection="0">
      <alignment horizontal="right" vertical="center"/>
    </xf>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1"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24" borderId="116" applyNumberFormat="0" applyFont="0" applyAlignment="0" applyProtection="0"/>
    <xf numFmtId="0" fontId="7" fillId="42" borderId="103" applyNumberFormat="0" applyProtection="0">
      <alignment horizontal="left" vertical="center" indent="1"/>
    </xf>
    <xf numFmtId="0" fontId="7" fillId="42" borderId="103" applyNumberFormat="0" applyProtection="0">
      <alignment horizontal="left" vertical="top" indent="1"/>
    </xf>
    <xf numFmtId="0" fontId="13" fillId="20" borderId="115" applyNumberFormat="0" applyAlignment="0" applyProtection="0"/>
    <xf numFmtId="0" fontId="7" fillId="45" borderId="103" applyNumberFormat="0" applyProtection="0">
      <alignment horizontal="left" vertical="top" indent="1"/>
    </xf>
    <xf numFmtId="4" fontId="31" fillId="22" borderId="103" applyNumberFormat="0" applyProtection="0">
      <alignment horizontal="left" vertical="center" indent="1"/>
    </xf>
    <xf numFmtId="4" fontId="31" fillId="43" borderId="103" applyNumberFormat="0" applyProtection="0">
      <alignment horizontal="left" vertical="center" indent="1"/>
    </xf>
    <xf numFmtId="0" fontId="7" fillId="0" borderId="116" applyNumberFormat="0" applyFont="0" applyFill="0" applyAlignment="0" applyProtection="0"/>
    <xf numFmtId="0" fontId="7" fillId="0" borderId="123"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21" fillId="0" borderId="107" applyNumberFormat="0" applyFill="0" applyAlignment="0" applyProtection="0"/>
    <xf numFmtId="0" fontId="7" fillId="24" borderId="116" applyNumberFormat="0" applyFont="0" applyAlignment="0" applyProtection="0"/>
    <xf numFmtId="0" fontId="7" fillId="24" borderId="116" applyNumberFormat="0" applyFont="0" applyAlignment="0" applyProtection="0"/>
    <xf numFmtId="44" fontId="1" fillId="0" borderId="0" applyFont="0" applyFill="0" applyBorder="0" applyAlignment="0" applyProtection="0"/>
    <xf numFmtId="0" fontId="1" fillId="0" borderId="0"/>
    <xf numFmtId="0" fontId="10" fillId="24" borderId="116" applyNumberFormat="0" applyFont="0" applyAlignment="0" applyProtection="0"/>
    <xf numFmtId="0" fontId="10" fillId="24" borderId="116" applyNumberFormat="0" applyFont="0" applyAlignment="0" applyProtection="0"/>
    <xf numFmtId="0" fontId="86" fillId="0" borderId="112">
      <alignment horizontal="left" vertical="center"/>
    </xf>
    <xf numFmtId="0" fontId="86" fillId="0" borderId="112">
      <alignment horizontal="left" vertical="center"/>
    </xf>
    <xf numFmtId="0" fontId="7" fillId="0" borderId="117" applyNumberFormat="0" applyFont="0" applyFill="0" applyAlignment="0" applyProtection="0"/>
    <xf numFmtId="0" fontId="7" fillId="24" borderId="116" applyNumberFormat="0" applyFont="0" applyAlignment="0" applyProtection="0"/>
    <xf numFmtId="0" fontId="86" fillId="0" borderId="112">
      <alignment horizontal="left" vertical="center"/>
    </xf>
    <xf numFmtId="0" fontId="7" fillId="24" borderId="116" applyNumberFormat="0" applyFon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86" fillId="0" borderId="112">
      <alignment horizontal="left" vertical="center"/>
    </xf>
    <xf numFmtId="0" fontId="7" fillId="24" borderId="116" applyNumberFormat="0" applyFont="0" applyAlignment="0" applyProtection="0"/>
    <xf numFmtId="0" fontId="7" fillId="0" borderId="116" applyNumberFormat="0" applyFont="0" applyFill="0" applyAlignment="0" applyProtection="0"/>
    <xf numFmtId="0" fontId="78" fillId="7" borderId="115" applyNumberFormat="0" applyAlignment="0" applyProtection="0"/>
    <xf numFmtId="0" fontId="86" fillId="0" borderId="112">
      <alignment horizontal="left" vertical="center"/>
    </xf>
    <xf numFmtId="0" fontId="7" fillId="24" borderId="116" applyNumberFormat="0" applyFon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1" applyNumberFormat="0" applyFont="0" applyFill="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0"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02" applyNumberFormat="0" applyFont="0" applyFill="0" applyAlignment="0" applyProtection="0"/>
    <xf numFmtId="0" fontId="7" fillId="0" borderId="120" applyNumberFormat="0" applyFont="0" applyFill="0" applyAlignment="0" applyProtection="0"/>
    <xf numFmtId="0" fontId="7" fillId="0" borderId="123" applyNumberFormat="0" applyFont="0" applyFill="0" applyAlignment="0" applyProtection="0"/>
    <xf numFmtId="0" fontId="7" fillId="0" borderId="120" applyNumberFormat="0" applyFont="0" applyFill="0" applyAlignment="0" applyProtection="0"/>
    <xf numFmtId="0" fontId="7" fillId="0" borderId="119"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4" fontId="33" fillId="23" borderId="103" applyNumberFormat="0" applyProtection="0">
      <alignment vertical="center"/>
    </xf>
    <xf numFmtId="0" fontId="78" fillId="7" borderId="115" applyNumberForma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12" fillId="50" borderId="111" applyNumberFormat="0" applyAlignment="0" applyProtection="0"/>
    <xf numFmtId="185" fontId="1" fillId="0" borderId="0" applyFont="0" applyFill="0" applyBorder="0" applyAlignment="0" applyProtection="0"/>
    <xf numFmtId="0" fontId="7" fillId="0" borderId="121" applyNumberFormat="0" applyFont="0" applyFill="0" applyAlignment="0" applyProtection="0"/>
    <xf numFmtId="0" fontId="7" fillId="0" borderId="119"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0" borderId="118"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19"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1"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0" borderId="119" applyNumberFormat="0" applyFont="0" applyFill="0" applyAlignment="0" applyProtection="0"/>
    <xf numFmtId="0" fontId="7" fillId="0" borderId="122" applyNumberFormat="0" applyFont="0" applyFill="0" applyAlignment="0" applyProtection="0"/>
    <xf numFmtId="0" fontId="13" fillId="20" borderId="115" applyNumberFormat="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20"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0"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02" applyNumberFormat="0" applyFont="0" applyFill="0" applyAlignment="0" applyProtection="0"/>
    <xf numFmtId="0" fontId="1" fillId="0" borderId="0"/>
    <xf numFmtId="0" fontId="7" fillId="0" borderId="119"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13" fillId="20" borderId="115" applyNumberFormat="0" applyAlignment="0" applyProtection="0"/>
    <xf numFmtId="0" fontId="13" fillId="20" borderId="115" applyNumberFormat="0" applyAlignment="0" applyProtection="0"/>
    <xf numFmtId="0" fontId="7" fillId="0" borderId="117" applyNumberFormat="0" applyFont="0" applyFill="0" applyAlignment="0" applyProtection="0"/>
    <xf numFmtId="0" fontId="13" fillId="20" borderId="115" applyNumberFormat="0" applyAlignment="0" applyProtection="0"/>
    <xf numFmtId="0" fontId="79" fillId="20" borderId="108" applyNumberFormat="0" applyAlignment="0" applyProtection="0"/>
    <xf numFmtId="0" fontId="7" fillId="24" borderId="116" applyNumberFormat="0" applyFont="0" applyAlignment="0" applyProtection="0"/>
    <xf numFmtId="0" fontId="10" fillId="24" borderId="116" applyNumberFormat="0" applyFont="0" applyAlignment="0" applyProtection="0"/>
    <xf numFmtId="0" fontId="78" fillId="7" borderId="115" applyNumberFormat="0" applyAlignment="0" applyProtection="0"/>
    <xf numFmtId="4" fontId="31" fillId="11" borderId="103" applyNumberFormat="0" applyProtection="0">
      <alignment horizontal="right" vertical="center"/>
    </xf>
    <xf numFmtId="0" fontId="7" fillId="42" borderId="103" applyNumberFormat="0" applyProtection="0">
      <alignment horizontal="left" vertical="center" indent="1"/>
    </xf>
    <xf numFmtId="0" fontId="7" fillId="45" borderId="103" applyNumberFormat="0" applyProtection="0">
      <alignment horizontal="left" vertical="center" indent="1"/>
    </xf>
    <xf numFmtId="0" fontId="78" fillId="7" borderId="115" applyNumberFormat="0" applyAlignment="0" applyProtection="0"/>
    <xf numFmtId="4" fontId="31" fillId="19" borderId="103" applyNumberFormat="0" applyProtection="0">
      <alignment horizontal="right" vertical="center"/>
    </xf>
    <xf numFmtId="4" fontId="33" fillId="37" borderId="103" applyNumberFormat="0" applyProtection="0">
      <alignment horizontal="left" vertical="center" indent="1"/>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13" fillId="20" borderId="115" applyNumberFormat="0" applyAlignment="0" applyProtection="0"/>
    <xf numFmtId="0" fontId="13" fillId="20" borderId="115" applyNumberFormat="0" applyAlignment="0" applyProtection="0"/>
    <xf numFmtId="0" fontId="7" fillId="0" borderId="118" applyNumberFormat="0" applyFont="0" applyFill="0" applyAlignment="0" applyProtection="0"/>
    <xf numFmtId="0" fontId="7" fillId="0" borderId="119" applyNumberFormat="0" applyFont="0" applyFill="0" applyAlignment="0" applyProtection="0"/>
    <xf numFmtId="0" fontId="7" fillId="0" borderId="118"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3"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9" applyNumberFormat="0" applyFont="0" applyFill="0" applyAlignment="0" applyProtection="0"/>
    <xf numFmtId="0" fontId="112" fillId="50" borderId="111" applyNumberFormat="0" applyAlignment="0" applyProtection="0"/>
    <xf numFmtId="0" fontId="7" fillId="0" borderId="119" applyNumberFormat="0" applyFont="0" applyFill="0" applyAlignment="0" applyProtection="0"/>
    <xf numFmtId="0" fontId="7" fillId="24" borderId="116" applyNumberFormat="0" applyFont="0" applyAlignment="0" applyProtection="0"/>
    <xf numFmtId="0" fontId="1" fillId="0" borderId="0"/>
    <xf numFmtId="0" fontId="79" fillId="20" borderId="108" applyNumberFormat="0" applyAlignment="0" applyProtection="0"/>
    <xf numFmtId="0" fontId="7" fillId="24" borderId="116" applyNumberFormat="0" applyFont="0" applyAlignment="0" applyProtection="0"/>
    <xf numFmtId="0" fontId="13" fillId="20" borderId="115" applyNumberFormat="0" applyAlignment="0" applyProtection="0"/>
    <xf numFmtId="0" fontId="79" fillId="20" borderId="108" applyNumberFormat="0" applyAlignment="0" applyProtection="0"/>
    <xf numFmtId="0" fontId="78" fillId="7" borderId="115" applyNumberFormat="0" applyAlignment="0" applyProtection="0"/>
    <xf numFmtId="0" fontId="7" fillId="24" borderId="116" applyNumberFormat="0" applyFont="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 fillId="0" borderId="121" applyNumberFormat="0" applyFont="0" applyFill="0" applyAlignment="0" applyProtection="0"/>
    <xf numFmtId="0" fontId="7" fillId="0" borderId="116" applyNumberFormat="0" applyFont="0" applyFill="0" applyAlignment="0" applyProtection="0"/>
    <xf numFmtId="4" fontId="102" fillId="41" borderId="103" applyNumberFormat="0" applyProtection="0">
      <alignment horizontal="right" vertical="center"/>
    </xf>
    <xf numFmtId="4" fontId="102" fillId="22" borderId="103" applyNumberFormat="0" applyProtection="0">
      <alignment vertical="center"/>
    </xf>
    <xf numFmtId="0" fontId="7" fillId="45" borderId="103" applyNumberFormat="0" applyProtection="0">
      <alignment horizontal="left" vertical="top" indent="1"/>
    </xf>
    <xf numFmtId="0" fontId="7" fillId="0" borderId="116" applyNumberFormat="0" applyFont="0" applyFill="0" applyAlignment="0" applyProtection="0"/>
    <xf numFmtId="0" fontId="7" fillId="44" borderId="103" applyNumberFormat="0" applyProtection="0">
      <alignment horizontal="left" vertical="top" indent="1"/>
    </xf>
    <xf numFmtId="0" fontId="7" fillId="44" borderId="103" applyNumberFormat="0" applyProtection="0">
      <alignment horizontal="left" vertical="center" indent="1"/>
    </xf>
    <xf numFmtId="0" fontId="7" fillId="38" borderId="103" applyNumberFormat="0" applyProtection="0">
      <alignment horizontal="left" vertical="top" indent="1"/>
    </xf>
    <xf numFmtId="0" fontId="7" fillId="38" borderId="103" applyNumberFormat="0" applyProtection="0">
      <alignment horizontal="left" vertical="center" indent="1"/>
    </xf>
    <xf numFmtId="0" fontId="7" fillId="42" borderId="103" applyNumberFormat="0" applyProtection="0">
      <alignment horizontal="left" vertical="top" indent="1"/>
    </xf>
    <xf numFmtId="0" fontId="7" fillId="42" borderId="103" applyNumberFormat="0" applyProtection="0">
      <alignment horizontal="left" vertical="center" indent="1"/>
    </xf>
    <xf numFmtId="0" fontId="7" fillId="24" borderId="116" applyNumberFormat="0" applyFont="0" applyAlignment="0" applyProtection="0"/>
    <xf numFmtId="0" fontId="7" fillId="24" borderId="116" applyNumberFormat="0" applyFont="0" applyAlignment="0" applyProtection="0"/>
    <xf numFmtId="4" fontId="31" fillId="43" borderId="103" applyNumberFormat="0" applyProtection="0">
      <alignment horizontal="right" vertical="center"/>
    </xf>
    <xf numFmtId="0" fontId="7" fillId="24" borderId="116" applyNumberFormat="0" applyFont="0" applyAlignment="0" applyProtection="0"/>
    <xf numFmtId="4" fontId="31" fillId="9" borderId="103" applyNumberFormat="0" applyProtection="0">
      <alignment horizontal="right" vertical="center"/>
    </xf>
    <xf numFmtId="4" fontId="31" fillId="15" borderId="103" applyNumberFormat="0" applyProtection="0">
      <alignment horizontal="right" vertical="center"/>
    </xf>
    <xf numFmtId="4" fontId="31" fillId="3" borderId="103" applyNumberFormat="0" applyProtection="0">
      <alignment horizontal="right" vertical="center"/>
    </xf>
    <xf numFmtId="0" fontId="7" fillId="24" borderId="116" applyNumberFormat="0" applyFont="0" applyAlignment="0" applyProtection="0"/>
    <xf numFmtId="0" fontId="10"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0"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0" borderId="118"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17" applyNumberFormat="0" applyFont="0" applyFill="0" applyAlignment="0" applyProtection="0"/>
    <xf numFmtId="0" fontId="7" fillId="0" borderId="116" applyNumberFormat="0" applyFont="0" applyFill="0" applyAlignment="0" applyProtection="0"/>
    <xf numFmtId="0" fontId="7" fillId="0" borderId="119"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24" borderId="116" applyNumberFormat="0" applyFont="0" applyAlignment="0" applyProtection="0"/>
    <xf numFmtId="4" fontId="33" fillId="23" borderId="103" applyNumberFormat="0" applyProtection="0">
      <alignment vertical="center"/>
    </xf>
    <xf numFmtId="0" fontId="7" fillId="0" borderId="123"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0" borderId="118" applyNumberFormat="0" applyFont="0" applyFill="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8" fillId="7" borderId="115" applyNumberFormat="0" applyAlignment="0" applyProtection="0"/>
    <xf numFmtId="0" fontId="7" fillId="0" borderId="121"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0"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7" fillId="0" borderId="117" applyNumberFormat="0" applyFont="0" applyFill="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24" borderId="116" applyNumberFormat="0" applyFont="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0" fontId="13" fillId="20" borderId="115" applyNumberFormat="0" applyAlignment="0" applyProtection="0"/>
    <xf numFmtId="0" fontId="13" fillId="20" borderId="115" applyNumberFormat="0" applyAlignment="0" applyProtection="0"/>
    <xf numFmtId="0" fontId="7" fillId="0" borderId="117"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44" borderId="103" applyNumberFormat="0" applyProtection="0">
      <alignment horizontal="left" vertical="top" indent="1"/>
    </xf>
    <xf numFmtId="0" fontId="79" fillId="20" borderId="108" applyNumberFormat="0" applyAlignment="0" applyProtection="0"/>
    <xf numFmtId="0" fontId="7" fillId="0" borderId="121"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22" applyNumberFormat="0" applyFont="0" applyFill="0" applyAlignment="0" applyProtection="0"/>
    <xf numFmtId="0" fontId="7" fillId="0" borderId="119" applyNumberFormat="0" applyFont="0" applyFill="0" applyAlignment="0" applyProtection="0"/>
    <xf numFmtId="0" fontId="7" fillId="0" borderId="120" applyNumberFormat="0" applyFont="0" applyFill="0" applyAlignment="0" applyProtection="0"/>
    <xf numFmtId="185" fontId="1" fillId="0" borderId="0" applyFont="0" applyFill="0" applyBorder="0" applyAlignment="0" applyProtection="0"/>
    <xf numFmtId="0" fontId="7" fillId="24" borderId="116" applyNumberFormat="0" applyFont="0" applyAlignment="0" applyProtection="0"/>
    <xf numFmtId="0" fontId="32" fillId="47" borderId="126" applyNumberFormat="0" applyAlignment="0" applyProtection="0">
      <alignment wrapText="1"/>
    </xf>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21" applyNumberFormat="0" applyFont="0" applyFill="0" applyAlignment="0" applyProtection="0"/>
    <xf numFmtId="0" fontId="7" fillId="0" borderId="119"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33" fillId="37" borderId="103" applyNumberFormat="0" applyProtection="0">
      <alignment horizontal="left" vertical="top" indent="1"/>
    </xf>
    <xf numFmtId="0" fontId="7" fillId="0" borderId="119" applyNumberFormat="0" applyFont="0" applyFill="0" applyAlignment="0" applyProtection="0"/>
    <xf numFmtId="0" fontId="7" fillId="0" borderId="122"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13" fillId="20" borderId="115" applyNumberFormat="0" applyAlignment="0" applyProtection="0"/>
    <xf numFmtId="0" fontId="13" fillId="20" borderId="115" applyNumberFormat="0" applyAlignment="0" applyProtection="0"/>
    <xf numFmtId="0" fontId="7" fillId="0" borderId="117" applyNumberFormat="0" applyFont="0" applyFill="0" applyAlignment="0" applyProtection="0"/>
    <xf numFmtId="0" fontId="13" fillId="20" borderId="115"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44" fontId="1" fillId="0" borderId="0" applyFont="0" applyFill="0" applyBorder="0" applyAlignment="0" applyProtection="0"/>
    <xf numFmtId="0" fontId="1" fillId="0" borderId="0"/>
    <xf numFmtId="0" fontId="7" fillId="24" borderId="116" applyNumberFormat="0" applyFont="0" applyAlignment="0" applyProtection="0"/>
    <xf numFmtId="0" fontId="7" fillId="24" borderId="116" applyNumberFormat="0" applyFont="0" applyAlignment="0" applyProtection="0"/>
    <xf numFmtId="0" fontId="7" fillId="0" borderId="0"/>
    <xf numFmtId="0" fontId="7" fillId="24" borderId="116" applyNumberFormat="0" applyFont="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1"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185" fontId="1" fillId="0" borderId="0" applyFont="0" applyFill="0" applyBorder="0" applyAlignment="0" applyProtection="0"/>
    <xf numFmtId="0" fontId="7" fillId="24" borderId="116" applyNumberFormat="0" applyFont="0" applyAlignment="0" applyProtection="0"/>
    <xf numFmtId="0" fontId="78" fillId="7" borderId="115" applyNumberFormat="0" applyAlignment="0" applyProtection="0"/>
    <xf numFmtId="44" fontId="1" fillId="0" borderId="0" applyFont="0" applyFill="0" applyBorder="0" applyAlignment="0" applyProtection="0"/>
    <xf numFmtId="0" fontId="10" fillId="24" borderId="116" applyNumberFormat="0" applyFont="0" applyAlignment="0" applyProtection="0"/>
    <xf numFmtId="0" fontId="79" fillId="20" borderId="108" applyNumberFormat="0" applyAlignment="0" applyProtection="0"/>
    <xf numFmtId="0" fontId="7" fillId="0" borderId="118" applyNumberFormat="0" applyFont="0" applyFill="0" applyAlignment="0" applyProtection="0"/>
    <xf numFmtId="0" fontId="79" fillId="20" borderId="108" applyNumberFormat="0" applyAlignment="0" applyProtection="0"/>
    <xf numFmtId="0" fontId="112" fillId="50" borderId="111" applyNumberFormat="0" applyAlignment="0" applyProtection="0"/>
    <xf numFmtId="0" fontId="78" fillId="7" borderId="115" applyNumberFormat="0" applyAlignment="0" applyProtection="0"/>
    <xf numFmtId="185" fontId="1" fillId="0" borderId="0" applyFont="0" applyFill="0" applyBorder="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24" borderId="116" applyNumberFormat="0" applyFont="0" applyAlignment="0" applyProtection="0"/>
    <xf numFmtId="0" fontId="13" fillId="20" borderId="115" applyNumberFormat="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13" fillId="20" borderId="115" applyNumberFormat="0" applyAlignment="0" applyProtection="0"/>
    <xf numFmtId="0" fontId="7" fillId="0" borderId="117" applyNumberFormat="0" applyFont="0" applyFill="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13" fillId="20" borderId="115" applyNumberFormat="0" applyAlignment="0" applyProtection="0"/>
    <xf numFmtId="0" fontId="7" fillId="0" borderId="119" applyNumberFormat="0" applyFont="0" applyFill="0" applyAlignment="0" applyProtection="0"/>
    <xf numFmtId="0" fontId="7" fillId="0" borderId="120" applyNumberFormat="0" applyFont="0" applyFill="0" applyAlignment="0" applyProtection="0"/>
    <xf numFmtId="0" fontId="7" fillId="0" borderId="117" applyNumberFormat="0" applyFont="0" applyFill="0" applyAlignment="0" applyProtection="0"/>
    <xf numFmtId="0" fontId="7" fillId="0" borderId="116" applyNumberFormat="0" applyFont="0" applyFill="0" applyAlignment="0" applyProtection="0"/>
    <xf numFmtId="0" fontId="7" fillId="0" borderId="120" applyNumberFormat="0" applyFont="0" applyFill="0" applyAlignment="0" applyProtection="0"/>
    <xf numFmtId="0" fontId="7" fillId="0" borderId="118" applyNumberFormat="0" applyFont="0" applyFill="0" applyAlignment="0" applyProtection="0"/>
    <xf numFmtId="0" fontId="13" fillId="20" borderId="115" applyNumberFormat="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0"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19"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0" borderId="116"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86" fillId="0" borderId="46">
      <alignment horizontal="left" vertical="center"/>
    </xf>
    <xf numFmtId="0" fontId="7" fillId="44" borderId="103" applyNumberFormat="0" applyProtection="0">
      <alignment horizontal="left" vertical="center" indent="1"/>
    </xf>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45" borderId="103" applyNumberFormat="0" applyProtection="0">
      <alignment horizontal="left" vertical="top" indent="1"/>
    </xf>
    <xf numFmtId="0" fontId="7" fillId="24" borderId="116" applyNumberFormat="0" applyFont="0" applyAlignment="0" applyProtection="0"/>
    <xf numFmtId="0" fontId="79" fillId="20" borderId="108" applyNumberFormat="0" applyAlignment="0" applyProtection="0"/>
    <xf numFmtId="0" fontId="78" fillId="7" borderId="115" applyNumberFormat="0" applyAlignment="0" applyProtection="0"/>
    <xf numFmtId="0" fontId="10" fillId="24" borderId="116" applyNumberFormat="0" applyFont="0" applyAlignment="0" applyProtection="0"/>
    <xf numFmtId="4" fontId="100" fillId="37" borderId="103" applyNumberFormat="0" applyProtection="0">
      <alignment vertical="center"/>
    </xf>
    <xf numFmtId="4" fontId="31" fillId="8" borderId="103" applyNumberFormat="0" applyProtection="0">
      <alignment horizontal="right" vertical="center"/>
    </xf>
    <xf numFmtId="4" fontId="31" fillId="19" borderId="103" applyNumberFormat="0" applyProtection="0">
      <alignment horizontal="right" vertical="center"/>
    </xf>
    <xf numFmtId="0" fontId="7" fillId="24" borderId="116" applyNumberFormat="0" applyFont="0" applyAlignment="0" applyProtection="0"/>
    <xf numFmtId="0" fontId="7" fillId="0" borderId="117" applyNumberFormat="0" applyFont="0" applyFill="0" applyAlignment="0" applyProtection="0"/>
    <xf numFmtId="0" fontId="7" fillId="42"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top" indent="1"/>
    </xf>
    <xf numFmtId="0" fontId="7" fillId="45" borderId="103" applyNumberFormat="0" applyProtection="0">
      <alignment horizontal="left" vertical="center" indent="1"/>
    </xf>
    <xf numFmtId="0" fontId="7" fillId="24" borderId="116" applyNumberFormat="0" applyFont="0" applyAlignment="0" applyProtection="0"/>
    <xf numFmtId="44" fontId="1" fillId="0" borderId="0" applyFont="0" applyFill="0" applyBorder="0" applyAlignment="0" applyProtection="0"/>
    <xf numFmtId="0" fontId="1" fillId="0" borderId="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 fillId="0" borderId="119" applyNumberFormat="0" applyFont="0" applyFill="0" applyAlignment="0" applyProtection="0"/>
    <xf numFmtId="0" fontId="78" fillId="7" borderId="115" applyNumberFormat="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24" borderId="116" applyNumberFormat="0" applyFont="0" applyAlignment="0" applyProtection="0"/>
    <xf numFmtId="0" fontId="86" fillId="0" borderId="46">
      <alignment horizontal="left" vertical="center"/>
    </xf>
    <xf numFmtId="0" fontId="7" fillId="24" borderId="116" applyNumberFormat="0" applyFont="0" applyAlignment="0" applyProtection="0"/>
    <xf numFmtId="0" fontId="78" fillId="7" borderId="115" applyNumberFormat="0" applyAlignment="0" applyProtection="0"/>
    <xf numFmtId="0" fontId="7" fillId="24" borderId="116" applyNumberFormat="0" applyFont="0" applyAlignment="0" applyProtection="0"/>
    <xf numFmtId="0" fontId="86" fillId="0" borderId="46">
      <alignment horizontal="left" vertical="center"/>
    </xf>
    <xf numFmtId="0" fontId="7" fillId="0" borderId="119"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8" fillId="7" borderId="115" applyNumberFormat="0" applyAlignment="0" applyProtection="0"/>
    <xf numFmtId="4" fontId="31" fillId="22" borderId="103" applyNumberFormat="0" applyProtection="0">
      <alignment vertical="center"/>
    </xf>
    <xf numFmtId="4" fontId="31" fillId="22" borderId="103" applyNumberFormat="0" applyProtection="0">
      <alignment horizontal="left" vertical="center" indent="1"/>
    </xf>
    <xf numFmtId="4" fontId="31" fillId="41" borderId="103" applyNumberFormat="0" applyProtection="0">
      <alignment horizontal="right" vertical="center"/>
    </xf>
    <xf numFmtId="4" fontId="31" fillId="43" borderId="103" applyNumberFormat="0" applyProtection="0">
      <alignment horizontal="left" vertical="center" indent="1"/>
    </xf>
    <xf numFmtId="0" fontId="21" fillId="0" borderId="107" applyNumberFormat="0" applyFill="0" applyAlignment="0" applyProtection="0"/>
    <xf numFmtId="0" fontId="7" fillId="0" borderId="121"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0"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7" fillId="24" borderId="116" applyNumberFormat="0" applyFont="0" applyAlignment="0" applyProtection="0"/>
    <xf numFmtId="0" fontId="13" fillId="20" borderId="115" applyNumberFormat="0" applyAlignment="0" applyProtection="0"/>
    <xf numFmtId="44" fontId="1" fillId="0" borderId="0" applyFont="0" applyFill="0" applyBorder="0" applyAlignment="0" applyProtection="0"/>
    <xf numFmtId="0" fontId="1" fillId="0" borderId="0"/>
    <xf numFmtId="0" fontId="7" fillId="24" borderId="116" applyNumberFormat="0" applyFont="0" applyAlignment="0" applyProtection="0"/>
    <xf numFmtId="0" fontId="86" fillId="0" borderId="46">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3" applyNumberFormat="0" applyFont="0" applyFill="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24" borderId="116" applyNumberFormat="0" applyFont="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23" applyNumberFormat="0" applyFont="0" applyFill="0" applyAlignment="0" applyProtection="0"/>
    <xf numFmtId="0" fontId="7" fillId="0" borderId="120"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185" fontId="1" fillId="0" borderId="0" applyFont="0" applyFill="0" applyBorder="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19"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86" fillId="0" borderId="112">
      <alignment horizontal="left" vertical="center"/>
    </xf>
    <xf numFmtId="0" fontId="79" fillId="20" borderId="108"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8" fillId="7" borderId="115" applyNumberFormat="0" applyAlignment="0" applyProtection="0"/>
    <xf numFmtId="0" fontId="7" fillId="0" borderId="0"/>
    <xf numFmtId="0" fontId="7" fillId="0" borderId="102" applyNumberFormat="0" applyFont="0" applyFill="0" applyAlignment="0" applyProtection="0"/>
    <xf numFmtId="4" fontId="33" fillId="37" borderId="103" applyNumberFormat="0" applyProtection="0">
      <alignment horizontal="left" vertical="center" indent="1"/>
    </xf>
    <xf numFmtId="0" fontId="7" fillId="0" borderId="120" applyNumberFormat="0" applyFont="0" applyFill="0" applyAlignment="0" applyProtection="0"/>
    <xf numFmtId="44" fontId="1" fillId="0" borderId="0" applyFont="0" applyFill="0" applyBorder="0" applyAlignment="0" applyProtection="0"/>
    <xf numFmtId="0" fontId="112" fillId="50" borderId="111" applyNumberFormat="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19"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17"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19"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13" fillId="20" borderId="115" applyNumberFormat="0" applyAlignment="0" applyProtection="0"/>
    <xf numFmtId="0" fontId="86" fillId="0" borderId="112">
      <alignment horizontal="left" vertical="center"/>
    </xf>
    <xf numFmtId="0" fontId="13" fillId="20" borderId="115"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45" borderId="103" applyNumberFormat="0" applyProtection="0">
      <alignment horizontal="left" vertical="top" indent="1"/>
    </xf>
    <xf numFmtId="0" fontId="7" fillId="0" borderId="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33" fillId="37" borderId="103" applyNumberFormat="0" applyProtection="0">
      <alignment horizontal="left" vertical="top" indent="1"/>
    </xf>
    <xf numFmtId="4" fontId="31" fillId="3" borderId="103" applyNumberFormat="0" applyProtection="0">
      <alignment horizontal="right" vertical="center"/>
    </xf>
    <xf numFmtId="4" fontId="31" fillId="17" borderId="103" applyNumberFormat="0" applyProtection="0">
      <alignment horizontal="right" vertical="center"/>
    </xf>
    <xf numFmtId="4" fontId="31" fillId="15" borderId="103" applyNumberFormat="0" applyProtection="0">
      <alignment horizontal="right" vertical="center"/>
    </xf>
    <xf numFmtId="4" fontId="31" fillId="18" borderId="103" applyNumberFormat="0" applyProtection="0">
      <alignment horizontal="right" vertical="center"/>
    </xf>
    <xf numFmtId="4" fontId="31" fillId="9" borderId="103" applyNumberFormat="0" applyProtection="0">
      <alignment horizontal="right" vertical="center"/>
    </xf>
    <xf numFmtId="0" fontId="7" fillId="24" borderId="116" applyNumberFormat="0" applyFont="0" applyAlignment="0" applyProtection="0"/>
    <xf numFmtId="0" fontId="7" fillId="24" borderId="116" applyNumberFormat="0" applyFont="0" applyAlignment="0" applyProtection="0"/>
    <xf numFmtId="4" fontId="31" fillId="43" borderId="103" applyNumberFormat="0" applyProtection="0">
      <alignment horizontal="right" vertical="center"/>
    </xf>
    <xf numFmtId="0" fontId="7" fillId="24" borderId="116" applyNumberFormat="0" applyFont="0" applyAlignment="0" applyProtection="0"/>
    <xf numFmtId="0" fontId="7" fillId="24" borderId="116" applyNumberFormat="0" applyFont="0" applyAlignment="0" applyProtection="0"/>
    <xf numFmtId="0" fontId="7" fillId="42" borderId="103" applyNumberFormat="0" applyProtection="0">
      <alignment horizontal="left" vertical="center"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38" borderId="103" applyNumberFormat="0" applyProtection="0">
      <alignment horizontal="left" vertical="center"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44" borderId="103" applyNumberFormat="0" applyProtection="0">
      <alignment horizontal="left" vertical="center"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5" borderId="103" applyNumberFormat="0" applyProtection="0">
      <alignment horizontal="left" vertical="center" indent="1"/>
    </xf>
    <xf numFmtId="0" fontId="7" fillId="45" borderId="103" applyNumberFormat="0" applyProtection="0">
      <alignment horizontal="left" vertical="top" indent="1"/>
    </xf>
    <xf numFmtId="4" fontId="102" fillId="22" borderId="103" applyNumberFormat="0" applyProtection="0">
      <alignment vertical="center"/>
    </xf>
    <xf numFmtId="0" fontId="31" fillId="22" borderId="103" applyNumberFormat="0" applyProtection="0">
      <alignment horizontal="left" vertical="top" indent="1"/>
    </xf>
    <xf numFmtId="4" fontId="102" fillId="41" borderId="103" applyNumberFormat="0" applyProtection="0">
      <alignment horizontal="right" vertical="center"/>
    </xf>
    <xf numFmtId="0" fontId="31" fillId="38" borderId="103" applyNumberFormat="0" applyProtection="0">
      <alignment horizontal="left" vertical="top" indent="1"/>
    </xf>
    <xf numFmtId="0" fontId="21" fillId="0" borderId="107" applyNumberFormat="0" applyFill="0" applyAlignment="0" applyProtection="0"/>
    <xf numFmtId="4" fontId="104" fillId="41" borderId="103" applyNumberFormat="0" applyProtection="0">
      <alignment horizontal="right" vertical="center"/>
    </xf>
    <xf numFmtId="0" fontId="7" fillId="0" borderId="121" applyNumberFormat="0" applyFont="0" applyFill="0" applyAlignment="0" applyProtection="0"/>
    <xf numFmtId="0" fontId="7" fillId="0" borderId="119"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10" fillId="24" borderId="116" applyNumberFormat="0" applyFont="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10" fillId="24" borderId="116" applyNumberFormat="0" applyFont="0" applyAlignment="0" applyProtection="0"/>
    <xf numFmtId="0" fontId="112" fillId="50" borderId="111" applyNumberFormat="0" applyAlignment="0" applyProtection="0"/>
    <xf numFmtId="0" fontId="7" fillId="24" borderId="116" applyNumberFormat="0" applyFont="0" applyAlignment="0" applyProtection="0"/>
    <xf numFmtId="185" fontId="1" fillId="0" borderId="0" applyFont="0" applyFill="0" applyBorder="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9" fillId="20" borderId="108" applyNumberFormat="0" applyAlignment="0" applyProtection="0"/>
    <xf numFmtId="0" fontId="79" fillId="20" borderId="108" applyNumberFormat="0" applyAlignment="0" applyProtection="0"/>
    <xf numFmtId="0" fontId="79" fillId="20" borderId="108"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44" fontId="1" fillId="0" borderId="0" applyFont="0" applyFill="0" applyBorder="0" applyAlignment="0" applyProtection="0"/>
    <xf numFmtId="0" fontId="7" fillId="24" borderId="116" applyNumberFormat="0" applyFont="0" applyAlignment="0" applyProtection="0"/>
    <xf numFmtId="0" fontId="112" fillId="50" borderId="111" applyNumberFormat="0" applyAlignment="0" applyProtection="0"/>
    <xf numFmtId="0" fontId="7" fillId="24" borderId="116" applyNumberFormat="0" applyFont="0" applyAlignment="0" applyProtection="0"/>
    <xf numFmtId="185" fontId="1" fillId="0" borderId="0" applyFont="0" applyFill="0" applyBorder="0" applyAlignment="0" applyProtection="0"/>
    <xf numFmtId="0" fontId="78" fillId="7" borderId="115" applyNumberFormat="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86" fillId="0" borderId="46">
      <alignment horizontal="left" vertical="center"/>
    </xf>
    <xf numFmtId="185" fontId="1" fillId="0" borderId="0" applyFont="0" applyFill="0" applyBorder="0" applyAlignment="0" applyProtection="0"/>
    <xf numFmtId="0" fontId="112" fillId="50" borderId="111" applyNumberFormat="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19"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21"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13" fillId="20"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8" applyNumberFormat="0" applyFont="0" applyFill="0" applyAlignment="0" applyProtection="0"/>
    <xf numFmtId="0" fontId="13" fillId="20" borderId="115" applyNumberFormat="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9" fillId="20" borderId="108" applyNumberFormat="0" applyAlignment="0" applyProtection="0"/>
    <xf numFmtId="0" fontId="13" fillId="20" borderId="115" applyNumberFormat="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4" fontId="33" fillId="23" borderId="103" applyNumberFormat="0" applyProtection="0">
      <alignment vertical="center"/>
    </xf>
    <xf numFmtId="4" fontId="100" fillId="37" borderId="103" applyNumberFormat="0" applyProtection="0">
      <alignment vertical="center"/>
    </xf>
    <xf numFmtId="4" fontId="33" fillId="37" borderId="103" applyNumberFormat="0" applyProtection="0">
      <alignment horizontal="left" vertical="center" indent="1"/>
    </xf>
    <xf numFmtId="0" fontId="33" fillId="37" borderId="103" applyNumberFormat="0" applyProtection="0">
      <alignment horizontal="left" vertical="top" indent="1"/>
    </xf>
    <xf numFmtId="4" fontId="31" fillId="3" borderId="103" applyNumberFormat="0" applyProtection="0">
      <alignment horizontal="right" vertical="center"/>
    </xf>
    <xf numFmtId="4" fontId="31" fillId="8" borderId="103" applyNumberFormat="0" applyProtection="0">
      <alignment horizontal="right" vertical="center"/>
    </xf>
    <xf numFmtId="4" fontId="31" fillId="17" borderId="103" applyNumberFormat="0" applyProtection="0">
      <alignment horizontal="right" vertical="center"/>
    </xf>
    <xf numFmtId="4" fontId="31" fillId="11" borderId="103" applyNumberFormat="0" applyProtection="0">
      <alignment horizontal="right" vertical="center"/>
    </xf>
    <xf numFmtId="4" fontId="31" fillId="15" borderId="103" applyNumberFormat="0" applyProtection="0">
      <alignment horizontal="right" vertical="center"/>
    </xf>
    <xf numFmtId="4" fontId="31" fillId="19" borderId="103" applyNumberFormat="0" applyProtection="0">
      <alignment horizontal="right" vertical="center"/>
    </xf>
    <xf numFmtId="4" fontId="31" fillId="18" borderId="103" applyNumberFormat="0" applyProtection="0">
      <alignment horizontal="right" vertical="center"/>
    </xf>
    <xf numFmtId="4" fontId="31" fillId="39" borderId="103" applyNumberFormat="0" applyProtection="0">
      <alignment horizontal="right" vertical="center"/>
    </xf>
    <xf numFmtId="4" fontId="31" fillId="9" borderId="103" applyNumberFormat="0" applyProtection="0">
      <alignment horizontal="right" vertical="center"/>
    </xf>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4" fontId="31" fillId="43" borderId="103" applyNumberFormat="0" applyProtection="0">
      <alignment horizontal="right" vertical="center"/>
    </xf>
    <xf numFmtId="0" fontId="7" fillId="0" borderId="117" applyNumberFormat="0" applyFont="0" applyFill="0" applyAlignment="0" applyProtection="0"/>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top" indent="1"/>
    </xf>
    <xf numFmtId="0" fontId="7" fillId="45" borderId="103" applyNumberFormat="0" applyProtection="0">
      <alignment horizontal="left" vertical="top" indent="1"/>
    </xf>
    <xf numFmtId="0" fontId="7" fillId="45" borderId="103" applyNumberFormat="0" applyProtection="0">
      <alignment horizontal="left" vertical="top" indent="1"/>
    </xf>
    <xf numFmtId="4" fontId="31" fillId="22" borderId="103" applyNumberFormat="0" applyProtection="0">
      <alignment vertical="center"/>
    </xf>
    <xf numFmtId="4" fontId="102" fillId="22" borderId="103" applyNumberFormat="0" applyProtection="0">
      <alignment vertical="center"/>
    </xf>
    <xf numFmtId="4" fontId="31" fillId="22" borderId="103" applyNumberFormat="0" applyProtection="0">
      <alignment horizontal="left" vertical="center" indent="1"/>
    </xf>
    <xf numFmtId="0" fontId="31" fillId="22" borderId="103" applyNumberFormat="0" applyProtection="0">
      <alignment horizontal="left" vertical="top" indent="1"/>
    </xf>
    <xf numFmtId="4" fontId="31" fillId="41" borderId="103" applyNumberFormat="0" applyProtection="0">
      <alignment horizontal="right" vertical="center"/>
    </xf>
    <xf numFmtId="4" fontId="102" fillId="41" borderId="103" applyNumberFormat="0" applyProtection="0">
      <alignment horizontal="right" vertical="center"/>
    </xf>
    <xf numFmtId="4" fontId="31" fillId="43" borderId="103" applyNumberFormat="0" applyProtection="0">
      <alignment horizontal="left" vertical="center" indent="1"/>
    </xf>
    <xf numFmtId="0" fontId="31" fillId="38" borderId="103" applyNumberFormat="0" applyProtection="0">
      <alignment horizontal="left" vertical="top" indent="1"/>
    </xf>
    <xf numFmtId="0" fontId="7" fillId="0" borderId="120" applyNumberFormat="0" applyFont="0" applyFill="0" applyAlignment="0" applyProtection="0"/>
    <xf numFmtId="4" fontId="104" fillId="41" borderId="103" applyNumberFormat="0" applyProtection="0">
      <alignment horizontal="right" vertical="center"/>
    </xf>
    <xf numFmtId="0" fontId="7" fillId="0" borderId="121"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19" applyNumberFormat="0" applyFont="0" applyFill="0" applyAlignment="0" applyProtection="0"/>
    <xf numFmtId="0" fontId="7" fillId="0" borderId="120"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7" fillId="24" borderId="116" applyNumberFormat="0" applyFont="0" applyAlignment="0" applyProtection="0"/>
    <xf numFmtId="44" fontId="1" fillId="0" borderId="0" applyFont="0" applyFill="0" applyBorder="0" applyAlignment="0" applyProtection="0"/>
    <xf numFmtId="0" fontId="1" fillId="0" borderId="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 fillId="0" borderId="116" applyNumberFormat="0" applyFont="0" applyFill="0" applyAlignment="0" applyProtection="0"/>
    <xf numFmtId="0" fontId="78" fillId="7" borderId="115" applyNumberFormat="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0" borderId="122" applyNumberFormat="0" applyFont="0" applyFill="0" applyAlignment="0" applyProtection="0"/>
    <xf numFmtId="0" fontId="7" fillId="0" borderId="118" applyNumberFormat="0" applyFont="0" applyFill="0" applyAlignment="0" applyProtection="0"/>
    <xf numFmtId="0" fontId="78" fillId="7" borderId="115" applyNumberForma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 fillId="0" borderId="116" applyNumberFormat="0" applyFont="0" applyFill="0" applyAlignment="0" applyProtection="0"/>
    <xf numFmtId="0" fontId="78" fillId="7" borderId="115" applyNumberFormat="0" applyAlignment="0" applyProtection="0"/>
    <xf numFmtId="0" fontId="7" fillId="24" borderId="116" applyNumberFormat="0" applyFont="0" applyAlignment="0" applyProtection="0"/>
    <xf numFmtId="4" fontId="31" fillId="3" borderId="103" applyNumberFormat="0" applyProtection="0">
      <alignment horizontal="right" vertical="center"/>
    </xf>
    <xf numFmtId="4" fontId="31" fillId="8" borderId="103" applyNumberFormat="0" applyProtection="0">
      <alignment horizontal="right" vertical="center"/>
    </xf>
    <xf numFmtId="4" fontId="31" fillId="17" borderId="103" applyNumberFormat="0" applyProtection="0">
      <alignment horizontal="right" vertical="center"/>
    </xf>
    <xf numFmtId="4" fontId="31" fillId="11" borderId="103" applyNumberFormat="0" applyProtection="0">
      <alignment horizontal="right" vertical="center"/>
    </xf>
    <xf numFmtId="4" fontId="31" fillId="15" borderId="103" applyNumberFormat="0" applyProtection="0">
      <alignment horizontal="right" vertical="center"/>
    </xf>
    <xf numFmtId="4" fontId="31" fillId="19" borderId="103" applyNumberFormat="0" applyProtection="0">
      <alignment horizontal="right" vertical="center"/>
    </xf>
    <xf numFmtId="4" fontId="31" fillId="18" borderId="103" applyNumberFormat="0" applyProtection="0">
      <alignment horizontal="right" vertical="center"/>
    </xf>
    <xf numFmtId="4" fontId="31" fillId="39" borderId="103" applyNumberFormat="0" applyProtection="0">
      <alignment horizontal="right" vertical="center"/>
    </xf>
    <xf numFmtId="4" fontId="31" fillId="9" borderId="103" applyNumberFormat="0" applyProtection="0">
      <alignment horizontal="right" vertical="center"/>
    </xf>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4" fontId="31" fillId="43" borderId="103" applyNumberFormat="0" applyProtection="0">
      <alignment horizontal="right" vertical="center"/>
    </xf>
    <xf numFmtId="0" fontId="7" fillId="24" borderId="116" applyNumberFormat="0" applyFont="0" applyAlignment="0" applyProtection="0"/>
    <xf numFmtId="0" fontId="7" fillId="0" borderId="117"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top" indent="1"/>
    </xf>
    <xf numFmtId="0" fontId="7" fillId="45" borderId="103" applyNumberFormat="0" applyProtection="0">
      <alignment horizontal="left" vertical="top" indent="1"/>
    </xf>
    <xf numFmtId="0" fontId="7" fillId="45" borderId="103" applyNumberFormat="0" applyProtection="0">
      <alignment horizontal="left" vertical="top" indent="1"/>
    </xf>
    <xf numFmtId="4" fontId="31" fillId="22" borderId="103" applyNumberFormat="0" applyProtection="0">
      <alignment vertical="center"/>
    </xf>
    <xf numFmtId="4" fontId="102" fillId="22" borderId="103" applyNumberFormat="0" applyProtection="0">
      <alignment vertical="center"/>
    </xf>
    <xf numFmtId="4" fontId="31" fillId="22" borderId="103" applyNumberFormat="0" applyProtection="0">
      <alignment horizontal="left" vertical="center" indent="1"/>
    </xf>
    <xf numFmtId="0" fontId="31" fillId="22" borderId="103" applyNumberFormat="0" applyProtection="0">
      <alignment horizontal="left" vertical="top" indent="1"/>
    </xf>
    <xf numFmtId="4" fontId="31" fillId="41" borderId="103" applyNumberFormat="0" applyProtection="0">
      <alignment horizontal="right" vertical="center"/>
    </xf>
    <xf numFmtId="4" fontId="102" fillId="41" borderId="103" applyNumberFormat="0" applyProtection="0">
      <alignment horizontal="right" vertical="center"/>
    </xf>
    <xf numFmtId="4" fontId="31" fillId="43" borderId="103" applyNumberFormat="0" applyProtection="0">
      <alignment horizontal="left" vertical="center" indent="1"/>
    </xf>
    <xf numFmtId="0" fontId="31" fillId="38" borderId="103" applyNumberFormat="0" applyProtection="0">
      <alignment horizontal="left" vertical="top" indent="1"/>
    </xf>
    <xf numFmtId="0" fontId="7" fillId="0" borderId="120" applyNumberFormat="0" applyFont="0" applyFill="0" applyAlignment="0" applyProtection="0"/>
    <xf numFmtId="4" fontId="104" fillId="41" borderId="103" applyNumberFormat="0" applyProtection="0">
      <alignment horizontal="right" vertical="center"/>
    </xf>
    <xf numFmtId="0" fontId="7" fillId="0" borderId="121"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20" applyNumberFormat="0" applyFon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7" fillId="24" borderId="116" applyNumberFormat="0" applyFont="0" applyAlignment="0" applyProtection="0"/>
    <xf numFmtId="44" fontId="1" fillId="0" borderId="0" applyFont="0" applyFill="0" applyBorder="0" applyAlignment="0" applyProtection="0"/>
    <xf numFmtId="0" fontId="1" fillId="0" borderId="0"/>
    <xf numFmtId="0" fontId="10" fillId="24" borderId="116" applyNumberFormat="0" applyFont="0" applyAlignment="0" applyProtection="0"/>
    <xf numFmtId="0" fontId="10" fillId="24" borderId="116" applyNumberFormat="0" applyFont="0" applyAlignment="0" applyProtection="0"/>
    <xf numFmtId="0" fontId="86" fillId="0" borderId="46">
      <alignment horizontal="left" vertical="center"/>
    </xf>
    <xf numFmtId="0" fontId="86" fillId="0" borderId="46">
      <alignment horizontal="left" vertical="center"/>
    </xf>
    <xf numFmtId="0" fontId="7" fillId="24" borderId="116" applyNumberFormat="0" applyFont="0" applyAlignment="0" applyProtection="0"/>
    <xf numFmtId="0" fontId="86" fillId="0" borderId="46">
      <alignment horizontal="left" vertical="center"/>
    </xf>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22" applyNumberFormat="0" applyFont="0" applyFill="0" applyAlignment="0" applyProtection="0"/>
    <xf numFmtId="0" fontId="79" fillId="20" borderId="108" applyNumberFormat="0" applyAlignment="0" applyProtection="0"/>
    <xf numFmtId="0" fontId="86" fillId="0" borderId="46">
      <alignment horizontal="left" vertical="center"/>
    </xf>
    <xf numFmtId="0" fontId="78" fillId="7" borderId="115" applyNumberFormat="0" applyAlignment="0" applyProtection="0"/>
    <xf numFmtId="0" fontId="86" fillId="0" borderId="46">
      <alignment horizontal="left" vertical="center"/>
    </xf>
    <xf numFmtId="0" fontId="78" fillId="7" borderId="115" applyNumberFormat="0" applyAlignment="0" applyProtection="0"/>
    <xf numFmtId="0" fontId="7" fillId="24" borderId="116" applyNumberFormat="0" applyFont="0" applyAlignment="0" applyProtection="0"/>
    <xf numFmtId="0" fontId="7" fillId="0" borderId="120"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112" fillId="50" borderId="111" applyNumberFormat="0" applyAlignment="0" applyProtection="0"/>
    <xf numFmtId="185" fontId="1" fillId="0" borderId="0" applyFont="0" applyFill="0" applyBorder="0" applyAlignment="0" applyProtection="0"/>
    <xf numFmtId="0" fontId="78" fillId="7" borderId="115" applyNumberFormat="0" applyAlignment="0" applyProtection="0"/>
    <xf numFmtId="0" fontId="86" fillId="0" borderId="46">
      <alignment horizontal="left" vertical="center"/>
    </xf>
    <xf numFmtId="0" fontId="7" fillId="0" borderId="121"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10"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10" fillId="24" borderId="116" applyNumberFormat="0" applyFont="0" applyAlignment="0" applyProtection="0"/>
    <xf numFmtId="0" fontId="86" fillId="0" borderId="46">
      <alignment horizontal="left" vertical="center"/>
    </xf>
    <xf numFmtId="0" fontId="7" fillId="0" borderId="102" applyNumberFormat="0" applyFont="0" applyFill="0" applyAlignment="0" applyProtection="0"/>
    <xf numFmtId="0" fontId="7" fillId="0" borderId="102" applyNumberFormat="0" applyFont="0" applyFill="0" applyAlignment="0" applyProtection="0"/>
    <xf numFmtId="4" fontId="33" fillId="23" borderId="103" applyNumberFormat="0" applyProtection="0">
      <alignment vertical="center"/>
    </xf>
    <xf numFmtId="4" fontId="100" fillId="37" borderId="103" applyNumberFormat="0" applyProtection="0">
      <alignment vertical="center"/>
    </xf>
    <xf numFmtId="4" fontId="33" fillId="37" borderId="103" applyNumberFormat="0" applyProtection="0">
      <alignment horizontal="left" vertical="center" indent="1"/>
    </xf>
    <xf numFmtId="0" fontId="33" fillId="37" borderId="103" applyNumberFormat="0" applyProtection="0">
      <alignment horizontal="left" vertical="top" indent="1"/>
    </xf>
    <xf numFmtId="0" fontId="7" fillId="0" borderId="119" applyNumberFormat="0" applyFont="0" applyFill="0" applyAlignment="0" applyProtection="0"/>
    <xf numFmtId="4" fontId="31" fillId="3" borderId="103" applyNumberFormat="0" applyProtection="0">
      <alignment horizontal="right" vertical="center"/>
    </xf>
    <xf numFmtId="4" fontId="31" fillId="8" borderId="103" applyNumberFormat="0" applyProtection="0">
      <alignment horizontal="right" vertical="center"/>
    </xf>
    <xf numFmtId="4" fontId="31" fillId="17" borderId="103" applyNumberFormat="0" applyProtection="0">
      <alignment horizontal="right" vertical="center"/>
    </xf>
    <xf numFmtId="4" fontId="31" fillId="11" borderId="103" applyNumberFormat="0" applyProtection="0">
      <alignment horizontal="right" vertical="center"/>
    </xf>
    <xf numFmtId="4" fontId="31" fillId="15" borderId="103" applyNumberFormat="0" applyProtection="0">
      <alignment horizontal="right" vertical="center"/>
    </xf>
    <xf numFmtId="4" fontId="31" fillId="19" borderId="103" applyNumberFormat="0" applyProtection="0">
      <alignment horizontal="right" vertical="center"/>
    </xf>
    <xf numFmtId="4" fontId="31" fillId="18" borderId="103" applyNumberFormat="0" applyProtection="0">
      <alignment horizontal="right" vertical="center"/>
    </xf>
    <xf numFmtId="4" fontId="31" fillId="39" borderId="103" applyNumberFormat="0" applyProtection="0">
      <alignment horizontal="right" vertical="center"/>
    </xf>
    <xf numFmtId="4" fontId="31" fillId="9" borderId="103" applyNumberFormat="0" applyProtection="0">
      <alignment horizontal="right" vertical="center"/>
    </xf>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4" fontId="31" fillId="43" borderId="103" applyNumberFormat="0" applyProtection="0">
      <alignment horizontal="right" vertical="center"/>
    </xf>
    <xf numFmtId="0" fontId="7" fillId="0" borderId="122" applyNumberFormat="0" applyFont="0" applyFill="0" applyAlignment="0" applyProtection="0"/>
    <xf numFmtId="0" fontId="7" fillId="0" borderId="122"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top" indent="1"/>
    </xf>
    <xf numFmtId="0" fontId="7" fillId="45" borderId="103" applyNumberFormat="0" applyProtection="0">
      <alignment horizontal="left" vertical="top" indent="1"/>
    </xf>
    <xf numFmtId="0" fontId="7" fillId="45" borderId="103" applyNumberFormat="0" applyProtection="0">
      <alignment horizontal="left" vertical="top" indent="1"/>
    </xf>
    <xf numFmtId="4" fontId="31" fillId="22" borderId="103" applyNumberFormat="0" applyProtection="0">
      <alignment vertical="center"/>
    </xf>
    <xf numFmtId="4" fontId="102" fillId="22" borderId="103" applyNumberFormat="0" applyProtection="0">
      <alignment vertical="center"/>
    </xf>
    <xf numFmtId="4" fontId="31" fillId="22" borderId="103" applyNumberFormat="0" applyProtection="0">
      <alignment horizontal="left" vertical="center" indent="1"/>
    </xf>
    <xf numFmtId="0" fontId="31" fillId="22" borderId="103" applyNumberFormat="0" applyProtection="0">
      <alignment horizontal="left" vertical="top" indent="1"/>
    </xf>
    <xf numFmtId="4" fontId="31" fillId="41" borderId="103" applyNumberFormat="0" applyProtection="0">
      <alignment horizontal="right" vertical="center"/>
    </xf>
    <xf numFmtId="4" fontId="102" fillId="41" borderId="103" applyNumberFormat="0" applyProtection="0">
      <alignment horizontal="right" vertical="center"/>
    </xf>
    <xf numFmtId="4" fontId="31" fillId="43" borderId="103" applyNumberFormat="0" applyProtection="0">
      <alignment horizontal="left" vertical="center" indent="1"/>
    </xf>
    <xf numFmtId="0" fontId="31" fillId="38" borderId="103" applyNumberFormat="0" applyProtection="0">
      <alignment horizontal="left" vertical="top" indent="1"/>
    </xf>
    <xf numFmtId="4" fontId="104" fillId="41" borderId="103" applyNumberFormat="0" applyProtection="0">
      <alignment horizontal="right" vertical="center"/>
    </xf>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7" fillId="0" borderId="120"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2"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1"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44" fontId="1" fillId="0" borderId="0" applyFont="0" applyFill="0" applyBorder="0" applyAlignment="0" applyProtection="0"/>
    <xf numFmtId="0" fontId="1" fillId="0" borderId="0"/>
    <xf numFmtId="0" fontId="10" fillId="24" borderId="116" applyNumberFormat="0" applyFont="0" applyAlignment="0" applyProtection="0"/>
    <xf numFmtId="0" fontId="10" fillId="24" borderId="116" applyNumberFormat="0" applyFont="0" applyAlignment="0" applyProtection="0"/>
    <xf numFmtId="0" fontId="86" fillId="0" borderId="46">
      <alignment horizontal="left" vertical="center"/>
    </xf>
    <xf numFmtId="0" fontId="86" fillId="0" borderId="46">
      <alignment horizontal="left" vertical="center"/>
    </xf>
    <xf numFmtId="0" fontId="7" fillId="24" borderId="116" applyNumberFormat="0" applyFont="0" applyAlignment="0" applyProtection="0"/>
    <xf numFmtId="0" fontId="86" fillId="0" borderId="46">
      <alignment horizontal="left" vertical="center"/>
    </xf>
    <xf numFmtId="0" fontId="78" fillId="7" borderId="115" applyNumberFormat="0" applyAlignment="0" applyProtection="0"/>
    <xf numFmtId="0" fontId="7" fillId="24" borderId="116" applyNumberFormat="0" applyFont="0" applyAlignment="0" applyProtection="0"/>
    <xf numFmtId="0" fontId="86" fillId="0" borderId="46">
      <alignment horizontal="left" vertical="center"/>
    </xf>
    <xf numFmtId="0" fontId="7" fillId="24" borderId="116" applyNumberFormat="0" applyFont="0" applyAlignment="0" applyProtection="0"/>
    <xf numFmtId="0" fontId="78" fillId="7" borderId="115" applyNumberFormat="0" applyAlignment="0" applyProtection="0"/>
    <xf numFmtId="0" fontId="86" fillId="0" borderId="46">
      <alignment horizontal="left" vertical="center"/>
    </xf>
    <xf numFmtId="0" fontId="79" fillId="20" borderId="108" applyNumberFormat="0" applyAlignment="0" applyProtection="0"/>
    <xf numFmtId="0" fontId="112" fillId="50" borderId="111" applyNumberFormat="0" applyAlignment="0" applyProtection="0"/>
    <xf numFmtId="0" fontId="7" fillId="24" borderId="116" applyNumberFormat="0" applyFont="0" applyAlignment="0" applyProtection="0"/>
    <xf numFmtId="185" fontId="1" fillId="0" borderId="0" applyFont="0" applyFill="0" applyBorder="0" applyAlignment="0" applyProtection="0"/>
    <xf numFmtId="0" fontId="7" fillId="24" borderId="116" applyNumberFormat="0" applyFont="0" applyAlignment="0" applyProtection="0"/>
    <xf numFmtId="0" fontId="86" fillId="0" borderId="112">
      <alignment horizontal="left" vertical="center"/>
    </xf>
    <xf numFmtId="0" fontId="1" fillId="0" borderId="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02" applyNumberFormat="0" applyFont="0" applyFill="0" applyAlignment="0" applyProtection="0"/>
    <xf numFmtId="0" fontId="7" fillId="0" borderId="102" applyNumberFormat="0" applyFont="0" applyFill="0" applyAlignment="0" applyProtection="0"/>
    <xf numFmtId="4" fontId="33" fillId="23" borderId="103" applyNumberFormat="0" applyProtection="0">
      <alignment vertical="center"/>
    </xf>
    <xf numFmtId="4" fontId="100" fillId="37" borderId="103" applyNumberFormat="0" applyProtection="0">
      <alignment vertical="center"/>
    </xf>
    <xf numFmtId="4" fontId="33" fillId="37" borderId="103" applyNumberFormat="0" applyProtection="0">
      <alignment horizontal="left" vertical="center" indent="1"/>
    </xf>
    <xf numFmtId="0" fontId="33" fillId="37" borderId="103" applyNumberFormat="0" applyProtection="0">
      <alignment horizontal="left" vertical="top" indent="1"/>
    </xf>
    <xf numFmtId="4" fontId="31" fillId="3" borderId="103" applyNumberFormat="0" applyProtection="0">
      <alignment horizontal="right" vertical="center"/>
    </xf>
    <xf numFmtId="4" fontId="31" fillId="8" borderId="103" applyNumberFormat="0" applyProtection="0">
      <alignment horizontal="right" vertical="center"/>
    </xf>
    <xf numFmtId="4" fontId="31" fillId="17" borderId="103" applyNumberFormat="0" applyProtection="0">
      <alignment horizontal="right" vertical="center"/>
    </xf>
    <xf numFmtId="4" fontId="31" fillId="11" borderId="103" applyNumberFormat="0" applyProtection="0">
      <alignment horizontal="right" vertical="center"/>
    </xf>
    <xf numFmtId="4" fontId="31" fillId="15" borderId="103" applyNumberFormat="0" applyProtection="0">
      <alignment horizontal="right" vertical="center"/>
    </xf>
    <xf numFmtId="4" fontId="31" fillId="19" borderId="103" applyNumberFormat="0" applyProtection="0">
      <alignment horizontal="right" vertical="center"/>
    </xf>
    <xf numFmtId="4" fontId="31" fillId="18" borderId="103" applyNumberFormat="0" applyProtection="0">
      <alignment horizontal="right" vertical="center"/>
    </xf>
    <xf numFmtId="4" fontId="31" fillId="39" borderId="103" applyNumberFormat="0" applyProtection="0">
      <alignment horizontal="right" vertical="center"/>
    </xf>
    <xf numFmtId="4" fontId="31" fillId="9" borderId="103" applyNumberFormat="0" applyProtection="0">
      <alignment horizontal="right" vertical="center"/>
    </xf>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0" fontId="7" fillId="0" borderId="117" applyNumberFormat="0" applyFont="0" applyFill="0" applyAlignment="0" applyProtection="0"/>
    <xf numFmtId="4" fontId="31" fillId="43" borderId="103" applyNumberFormat="0" applyProtection="0">
      <alignment horizontal="right" vertical="center"/>
    </xf>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top" indent="1"/>
    </xf>
    <xf numFmtId="0" fontId="7" fillId="45" borderId="103" applyNumberFormat="0" applyProtection="0">
      <alignment horizontal="left" vertical="top" indent="1"/>
    </xf>
    <xf numFmtId="0" fontId="7" fillId="45" borderId="103" applyNumberFormat="0" applyProtection="0">
      <alignment horizontal="left" vertical="top" indent="1"/>
    </xf>
    <xf numFmtId="4" fontId="31" fillId="22" borderId="103" applyNumberFormat="0" applyProtection="0">
      <alignment vertical="center"/>
    </xf>
    <xf numFmtId="4" fontId="102" fillId="22" borderId="103" applyNumberFormat="0" applyProtection="0">
      <alignment vertical="center"/>
    </xf>
    <xf numFmtId="4" fontId="31" fillId="22" borderId="103" applyNumberFormat="0" applyProtection="0">
      <alignment horizontal="left" vertical="center" indent="1"/>
    </xf>
    <xf numFmtId="0" fontId="31" fillId="22" borderId="103" applyNumberFormat="0" applyProtection="0">
      <alignment horizontal="left" vertical="top" indent="1"/>
    </xf>
    <xf numFmtId="4" fontId="31" fillId="41" borderId="103" applyNumberFormat="0" applyProtection="0">
      <alignment horizontal="right" vertical="center"/>
    </xf>
    <xf numFmtId="4" fontId="102" fillId="41" borderId="103" applyNumberFormat="0" applyProtection="0">
      <alignment horizontal="right" vertical="center"/>
    </xf>
    <xf numFmtId="4" fontId="31" fillId="43" borderId="103" applyNumberFormat="0" applyProtection="0">
      <alignment horizontal="left" vertical="center" indent="1"/>
    </xf>
    <xf numFmtId="0" fontId="31" fillId="38" borderId="103" applyNumberFormat="0" applyProtection="0">
      <alignment horizontal="left" vertical="top" indent="1"/>
    </xf>
    <xf numFmtId="0" fontId="7" fillId="0" borderId="120" applyNumberFormat="0" applyFont="0" applyFill="0" applyAlignment="0" applyProtection="0"/>
    <xf numFmtId="0" fontId="7" fillId="0" borderId="120" applyNumberFormat="0" applyFont="0" applyFill="0" applyAlignment="0" applyProtection="0"/>
    <xf numFmtId="0" fontId="7" fillId="0" borderId="120" applyNumberFormat="0" applyFont="0" applyFill="0" applyAlignment="0" applyProtection="0"/>
    <xf numFmtId="4" fontId="104" fillId="41" borderId="103" applyNumberFormat="0" applyProtection="0">
      <alignment horizontal="right" vertical="center"/>
    </xf>
    <xf numFmtId="0" fontId="7" fillId="0" borderId="122" applyNumberFormat="0" applyFont="0" applyFill="0" applyAlignment="0" applyProtection="0"/>
    <xf numFmtId="0" fontId="7" fillId="0" borderId="123" applyNumberFormat="0" applyFont="0" applyFill="0" applyAlignment="0" applyProtection="0"/>
    <xf numFmtId="0" fontId="7" fillId="0" borderId="123" applyNumberFormat="0" applyFon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7" fillId="24" borderId="116" applyNumberFormat="0" applyFont="0" applyAlignment="0" applyProtection="0"/>
    <xf numFmtId="44" fontId="1" fillId="0" borderId="0" applyFont="0" applyFill="0" applyBorder="0" applyAlignment="0" applyProtection="0"/>
    <xf numFmtId="0" fontId="1" fillId="0" borderId="0"/>
    <xf numFmtId="0" fontId="78" fillId="7" borderId="115" applyNumberFormat="0" applyAlignment="0" applyProtection="0"/>
    <xf numFmtId="0" fontId="78" fillId="7" borderId="115" applyNumberForma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9"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6"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0" borderId="118" applyNumberFormat="0" applyFont="0" applyFill="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7" fillId="24" borderId="116" applyNumberFormat="0" applyFont="0" applyAlignment="0" applyProtection="0"/>
    <xf numFmtId="0" fontId="10" fillId="24" borderId="116" applyNumberFormat="0" applyFont="0" applyAlignment="0" applyProtection="0"/>
    <xf numFmtId="0" fontId="78" fillId="7" borderId="115" applyNumberFormat="0" applyAlignment="0" applyProtection="0"/>
    <xf numFmtId="0" fontId="78" fillId="7" borderId="115" applyNumberFormat="0" applyAlignment="0" applyProtection="0"/>
    <xf numFmtId="0" fontId="10" fillId="24" borderId="116" applyNumberFormat="0" applyFont="0" applyAlignment="0" applyProtection="0"/>
    <xf numFmtId="0" fontId="86" fillId="0" borderId="112">
      <alignment horizontal="left" vertical="center"/>
    </xf>
    <xf numFmtId="0" fontId="86" fillId="0" borderId="112">
      <alignment horizontal="left" vertical="center"/>
    </xf>
    <xf numFmtId="0" fontId="7" fillId="0" borderId="102" applyNumberFormat="0" applyFont="0" applyFill="0" applyAlignment="0" applyProtection="0"/>
    <xf numFmtId="0" fontId="7" fillId="0" borderId="102" applyNumberFormat="0" applyFont="0" applyFill="0" applyAlignment="0" applyProtection="0"/>
    <xf numFmtId="4" fontId="33" fillId="23" borderId="103" applyNumberFormat="0" applyProtection="0">
      <alignment vertical="center"/>
    </xf>
    <xf numFmtId="4" fontId="100" fillId="37" borderId="103" applyNumberFormat="0" applyProtection="0">
      <alignment vertical="center"/>
    </xf>
    <xf numFmtId="4" fontId="33" fillId="37" borderId="103" applyNumberFormat="0" applyProtection="0">
      <alignment horizontal="left" vertical="center" indent="1"/>
    </xf>
    <xf numFmtId="0" fontId="33" fillId="37" borderId="103" applyNumberFormat="0" applyProtection="0">
      <alignment horizontal="left" vertical="top" indent="1"/>
    </xf>
    <xf numFmtId="4" fontId="31" fillId="3" borderId="103" applyNumberFormat="0" applyProtection="0">
      <alignment horizontal="right" vertical="center"/>
    </xf>
    <xf numFmtId="4" fontId="31" fillId="8" borderId="103" applyNumberFormat="0" applyProtection="0">
      <alignment horizontal="right" vertical="center"/>
    </xf>
    <xf numFmtId="4" fontId="31" fillId="17" borderId="103" applyNumberFormat="0" applyProtection="0">
      <alignment horizontal="right" vertical="center"/>
    </xf>
    <xf numFmtId="4" fontId="31" fillId="11" borderId="103" applyNumberFormat="0" applyProtection="0">
      <alignment horizontal="right" vertical="center"/>
    </xf>
    <xf numFmtId="4" fontId="31" fillId="15" borderId="103" applyNumberFormat="0" applyProtection="0">
      <alignment horizontal="right" vertical="center"/>
    </xf>
    <xf numFmtId="4" fontId="31" fillId="19" borderId="103" applyNumberFormat="0" applyProtection="0">
      <alignment horizontal="right" vertical="center"/>
    </xf>
    <xf numFmtId="4" fontId="31" fillId="18" borderId="103" applyNumberFormat="0" applyProtection="0">
      <alignment horizontal="right" vertical="center"/>
    </xf>
    <xf numFmtId="4" fontId="31" fillId="39" borderId="103" applyNumberFormat="0" applyProtection="0">
      <alignment horizontal="right" vertical="center"/>
    </xf>
    <xf numFmtId="4" fontId="31" fillId="9" borderId="103" applyNumberFormat="0" applyProtection="0">
      <alignment horizontal="right" vertical="center"/>
    </xf>
    <xf numFmtId="4" fontId="31" fillId="43" borderId="103" applyNumberFormat="0" applyProtection="0">
      <alignment horizontal="right" vertical="center"/>
    </xf>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top" indent="1"/>
    </xf>
    <xf numFmtId="0" fontId="7" fillId="45" borderId="103" applyNumberFormat="0" applyProtection="0">
      <alignment horizontal="left" vertical="top" indent="1"/>
    </xf>
    <xf numFmtId="0" fontId="7" fillId="45" borderId="103" applyNumberFormat="0" applyProtection="0">
      <alignment horizontal="left" vertical="top" indent="1"/>
    </xf>
    <xf numFmtId="4" fontId="31" fillId="22" borderId="103" applyNumberFormat="0" applyProtection="0">
      <alignment vertical="center"/>
    </xf>
    <xf numFmtId="4" fontId="102" fillId="22" borderId="103" applyNumberFormat="0" applyProtection="0">
      <alignment vertical="center"/>
    </xf>
    <xf numFmtId="4" fontId="31" fillId="22" borderId="103" applyNumberFormat="0" applyProtection="0">
      <alignment horizontal="left" vertical="center" indent="1"/>
    </xf>
    <xf numFmtId="0" fontId="31" fillId="22" borderId="103" applyNumberFormat="0" applyProtection="0">
      <alignment horizontal="left" vertical="top" indent="1"/>
    </xf>
    <xf numFmtId="4" fontId="31" fillId="41" borderId="103" applyNumberFormat="0" applyProtection="0">
      <alignment horizontal="right" vertical="center"/>
    </xf>
    <xf numFmtId="4" fontId="102" fillId="41" borderId="103" applyNumberFormat="0" applyProtection="0">
      <alignment horizontal="right" vertical="center"/>
    </xf>
    <xf numFmtId="4" fontId="31" fillId="43" borderId="103" applyNumberFormat="0" applyProtection="0">
      <alignment horizontal="left" vertical="center" indent="1"/>
    </xf>
    <xf numFmtId="0" fontId="31" fillId="38" borderId="103" applyNumberFormat="0" applyProtection="0">
      <alignment horizontal="left" vertical="top" indent="1"/>
    </xf>
    <xf numFmtId="4" fontId="104" fillId="41" borderId="103" applyNumberFormat="0" applyProtection="0">
      <alignment horizontal="right" vertical="center"/>
    </xf>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112" fillId="50" borderId="111" applyNumberFormat="0" applyAlignment="0" applyProtection="0"/>
    <xf numFmtId="185" fontId="1" fillId="0" borderId="0" applyFont="0" applyFill="0" applyBorder="0" applyAlignment="0" applyProtection="0"/>
    <xf numFmtId="0" fontId="10" fillId="24" borderId="116" applyNumberFormat="0" applyFont="0" applyAlignment="0" applyProtection="0"/>
    <xf numFmtId="0" fontId="10" fillId="24" borderId="116" applyNumberFormat="0" applyFont="0" applyAlignment="0" applyProtection="0"/>
    <xf numFmtId="0" fontId="86" fillId="0" borderId="112">
      <alignment horizontal="left" vertical="center"/>
    </xf>
    <xf numFmtId="0" fontId="86" fillId="0" borderId="112">
      <alignment horizontal="left" vertical="center"/>
    </xf>
    <xf numFmtId="0" fontId="86" fillId="0" borderId="112">
      <alignment horizontal="left" vertical="center"/>
    </xf>
    <xf numFmtId="0" fontId="7" fillId="24" borderId="116" applyNumberFormat="0" applyFont="0" applyAlignment="0" applyProtection="0"/>
    <xf numFmtId="0" fontId="7" fillId="24" borderId="116" applyNumberFormat="0" applyFont="0" applyAlignment="0" applyProtection="0"/>
    <xf numFmtId="0" fontId="78" fillId="7" borderId="115" applyNumberFormat="0" applyAlignment="0" applyProtection="0"/>
    <xf numFmtId="0" fontId="86" fillId="0" borderId="112">
      <alignment horizontal="left" vertical="center"/>
    </xf>
    <xf numFmtId="0" fontId="7" fillId="24" borderId="116" applyNumberFormat="0" applyFont="0" applyAlignment="0" applyProtection="0"/>
    <xf numFmtId="0" fontId="10" fillId="24" borderId="116" applyNumberFormat="0" applyFont="0" applyAlignment="0" applyProtection="0"/>
    <xf numFmtId="0" fontId="10" fillId="24" borderId="116" applyNumberFormat="0" applyFont="0" applyAlignment="0" applyProtection="0"/>
    <xf numFmtId="0" fontId="7" fillId="0" borderId="102" applyNumberFormat="0" applyFont="0" applyFill="0" applyAlignment="0" applyProtection="0"/>
    <xf numFmtId="0" fontId="7" fillId="0" borderId="102" applyNumberFormat="0" applyFont="0" applyFill="0" applyAlignment="0" applyProtection="0"/>
    <xf numFmtId="4" fontId="33" fillId="23" borderId="103" applyNumberFormat="0" applyProtection="0">
      <alignment vertical="center"/>
    </xf>
    <xf numFmtId="4" fontId="100" fillId="37" borderId="103" applyNumberFormat="0" applyProtection="0">
      <alignment vertical="center"/>
    </xf>
    <xf numFmtId="4" fontId="33" fillId="37" borderId="103" applyNumberFormat="0" applyProtection="0">
      <alignment horizontal="left" vertical="center" indent="1"/>
    </xf>
    <xf numFmtId="0" fontId="33" fillId="37" borderId="103" applyNumberFormat="0" applyProtection="0">
      <alignment horizontal="left" vertical="top" indent="1"/>
    </xf>
    <xf numFmtId="4" fontId="31" fillId="3" borderId="103" applyNumberFormat="0" applyProtection="0">
      <alignment horizontal="right" vertical="center"/>
    </xf>
    <xf numFmtId="4" fontId="31" fillId="8" borderId="103" applyNumberFormat="0" applyProtection="0">
      <alignment horizontal="right" vertical="center"/>
    </xf>
    <xf numFmtId="4" fontId="31" fillId="17" borderId="103" applyNumberFormat="0" applyProtection="0">
      <alignment horizontal="right" vertical="center"/>
    </xf>
    <xf numFmtId="4" fontId="31" fillId="11" borderId="103" applyNumberFormat="0" applyProtection="0">
      <alignment horizontal="right" vertical="center"/>
    </xf>
    <xf numFmtId="4" fontId="31" fillId="15" borderId="103" applyNumberFormat="0" applyProtection="0">
      <alignment horizontal="right" vertical="center"/>
    </xf>
    <xf numFmtId="4" fontId="31" fillId="19" borderId="103" applyNumberFormat="0" applyProtection="0">
      <alignment horizontal="right" vertical="center"/>
    </xf>
    <xf numFmtId="4" fontId="31" fillId="18" borderId="103" applyNumberFormat="0" applyProtection="0">
      <alignment horizontal="right" vertical="center"/>
    </xf>
    <xf numFmtId="4" fontId="31" fillId="39" borderId="103" applyNumberFormat="0" applyProtection="0">
      <alignment horizontal="right" vertical="center"/>
    </xf>
    <xf numFmtId="4" fontId="31" fillId="9" borderId="103" applyNumberFormat="0" applyProtection="0">
      <alignment horizontal="right" vertical="center"/>
    </xf>
    <xf numFmtId="4" fontId="33" fillId="40" borderId="124" applyNumberFormat="0" applyProtection="0">
      <alignment horizontal="left" vertical="center" indent="1"/>
    </xf>
    <xf numFmtId="4" fontId="31" fillId="43" borderId="103" applyNumberFormat="0" applyProtection="0">
      <alignment horizontal="right" vertical="center"/>
    </xf>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center"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42" borderId="103" applyNumberFormat="0" applyProtection="0">
      <alignment horizontal="left" vertical="top"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center"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38" borderId="103" applyNumberFormat="0" applyProtection="0">
      <alignment horizontal="left" vertical="top"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center"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4" borderId="103" applyNumberFormat="0" applyProtection="0">
      <alignment horizontal="left" vertical="top"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center" indent="1"/>
    </xf>
    <xf numFmtId="0" fontId="7" fillId="45" borderId="103" applyNumberFormat="0" applyProtection="0">
      <alignment horizontal="left" vertical="top" indent="1"/>
    </xf>
    <xf numFmtId="0" fontId="7" fillId="45" borderId="103" applyNumberFormat="0" applyProtection="0">
      <alignment horizontal="left" vertical="top" indent="1"/>
    </xf>
    <xf numFmtId="0" fontId="7" fillId="45" borderId="103" applyNumberFormat="0" applyProtection="0">
      <alignment horizontal="left" vertical="top" indent="1"/>
    </xf>
    <xf numFmtId="4" fontId="31" fillId="22" borderId="103" applyNumberFormat="0" applyProtection="0">
      <alignment vertical="center"/>
    </xf>
    <xf numFmtId="4" fontId="102" fillId="22" borderId="103" applyNumberFormat="0" applyProtection="0">
      <alignment vertical="center"/>
    </xf>
    <xf numFmtId="4" fontId="31" fillId="22" borderId="103" applyNumberFormat="0" applyProtection="0">
      <alignment horizontal="left" vertical="center" indent="1"/>
    </xf>
    <xf numFmtId="0" fontId="31" fillId="22" borderId="103" applyNumberFormat="0" applyProtection="0">
      <alignment horizontal="left" vertical="top" indent="1"/>
    </xf>
    <xf numFmtId="4" fontId="31" fillId="41" borderId="103" applyNumberFormat="0" applyProtection="0">
      <alignment horizontal="right" vertical="center"/>
    </xf>
    <xf numFmtId="4" fontId="102" fillId="41" borderId="103" applyNumberFormat="0" applyProtection="0">
      <alignment horizontal="right" vertical="center"/>
    </xf>
    <xf numFmtId="4" fontId="31" fillId="43" borderId="103" applyNumberFormat="0" applyProtection="0">
      <alignment horizontal="left" vertical="center" indent="1"/>
    </xf>
    <xf numFmtId="0" fontId="31" fillId="38" borderId="103" applyNumberFormat="0" applyProtection="0">
      <alignment horizontal="left" vertical="top" indent="1"/>
    </xf>
    <xf numFmtId="4" fontId="104" fillId="41" borderId="103" applyNumberFormat="0" applyProtection="0">
      <alignment horizontal="right" vertical="center"/>
    </xf>
    <xf numFmtId="0" fontId="32" fillId="47" borderId="125" applyNumberFormat="0" applyProtection="0">
      <alignment horizontal="center" wrapText="1"/>
    </xf>
    <xf numFmtId="0" fontId="32" fillId="47" borderId="126" applyNumberFormat="0" applyAlignment="0" applyProtection="0">
      <alignment wrapText="1"/>
    </xf>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21" fillId="0" borderId="107" applyNumberFormat="0" applyFill="0" applyAlignment="0" applyProtection="0"/>
    <xf numFmtId="0" fontId="10" fillId="24" borderId="116" applyNumberFormat="0" applyFont="0" applyAlignment="0" applyProtection="0"/>
    <xf numFmtId="0" fontId="10" fillId="24" borderId="116" applyNumberFormat="0" applyFont="0" applyAlignment="0" applyProtection="0"/>
    <xf numFmtId="0" fontId="7" fillId="0" borderId="137" applyNumberFormat="0" applyFont="0" applyFill="0" applyAlignment="0" applyProtection="0"/>
    <xf numFmtId="0" fontId="7" fillId="0" borderId="137" applyNumberFormat="0" applyFont="0" applyFill="0" applyAlignment="0" applyProtection="0"/>
    <xf numFmtId="4" fontId="33" fillId="40" borderId="138" applyNumberFormat="0" applyProtection="0">
      <alignment horizontal="left" vertical="center" indent="1"/>
    </xf>
    <xf numFmtId="0" fontId="32" fillId="47" borderId="139" applyNumberFormat="0" applyProtection="0">
      <alignment horizontal="center" wrapText="1"/>
    </xf>
    <xf numFmtId="0" fontId="32" fillId="47" borderId="140" applyNumberFormat="0" applyAlignment="0" applyProtection="0">
      <alignment wrapText="1"/>
    </xf>
    <xf numFmtId="0" fontId="7" fillId="49" borderId="141" applyNumberFormat="0">
      <alignment wrapText="1"/>
    </xf>
    <xf numFmtId="0" fontId="7" fillId="49" borderId="141" applyNumberFormat="0">
      <alignment wrapText="1"/>
    </xf>
    <xf numFmtId="0" fontId="84" fillId="0" borderId="142">
      <protection locked="0"/>
    </xf>
    <xf numFmtId="43" fontId="7" fillId="0" borderId="0" applyFont="0" applyFill="0" applyBorder="0" applyAlignment="0" applyProtection="0"/>
    <xf numFmtId="0" fontId="24" fillId="27" borderId="128" applyNumberFormat="0">
      <alignment horizontal="left"/>
      <protection locked="0"/>
    </xf>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2"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4"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10" fontId="44" fillId="22" borderId="128" applyNumberFormat="0" applyBorder="0" applyAlignment="0" applyProtection="0"/>
    <xf numFmtId="10" fontId="44" fillId="22" borderId="128" applyNumberFormat="0" applyBorder="0" applyAlignment="0" applyProtection="0"/>
    <xf numFmtId="10" fontId="44" fillId="22" borderId="128" applyNumberFormat="0" applyBorder="0" applyAlignment="0" applyProtection="0"/>
    <xf numFmtId="10" fontId="44" fillId="22" borderId="128" applyNumberFormat="0" applyBorder="0" applyAlignment="0" applyProtection="0"/>
    <xf numFmtId="10" fontId="44" fillId="22" borderId="128" applyNumberFormat="0" applyBorder="0" applyAlignment="0" applyProtection="0"/>
    <xf numFmtId="10" fontId="44" fillId="22" borderId="128" applyNumberFormat="0" applyBorder="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7" fillId="0" borderId="129" applyNumberForma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8" fillId="7" borderId="115" applyNumberForma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17" fillId="0" borderId="129" applyNumberForma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10" fontId="44" fillId="22" borderId="128" applyNumberFormat="0" applyBorder="0" applyAlignment="0" applyProtection="0"/>
    <xf numFmtId="10" fontId="44" fillId="22" borderId="128" applyNumberFormat="0" applyBorder="0" applyAlignment="0" applyProtection="0"/>
    <xf numFmtId="10" fontId="44" fillId="22" borderId="128" applyNumberFormat="0" applyBorder="0" applyAlignment="0" applyProtection="0"/>
    <xf numFmtId="10" fontId="44" fillId="22" borderId="128" applyNumberFormat="0" applyBorder="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95" fillId="0" borderId="143">
      <alignment horizontal="center"/>
    </xf>
    <xf numFmtId="0" fontId="95" fillId="0" borderId="143">
      <alignment horizontal="center"/>
    </xf>
    <xf numFmtId="0" fontId="95" fillId="0" borderId="143">
      <alignment horizontal="center"/>
    </xf>
    <xf numFmtId="0" fontId="95" fillId="0" borderId="143">
      <alignment horizontal="center"/>
    </xf>
    <xf numFmtId="0" fontId="95" fillId="0" borderId="143">
      <alignment horizontal="center"/>
    </xf>
    <xf numFmtId="0" fontId="95" fillId="0" borderId="143">
      <alignment horizontal="center"/>
    </xf>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10" fontId="44" fillId="22" borderId="128" applyNumberFormat="0" applyBorder="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10" fontId="44" fillId="22" borderId="128" applyNumberFormat="0" applyBorder="0" applyAlignment="0" applyProtection="0"/>
    <xf numFmtId="0" fontId="7" fillId="24" borderId="6" applyNumberFormat="0" applyFont="0" applyAlignment="0" applyProtection="0"/>
    <xf numFmtId="10" fontId="44" fillId="22" borderId="128" applyNumberFormat="0" applyBorder="0" applyAlignment="0" applyProtection="0"/>
    <xf numFmtId="10" fontId="44" fillId="22" borderId="128" applyNumberFormat="0" applyBorder="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10" fontId="44" fillId="22" borderId="128" applyNumberFormat="0" applyBorder="0" applyAlignment="0" applyProtection="0"/>
    <xf numFmtId="10" fontId="44" fillId="22" borderId="128" applyNumberFormat="0" applyBorder="0" applyAlignment="0" applyProtection="0"/>
    <xf numFmtId="10" fontId="44" fillId="22" borderId="128" applyNumberFormat="0" applyBorder="0" applyAlignment="0" applyProtection="0"/>
    <xf numFmtId="10" fontId="44" fillId="22" borderId="128" applyNumberFormat="0" applyBorder="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2"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2"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86" fillId="0" borderId="127" applyNumberFormat="0" applyAlignment="0" applyProtection="0">
      <alignment horizontal="left" vertical="center"/>
    </xf>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49" borderId="141" applyNumberFormat="0">
      <alignment wrapText="1"/>
    </xf>
    <xf numFmtId="0" fontId="7" fillId="49" borderId="141" applyNumberFormat="0">
      <alignment wrapText="1"/>
    </xf>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3"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2"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10" fontId="44" fillId="22" borderId="128" applyNumberFormat="0" applyBorder="0" applyAlignment="0" applyProtection="0"/>
    <xf numFmtId="10" fontId="44" fillId="22" borderId="128" applyNumberFormat="0" applyBorder="0" applyAlignment="0" applyProtection="0"/>
    <xf numFmtId="10" fontId="44" fillId="22" borderId="128" applyNumberFormat="0" applyBorder="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10" fontId="44" fillId="22" borderId="128" applyNumberFormat="0" applyBorder="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10" fontId="44" fillId="22" borderId="128" applyNumberFormat="0" applyBorder="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7" applyNumberFormat="0" applyFont="0" applyFill="0" applyAlignment="0" applyProtection="0"/>
    <xf numFmtId="0" fontId="7" fillId="0" borderId="137"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6" applyNumberFormat="0" applyFont="0" applyFill="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7"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2"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2" applyNumberFormat="0" applyFont="0" applyFill="0" applyAlignment="0" applyProtection="0"/>
    <xf numFmtId="0" fontId="7" fillId="0" borderId="6"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1"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2"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7" applyNumberFormat="0" applyFont="0" applyFill="0" applyAlignment="0" applyProtection="0"/>
    <xf numFmtId="0" fontId="7" fillId="0" borderId="137"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1" applyNumberFormat="0" applyFont="0" applyFill="0" applyAlignment="0" applyProtection="0"/>
    <xf numFmtId="0" fontId="7" fillId="0" borderId="133"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2"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0" borderId="137" applyNumberFormat="0" applyFont="0" applyFill="0" applyAlignment="0" applyProtection="0"/>
    <xf numFmtId="0" fontId="7" fillId="0" borderId="137"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130" applyNumberFormat="0" applyFont="0" applyFill="0" applyAlignment="0" applyProtection="0"/>
    <xf numFmtId="0" fontId="7" fillId="0" borderId="131" applyNumberFormat="0" applyFont="0" applyFill="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3"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0"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2"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0" borderId="6" applyNumberFormat="0" applyFont="0" applyFill="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137"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10" fontId="44" fillId="22" borderId="128" applyNumberFormat="0" applyBorder="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132" applyNumberFormat="0" applyFont="0" applyFill="0" applyAlignment="0" applyProtection="0"/>
    <xf numFmtId="0" fontId="7" fillId="0" borderId="6"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0"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4" applyNumberFormat="0" applyFont="0" applyFill="0" applyAlignment="0" applyProtection="0"/>
    <xf numFmtId="10" fontId="44" fillId="22" borderId="128" applyNumberFormat="0" applyBorder="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130"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10" fontId="44" fillId="22" borderId="128" applyNumberFormat="0" applyBorder="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10" fontId="44" fillId="22" borderId="128" applyNumberFormat="0" applyBorder="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2"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10" fontId="44" fillId="22" borderId="128" applyNumberFormat="0" applyBorder="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7" applyNumberFormat="0" applyFont="0" applyFill="0" applyAlignment="0" applyProtection="0"/>
    <xf numFmtId="0" fontId="7" fillId="0" borderId="137"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133" applyNumberFormat="0" applyFont="0" applyFill="0" applyAlignment="0" applyProtection="0"/>
    <xf numFmtId="0" fontId="7" fillId="0" borderId="131" applyNumberFormat="0" applyFont="0" applyFill="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2"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10" fontId="44" fillId="22" borderId="128" applyNumberFormat="0" applyBorder="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6"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2"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10" fontId="44" fillId="22" borderId="128" applyNumberFormat="0" applyBorder="0" applyAlignment="0" applyProtection="0"/>
    <xf numFmtId="10" fontId="44" fillId="22" borderId="128" applyNumberFormat="0" applyBorder="0" applyAlignment="0" applyProtection="0"/>
    <xf numFmtId="0" fontId="10" fillId="24" borderId="6" applyNumberFormat="0" applyFont="0" applyAlignment="0" applyProtection="0"/>
    <xf numFmtId="0" fontId="7" fillId="24" borderId="6" applyNumberFormat="0" applyFont="0" applyAlignment="0" applyProtection="0"/>
    <xf numFmtId="0" fontId="7" fillId="0" borderId="137" applyNumberFormat="0" applyFont="0" applyFill="0" applyAlignment="0" applyProtection="0"/>
    <xf numFmtId="0" fontId="7" fillId="0" borderId="137"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10" fillId="24" borderId="6" applyNumberFormat="0" applyFont="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3"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130"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10"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10" fontId="44" fillId="22" borderId="128" applyNumberFormat="0" applyBorder="0" applyAlignment="0" applyProtection="0"/>
    <xf numFmtId="10" fontId="44" fillId="22" borderId="128" applyNumberFormat="0" applyBorder="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7" applyNumberFormat="0" applyFont="0" applyFill="0" applyAlignment="0" applyProtection="0"/>
    <xf numFmtId="0" fontId="7" fillId="0" borderId="137"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136" applyNumberFormat="0" applyFont="0" applyFill="0" applyAlignment="0" applyProtection="0"/>
    <xf numFmtId="0" fontId="7" fillId="0" borderId="132"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0" borderId="131" applyNumberFormat="0" applyFont="0" applyFill="0" applyAlignment="0" applyProtection="0"/>
    <xf numFmtId="10" fontId="44" fillId="22" borderId="128" applyNumberFormat="0" applyBorder="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3" applyNumberFormat="0" applyFont="0" applyFill="0" applyAlignment="0" applyProtection="0"/>
    <xf numFmtId="0" fontId="7" fillId="0" borderId="6"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6"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10" fontId="44" fillId="22" borderId="128" applyNumberFormat="0" applyBorder="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5"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2"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10" fontId="44" fillId="22" borderId="128" applyNumberFormat="0" applyBorder="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10" fontId="44" fillId="22" borderId="128" applyNumberFormat="0" applyBorder="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0" borderId="137" applyNumberFormat="0" applyFont="0" applyFill="0" applyAlignment="0" applyProtection="0"/>
    <xf numFmtId="0" fontId="7" fillId="0" borderId="137"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2"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6"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6"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3"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7" applyNumberFormat="0" applyFont="0" applyFill="0" applyAlignment="0" applyProtection="0"/>
    <xf numFmtId="0" fontId="7" fillId="0" borderId="137"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2"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132" applyNumberFormat="0" applyFont="0" applyFill="0" applyAlignment="0" applyProtection="0"/>
    <xf numFmtId="0" fontId="7" fillId="0" borderId="6"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2" applyNumberFormat="0" applyFont="0" applyFill="0" applyAlignment="0" applyProtection="0"/>
    <xf numFmtId="0" fontId="7" fillId="0" borderId="130"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2"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6"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135"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10" fontId="44" fillId="22" borderId="128" applyNumberFormat="0" applyBorder="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10" fontId="44" fillId="22" borderId="128" applyNumberFormat="0" applyBorder="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10" fontId="44" fillId="22" borderId="128" applyNumberFormat="0" applyBorder="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10" fontId="44" fillId="22" borderId="128" applyNumberFormat="0" applyBorder="0" applyAlignment="0" applyProtection="0"/>
    <xf numFmtId="10" fontId="44" fillId="22" borderId="128" applyNumberFormat="0" applyBorder="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0" borderId="137" applyNumberFormat="0" applyFont="0" applyFill="0" applyAlignment="0" applyProtection="0"/>
    <xf numFmtId="0" fontId="7" fillId="0" borderId="137"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6" applyNumberFormat="0" applyFont="0" applyFill="0" applyAlignment="0" applyProtection="0"/>
    <xf numFmtId="0" fontId="7" fillId="0" borderId="130"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10" fontId="44" fillId="22" borderId="128" applyNumberFormat="0" applyBorder="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133"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1"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0" applyNumberFormat="0" applyFont="0" applyFill="0" applyAlignment="0" applyProtection="0"/>
    <xf numFmtId="0" fontId="7" fillId="0" borderId="131"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4"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0" borderId="137" applyNumberFormat="0" applyFont="0" applyFill="0" applyAlignment="0" applyProtection="0"/>
    <xf numFmtId="0" fontId="7" fillId="0" borderId="137"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4" applyNumberFormat="0" applyFont="0" applyFill="0" applyAlignment="0" applyProtection="0"/>
    <xf numFmtId="0" fontId="7" fillId="0" borderId="130"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4"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7" applyNumberFormat="0" applyFont="0" applyFill="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10" fontId="44" fillId="22" borderId="128" applyNumberFormat="0" applyBorder="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10"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0" borderId="132"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5" applyNumberFormat="0" applyFont="0" applyFill="0" applyAlignment="0" applyProtection="0"/>
    <xf numFmtId="0" fontId="7" fillId="0" borderId="133"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2"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10" fontId="44" fillId="22" borderId="128" applyNumberFormat="0" applyBorder="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137"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6"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10" fontId="44" fillId="22" borderId="128" applyNumberFormat="0" applyBorder="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0" borderId="133" applyNumberFormat="0" applyFont="0" applyFill="0" applyAlignment="0" applyProtection="0"/>
    <xf numFmtId="0" fontId="7" fillId="0" borderId="132"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10" fontId="44" fillId="22" borderId="128" applyNumberFormat="0" applyBorder="0" applyAlignment="0" applyProtection="0"/>
    <xf numFmtId="10" fontId="44" fillId="22" borderId="128" applyNumberFormat="0" applyBorder="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6" applyNumberFormat="0" applyFont="0" applyFill="0" applyAlignment="0" applyProtection="0"/>
    <xf numFmtId="0" fontId="7" fillId="0" borderId="130"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2" applyNumberFormat="0" applyFont="0" applyFill="0" applyAlignment="0" applyProtection="0"/>
    <xf numFmtId="0" fontId="7" fillId="0" borderId="133" applyNumberFormat="0" applyFont="0" applyFill="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3" applyNumberFormat="0" applyFont="0" applyFill="0" applyAlignment="0" applyProtection="0"/>
    <xf numFmtId="0" fontId="7" fillId="0" borderId="132" applyNumberFormat="0" applyFont="0" applyFill="0" applyAlignment="0" applyProtection="0"/>
    <xf numFmtId="0" fontId="7" fillId="0" borderId="135" applyNumberFormat="0" applyFont="0" applyFill="0" applyAlignment="0" applyProtection="0"/>
    <xf numFmtId="0" fontId="7" fillId="0" borderId="133" applyNumberFormat="0" applyFont="0" applyFill="0" applyAlignment="0" applyProtection="0"/>
    <xf numFmtId="0" fontId="7" fillId="0" borderId="132" applyNumberFormat="0" applyFont="0" applyFill="0" applyAlignment="0" applyProtection="0"/>
    <xf numFmtId="0" fontId="7" fillId="0" borderId="135"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3"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10" fontId="44" fillId="22" borderId="128" applyNumberFormat="0" applyBorder="0" applyAlignment="0" applyProtection="0"/>
    <xf numFmtId="10" fontId="44" fillId="22" borderId="128" applyNumberFormat="0" applyBorder="0" applyAlignment="0" applyProtection="0"/>
    <xf numFmtId="0" fontId="7" fillId="0" borderId="130" applyNumberFormat="0" applyFont="0" applyFill="0" applyAlignment="0" applyProtection="0"/>
    <xf numFmtId="10" fontId="44" fillId="22" borderId="128" applyNumberFormat="0" applyBorder="0" applyAlignment="0" applyProtection="0"/>
    <xf numFmtId="10" fontId="44" fillId="22" borderId="128" applyNumberFormat="0" applyBorder="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10" fontId="44" fillId="22" borderId="128" applyNumberFormat="0" applyBorder="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10" fontId="44" fillId="22" borderId="128" applyNumberFormat="0" applyBorder="0" applyAlignment="0" applyProtection="0"/>
    <xf numFmtId="10" fontId="44" fillId="22" borderId="128" applyNumberFormat="0" applyBorder="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10" fontId="44" fillId="22" borderId="128" applyNumberFormat="0" applyBorder="0" applyAlignment="0" applyProtection="0"/>
    <xf numFmtId="10" fontId="44" fillId="22" borderId="128" applyNumberFormat="0" applyBorder="0" applyAlignment="0" applyProtection="0"/>
    <xf numFmtId="10" fontId="44" fillId="22" borderId="128" applyNumberFormat="0" applyBorder="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7" applyNumberFormat="0" applyFont="0" applyFill="0" applyAlignment="0" applyProtection="0"/>
    <xf numFmtId="0" fontId="7" fillId="0" borderId="137"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4"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10" fontId="44" fillId="22" borderId="128" applyNumberFormat="0" applyBorder="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7"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4" applyNumberFormat="0" applyFont="0" applyFill="0" applyAlignment="0" applyProtection="0"/>
    <xf numFmtId="0" fontId="7" fillId="24" borderId="6" applyNumberFormat="0" applyFont="0" applyAlignment="0" applyProtection="0"/>
    <xf numFmtId="0" fontId="10"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4" applyNumberFormat="0" applyFont="0" applyFill="0" applyAlignment="0" applyProtection="0"/>
    <xf numFmtId="0" fontId="7" fillId="0" borderId="130"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6"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10"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0"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2"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5" applyNumberFormat="0" applyFont="0" applyFill="0" applyAlignment="0" applyProtection="0"/>
    <xf numFmtId="0" fontId="7" fillId="0" borderId="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6"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24" borderId="6" applyNumberFormat="0" applyFont="0" applyAlignment="0" applyProtection="0"/>
    <xf numFmtId="10" fontId="44" fillId="22" borderId="128" applyNumberFormat="0" applyBorder="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0" borderId="132" applyNumberFormat="0" applyFont="0" applyFill="0" applyAlignment="0" applyProtection="0"/>
    <xf numFmtId="0" fontId="7" fillId="0" borderId="134"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10" fontId="44" fillId="22" borderId="128" applyNumberFormat="0" applyBorder="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7" applyNumberFormat="0" applyFont="0" applyFill="0" applyAlignment="0" applyProtection="0"/>
    <xf numFmtId="0" fontId="7" fillId="0" borderId="137"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4"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10" fontId="44" fillId="22" borderId="128" applyNumberFormat="0" applyBorder="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10" fontId="44" fillId="22" borderId="128" applyNumberFormat="0" applyBorder="0" applyAlignment="0" applyProtection="0"/>
    <xf numFmtId="10" fontId="44" fillId="22" borderId="128" applyNumberFormat="0" applyBorder="0" applyAlignment="0" applyProtection="0"/>
    <xf numFmtId="10" fontId="44" fillId="22" borderId="128" applyNumberFormat="0" applyBorder="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7" applyNumberFormat="0" applyFont="0" applyFill="0" applyAlignment="0" applyProtection="0"/>
    <xf numFmtId="0" fontId="7" fillId="0" borderId="137" applyNumberFormat="0" applyFont="0" applyFill="0" applyAlignment="0" applyProtection="0"/>
    <xf numFmtId="0" fontId="7" fillId="0" borderId="134"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2"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1" applyNumberFormat="0" applyFont="0" applyFill="0" applyAlignment="0" applyProtection="0"/>
    <xf numFmtId="0" fontId="7" fillId="0" borderId="133" applyNumberFormat="0" applyFont="0" applyFill="0" applyAlignment="0" applyProtection="0"/>
    <xf numFmtId="0" fontId="7" fillId="0" borderId="135" applyNumberFormat="0" applyFont="0" applyFill="0" applyAlignment="0" applyProtection="0"/>
    <xf numFmtId="0" fontId="7" fillId="0" borderId="133"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32" fillId="47" borderId="139" applyNumberFormat="0" applyProtection="0">
      <alignment horizontal="center" wrapText="1"/>
    </xf>
    <xf numFmtId="0" fontId="7" fillId="24" borderId="6" applyNumberFormat="0" applyFont="0" applyAlignment="0" applyProtection="0"/>
    <xf numFmtId="0" fontId="7" fillId="0" borderId="134"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3"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137" applyNumberFormat="0" applyFont="0" applyFill="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10" fontId="44" fillId="22" borderId="128" applyNumberFormat="0" applyBorder="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2"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5"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4" applyNumberFormat="0" applyFont="0" applyFill="0" applyAlignment="0" applyProtection="0"/>
    <xf numFmtId="0" fontId="7" fillId="0" borderId="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6" applyNumberFormat="0" applyFont="0" applyFill="0" applyAlignment="0" applyProtection="0"/>
    <xf numFmtId="0" fontId="7" fillId="0" borderId="132"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2"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0" applyNumberFormat="0" applyFont="0" applyFill="0" applyAlignment="0" applyProtection="0"/>
    <xf numFmtId="0" fontId="7" fillId="0" borderId="6" applyNumberFormat="0" applyFont="0" applyFill="0" applyAlignment="0" applyProtection="0"/>
    <xf numFmtId="0" fontId="7" fillId="0" borderId="132" applyNumberFormat="0" applyFont="0" applyFill="0" applyAlignment="0" applyProtection="0"/>
    <xf numFmtId="0" fontId="7" fillId="0" borderId="134" applyNumberFormat="0" applyFont="0" applyFill="0" applyAlignment="0" applyProtection="0"/>
    <xf numFmtId="0" fontId="7" fillId="0" borderId="136" applyNumberFormat="0" applyFont="0" applyFill="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1" applyNumberFormat="0" applyFont="0" applyFill="0" applyAlignment="0" applyProtection="0"/>
    <xf numFmtId="0" fontId="7" fillId="0" borderId="132" applyNumberFormat="0" applyFont="0" applyFill="0" applyAlignment="0" applyProtection="0"/>
    <xf numFmtId="0" fontId="7" fillId="0" borderId="130"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2"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0" borderId="133" applyNumberFormat="0" applyFont="0" applyFill="0" applyAlignment="0" applyProtection="0"/>
    <xf numFmtId="0" fontId="7" fillId="0" borderId="132" applyNumberFormat="0" applyFont="0" applyFill="0" applyAlignment="0" applyProtection="0"/>
    <xf numFmtId="0" fontId="7" fillId="0" borderId="136"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7"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3"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2"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10" fontId="44" fillId="22" borderId="128" applyNumberFormat="0" applyBorder="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10" fontId="44" fillId="22" borderId="128" applyNumberFormat="0" applyBorder="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7" applyNumberFormat="0" applyFont="0" applyFill="0" applyAlignment="0" applyProtection="0"/>
    <xf numFmtId="0" fontId="7" fillId="0" borderId="137"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10" fontId="44" fillId="22" borderId="128" applyNumberFormat="0" applyBorder="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2"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6"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5"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5"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0" borderId="137" applyNumberFormat="0" applyFont="0" applyFill="0" applyAlignment="0" applyProtection="0"/>
    <xf numFmtId="0" fontId="7" fillId="0" borderId="137"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2" applyNumberFormat="0" applyFont="0" applyFill="0" applyAlignment="0" applyProtection="0"/>
    <xf numFmtId="0" fontId="7" fillId="0" borderId="135" applyNumberFormat="0" applyFont="0" applyFill="0" applyAlignment="0" applyProtection="0"/>
    <xf numFmtId="0" fontId="7" fillId="0" borderId="132"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0"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24" borderId="6" applyNumberFormat="0" applyFont="0" applyAlignment="0" applyProtection="0"/>
    <xf numFmtId="0" fontId="10"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10" fontId="44" fillId="22" borderId="128" applyNumberFormat="0" applyBorder="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10" fillId="24" borderId="6" applyNumberFormat="0" applyFont="0" applyAlignment="0" applyProtection="0"/>
    <xf numFmtId="0" fontId="7" fillId="0" borderId="137" applyNumberFormat="0" applyFont="0" applyFill="0" applyAlignment="0" applyProtection="0"/>
    <xf numFmtId="0" fontId="7" fillId="0" borderId="137" applyNumberFormat="0" applyFont="0" applyFill="0" applyAlignment="0" applyProtection="0"/>
    <xf numFmtId="0" fontId="7" fillId="0" borderId="132" applyNumberFormat="0" applyFont="0" applyFill="0" applyAlignment="0" applyProtection="0"/>
    <xf numFmtId="0" fontId="7" fillId="0" borderId="133"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0"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7"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2" applyNumberFormat="0" applyFont="0" applyFill="0" applyAlignment="0" applyProtection="0"/>
    <xf numFmtId="0" fontId="7" fillId="0" borderId="136" applyNumberFormat="0" applyFont="0" applyFill="0" applyAlignment="0" applyProtection="0"/>
    <xf numFmtId="0" fontId="7" fillId="0" borderId="133" applyNumberFormat="0" applyFont="0" applyFill="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135" applyNumberFormat="0" applyFont="0" applyFill="0" applyAlignment="0" applyProtection="0"/>
    <xf numFmtId="0" fontId="10" fillId="24" borderId="6" applyNumberFormat="0" applyFont="0" applyAlignment="0" applyProtection="0"/>
    <xf numFmtId="0" fontId="7" fillId="0" borderId="134"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3"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2" applyNumberFormat="0" applyFont="0" applyFill="0" applyAlignment="0" applyProtection="0"/>
    <xf numFmtId="0" fontId="7" fillId="0" borderId="133"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4" fontId="33" fillId="40" borderId="138" applyNumberFormat="0" applyProtection="0">
      <alignment horizontal="left" vertical="center" indent="1"/>
    </xf>
    <xf numFmtId="0" fontId="7" fillId="24" borderId="6" applyNumberFormat="0" applyFont="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2"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0" borderId="133" applyNumberFormat="0" applyFont="0" applyFill="0" applyAlignment="0" applyProtection="0"/>
    <xf numFmtId="0" fontId="7" fillId="0" borderId="135" applyNumberFormat="0" applyFont="0" applyFill="0" applyAlignment="0" applyProtection="0"/>
    <xf numFmtId="0" fontId="7" fillId="0" borderId="133" applyNumberFormat="0" applyFont="0" applyFill="0" applyAlignment="0" applyProtection="0"/>
    <xf numFmtId="0" fontId="7" fillId="0" borderId="132" applyNumberFormat="0" applyFont="0" applyFill="0" applyAlignment="0" applyProtection="0"/>
    <xf numFmtId="0" fontId="7" fillId="0" borderId="6"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2"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6"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2"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0" borderId="137" applyNumberFormat="0" applyFont="0" applyFill="0" applyAlignment="0" applyProtection="0"/>
    <xf numFmtId="0" fontId="7" fillId="0" borderId="137"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6" applyNumberFormat="0" applyFont="0" applyFill="0" applyAlignment="0" applyProtection="0"/>
    <xf numFmtId="0" fontId="7" fillId="0" borderId="134" applyNumberFormat="0" applyFont="0" applyFill="0" applyAlignment="0" applyProtection="0"/>
    <xf numFmtId="0" fontId="7" fillId="0" borderId="132" applyNumberFormat="0" applyFont="0" applyFill="0" applyAlignment="0" applyProtection="0"/>
    <xf numFmtId="0" fontId="7" fillId="0" borderId="130" applyNumberFormat="0" applyFont="0" applyFill="0" applyAlignment="0" applyProtection="0"/>
    <xf numFmtId="0" fontId="7" fillId="0" borderId="133"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0" borderId="133" applyNumberFormat="0" applyFont="0" applyFill="0" applyAlignment="0" applyProtection="0"/>
    <xf numFmtId="0" fontId="7" fillId="0" borderId="6"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6" applyNumberFormat="0" applyFont="0" applyFill="0" applyAlignment="0" applyProtection="0"/>
    <xf numFmtId="0" fontId="7" fillId="0" borderId="6" applyNumberFormat="0" applyFont="0" applyFill="0" applyAlignment="0" applyProtection="0"/>
    <xf numFmtId="0" fontId="7" fillId="0" borderId="133" applyNumberFormat="0" applyFont="0" applyFill="0" applyAlignment="0" applyProtection="0"/>
    <xf numFmtId="0" fontId="7" fillId="0" borderId="131" applyNumberFormat="0" applyFont="0" applyFill="0" applyAlignment="0" applyProtection="0"/>
    <xf numFmtId="0" fontId="7" fillId="0" borderId="135"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10"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10"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5"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2"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2"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10" fontId="44" fillId="22" borderId="128" applyNumberFormat="0" applyBorder="0" applyAlignment="0" applyProtection="0"/>
    <xf numFmtId="10" fontId="44" fillId="22" borderId="128" applyNumberFormat="0" applyBorder="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10"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7" applyNumberFormat="0" applyFont="0" applyFill="0" applyAlignment="0" applyProtection="0"/>
    <xf numFmtId="0" fontId="7" fillId="0" borderId="137"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134" applyNumberFormat="0" applyFont="0" applyFill="0" applyAlignment="0" applyProtection="0"/>
    <xf numFmtId="0" fontId="7" fillId="0" borderId="132"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2" applyNumberFormat="0" applyFont="0" applyFill="0" applyAlignment="0" applyProtection="0"/>
    <xf numFmtId="0" fontId="7" fillId="0" borderId="137"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13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10"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3"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137" applyNumberFormat="0" applyFont="0" applyFill="0" applyAlignment="0" applyProtection="0"/>
    <xf numFmtId="0" fontId="7" fillId="0" borderId="133" applyNumberFormat="0" applyFont="0" applyFill="0" applyAlignment="0" applyProtection="0"/>
    <xf numFmtId="0" fontId="7" fillId="0" borderId="136" applyNumberFormat="0" applyFont="0" applyFill="0" applyAlignment="0" applyProtection="0"/>
    <xf numFmtId="0" fontId="7" fillId="0" borderId="133" applyNumberFormat="0" applyFont="0" applyFill="0" applyAlignment="0" applyProtection="0"/>
    <xf numFmtId="0" fontId="7" fillId="0" borderId="132"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0" borderId="132"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2"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5"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3"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3"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137" applyNumberFormat="0" applyFont="0" applyFill="0" applyAlignment="0" applyProtection="0"/>
    <xf numFmtId="0" fontId="7" fillId="0" borderId="132"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0" borderId="132" applyNumberFormat="0" applyFont="0" applyFill="0" applyAlignment="0" applyProtection="0"/>
    <xf numFmtId="0" fontId="7" fillId="0" borderId="131"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0" applyNumberFormat="0" applyFont="0" applyFill="0" applyAlignment="0" applyProtection="0"/>
    <xf numFmtId="0" fontId="7" fillId="0" borderId="6" applyNumberFormat="0" applyFont="0" applyFill="0" applyAlignment="0" applyProtection="0"/>
    <xf numFmtId="0" fontId="7" fillId="0" borderId="132"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5" applyNumberFormat="0" applyFont="0" applyFill="0" applyAlignment="0" applyProtection="0"/>
    <xf numFmtId="0" fontId="7" fillId="0" borderId="132"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32" fillId="47" borderId="140" applyNumberFormat="0" applyAlignment="0" applyProtection="0">
      <alignment wrapText="1"/>
    </xf>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4" applyNumberFormat="0" applyFont="0" applyFill="0" applyAlignment="0" applyProtection="0"/>
    <xf numFmtId="0" fontId="7" fillId="0" borderId="132"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2" applyNumberFormat="0" applyFont="0" applyFill="0" applyAlignment="0" applyProtection="0"/>
    <xf numFmtId="0" fontId="7" fillId="0" borderId="135"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10" fillId="24" borderId="6" applyNumberFormat="0" applyFont="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3" applyNumberFormat="0" applyFont="0" applyFill="0" applyAlignment="0" applyProtection="0"/>
    <xf numFmtId="0" fontId="7" fillId="0" borderId="130" applyNumberFormat="0" applyFont="0" applyFill="0" applyAlignment="0" applyProtection="0"/>
    <xf numFmtId="0" fontId="7" fillId="0" borderId="6" applyNumberFormat="0" applyFont="0" applyFill="0" applyAlignment="0" applyProtection="0"/>
    <xf numFmtId="0" fontId="7" fillId="0" borderId="133" applyNumberFormat="0" applyFont="0" applyFill="0" applyAlignment="0" applyProtection="0"/>
    <xf numFmtId="0" fontId="7" fillId="0" borderId="131"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3"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2"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24" borderId="6" applyNumberFormat="0" applyFont="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6" applyNumberFormat="0" applyFont="0" applyFill="0" applyAlignment="0" applyProtection="0"/>
    <xf numFmtId="0" fontId="7" fillId="0" borderId="133"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2"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7" applyNumberFormat="0" applyFont="0" applyFill="0" applyAlignment="0" applyProtection="0"/>
    <xf numFmtId="0" fontId="7" fillId="0" borderId="133"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2"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0"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2"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4" applyNumberFormat="0" applyFont="0" applyFill="0" applyAlignment="0" applyProtection="0"/>
    <xf numFmtId="0" fontId="7" fillId="0" borderId="132"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2"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4"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2"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0" borderId="6"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0" borderId="130"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3" applyNumberFormat="0" applyFont="0" applyFill="0" applyAlignment="0" applyProtection="0"/>
    <xf numFmtId="0" fontId="7" fillId="24" borderId="6" applyNumberFormat="0" applyFont="0" applyAlignment="0" applyProtection="0"/>
    <xf numFmtId="0" fontId="10"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5" applyNumberFormat="0" applyFont="0" applyFill="0" applyAlignment="0" applyProtection="0"/>
    <xf numFmtId="0" fontId="7" fillId="24" borderId="6" applyNumberFormat="0" applyFont="0" applyAlignment="0" applyProtection="0"/>
    <xf numFmtId="0" fontId="7" fillId="0" borderId="133"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4"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7" fillId="0" borderId="137" applyNumberFormat="0" applyFont="0" applyFill="0" applyAlignment="0" applyProtection="0"/>
    <xf numFmtId="0" fontId="7" fillId="0" borderId="137" applyNumberFormat="0" applyFont="0" applyFill="0" applyAlignment="0" applyProtection="0"/>
    <xf numFmtId="0" fontId="7" fillId="0" borderId="132"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3"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5"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4"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10"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7" applyNumberFormat="0" applyFont="0" applyFill="0" applyAlignment="0" applyProtection="0"/>
    <xf numFmtId="0" fontId="7" fillId="0" borderId="137"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0"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3" applyNumberFormat="0" applyFont="0" applyFill="0" applyAlignment="0" applyProtection="0"/>
    <xf numFmtId="0" fontId="7" fillId="0" borderId="135" applyNumberFormat="0" applyFont="0" applyFill="0" applyAlignment="0" applyProtection="0"/>
    <xf numFmtId="0" fontId="7" fillId="0" borderId="136" applyNumberFormat="0" applyFont="0" applyFill="0" applyAlignment="0" applyProtection="0"/>
    <xf numFmtId="0" fontId="7" fillId="0" borderId="136"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132"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6"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0" borderId="131" applyNumberFormat="0" applyFont="0" applyFill="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10" fillId="24" borderId="6" applyNumberFormat="0" applyFont="0" applyAlignment="0" applyProtection="0"/>
    <xf numFmtId="0" fontId="7" fillId="0" borderId="137" applyNumberFormat="0" applyFont="0" applyFill="0" applyAlignment="0" applyProtection="0"/>
    <xf numFmtId="0" fontId="7" fillId="0" borderId="137" applyNumberFormat="0" applyFont="0" applyFill="0" applyAlignment="0" applyProtection="0"/>
    <xf numFmtId="0" fontId="10" fillId="24" borderId="6" applyNumberFormat="0" applyFont="0" applyAlignment="0" applyProtection="0"/>
    <xf numFmtId="0" fontId="10"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7" fillId="24" borderId="6" applyNumberFormat="0" applyFont="0" applyAlignment="0" applyProtection="0"/>
    <xf numFmtId="0" fontId="10" fillId="24" borderId="6" applyNumberFormat="0" applyFont="0" applyAlignment="0" applyProtection="0"/>
    <xf numFmtId="0" fontId="10" fillId="24" borderId="6" applyNumberFormat="0" applyFont="0" applyAlignment="0" applyProtection="0"/>
    <xf numFmtId="0" fontId="7" fillId="0" borderId="137" applyNumberFormat="0" applyFont="0" applyFill="0" applyAlignment="0" applyProtection="0"/>
    <xf numFmtId="0" fontId="7" fillId="0" borderId="137" applyNumberFormat="0" applyFont="0" applyFill="0" applyAlignment="0" applyProtection="0"/>
    <xf numFmtId="4" fontId="33" fillId="40" borderId="138" applyNumberFormat="0" applyProtection="0">
      <alignment horizontal="left" vertical="center" indent="1"/>
    </xf>
    <xf numFmtId="0" fontId="32" fillId="47" borderId="139" applyNumberFormat="0" applyProtection="0">
      <alignment horizontal="center" wrapText="1"/>
    </xf>
    <xf numFmtId="0" fontId="32" fillId="47" borderId="140" applyNumberFormat="0" applyAlignment="0" applyProtection="0">
      <alignment wrapText="1"/>
    </xf>
    <xf numFmtId="0" fontId="10" fillId="24" borderId="6" applyNumberFormat="0" applyFont="0" applyAlignment="0" applyProtection="0"/>
    <xf numFmtId="0" fontId="10" fillId="24" borderId="6" applyNumberFormat="0" applyFont="0" applyAlignment="0" applyProtection="0"/>
  </cellStyleXfs>
  <cellXfs count="773">
    <xf numFmtId="0" fontId="0" fillId="0" borderId="0" xfId="0"/>
    <xf numFmtId="0" fontId="9" fillId="0" borderId="0" xfId="0" applyFont="1"/>
    <xf numFmtId="0" fontId="24" fillId="0" borderId="0" xfId="0" applyFont="1"/>
    <xf numFmtId="0" fontId="24" fillId="0" borderId="9" xfId="0" applyFont="1" applyBorder="1"/>
    <xf numFmtId="0" fontId="24" fillId="0" borderId="10" xfId="0" applyFont="1" applyBorder="1"/>
    <xf numFmtId="0" fontId="24" fillId="0" borderId="11" xfId="0" applyFont="1" applyBorder="1"/>
    <xf numFmtId="0" fontId="24" fillId="0" borderId="13" xfId="0" applyFont="1" applyBorder="1"/>
    <xf numFmtId="0" fontId="0" fillId="0" borderId="9" xfId="0" applyBorder="1"/>
    <xf numFmtId="0" fontId="26" fillId="0" borderId="0" xfId="51">
      <alignment horizontal="left"/>
    </xf>
    <xf numFmtId="0" fontId="27" fillId="0" borderId="0" xfId="53">
      <alignment horizontal="left"/>
    </xf>
    <xf numFmtId="42" fontId="27" fillId="0" borderId="0" xfId="0" applyNumberFormat="1" applyFont="1"/>
    <xf numFmtId="42" fontId="27" fillId="0" borderId="0" xfId="0" applyNumberFormat="1" applyFont="1" applyAlignment="1">
      <alignment horizontal="right"/>
    </xf>
    <xf numFmtId="42" fontId="30" fillId="0" borderId="0" xfId="0" applyNumberFormat="1" applyFont="1"/>
    <xf numFmtId="0" fontId="29" fillId="0" borderId="0" xfId="53" applyFont="1" applyAlignment="1">
      <alignment horizontal="center"/>
    </xf>
    <xf numFmtId="37" fontId="24" fillId="0" borderId="0" xfId="35" applyBorder="1">
      <alignment horizontal="center"/>
    </xf>
    <xf numFmtId="0" fontId="0" fillId="0" borderId="10" xfId="0" applyBorder="1"/>
    <xf numFmtId="0" fontId="26" fillId="0" borderId="9" xfId="51" applyBorder="1">
      <alignment horizontal="left"/>
    </xf>
    <xf numFmtId="0" fontId="26" fillId="0" borderId="10" xfId="51" applyBorder="1">
      <alignment horizontal="left"/>
    </xf>
    <xf numFmtId="0" fontId="32" fillId="0" borderId="9" xfId="51" applyFont="1" applyBorder="1">
      <alignment horizontal="left"/>
    </xf>
    <xf numFmtId="0" fontId="31" fillId="0" borderId="9" xfId="0" applyFont="1" applyBorder="1"/>
    <xf numFmtId="0" fontId="31" fillId="0" borderId="0" xfId="0" quotePrefix="1" applyFont="1"/>
    <xf numFmtId="0" fontId="31" fillId="0" borderId="0" xfId="0" applyFont="1"/>
    <xf numFmtId="0" fontId="32" fillId="0" borderId="0" xfId="51" applyFont="1">
      <alignment horizontal="left"/>
    </xf>
    <xf numFmtId="0" fontId="33" fillId="0" borderId="0" xfId="0" applyFont="1"/>
    <xf numFmtId="0" fontId="0" fillId="0" borderId="0" xfId="0" applyAlignment="1">
      <alignment horizontal="left"/>
    </xf>
    <xf numFmtId="0" fontId="27" fillId="0" borderId="0" xfId="53" applyAlignment="1">
      <alignment horizontal="center"/>
    </xf>
    <xf numFmtId="0" fontId="24" fillId="0" borderId="0" xfId="0" applyFont="1" applyAlignment="1">
      <alignment vertical="top"/>
    </xf>
    <xf numFmtId="0" fontId="27" fillId="0" borderId="0" xfId="53" applyAlignment="1">
      <alignment horizontal="right" vertical="top"/>
    </xf>
    <xf numFmtId="0" fontId="35" fillId="27" borderId="4" xfId="59" applyFont="1" applyAlignment="1">
      <alignment horizontal="left" vertical="center" wrapText="1"/>
      <protection locked="0"/>
    </xf>
    <xf numFmtId="42" fontId="27" fillId="0" borderId="0" xfId="0" applyNumberFormat="1" applyFont="1" applyAlignment="1">
      <alignment vertical="top"/>
    </xf>
    <xf numFmtId="9" fontId="27" fillId="0" borderId="0" xfId="69" applyFont="1" applyBorder="1" applyAlignment="1">
      <alignment horizontal="center" vertical="top"/>
    </xf>
    <xf numFmtId="0" fontId="35" fillId="27" borderId="4" xfId="59" applyFont="1" applyAlignment="1">
      <alignment horizontal="left" vertical="top" wrapText="1"/>
      <protection locked="0"/>
    </xf>
    <xf numFmtId="0" fontId="24" fillId="0" borderId="15" xfId="0" applyFont="1" applyBorder="1"/>
    <xf numFmtId="0" fontId="35" fillId="0" borderId="16" xfId="0" applyFont="1" applyBorder="1" applyAlignment="1">
      <alignment horizontal="center"/>
    </xf>
    <xf numFmtId="0" fontId="24" fillId="0" borderId="17" xfId="0" applyFont="1" applyBorder="1"/>
    <xf numFmtId="0" fontId="24" fillId="0" borderId="16" xfId="0" applyFont="1" applyBorder="1"/>
    <xf numFmtId="0" fontId="35" fillId="0" borderId="18" xfId="0" applyFont="1" applyBorder="1" applyAlignment="1">
      <alignment horizontal="center"/>
    </xf>
    <xf numFmtId="0" fontId="27" fillId="0" borderId="19" xfId="53" applyBorder="1" applyAlignment="1">
      <alignment horizontal="center" vertical="center" wrapText="1"/>
    </xf>
    <xf numFmtId="0" fontId="35" fillId="0" borderId="17" xfId="0" applyFont="1" applyBorder="1" applyAlignment="1">
      <alignment horizontal="center"/>
    </xf>
    <xf numFmtId="0" fontId="35" fillId="0" borderId="15" xfId="0" applyFont="1" applyBorder="1" applyAlignment="1">
      <alignment horizontal="center"/>
    </xf>
    <xf numFmtId="0" fontId="47" fillId="0" borderId="0" xfId="0" applyFont="1" applyAlignment="1">
      <alignment horizontal="left" vertical="center"/>
    </xf>
    <xf numFmtId="0" fontId="48" fillId="0" borderId="0" xfId="0" applyFont="1" applyAlignment="1">
      <alignment horizontal="left" vertical="center"/>
    </xf>
    <xf numFmtId="42" fontId="24" fillId="0" borderId="0" xfId="0" applyNumberFormat="1" applyFont="1"/>
    <xf numFmtId="0" fontId="24" fillId="0" borderId="0" xfId="0" applyFont="1" applyAlignment="1">
      <alignment horizontal="left" indent="2"/>
    </xf>
    <xf numFmtId="0" fontId="24" fillId="0" borderId="10" xfId="0" applyFont="1" applyBorder="1" applyAlignment="1">
      <alignment vertical="top" wrapText="1"/>
    </xf>
    <xf numFmtId="42" fontId="24" fillId="0" borderId="0" xfId="0" applyNumberFormat="1" applyFont="1" applyAlignment="1">
      <alignment vertical="center"/>
    </xf>
    <xf numFmtId="0" fontId="38" fillId="0" borderId="23" xfId="0" applyFont="1" applyBorder="1" applyAlignment="1">
      <alignment horizontal="center"/>
    </xf>
    <xf numFmtId="0" fontId="30" fillId="0" borderId="0" xfId="0" applyFont="1" applyAlignment="1">
      <alignment horizontal="right"/>
    </xf>
    <xf numFmtId="0" fontId="26" fillId="0" borderId="9" xfId="0" applyFont="1" applyBorder="1"/>
    <xf numFmtId="0" fontId="26" fillId="0" borderId="0" xfId="0" applyFont="1"/>
    <xf numFmtId="10" fontId="36" fillId="0" borderId="0" xfId="0" applyNumberFormat="1" applyFont="1" applyAlignment="1">
      <alignment horizontal="center"/>
    </xf>
    <xf numFmtId="37" fontId="36" fillId="0" borderId="0" xfId="0" applyNumberFormat="1" applyFont="1" applyAlignment="1">
      <alignment horizontal="center"/>
    </xf>
    <xf numFmtId="9" fontId="36" fillId="0" borderId="0" xfId="0" applyNumberFormat="1" applyFont="1" applyAlignment="1">
      <alignment horizontal="center"/>
    </xf>
    <xf numFmtId="5" fontId="36" fillId="0" borderId="0" xfId="0" applyNumberFormat="1" applyFont="1" applyAlignment="1">
      <alignment horizontal="center"/>
    </xf>
    <xf numFmtId="0" fontId="27" fillId="0" borderId="24" xfId="0" applyFont="1" applyBorder="1" applyAlignment="1">
      <alignment horizontal="center"/>
    </xf>
    <xf numFmtId="0" fontId="27" fillId="0" borderId="25" xfId="0" applyFont="1" applyBorder="1" applyAlignment="1">
      <alignment horizontal="center"/>
    </xf>
    <xf numFmtId="0" fontId="24" fillId="0" borderId="26" xfId="0" applyFont="1" applyBorder="1"/>
    <xf numFmtId="0" fontId="24" fillId="0" borderId="27" xfId="0" applyFont="1" applyBorder="1"/>
    <xf numFmtId="0" fontId="0" fillId="25" borderId="0" xfId="0" applyFill="1"/>
    <xf numFmtId="0" fontId="32" fillId="0" borderId="0" xfId="0" applyFont="1"/>
    <xf numFmtId="0" fontId="32" fillId="25" borderId="17" xfId="0" applyFont="1" applyFill="1" applyBorder="1" applyAlignment="1">
      <alignment horizontal="center"/>
    </xf>
    <xf numFmtId="0" fontId="41" fillId="25" borderId="28" xfId="0" applyFont="1" applyFill="1" applyBorder="1" applyAlignment="1">
      <alignment horizontal="center"/>
    </xf>
    <xf numFmtId="0" fontId="41" fillId="25" borderId="29" xfId="0" applyFont="1" applyFill="1" applyBorder="1" applyAlignment="1">
      <alignment horizontal="center"/>
    </xf>
    <xf numFmtId="9" fontId="42" fillId="0" borderId="25" xfId="69" applyFont="1" applyBorder="1" applyAlignment="1">
      <alignment horizontal="center"/>
    </xf>
    <xf numFmtId="0" fontId="32" fillId="25" borderId="24" xfId="0" applyFont="1" applyFill="1" applyBorder="1" applyAlignment="1">
      <alignment horizontal="right"/>
    </xf>
    <xf numFmtId="0" fontId="38" fillId="0" borderId="30" xfId="0" applyFont="1" applyBorder="1" applyAlignment="1">
      <alignment horizontal="center"/>
    </xf>
    <xf numFmtId="0" fontId="38" fillId="0" borderId="21" xfId="0" applyFont="1" applyBorder="1" applyAlignment="1">
      <alignment horizontal="center"/>
    </xf>
    <xf numFmtId="0" fontId="0" fillId="26" borderId="0" xfId="0" applyFill="1"/>
    <xf numFmtId="9" fontId="41" fillId="0" borderId="24" xfId="69" applyFont="1" applyBorder="1" applyAlignment="1">
      <alignment horizontal="center"/>
    </xf>
    <xf numFmtId="37" fontId="27" fillId="0" borderId="0" xfId="0" applyNumberFormat="1" applyFont="1" applyAlignment="1">
      <alignment horizontal="center"/>
    </xf>
    <xf numFmtId="0" fontId="32" fillId="0" borderId="0" xfId="0" applyFont="1" applyAlignment="1">
      <alignment horizontal="center"/>
    </xf>
    <xf numFmtId="0" fontId="43" fillId="25" borderId="31" xfId="0" applyFont="1" applyFill="1" applyBorder="1" applyAlignment="1">
      <alignment horizontal="center"/>
    </xf>
    <xf numFmtId="0" fontId="41" fillId="25" borderId="31" xfId="0" applyFont="1" applyFill="1" applyBorder="1" applyAlignment="1">
      <alignment horizontal="center"/>
    </xf>
    <xf numFmtId="0" fontId="43" fillId="25" borderId="19" xfId="0" applyFont="1" applyFill="1" applyBorder="1" applyAlignment="1">
      <alignment horizontal="center"/>
    </xf>
    <xf numFmtId="0" fontId="41" fillId="25" borderId="0" xfId="0" applyFont="1" applyFill="1" applyAlignment="1">
      <alignment horizontal="center"/>
    </xf>
    <xf numFmtId="9" fontId="42" fillId="0" borderId="17" xfId="69" applyFont="1" applyBorder="1" applyAlignment="1">
      <alignment horizontal="center"/>
    </xf>
    <xf numFmtId="41" fontId="41" fillId="0" borderId="17" xfId="0" applyNumberFormat="1" applyFont="1" applyBorder="1"/>
    <xf numFmtId="9" fontId="42" fillId="0" borderId="29" xfId="69" applyFont="1" applyBorder="1" applyAlignment="1">
      <alignment horizontal="center"/>
    </xf>
    <xf numFmtId="0" fontId="24" fillId="0" borderId="20" xfId="0" applyFont="1" applyBorder="1"/>
    <xf numFmtId="0" fontId="24" fillId="0" borderId="31" xfId="0" applyFont="1" applyBorder="1"/>
    <xf numFmtId="0" fontId="0" fillId="0" borderId="9" xfId="0" applyBorder="1" applyAlignment="1">
      <alignment horizontal="left" indent="1"/>
    </xf>
    <xf numFmtId="0" fontId="0" fillId="0" borderId="10" xfId="0" applyBorder="1" applyAlignment="1">
      <alignment horizontal="left" indent="1"/>
    </xf>
    <xf numFmtId="0" fontId="24" fillId="0" borderId="10" xfId="0" applyFont="1" applyBorder="1" applyAlignment="1">
      <alignment horizontal="left" indent="1"/>
    </xf>
    <xf numFmtId="0" fontId="36" fillId="0" borderId="26" xfId="53" applyFont="1" applyBorder="1" applyAlignment="1">
      <alignment horizontal="center" vertical="center" wrapText="1"/>
    </xf>
    <xf numFmtId="0" fontId="36" fillId="0" borderId="30" xfId="53" applyFont="1" applyBorder="1" applyAlignment="1">
      <alignment horizontal="center" vertical="center" wrapText="1"/>
    </xf>
    <xf numFmtId="0" fontId="36" fillId="0" borderId="21" xfId="53" applyFont="1" applyBorder="1" applyAlignment="1">
      <alignment horizontal="center" vertical="center" wrapText="1"/>
    </xf>
    <xf numFmtId="0" fontId="36" fillId="0" borderId="13" xfId="53" applyFont="1" applyBorder="1" applyAlignment="1">
      <alignment horizontal="center" vertical="center" wrapText="1"/>
    </xf>
    <xf numFmtId="0" fontId="32" fillId="0" borderId="22" xfId="0" applyFont="1" applyBorder="1" applyAlignment="1">
      <alignment horizontal="center" wrapText="1"/>
    </xf>
    <xf numFmtId="6" fontId="42" fillId="0" borderId="23" xfId="0" applyNumberFormat="1" applyFont="1" applyBorder="1" applyAlignment="1">
      <alignment horizontal="center" vertical="center" wrapText="1"/>
    </xf>
    <xf numFmtId="0" fontId="42" fillId="0" borderId="30" xfId="0" applyFont="1" applyBorder="1" applyAlignment="1">
      <alignment horizontal="center" vertical="center" wrapText="1"/>
    </xf>
    <xf numFmtId="0" fontId="32" fillId="0" borderId="32" xfId="0" applyFont="1" applyBorder="1" applyAlignment="1">
      <alignment horizontal="center" wrapText="1"/>
    </xf>
    <xf numFmtId="0" fontId="32" fillId="0" borderId="33" xfId="0" applyFont="1" applyBorder="1" applyAlignment="1">
      <alignment horizontal="center" wrapText="1"/>
    </xf>
    <xf numFmtId="0" fontId="42" fillId="0" borderId="21" xfId="0" applyFont="1" applyBorder="1" applyAlignment="1">
      <alignment horizontal="center" vertical="center" wrapText="1"/>
    </xf>
    <xf numFmtId="6" fontId="42" fillId="0" borderId="30" xfId="0" applyNumberFormat="1" applyFont="1" applyBorder="1" applyAlignment="1">
      <alignment horizontal="center" vertical="center" wrapText="1"/>
    </xf>
    <xf numFmtId="0" fontId="27" fillId="0" borderId="0" xfId="0" applyFont="1"/>
    <xf numFmtId="0" fontId="24" fillId="27" borderId="4" xfId="59">
      <alignment horizontal="left"/>
      <protection locked="0"/>
    </xf>
    <xf numFmtId="0" fontId="0" fillId="25" borderId="20" xfId="0" applyFill="1" applyBorder="1"/>
    <xf numFmtId="0" fontId="0" fillId="25" borderId="31" xfId="0" applyFill="1" applyBorder="1"/>
    <xf numFmtId="0" fontId="0" fillId="25" borderId="28" xfId="0" applyFill="1" applyBorder="1"/>
    <xf numFmtId="0" fontId="0" fillId="25" borderId="29" xfId="0" applyFill="1" applyBorder="1"/>
    <xf numFmtId="42" fontId="0" fillId="0" borderId="0" xfId="0" applyNumberFormat="1" applyAlignment="1">
      <alignment horizontal="center"/>
    </xf>
    <xf numFmtId="0" fontId="45" fillId="0" borderId="0" xfId="0" applyFont="1"/>
    <xf numFmtId="42" fontId="42" fillId="0" borderId="25" xfId="0" applyNumberFormat="1" applyFont="1" applyBorder="1"/>
    <xf numFmtId="0" fontId="32" fillId="0" borderId="24" xfId="0" applyFont="1" applyBorder="1" applyAlignment="1">
      <alignment horizontal="center" wrapText="1"/>
    </xf>
    <xf numFmtId="42" fontId="42" fillId="0" borderId="26" xfId="0" applyNumberFormat="1" applyFont="1" applyBorder="1"/>
    <xf numFmtId="39" fontId="42" fillId="0" borderId="27" xfId="0" applyNumberFormat="1" applyFont="1" applyBorder="1" applyAlignment="1">
      <alignment horizontal="center"/>
    </xf>
    <xf numFmtId="2" fontId="41" fillId="0" borderId="24" xfId="0" applyNumberFormat="1" applyFont="1" applyBorder="1" applyAlignment="1">
      <alignment horizontal="center"/>
    </xf>
    <xf numFmtId="0" fontId="46" fillId="0" borderId="0" xfId="0" applyFont="1" applyAlignment="1">
      <alignment horizontal="center"/>
    </xf>
    <xf numFmtId="0" fontId="24" fillId="0" borderId="0" xfId="0" applyFont="1" applyProtection="1">
      <protection locked="0"/>
    </xf>
    <xf numFmtId="37" fontId="0" fillId="0" borderId="0" xfId="0" applyNumberFormat="1"/>
    <xf numFmtId="10" fontId="24" fillId="0" borderId="0" xfId="0" applyNumberFormat="1" applyFont="1"/>
    <xf numFmtId="164" fontId="24" fillId="0" borderId="0" xfId="0" applyNumberFormat="1" applyFont="1" applyAlignment="1">
      <alignment horizontal="center"/>
    </xf>
    <xf numFmtId="0" fontId="24" fillId="0" borderId="0" xfId="0" applyFont="1" applyAlignment="1">
      <alignment horizontal="center"/>
    </xf>
    <xf numFmtId="169" fontId="24" fillId="0" borderId="0" xfId="0" applyNumberFormat="1" applyFont="1"/>
    <xf numFmtId="0" fontId="26" fillId="0" borderId="0" xfId="51" applyFill="1" applyAlignment="1">
      <alignment horizontal="center"/>
    </xf>
    <xf numFmtId="0" fontId="27" fillId="0" borderId="0" xfId="51" applyFont="1" applyFill="1" applyAlignment="1">
      <alignment horizontal="center"/>
    </xf>
    <xf numFmtId="0" fontId="49" fillId="0" borderId="0" xfId="51" applyFont="1">
      <alignment horizontal="left"/>
    </xf>
    <xf numFmtId="0" fontId="50" fillId="0" borderId="0" xfId="0" applyFont="1"/>
    <xf numFmtId="0" fontId="24" fillId="0" borderId="0" xfId="0" applyFont="1" applyAlignment="1">
      <alignment horizontal="left" indent="1"/>
    </xf>
    <xf numFmtId="2" fontId="24" fillId="27" borderId="4" xfId="59" applyNumberFormat="1" applyAlignment="1">
      <alignment horizontal="center"/>
      <protection locked="0"/>
    </xf>
    <xf numFmtId="42" fontId="24" fillId="0" borderId="0" xfId="39" applyFont="1" applyFill="1" applyBorder="1" applyAlignment="1" applyProtection="1">
      <alignment horizontal="left"/>
      <protection locked="0"/>
    </xf>
    <xf numFmtId="42" fontId="27" fillId="0" borderId="0" xfId="53" applyNumberFormat="1" applyAlignment="1">
      <alignment horizontal="center"/>
    </xf>
    <xf numFmtId="0" fontId="24" fillId="0" borderId="0" xfId="0" applyFont="1" applyAlignment="1" applyProtection="1">
      <alignment horizontal="right"/>
      <protection locked="0"/>
    </xf>
    <xf numFmtId="0" fontId="24" fillId="27" borderId="4" xfId="60">
      <alignment horizontal="left"/>
      <protection locked="0"/>
    </xf>
    <xf numFmtId="42" fontId="0" fillId="0" borderId="0" xfId="0" applyNumberFormat="1"/>
    <xf numFmtId="0" fontId="51" fillId="0" borderId="0" xfId="0" applyFont="1"/>
    <xf numFmtId="167" fontId="24" fillId="0" borderId="9" xfId="76" applyBorder="1"/>
    <xf numFmtId="0" fontId="25" fillId="0" borderId="0" xfId="77" applyFill="1">
      <alignment horizontal="left"/>
    </xf>
    <xf numFmtId="0" fontId="27" fillId="0" borderId="0" xfId="53" applyAlignment="1">
      <alignment horizontal="center" wrapText="1"/>
    </xf>
    <xf numFmtId="0" fontId="29" fillId="0" borderId="0" xfId="53" applyFont="1" applyAlignment="1">
      <alignment horizontal="center" wrapText="1"/>
    </xf>
    <xf numFmtId="0" fontId="30" fillId="0" borderId="0" xfId="53" applyFont="1" applyFill="1" applyAlignment="1">
      <alignment horizontal="right"/>
    </xf>
    <xf numFmtId="0" fontId="27" fillId="0" borderId="0" xfId="53" applyFill="1" applyAlignment="1">
      <alignment horizontal="right"/>
    </xf>
    <xf numFmtId="167" fontId="27" fillId="0" borderId="9" xfId="76" applyFont="1" applyBorder="1"/>
    <xf numFmtId="42" fontId="27" fillId="28" borderId="7" xfId="67" applyNumberFormat="1"/>
    <xf numFmtId="167" fontId="24" fillId="0" borderId="0" xfId="76"/>
    <xf numFmtId="0" fontId="24" fillId="0" borderId="0" xfId="53" applyFont="1">
      <alignment horizontal="left"/>
    </xf>
    <xf numFmtId="0" fontId="27" fillId="0" borderId="0" xfId="0" applyFont="1" applyAlignment="1">
      <alignment horizontal="left" indent="1"/>
    </xf>
    <xf numFmtId="0" fontId="25" fillId="0" borderId="4" xfId="78" applyFill="1">
      <alignment horizontal="left" vertical="top" wrapText="1"/>
    </xf>
    <xf numFmtId="37" fontId="24" fillId="27" borderId="4" xfId="79" applyProtection="1">
      <alignment horizontal="center"/>
      <protection locked="0"/>
    </xf>
    <xf numFmtId="0" fontId="26" fillId="0" borderId="0" xfId="51" applyAlignment="1">
      <alignment horizontal="right"/>
    </xf>
    <xf numFmtId="0" fontId="24" fillId="27" borderId="4" xfId="59" applyAlignment="1">
      <alignment horizontal="left" vertical="center"/>
      <protection locked="0"/>
    </xf>
    <xf numFmtId="166" fontId="24" fillId="27" borderId="4" xfId="59" applyNumberFormat="1">
      <alignment horizontal="left"/>
      <protection locked="0"/>
    </xf>
    <xf numFmtId="44" fontId="0" fillId="0" borderId="0" xfId="0" applyNumberFormat="1"/>
    <xf numFmtId="0" fontId="26" fillId="0" borderId="0" xfId="51" applyAlignment="1"/>
    <xf numFmtId="0" fontId="26" fillId="30" borderId="0" xfId="51" applyFill="1" applyAlignment="1">
      <alignment horizontal="right"/>
    </xf>
    <xf numFmtId="42" fontId="27" fillId="30" borderId="0" xfId="0" applyNumberFormat="1" applyFont="1" applyFill="1"/>
    <xf numFmtId="0" fontId="24" fillId="30" borderId="0" xfId="0" applyFont="1" applyFill="1"/>
    <xf numFmtId="37" fontId="27" fillId="30" borderId="0" xfId="0" applyNumberFormat="1" applyFont="1" applyFill="1" applyAlignment="1">
      <alignment horizontal="center"/>
    </xf>
    <xf numFmtId="0" fontId="39" fillId="0" borderId="0" xfId="51" applyFont="1">
      <alignment horizontal="left"/>
    </xf>
    <xf numFmtId="0" fontId="26" fillId="0" borderId="36" xfId="51" applyBorder="1" applyAlignment="1">
      <alignment horizontal="right"/>
    </xf>
    <xf numFmtId="37" fontId="27" fillId="0" borderId="36" xfId="0" applyNumberFormat="1" applyFont="1" applyBorder="1" applyAlignment="1">
      <alignment horizontal="center"/>
    </xf>
    <xf numFmtId="0" fontId="24" fillId="0" borderId="36" xfId="0" applyFont="1" applyBorder="1"/>
    <xf numFmtId="0" fontId="25" fillId="0" borderId="0" xfId="77" applyFill="1" applyAlignment="1">
      <alignment horizontal="center"/>
    </xf>
    <xf numFmtId="0" fontId="37" fillId="0" borderId="0" xfId="0" applyFont="1" applyAlignment="1">
      <alignment horizontal="centerContinuous"/>
    </xf>
    <xf numFmtId="0" fontId="24" fillId="0" borderId="0" xfId="0" applyFont="1" applyAlignment="1">
      <alignment horizontal="centerContinuous"/>
    </xf>
    <xf numFmtId="0" fontId="26" fillId="0" borderId="0" xfId="51" applyFill="1">
      <alignment horizontal="left"/>
    </xf>
    <xf numFmtId="0" fontId="27" fillId="0" borderId="0" xfId="53" applyFill="1" applyAlignment="1">
      <alignment horizontal="center" wrapText="1"/>
    </xf>
    <xf numFmtId="0" fontId="24" fillId="0" borderId="0" xfId="53" applyFont="1" applyFill="1" applyAlignment="1">
      <alignment horizontal="center" wrapText="1"/>
    </xf>
    <xf numFmtId="10" fontId="36" fillId="0" borderId="0" xfId="69" applyNumberFormat="1" applyFont="1" applyFill="1" applyBorder="1" applyAlignment="1">
      <alignment horizontal="center"/>
    </xf>
    <xf numFmtId="37" fontId="24" fillId="0" borderId="0" xfId="79" applyFill="1" applyBorder="1" applyProtection="1">
      <alignment horizontal="center"/>
      <protection locked="0"/>
    </xf>
    <xf numFmtId="37" fontId="24" fillId="0" borderId="0" xfId="0" applyNumberFormat="1" applyFont="1"/>
    <xf numFmtId="0" fontId="0" fillId="0" borderId="11" xfId="0" applyBorder="1"/>
    <xf numFmtId="0" fontId="0" fillId="0" borderId="13" xfId="0" applyBorder="1"/>
    <xf numFmtId="0" fontId="26" fillId="0" borderId="0" xfId="51" applyFill="1" applyAlignment="1">
      <alignment horizontal="centerContinuous"/>
    </xf>
    <xf numFmtId="0" fontId="27" fillId="0" borderId="0" xfId="53" applyFill="1" applyAlignment="1">
      <alignment horizontal="center"/>
    </xf>
    <xf numFmtId="0" fontId="27" fillId="0" borderId="0" xfId="53" applyFill="1" applyAlignment="1">
      <alignment horizontal="centerContinuous"/>
    </xf>
    <xf numFmtId="0" fontId="27" fillId="0" borderId="0" xfId="53" applyFill="1" applyAlignment="1">
      <alignment horizontal="center" vertical="center" wrapText="1"/>
    </xf>
    <xf numFmtId="0" fontId="35" fillId="0" borderId="0" xfId="0" applyFont="1" applyAlignment="1">
      <alignment horizontal="center" vertical="center" wrapText="1"/>
    </xf>
    <xf numFmtId="0" fontId="35" fillId="0" borderId="0" xfId="0" applyFont="1" applyAlignment="1">
      <alignment horizontal="center"/>
    </xf>
    <xf numFmtId="37" fontId="24" fillId="0" borderId="0" xfId="35" applyFill="1" applyBorder="1" applyProtection="1">
      <alignment horizontal="center"/>
      <protection locked="0"/>
    </xf>
    <xf numFmtId="168" fontId="24" fillId="0" borderId="0" xfId="36" applyFill="1" applyBorder="1" applyAlignment="1">
      <alignment horizontal="center"/>
    </xf>
    <xf numFmtId="165" fontId="36" fillId="0" borderId="0" xfId="69" applyNumberFormat="1" applyFont="1" applyFill="1" applyBorder="1" applyAlignment="1">
      <alignment horizontal="center"/>
    </xf>
    <xf numFmtId="42" fontId="24" fillId="0" borderId="0" xfId="38" applyFont="1" applyFill="1" applyBorder="1"/>
    <xf numFmtId="0" fontId="54" fillId="0" borderId="0" xfId="0" applyFont="1" applyAlignment="1">
      <alignment horizontal="left" vertical="center"/>
    </xf>
    <xf numFmtId="0" fontId="55" fillId="0" borderId="0" xfId="0" applyFont="1" applyAlignment="1">
      <alignment horizontal="left" vertical="center"/>
    </xf>
    <xf numFmtId="0" fontId="24" fillId="27" borderId="4" xfId="59" applyAlignment="1">
      <alignment horizontal="center"/>
      <protection locked="0"/>
    </xf>
    <xf numFmtId="0" fontId="21" fillId="0" borderId="0" xfId="77" applyFont="1" applyFill="1">
      <alignment horizontal="left"/>
    </xf>
    <xf numFmtId="0" fontId="24" fillId="0" borderId="0" xfId="0" applyFont="1" applyAlignment="1">
      <alignment horizontal="right"/>
    </xf>
    <xf numFmtId="172" fontId="24" fillId="27" borderId="4" xfId="59" applyNumberFormat="1" applyAlignment="1">
      <alignment horizontal="center"/>
      <protection locked="0"/>
    </xf>
    <xf numFmtId="0" fontId="60" fillId="0" borderId="0" xfId="0" applyFont="1" applyAlignment="1" applyProtection="1">
      <alignment horizontal="left"/>
      <protection hidden="1"/>
    </xf>
    <xf numFmtId="0" fontId="61" fillId="0" borderId="0" xfId="0" applyFont="1" applyProtection="1">
      <protection hidden="1"/>
    </xf>
    <xf numFmtId="0" fontId="42" fillId="0" borderId="0" xfId="0" applyFont="1"/>
    <xf numFmtId="0" fontId="31" fillId="0" borderId="0" xfId="0" applyFont="1" applyAlignment="1">
      <alignment horizontal="left" vertical="center"/>
    </xf>
    <xf numFmtId="0" fontId="62" fillId="0" borderId="0" xfId="0" quotePrefix="1" applyFont="1"/>
    <xf numFmtId="0" fontId="62" fillId="0" borderId="0" xfId="0" quotePrefix="1" applyFont="1" applyAlignment="1">
      <alignment horizontal="left"/>
    </xf>
    <xf numFmtId="0" fontId="62" fillId="0" borderId="0" xfId="0" quotePrefix="1" applyFont="1" applyAlignment="1">
      <alignment horizontal="right"/>
    </xf>
    <xf numFmtId="0" fontId="63" fillId="0" borderId="0" xfId="0" quotePrefix="1" applyFont="1" applyAlignment="1">
      <alignment horizontal="left" indent="1"/>
    </xf>
    <xf numFmtId="0" fontId="31" fillId="0" borderId="0" xfId="0" applyFont="1" applyAlignment="1">
      <alignment vertical="center"/>
    </xf>
    <xf numFmtId="167" fontId="24" fillId="0" borderId="0" xfId="76" quotePrefix="1"/>
    <xf numFmtId="0" fontId="27" fillId="28" borderId="7" xfId="68" applyAlignment="1">
      <alignment horizontal="center"/>
    </xf>
    <xf numFmtId="167" fontId="27" fillId="0" borderId="0" xfId="76" quotePrefix="1" applyFont="1"/>
    <xf numFmtId="0" fontId="31" fillId="0" borderId="11" xfId="0" applyFont="1" applyBorder="1"/>
    <xf numFmtId="0" fontId="24" fillId="0" borderId="38" xfId="0" applyFont="1" applyBorder="1"/>
    <xf numFmtId="0" fontId="27" fillId="0" borderId="0" xfId="0" applyFont="1" applyAlignment="1">
      <alignment horizontal="left"/>
    </xf>
    <xf numFmtId="0" fontId="66" fillId="0" borderId="0" xfId="0" applyFont="1" applyAlignment="1" applyProtection="1">
      <alignment horizontal="left" vertical="center"/>
      <protection hidden="1"/>
    </xf>
    <xf numFmtId="0" fontId="25" fillId="0" borderId="22" xfId="77" applyFill="1" applyBorder="1" applyAlignment="1">
      <alignment horizontal="right"/>
    </xf>
    <xf numFmtId="0" fontId="25" fillId="0" borderId="23" xfId="77" applyFill="1" applyBorder="1" applyAlignment="1">
      <alignment horizontal="right"/>
    </xf>
    <xf numFmtId="0" fontId="24" fillId="27" borderId="23" xfId="59" applyBorder="1">
      <alignment horizontal="left"/>
      <protection locked="0"/>
    </xf>
    <xf numFmtId="42" fontId="27" fillId="0" borderId="10" xfId="0" applyNumberFormat="1" applyFont="1" applyBorder="1"/>
    <xf numFmtId="42" fontId="27" fillId="0" borderId="13" xfId="0" applyNumberFormat="1" applyFont="1" applyBorder="1"/>
    <xf numFmtId="0" fontId="26" fillId="0" borderId="9" xfId="52" applyBorder="1">
      <alignment horizontal="left"/>
    </xf>
    <xf numFmtId="0" fontId="24" fillId="0" borderId="0" xfId="0" applyFont="1" applyAlignment="1" applyProtection="1">
      <alignment horizontal="left"/>
      <protection hidden="1"/>
    </xf>
    <xf numFmtId="0" fontId="24" fillId="0" borderId="0" xfId="0" applyFont="1" applyAlignment="1" applyProtection="1">
      <alignment horizontal="left"/>
      <protection locked="0"/>
    </xf>
    <xf numFmtId="10" fontId="36" fillId="0" borderId="0" xfId="0" applyNumberFormat="1" applyFont="1" applyAlignment="1">
      <alignment horizontal="right"/>
    </xf>
    <xf numFmtId="0" fontId="26" fillId="0" borderId="0" xfId="0" applyFont="1" applyAlignment="1">
      <alignment horizontal="left" indent="4"/>
    </xf>
    <xf numFmtId="0" fontId="32" fillId="0" borderId="9" xfId="0" applyFont="1" applyBorder="1" applyAlignment="1">
      <alignment horizontal="center" wrapText="1"/>
    </xf>
    <xf numFmtId="6" fontId="42" fillId="0" borderId="11" xfId="0" applyNumberFormat="1" applyFont="1" applyBorder="1" applyAlignment="1">
      <alignment horizontal="center" vertical="center" wrapText="1"/>
    </xf>
    <xf numFmtId="0" fontId="42" fillId="0" borderId="23" xfId="0" applyFont="1" applyBorder="1" applyAlignment="1">
      <alignment vertical="center"/>
    </xf>
    <xf numFmtId="0" fontId="32" fillId="0" borderId="22" xfId="0" applyFont="1" applyBorder="1"/>
    <xf numFmtId="10" fontId="0" fillId="0" borderId="0" xfId="0" applyNumberFormat="1"/>
    <xf numFmtId="0" fontId="42" fillId="0" borderId="11" xfId="0" applyFont="1" applyBorder="1" applyAlignment="1">
      <alignment vertical="center"/>
    </xf>
    <xf numFmtId="0" fontId="44" fillId="0" borderId="23" xfId="0" applyFont="1" applyBorder="1" applyAlignment="1">
      <alignment horizontal="center" vertical="center"/>
    </xf>
    <xf numFmtId="0" fontId="44" fillId="0" borderId="30" xfId="0" applyFont="1" applyBorder="1" applyAlignment="1">
      <alignment horizontal="center" vertical="center"/>
    </xf>
    <xf numFmtId="0" fontId="44" fillId="0" borderId="21" xfId="0" applyFont="1" applyBorder="1" applyAlignment="1">
      <alignment horizontal="center" vertical="center"/>
    </xf>
    <xf numFmtId="6" fontId="44" fillId="0" borderId="30" xfId="0" applyNumberFormat="1" applyFont="1" applyBorder="1" applyAlignment="1">
      <alignment horizontal="center" vertical="center" wrapText="1"/>
    </xf>
    <xf numFmtId="167" fontId="24" fillId="0" borderId="0" xfId="76" applyAlignment="1">
      <alignment horizontal="center" vertical="center"/>
    </xf>
    <xf numFmtId="0" fontId="27" fillId="25" borderId="0" xfId="53" applyFill="1" applyAlignment="1">
      <alignment horizontal="center" wrapText="1"/>
    </xf>
    <xf numFmtId="0" fontId="27" fillId="25" borderId="0" xfId="53" applyFill="1" applyAlignment="1">
      <alignment horizontal="center" vertical="center" wrapText="1"/>
    </xf>
    <xf numFmtId="37" fontId="25" fillId="25" borderId="0" xfId="35" applyFont="1" applyFill="1" applyBorder="1" applyAlignment="1">
      <alignment horizontal="center" vertical="center"/>
    </xf>
    <xf numFmtId="0" fontId="27" fillId="25" borderId="0" xfId="53" applyFill="1" applyAlignment="1">
      <alignment horizontal="right" vertical="top"/>
    </xf>
    <xf numFmtId="37" fontId="34" fillId="25" borderId="0" xfId="35" applyFont="1" applyFill="1" applyBorder="1" applyAlignment="1">
      <alignment horizontal="center" vertical="center"/>
    </xf>
    <xf numFmtId="9" fontId="27" fillId="26" borderId="0" xfId="69" applyFont="1" applyFill="1" applyBorder="1" applyAlignment="1">
      <alignment horizontal="center" vertical="top"/>
    </xf>
    <xf numFmtId="37" fontId="0" fillId="25" borderId="0" xfId="35" applyFont="1" applyFill="1" applyBorder="1" applyAlignment="1">
      <alignment horizontal="center" vertical="center"/>
    </xf>
    <xf numFmtId="0" fontId="27" fillId="25" borderId="0" xfId="53" applyFill="1" applyAlignment="1">
      <alignment horizontal="center" vertical="top"/>
    </xf>
    <xf numFmtId="0" fontId="25" fillId="0" borderId="0" xfId="77" quotePrefix="1" applyFill="1">
      <alignment horizontal="left"/>
    </xf>
    <xf numFmtId="0" fontId="0" fillId="0" borderId="0" xfId="0" applyAlignment="1">
      <alignment horizontal="center"/>
    </xf>
    <xf numFmtId="0" fontId="62" fillId="34" borderId="0" xfId="0" quotePrefix="1" applyFont="1" applyFill="1" applyAlignment="1">
      <alignment horizontal="left"/>
    </xf>
    <xf numFmtId="0" fontId="63" fillId="34" borderId="0" xfId="0" quotePrefix="1" applyFont="1" applyFill="1" applyAlignment="1">
      <alignment horizontal="left" indent="1"/>
    </xf>
    <xf numFmtId="0" fontId="62" fillId="34" borderId="0" xfId="0" quotePrefix="1" applyFont="1" applyFill="1"/>
    <xf numFmtId="0" fontId="68" fillId="0" borderId="0" xfId="0" applyFont="1"/>
    <xf numFmtId="167" fontId="24" fillId="0" borderId="9" xfId="76" quotePrefix="1" applyBorder="1"/>
    <xf numFmtId="167" fontId="27" fillId="0" borderId="9" xfId="76" quotePrefix="1" applyFont="1" applyBorder="1"/>
    <xf numFmtId="0" fontId="0" fillId="34" borderId="0" xfId="0" applyFill="1" applyAlignment="1">
      <alignment horizontal="center"/>
    </xf>
    <xf numFmtId="0" fontId="25" fillId="34" borderId="0" xfId="77" quotePrefix="1" applyFill="1">
      <alignment horizontal="left"/>
    </xf>
    <xf numFmtId="0" fontId="25" fillId="0" borderId="22" xfId="77" applyFill="1" applyBorder="1" applyAlignment="1" applyProtection="1">
      <alignment horizontal="right"/>
      <protection locked="0"/>
    </xf>
    <xf numFmtId="0" fontId="25" fillId="0" borderId="23" xfId="77" applyFill="1" applyBorder="1" applyAlignment="1" applyProtection="1">
      <alignment horizontal="right"/>
      <protection locked="0"/>
    </xf>
    <xf numFmtId="37" fontId="27" fillId="28" borderId="7" xfId="68" applyNumberFormat="1" applyAlignment="1" applyProtection="1">
      <alignment horizontal="center"/>
    </xf>
    <xf numFmtId="42" fontId="24" fillId="0" borderId="0" xfId="39" applyFont="1" applyFill="1" applyBorder="1" applyAlignment="1" applyProtection="1">
      <alignment horizontal="left"/>
    </xf>
    <xf numFmtId="37" fontId="24" fillId="0" borderId="0" xfId="35" applyFill="1" applyBorder="1" applyProtection="1">
      <alignment horizontal="center"/>
    </xf>
    <xf numFmtId="44" fontId="24" fillId="0" borderId="0" xfId="0" applyNumberFormat="1" applyFont="1"/>
    <xf numFmtId="165" fontId="36" fillId="0" borderId="0" xfId="0" applyNumberFormat="1" applyFont="1" applyAlignment="1">
      <alignment horizontal="center"/>
    </xf>
    <xf numFmtId="174" fontId="75" fillId="27" borderId="24" xfId="86" applyNumberFormat="1" applyFont="1" applyFill="1" applyBorder="1" applyAlignment="1">
      <alignment horizontal="center" vertical="center"/>
    </xf>
    <xf numFmtId="174" fontId="75" fillId="27" borderId="17" xfId="86" applyNumberFormat="1" applyFont="1" applyFill="1" applyBorder="1" applyAlignment="1">
      <alignment horizontal="center" vertical="center"/>
    </xf>
    <xf numFmtId="174" fontId="75" fillId="27" borderId="29" xfId="86" applyNumberFormat="1" applyFont="1" applyFill="1" applyBorder="1" applyAlignment="1">
      <alignment horizontal="center" vertical="center"/>
    </xf>
    <xf numFmtId="3" fontId="0" fillId="0" borderId="0" xfId="0" applyNumberFormat="1"/>
    <xf numFmtId="0" fontId="75" fillId="27" borderId="29" xfId="90" applyFont="1" applyFill="1" applyBorder="1" applyAlignment="1">
      <alignment vertical="center"/>
    </xf>
    <xf numFmtId="3" fontId="75" fillId="27" borderId="29" xfId="90" applyNumberFormat="1" applyFont="1" applyFill="1" applyBorder="1" applyAlignment="1">
      <alignment horizontal="center" vertical="center"/>
    </xf>
    <xf numFmtId="171" fontId="75" fillId="27" borderId="29" xfId="92" applyNumberFormat="1" applyFont="1" applyFill="1" applyBorder="1" applyAlignment="1">
      <alignment vertical="center"/>
    </xf>
    <xf numFmtId="0" fontId="75" fillId="27" borderId="29" xfId="90" applyFont="1" applyFill="1" applyBorder="1" applyAlignment="1">
      <alignment horizontal="center" vertical="center"/>
    </xf>
    <xf numFmtId="2" fontId="24" fillId="28" borderId="7" xfId="67" applyNumberFormat="1" applyFont="1" applyAlignment="1" applyProtection="1">
      <alignment horizontal="center"/>
    </xf>
    <xf numFmtId="2" fontId="24" fillId="28" borderId="0" xfId="67" applyNumberFormat="1" applyFont="1" applyBorder="1" applyAlignment="1" applyProtection="1">
      <alignment horizontal="center"/>
    </xf>
    <xf numFmtId="2" fontId="24" fillId="28" borderId="24" xfId="67" applyNumberFormat="1" applyFont="1" applyBorder="1" applyAlignment="1" applyProtection="1">
      <alignment horizontal="center"/>
    </xf>
    <xf numFmtId="2" fontId="24" fillId="27" borderId="49" xfId="5939" applyNumberFormat="1" applyAlignment="1">
      <alignment horizontal="center"/>
      <protection locked="0"/>
    </xf>
    <xf numFmtId="42" fontId="24" fillId="22" borderId="76" xfId="5941" applyFont="1" applyFill="1" applyBorder="1" applyAlignment="1" applyProtection="1">
      <alignment horizontal="left"/>
      <protection locked="0"/>
    </xf>
    <xf numFmtId="2" fontId="24" fillId="27" borderId="75" xfId="5939" applyNumberFormat="1" applyBorder="1" applyAlignment="1">
      <alignment horizontal="center"/>
      <protection locked="0"/>
    </xf>
    <xf numFmtId="0" fontId="25" fillId="0" borderId="9" xfId="77" applyFill="1" applyBorder="1" applyAlignment="1">
      <alignment horizontal="right"/>
    </xf>
    <xf numFmtId="14" fontId="75" fillId="0" borderId="23" xfId="0" applyNumberFormat="1" applyFont="1" applyBorder="1" applyAlignment="1">
      <alignment horizontal="left" vertical="top"/>
    </xf>
    <xf numFmtId="0" fontId="72" fillId="0" borderId="23" xfId="0" applyFont="1" applyBorder="1" applyAlignment="1">
      <alignment horizontal="left" vertical="top"/>
    </xf>
    <xf numFmtId="0" fontId="75" fillId="0" borderId="23" xfId="0" applyFont="1" applyBorder="1" applyAlignment="1">
      <alignment horizontal="left" vertical="top"/>
    </xf>
    <xf numFmtId="0" fontId="72" fillId="0" borderId="23" xfId="0" applyFont="1" applyBorder="1" applyAlignment="1">
      <alignment horizontal="right"/>
    </xf>
    <xf numFmtId="0" fontId="75" fillId="0" borderId="23" xfId="0" applyFont="1" applyBorder="1" applyAlignment="1">
      <alignment horizontal="right"/>
    </xf>
    <xf numFmtId="14" fontId="72" fillId="0" borderId="23" xfId="0" applyNumberFormat="1" applyFont="1" applyBorder="1" applyAlignment="1">
      <alignment horizontal="left" vertical="top"/>
    </xf>
    <xf numFmtId="0" fontId="72" fillId="0" borderId="23" xfId="0" applyFont="1" applyBorder="1" applyAlignment="1">
      <alignment horizontal="right" vertical="center"/>
    </xf>
    <xf numFmtId="14" fontId="72" fillId="0" borderId="23" xfId="0" applyNumberFormat="1" applyFont="1" applyBorder="1" applyAlignment="1">
      <alignment horizontal="left" vertical="top" wrapText="1"/>
    </xf>
    <xf numFmtId="0" fontId="75" fillId="0" borderId="23" xfId="0" applyFont="1" applyBorder="1" applyAlignment="1">
      <alignment horizontal="left" vertical="top" wrapText="1"/>
    </xf>
    <xf numFmtId="0" fontId="72" fillId="0" borderId="23" xfId="0" applyFont="1" applyBorder="1" applyAlignment="1">
      <alignment horizontal="left" vertical="top" wrapText="1"/>
    </xf>
    <xf numFmtId="0" fontId="72" fillId="0" borderId="23" xfId="0" applyFont="1" applyBorder="1" applyAlignment="1">
      <alignment horizontal="right" vertical="center" wrapText="1"/>
    </xf>
    <xf numFmtId="0" fontId="75" fillId="0" borderId="23" xfId="0" applyFont="1" applyBorder="1" applyAlignment="1">
      <alignment horizontal="right" vertical="center"/>
    </xf>
    <xf numFmtId="0" fontId="24" fillId="25" borderId="20" xfId="0" applyFont="1" applyFill="1" applyBorder="1" applyAlignment="1">
      <alignment horizontal="center" vertical="center" wrapText="1"/>
    </xf>
    <xf numFmtId="0" fontId="24" fillId="25" borderId="10" xfId="0" applyFont="1" applyFill="1" applyBorder="1" applyAlignment="1">
      <alignment horizontal="center" vertical="center" wrapText="1"/>
    </xf>
    <xf numFmtId="0" fontId="24" fillId="25" borderId="9" xfId="0" applyFont="1" applyFill="1" applyBorder="1" applyAlignment="1">
      <alignment horizontal="center" vertical="center" wrapText="1"/>
    </xf>
    <xf numFmtId="0" fontId="24" fillId="25" borderId="31" xfId="0" applyFont="1" applyFill="1" applyBorder="1" applyAlignment="1">
      <alignment horizontal="center" vertical="center" wrapText="1"/>
    </xf>
    <xf numFmtId="0" fontId="7" fillId="25" borderId="28" xfId="0" applyFont="1" applyFill="1" applyBorder="1"/>
    <xf numFmtId="0" fontId="7" fillId="25" borderId="18" xfId="0" applyFont="1" applyFill="1" applyBorder="1"/>
    <xf numFmtId="0" fontId="7" fillId="25" borderId="40" xfId="0" applyFont="1" applyFill="1" applyBorder="1"/>
    <xf numFmtId="0" fontId="7" fillId="25" borderId="29" xfId="0" applyFont="1" applyFill="1" applyBorder="1"/>
    <xf numFmtId="0" fontId="7" fillId="0" borderId="9" xfId="0" applyFont="1" applyBorder="1"/>
    <xf numFmtId="0" fontId="7" fillId="0" borderId="10" xfId="0" applyFont="1" applyBorder="1"/>
    <xf numFmtId="0" fontId="7" fillId="0" borderId="0" xfId="0" applyFont="1" applyAlignment="1">
      <alignment wrapText="1"/>
    </xf>
    <xf numFmtId="0" fontId="7" fillId="0" borderId="0" xfId="0" applyFont="1"/>
    <xf numFmtId="0" fontId="7" fillId="0" borderId="0" xfId="0" applyFont="1" applyAlignment="1">
      <alignment horizontal="center"/>
    </xf>
    <xf numFmtId="0" fontId="7" fillId="0" borderId="0" xfId="51" applyFont="1">
      <alignment horizontal="left"/>
    </xf>
    <xf numFmtId="0" fontId="7" fillId="0" borderId="13" xfId="0" applyFont="1" applyBorder="1"/>
    <xf numFmtId="42" fontId="27" fillId="0" borderId="84" xfId="0" applyNumberFormat="1" applyFont="1" applyBorder="1"/>
    <xf numFmtId="37" fontId="27" fillId="0" borderId="84" xfId="35" applyFont="1" applyBorder="1">
      <alignment horizontal="center"/>
    </xf>
    <xf numFmtId="37" fontId="27" fillId="0" borderId="84" xfId="0" applyNumberFormat="1" applyFont="1" applyBorder="1"/>
    <xf numFmtId="0" fontId="24" fillId="0" borderId="84" xfId="0" applyFont="1" applyBorder="1"/>
    <xf numFmtId="169" fontId="27" fillId="25" borderId="75" xfId="38" applyNumberFormat="1" applyFont="1" applyFill="1" applyBorder="1" applyAlignment="1" applyProtection="1">
      <alignment horizontal="left"/>
    </xf>
    <xf numFmtId="42" fontId="24" fillId="22" borderId="76" xfId="38" applyFont="1" applyFill="1" applyBorder="1" applyAlignment="1" applyProtection="1">
      <alignment horizontal="left"/>
      <protection locked="0"/>
    </xf>
    <xf numFmtId="2" fontId="24" fillId="27" borderId="75" xfId="59" applyNumberFormat="1" applyBorder="1" applyAlignment="1">
      <alignment horizontal="center"/>
      <protection locked="0"/>
    </xf>
    <xf numFmtId="42" fontId="24" fillId="22" borderId="86" xfId="38" applyFont="1" applyFill="1" applyBorder="1" applyAlignment="1" applyProtection="1">
      <alignment horizontal="left"/>
      <protection locked="0"/>
    </xf>
    <xf numFmtId="42" fontId="24" fillId="22" borderId="87" xfId="38" applyFont="1" applyFill="1" applyBorder="1" applyAlignment="1" applyProtection="1">
      <alignment horizontal="left"/>
      <protection locked="0"/>
    </xf>
    <xf numFmtId="37" fontId="24" fillId="22" borderId="86" xfId="35" applyFill="1" applyBorder="1" applyProtection="1">
      <alignment horizontal="center"/>
      <protection locked="0"/>
    </xf>
    <xf numFmtId="37" fontId="24" fillId="22" borderId="87" xfId="35" applyFill="1" applyBorder="1" applyProtection="1">
      <alignment horizontal="center"/>
      <protection locked="0"/>
    </xf>
    <xf numFmtId="42" fontId="24" fillId="22" borderId="75" xfId="38" applyFont="1" applyFill="1" applyBorder="1" applyAlignment="1" applyProtection="1">
      <alignment horizontal="left"/>
      <protection locked="0"/>
    </xf>
    <xf numFmtId="0" fontId="7" fillId="0" borderId="0" xfId="0" quotePrefix="1" applyFont="1" applyAlignment="1">
      <alignment horizontal="center"/>
    </xf>
    <xf numFmtId="37" fontId="7" fillId="0" borderId="0" xfId="0" applyNumberFormat="1" applyFont="1"/>
    <xf numFmtId="0" fontId="32" fillId="0" borderId="88" xfId="0" applyFont="1" applyBorder="1" applyAlignment="1">
      <alignment horizontal="center" wrapText="1"/>
    </xf>
    <xf numFmtId="0" fontId="32" fillId="0" borderId="89" xfId="0" applyFont="1" applyBorder="1" applyAlignment="1">
      <alignment horizontal="center" wrapText="1"/>
    </xf>
    <xf numFmtId="0" fontId="32" fillId="0" borderId="90" xfId="0" applyFont="1" applyBorder="1" applyAlignment="1">
      <alignment horizontal="center" wrapText="1"/>
    </xf>
    <xf numFmtId="0" fontId="32" fillId="0" borderId="91" xfId="0" applyFont="1" applyBorder="1" applyAlignment="1">
      <alignment horizontal="center" wrapText="1"/>
    </xf>
    <xf numFmtId="0" fontId="7" fillId="25" borderId="92" xfId="0" applyFont="1" applyFill="1" applyBorder="1"/>
    <xf numFmtId="0" fontId="7" fillId="25" borderId="19" xfId="0" applyFont="1" applyFill="1" applyBorder="1"/>
    <xf numFmtId="0" fontId="41" fillId="25" borderId="93" xfId="0" applyFont="1" applyFill="1" applyBorder="1" applyAlignment="1">
      <alignment horizontal="center"/>
    </xf>
    <xf numFmtId="0" fontId="41" fillId="25" borderId="94" xfId="0" applyFont="1" applyFill="1" applyBorder="1" applyAlignment="1">
      <alignment horizontal="center"/>
    </xf>
    <xf numFmtId="0" fontId="7" fillId="0" borderId="93" xfId="0" applyFont="1" applyBorder="1"/>
    <xf numFmtId="0" fontId="7" fillId="0" borderId="92" xfId="0" applyFont="1" applyBorder="1"/>
    <xf numFmtId="41" fontId="42" fillId="0" borderId="86" xfId="31" applyFont="1" applyBorder="1"/>
    <xf numFmtId="41" fontId="42" fillId="0" borderId="87" xfId="31" applyFont="1" applyBorder="1"/>
    <xf numFmtId="9" fontId="42" fillId="0" borderId="95" xfId="69" applyFont="1" applyBorder="1" applyAlignment="1">
      <alignment horizontal="center"/>
    </xf>
    <xf numFmtId="0" fontId="7" fillId="0" borderId="20" xfId="0" applyFont="1" applyBorder="1"/>
    <xf numFmtId="0" fontId="7" fillId="0" borderId="19" xfId="0" applyFont="1" applyBorder="1"/>
    <xf numFmtId="42" fontId="7" fillId="0" borderId="28" xfId="0" applyNumberFormat="1" applyFont="1" applyBorder="1" applyAlignment="1">
      <alignment horizontal="left" indent="2"/>
    </xf>
    <xf numFmtId="0" fontId="7" fillId="25" borderId="24" xfId="0" applyFont="1" applyFill="1" applyBorder="1"/>
    <xf numFmtId="41" fontId="41" fillId="0" borderId="78" xfId="0" applyNumberFormat="1" applyFont="1" applyBorder="1"/>
    <xf numFmtId="41" fontId="41" fillId="0" borderId="75" xfId="0" applyNumberFormat="1" applyFont="1" applyBorder="1"/>
    <xf numFmtId="0" fontId="32" fillId="25" borderId="92" xfId="0" applyFont="1" applyFill="1" applyBorder="1" applyAlignment="1">
      <alignment horizontal="center"/>
    </xf>
    <xf numFmtId="0" fontId="43" fillId="25" borderId="92" xfId="0" applyFont="1" applyFill="1" applyBorder="1" applyAlignment="1">
      <alignment horizontal="center"/>
    </xf>
    <xf numFmtId="0" fontId="43" fillId="25" borderId="94" xfId="0" applyFont="1" applyFill="1" applyBorder="1" applyAlignment="1">
      <alignment horizontal="center"/>
    </xf>
    <xf numFmtId="41" fontId="42" fillId="0" borderId="95" xfId="31" applyFont="1" applyBorder="1"/>
    <xf numFmtId="9" fontId="42" fillId="0" borderId="83" xfId="69" applyFont="1" applyBorder="1" applyAlignment="1">
      <alignment horizontal="center"/>
    </xf>
    <xf numFmtId="0" fontId="7" fillId="0" borderId="0" xfId="0" applyFont="1" applyAlignment="1">
      <alignment vertical="center"/>
    </xf>
    <xf numFmtId="0" fontId="24" fillId="0" borderId="82" xfId="0" applyFont="1" applyBorder="1"/>
    <xf numFmtId="42" fontId="42" fillId="0" borderId="95" xfId="0" applyNumberFormat="1" applyFont="1" applyBorder="1"/>
    <xf numFmtId="42" fontId="42" fillId="0" borderId="96" xfId="0" applyNumberFormat="1" applyFont="1" applyBorder="1"/>
    <xf numFmtId="42" fontId="42" fillId="0" borderId="97" xfId="0" applyNumberFormat="1" applyFont="1" applyBorder="1"/>
    <xf numFmtId="9" fontId="44" fillId="0" borderId="87" xfId="69" applyFont="1" applyBorder="1" applyAlignment="1">
      <alignment horizontal="center"/>
    </xf>
    <xf numFmtId="37" fontId="42" fillId="0" borderId="86" xfId="31" applyNumberFormat="1" applyFont="1" applyBorder="1" applyAlignment="1">
      <alignment horizontal="center" vertical="center"/>
    </xf>
    <xf numFmtId="37" fontId="42" fillId="0" borderId="97" xfId="31" applyNumberFormat="1" applyFont="1" applyBorder="1" applyAlignment="1">
      <alignment horizontal="center" vertical="center"/>
    </xf>
    <xf numFmtId="42" fontId="41" fillId="0" borderId="76" xfId="0" applyNumberFormat="1" applyFont="1" applyBorder="1"/>
    <xf numFmtId="42" fontId="41" fillId="0" borderId="98" xfId="0" applyNumberFormat="1" applyFont="1" applyBorder="1"/>
    <xf numFmtId="9" fontId="42" fillId="0" borderId="75" xfId="69" applyFont="1" applyBorder="1" applyAlignment="1">
      <alignment horizontal="center"/>
    </xf>
    <xf numFmtId="37" fontId="41" fillId="0" borderId="76" xfId="0" applyNumberFormat="1" applyFont="1" applyBorder="1"/>
    <xf numFmtId="37" fontId="41" fillId="0" borderId="98" xfId="0" applyNumberFormat="1" applyFont="1" applyBorder="1"/>
    <xf numFmtId="0" fontId="32" fillId="0" borderId="78" xfId="0" applyFont="1" applyBorder="1" applyAlignment="1">
      <alignment horizontal="center" wrapText="1"/>
    </xf>
    <xf numFmtId="0" fontId="27" fillId="0" borderId="95" xfId="53" applyBorder="1" applyAlignment="1">
      <alignment horizontal="center"/>
    </xf>
    <xf numFmtId="0" fontId="27" fillId="0" borderId="81" xfId="53" applyBorder="1" applyAlignment="1">
      <alignment horizontal="centerContinuous"/>
    </xf>
    <xf numFmtId="0" fontId="24" fillId="0" borderId="83" xfId="0" applyFont="1" applyBorder="1" applyAlignment="1">
      <alignment horizontal="centerContinuous"/>
    </xf>
    <xf numFmtId="0" fontId="24" fillId="0" borderId="92" xfId="0" applyFont="1" applyBorder="1"/>
    <xf numFmtId="0" fontId="27" fillId="0" borderId="82" xfId="53" applyBorder="1" applyAlignment="1">
      <alignment horizontal="centerContinuous"/>
    </xf>
    <xf numFmtId="42" fontId="24" fillId="0" borderId="86" xfId="38" applyFont="1" applyFill="1" applyBorder="1" applyAlignment="1" applyProtection="1">
      <alignment horizontal="left"/>
      <protection locked="0"/>
    </xf>
    <xf numFmtId="42" fontId="24" fillId="0" borderId="99" xfId="38" applyFont="1" applyFill="1" applyBorder="1" applyAlignment="1" applyProtection="1">
      <alignment horizontal="left"/>
      <protection locked="0"/>
    </xf>
    <xf numFmtId="42" fontId="24" fillId="0" borderId="87" xfId="38" applyFont="1" applyFill="1" applyBorder="1" applyAlignment="1" applyProtection="1">
      <alignment horizontal="left"/>
      <protection locked="0"/>
    </xf>
    <xf numFmtId="37" fontId="24" fillId="0" borderId="86" xfId="35" applyFill="1" applyBorder="1" applyProtection="1">
      <alignment horizontal="center"/>
      <protection locked="0"/>
    </xf>
    <xf numFmtId="37" fontId="24" fillId="0" borderId="99" xfId="35" applyFill="1" applyBorder="1" applyProtection="1">
      <alignment horizontal="center"/>
      <protection locked="0"/>
    </xf>
    <xf numFmtId="37" fontId="24" fillId="0" borderId="87" xfId="35" applyFill="1" applyBorder="1" applyProtection="1">
      <alignment horizontal="center"/>
      <protection locked="0"/>
    </xf>
    <xf numFmtId="0" fontId="7" fillId="34" borderId="0" xfId="0" applyFont="1" applyFill="1" applyAlignment="1">
      <alignment horizontal="center"/>
    </xf>
    <xf numFmtId="0" fontId="7" fillId="34" borderId="0" xfId="0" applyFont="1" applyFill="1"/>
    <xf numFmtId="0" fontId="7" fillId="0" borderId="0" xfId="0" applyFont="1" applyAlignment="1">
      <alignment horizontal="right"/>
    </xf>
    <xf numFmtId="2" fontId="24" fillId="27" borderId="128" xfId="31331" applyNumberFormat="1" applyAlignment="1">
      <alignment horizontal="center"/>
      <protection locked="0"/>
    </xf>
    <xf numFmtId="0" fontId="0" fillId="25" borderId="143" xfId="0" applyFill="1" applyBorder="1"/>
    <xf numFmtId="0" fontId="7" fillId="25" borderId="143" xfId="0" applyFont="1" applyFill="1" applyBorder="1"/>
    <xf numFmtId="0" fontId="31" fillId="0" borderId="74" xfId="0" applyFont="1" applyBorder="1"/>
    <xf numFmtId="0" fontId="24" fillId="0" borderId="74" xfId="0" applyFont="1" applyBorder="1"/>
    <xf numFmtId="42" fontId="27" fillId="0" borderId="142" xfId="0" applyNumberFormat="1" applyFont="1" applyBorder="1"/>
    <xf numFmtId="2" fontId="24" fillId="28" borderId="127" xfId="67" applyNumberFormat="1" applyFont="1" applyBorder="1" applyAlignment="1" applyProtection="1">
      <alignment horizontal="center"/>
    </xf>
    <xf numFmtId="0" fontId="27" fillId="0" borderId="74" xfId="0" applyFont="1" applyBorder="1" applyAlignment="1">
      <alignment horizontal="right"/>
    </xf>
    <xf numFmtId="42" fontId="24" fillId="0" borderId="74" xfId="0" applyNumberFormat="1" applyFont="1" applyBorder="1"/>
    <xf numFmtId="0" fontId="0" fillId="0" borderId="74" xfId="0" applyBorder="1"/>
    <xf numFmtId="2" fontId="7" fillId="0" borderId="143" xfId="0" applyNumberFormat="1" applyFont="1" applyBorder="1" applyAlignment="1">
      <alignment horizontal="center" vertical="center"/>
    </xf>
    <xf numFmtId="0" fontId="7" fillId="0" borderId="143" xfId="0" applyFont="1" applyBorder="1"/>
    <xf numFmtId="169" fontId="24" fillId="25" borderId="144" xfId="38" applyNumberFormat="1" applyFont="1" applyFill="1" applyBorder="1" applyAlignment="1" applyProtection="1">
      <alignment horizontal="left"/>
    </xf>
    <xf numFmtId="37" fontId="24" fillId="22" borderId="144" xfId="94" applyFill="1" applyBorder="1" applyProtection="1">
      <alignment horizontal="center"/>
      <protection locked="0"/>
    </xf>
    <xf numFmtId="42" fontId="24" fillId="22" borderId="145" xfId="5940" applyFont="1" applyFill="1" applyBorder="1" applyAlignment="1" applyProtection="1">
      <alignment horizontal="left"/>
      <protection locked="0"/>
    </xf>
    <xf numFmtId="37" fontId="24" fillId="22" borderId="144" xfId="35" applyFill="1" applyBorder="1" applyProtection="1">
      <alignment horizontal="center"/>
      <protection locked="0"/>
    </xf>
    <xf numFmtId="42" fontId="24" fillId="22" borderId="145" xfId="39" applyFont="1" applyFill="1" applyBorder="1" applyAlignment="1" applyProtection="1">
      <alignment horizontal="left"/>
      <protection locked="0"/>
    </xf>
    <xf numFmtId="42" fontId="24" fillId="22" borderId="145" xfId="38" applyFont="1" applyFill="1" applyBorder="1" applyAlignment="1" applyProtection="1">
      <alignment horizontal="left"/>
      <protection locked="0"/>
    </xf>
    <xf numFmtId="37" fontId="24" fillId="0" borderId="146" xfId="0" applyNumberFormat="1" applyFont="1" applyBorder="1"/>
    <xf numFmtId="2" fontId="24" fillId="27" borderId="147" xfId="59" applyNumberFormat="1" applyBorder="1" applyAlignment="1">
      <alignment horizontal="center"/>
      <protection locked="0"/>
    </xf>
    <xf numFmtId="37" fontId="24" fillId="22" borderId="148" xfId="35" applyFill="1" applyBorder="1" applyProtection="1">
      <alignment horizontal="center"/>
      <protection locked="0"/>
    </xf>
    <xf numFmtId="42" fontId="24" fillId="22" borderId="146" xfId="38" applyFont="1" applyFill="1" applyBorder="1" applyAlignment="1" applyProtection="1">
      <alignment horizontal="left"/>
      <protection locked="0"/>
    </xf>
    <xf numFmtId="42" fontId="24" fillId="22" borderId="147" xfId="38" applyFont="1" applyFill="1" applyBorder="1" applyAlignment="1" applyProtection="1">
      <alignment horizontal="left"/>
      <protection locked="0"/>
    </xf>
    <xf numFmtId="0" fontId="27" fillId="0" borderId="145" xfId="53" applyBorder="1" applyAlignment="1">
      <alignment horizontal="center" vertical="center" wrapText="1"/>
    </xf>
    <xf numFmtId="0" fontId="27" fillId="0" borderId="144" xfId="53" applyBorder="1" applyAlignment="1">
      <alignment horizontal="center" vertical="center" wrapText="1"/>
    </xf>
    <xf numFmtId="37" fontId="24" fillId="27" borderId="145" xfId="79" applyBorder="1" applyProtection="1">
      <alignment horizontal="center"/>
      <protection locked="0"/>
    </xf>
    <xf numFmtId="42" fontId="24" fillId="27" borderId="144" xfId="39" applyFont="1" applyFill="1" applyBorder="1" applyAlignment="1" applyProtection="1">
      <alignment horizontal="left"/>
      <protection locked="0"/>
    </xf>
    <xf numFmtId="42" fontId="24" fillId="27" borderId="145" xfId="39" applyFont="1" applyFill="1" applyBorder="1" applyAlignment="1" applyProtection="1">
      <alignment horizontal="left"/>
      <protection locked="0"/>
    </xf>
    <xf numFmtId="37" fontId="24" fillId="27" borderId="146" xfId="79" applyBorder="1" applyProtection="1">
      <alignment horizontal="center"/>
      <protection locked="0"/>
    </xf>
    <xf numFmtId="42" fontId="24" fillId="27" borderId="148" xfId="39" applyFont="1" applyFill="1" applyBorder="1" applyAlignment="1" applyProtection="1">
      <alignment horizontal="left"/>
      <protection locked="0"/>
    </xf>
    <xf numFmtId="42" fontId="24" fillId="27" borderId="146" xfId="39" applyFont="1" applyFill="1" applyBorder="1" applyAlignment="1" applyProtection="1">
      <alignment horizontal="left"/>
      <protection locked="0"/>
    </xf>
    <xf numFmtId="0" fontId="27" fillId="0" borderId="145" xfId="51" applyFont="1" applyBorder="1" applyAlignment="1">
      <alignment horizontal="center" wrapText="1"/>
    </xf>
    <xf numFmtId="0" fontId="27" fillId="0" borderId="144" xfId="51" applyFont="1" applyBorder="1" applyAlignment="1">
      <alignment horizontal="center" wrapText="1"/>
    </xf>
    <xf numFmtId="42" fontId="24" fillId="22" borderId="145" xfId="5941" applyFont="1" applyFill="1" applyBorder="1" applyAlignment="1" applyProtection="1">
      <alignment horizontal="left"/>
      <protection locked="0"/>
    </xf>
    <xf numFmtId="2" fontId="24" fillId="27" borderId="144" xfId="59" applyNumberFormat="1" applyBorder="1" applyAlignment="1">
      <alignment horizontal="center"/>
      <protection locked="0"/>
    </xf>
    <xf numFmtId="0" fontId="27" fillId="25" borderId="146" xfId="53" applyFill="1" applyBorder="1" applyAlignment="1">
      <alignment horizontal="center"/>
    </xf>
    <xf numFmtId="0" fontId="27" fillId="25" borderId="148" xfId="53" applyFill="1" applyBorder="1" applyAlignment="1">
      <alignment horizontal="center"/>
    </xf>
    <xf numFmtId="42" fontId="24" fillId="22" borderId="144" xfId="38" applyFont="1" applyFill="1" applyBorder="1" applyAlignment="1" applyProtection="1">
      <alignment horizontal="left"/>
      <protection locked="0"/>
    </xf>
    <xf numFmtId="37" fontId="24" fillId="22" borderId="145" xfId="35" applyFill="1" applyBorder="1" applyProtection="1">
      <alignment horizontal="center"/>
      <protection locked="0"/>
    </xf>
    <xf numFmtId="37" fontId="24" fillId="22" borderId="146" xfId="35" applyFill="1" applyBorder="1" applyProtection="1">
      <alignment horizontal="center"/>
      <protection locked="0"/>
    </xf>
    <xf numFmtId="37" fontId="7" fillId="0" borderId="146" xfId="31" applyNumberFormat="1" applyFont="1" applyBorder="1" applyAlignment="1">
      <alignment horizontal="center" vertical="center"/>
    </xf>
    <xf numFmtId="37" fontId="7" fillId="0" borderId="148" xfId="31" applyNumberFormat="1" applyFont="1" applyBorder="1" applyAlignment="1">
      <alignment horizontal="center" vertical="center"/>
    </xf>
    <xf numFmtId="42" fontId="7" fillId="0" borderId="146" xfId="69" applyNumberFormat="1" applyFont="1" applyBorder="1" applyAlignment="1">
      <alignment horizontal="center" vertical="center"/>
    </xf>
    <xf numFmtId="42" fontId="7" fillId="0" borderId="147" xfId="69" applyNumberFormat="1" applyFont="1" applyBorder="1" applyAlignment="1">
      <alignment horizontal="center" vertical="center"/>
    </xf>
    <xf numFmtId="42" fontId="7" fillId="0" borderId="149" xfId="69" applyNumberFormat="1" applyFont="1" applyBorder="1" applyAlignment="1">
      <alignment horizontal="center" vertical="center"/>
    </xf>
    <xf numFmtId="42" fontId="7" fillId="0" borderId="150" xfId="69" applyNumberFormat="1" applyFont="1" applyBorder="1" applyAlignment="1">
      <alignment horizontal="center" vertical="center"/>
    </xf>
    <xf numFmtId="2" fontId="7" fillId="0" borderId="147" xfId="0" applyNumberFormat="1" applyFont="1" applyBorder="1" applyAlignment="1">
      <alignment horizontal="center" vertical="center"/>
    </xf>
    <xf numFmtId="10" fontId="7" fillId="0" borderId="146" xfId="69" applyNumberFormat="1" applyFont="1" applyBorder="1" applyAlignment="1">
      <alignment horizontal="center" vertical="center"/>
    </xf>
    <xf numFmtId="10" fontId="7" fillId="0" borderId="147" xfId="69" applyNumberFormat="1" applyFont="1" applyBorder="1" applyAlignment="1">
      <alignment horizontal="center" vertical="center"/>
    </xf>
    <xf numFmtId="9" fontId="7" fillId="0" borderId="148" xfId="69" applyFont="1" applyBorder="1" applyAlignment="1">
      <alignment horizontal="center" vertical="center"/>
    </xf>
    <xf numFmtId="41" fontId="42" fillId="0" borderId="145" xfId="31" applyFont="1" applyBorder="1"/>
    <xf numFmtId="41" fontId="42" fillId="0" borderId="144" xfId="31" applyFont="1" applyBorder="1"/>
    <xf numFmtId="9" fontId="42" fillId="0" borderId="151" xfId="69" applyFont="1" applyBorder="1" applyAlignment="1">
      <alignment horizontal="center"/>
    </xf>
    <xf numFmtId="41" fontId="42" fillId="0" borderId="151" xfId="31" applyFont="1" applyBorder="1"/>
    <xf numFmtId="9" fontId="42" fillId="0" borderId="152" xfId="69" applyFont="1" applyBorder="1" applyAlignment="1">
      <alignment horizontal="center"/>
    </xf>
    <xf numFmtId="41" fontId="42" fillId="0" borderId="152" xfId="31" applyFont="1" applyBorder="1"/>
    <xf numFmtId="9" fontId="42" fillId="0" borderId="153" xfId="69" applyFont="1" applyBorder="1" applyAlignment="1">
      <alignment horizontal="center"/>
    </xf>
    <xf numFmtId="0" fontId="7" fillId="0" borderId="151" xfId="0" applyFont="1" applyBorder="1" applyAlignment="1">
      <alignment horizontal="center"/>
    </xf>
    <xf numFmtId="42" fontId="42" fillId="0" borderId="154" xfId="69" applyNumberFormat="1" applyFont="1" applyBorder="1" applyAlignment="1">
      <alignment horizontal="center"/>
    </xf>
    <xf numFmtId="171" fontId="42" fillId="0" borderId="145" xfId="69" applyNumberFormat="1" applyFont="1" applyBorder="1" applyAlignment="1">
      <alignment horizontal="center"/>
    </xf>
    <xf numFmtId="165" fontId="42" fillId="0" borderId="144" xfId="31" applyNumberFormat="1" applyFont="1" applyBorder="1" applyAlignment="1">
      <alignment horizontal="center"/>
    </xf>
    <xf numFmtId="41" fontId="42" fillId="0" borderId="154" xfId="31" applyFont="1" applyBorder="1" applyAlignment="1">
      <alignment horizontal="center"/>
    </xf>
    <xf numFmtId="41" fontId="42" fillId="0" borderId="145" xfId="31" applyFont="1" applyBorder="1" applyAlignment="1">
      <alignment horizontal="center"/>
    </xf>
    <xf numFmtId="10" fontId="42" fillId="0" borderId="144" xfId="31" applyNumberFormat="1" applyFont="1" applyBorder="1" applyAlignment="1">
      <alignment horizontal="center"/>
    </xf>
    <xf numFmtId="42" fontId="42" fillId="0" borderId="150" xfId="69" applyNumberFormat="1" applyFont="1" applyBorder="1" applyAlignment="1">
      <alignment horizontal="center"/>
    </xf>
    <xf numFmtId="171" fontId="42" fillId="0" borderId="146" xfId="69" applyNumberFormat="1" applyFont="1" applyBorder="1" applyAlignment="1">
      <alignment horizontal="center"/>
    </xf>
    <xf numFmtId="165" fontId="42" fillId="0" borderId="148" xfId="31" applyNumberFormat="1" applyFont="1" applyBorder="1" applyAlignment="1">
      <alignment horizontal="center"/>
    </xf>
    <xf numFmtId="171" fontId="42" fillId="0" borderId="155" xfId="69" applyNumberFormat="1" applyFont="1" applyBorder="1" applyAlignment="1">
      <alignment horizontal="center"/>
    </xf>
    <xf numFmtId="41" fontId="42" fillId="0" borderId="150" xfId="31" applyFont="1" applyBorder="1" applyAlignment="1">
      <alignment horizontal="center"/>
    </xf>
    <xf numFmtId="10" fontId="42" fillId="0" borderId="148" xfId="31" applyNumberFormat="1" applyFont="1" applyBorder="1" applyAlignment="1">
      <alignment horizontal="center"/>
    </xf>
    <xf numFmtId="0" fontId="32" fillId="0" borderId="155" xfId="0" applyFont="1" applyBorder="1" applyAlignment="1">
      <alignment horizontal="center" wrapText="1"/>
    </xf>
    <xf numFmtId="0" fontId="32" fillId="0" borderId="147" xfId="0" applyFont="1" applyBorder="1" applyAlignment="1">
      <alignment horizontal="center" wrapText="1"/>
    </xf>
    <xf numFmtId="0" fontId="32" fillId="0" borderId="148" xfId="0" applyFont="1" applyBorder="1" applyAlignment="1">
      <alignment horizontal="center" wrapText="1"/>
    </xf>
    <xf numFmtId="0" fontId="32" fillId="0" borderId="146" xfId="0" applyFont="1" applyBorder="1" applyAlignment="1">
      <alignment horizontal="center" wrapText="1"/>
    </xf>
    <xf numFmtId="42" fontId="42" fillId="0" borderId="151" xfId="0" applyNumberFormat="1" applyFont="1" applyBorder="1"/>
    <xf numFmtId="9" fontId="44" fillId="0" borderId="144" xfId="69" applyFont="1" applyBorder="1" applyAlignment="1">
      <alignment horizontal="center"/>
    </xf>
    <xf numFmtId="37" fontId="42" fillId="0" borderId="145" xfId="31" applyNumberFormat="1" applyFont="1" applyBorder="1" applyAlignment="1">
      <alignment horizontal="center" vertical="center"/>
    </xf>
    <xf numFmtId="42" fontId="42" fillId="0" borderId="152" xfId="0" applyNumberFormat="1" applyFont="1" applyBorder="1" applyAlignment="1">
      <alignment horizontal="left" indent="1"/>
    </xf>
    <xf numFmtId="42" fontId="42" fillId="0" borderId="152" xfId="0" applyNumberFormat="1" applyFont="1" applyBorder="1"/>
    <xf numFmtId="42" fontId="42" fillId="0" borderId="145" xfId="0" applyNumberFormat="1" applyFont="1" applyBorder="1"/>
    <xf numFmtId="39" fontId="42" fillId="0" borderId="151" xfId="0" applyNumberFormat="1" applyFont="1" applyBorder="1" applyAlignment="1">
      <alignment horizontal="center"/>
    </xf>
    <xf numFmtId="42" fontId="42" fillId="0" borderId="154" xfId="0" applyNumberFormat="1" applyFont="1" applyBorder="1"/>
    <xf numFmtId="42" fontId="42" fillId="0" borderId="150" xfId="0" applyNumberFormat="1" applyFont="1" applyBorder="1"/>
    <xf numFmtId="0" fontId="24" fillId="0" borderId="152" xfId="0" applyFont="1" applyBorder="1" applyAlignment="1">
      <alignment horizontal="center"/>
    </xf>
    <xf numFmtId="37" fontId="24" fillId="0" borderId="146" xfId="35" applyFill="1" applyBorder="1" applyProtection="1">
      <alignment horizontal="center"/>
      <protection locked="0"/>
    </xf>
    <xf numFmtId="37" fontId="24" fillId="0" borderId="152" xfId="35" applyFill="1" applyBorder="1" applyProtection="1">
      <alignment horizontal="center"/>
      <protection locked="0"/>
    </xf>
    <xf numFmtId="42" fontId="24" fillId="0" borderId="152" xfId="39" applyFont="1" applyFill="1" applyBorder="1" applyAlignment="1" applyProtection="1">
      <alignment horizontal="left"/>
      <protection locked="0"/>
    </xf>
    <xf numFmtId="42" fontId="24" fillId="0" borderId="146" xfId="39" applyFont="1" applyFill="1" applyBorder="1" applyAlignment="1" applyProtection="1">
      <alignment horizontal="left"/>
      <protection locked="0"/>
    </xf>
    <xf numFmtId="42" fontId="24" fillId="0" borderId="155" xfId="39" applyFont="1" applyFill="1" applyBorder="1" applyAlignment="1" applyProtection="1">
      <alignment horizontal="left"/>
      <protection locked="0"/>
    </xf>
    <xf numFmtId="0" fontId="27" fillId="0" borderId="151" xfId="0" applyFont="1" applyBorder="1" applyAlignment="1">
      <alignment horizontal="center"/>
    </xf>
    <xf numFmtId="0" fontId="24" fillId="0" borderId="154" xfId="0" applyFont="1" applyBorder="1"/>
    <xf numFmtId="0" fontId="27" fillId="0" borderId="152" xfId="0" applyFont="1" applyBorder="1" applyAlignment="1">
      <alignment horizontal="center"/>
    </xf>
    <xf numFmtId="0" fontId="24" fillId="0" borderId="150" xfId="0" applyFont="1" applyBorder="1"/>
    <xf numFmtId="0" fontId="24" fillId="0" borderId="156" xfId="0" applyFont="1" applyBorder="1"/>
    <xf numFmtId="0" fontId="24" fillId="0" borderId="153" xfId="0" applyFont="1" applyBorder="1"/>
    <xf numFmtId="42" fontId="24" fillId="0" borderId="145" xfId="38" applyFont="1" applyFill="1" applyBorder="1" applyAlignment="1" applyProtection="1">
      <alignment horizontal="left"/>
      <protection locked="0"/>
    </xf>
    <xf numFmtId="42" fontId="24" fillId="0" borderId="144" xfId="38" applyFont="1" applyFill="1" applyBorder="1" applyAlignment="1" applyProtection="1">
      <alignment horizontal="left"/>
      <protection locked="0"/>
    </xf>
    <xf numFmtId="37" fontId="24" fillId="0" borderId="145" xfId="35" applyFill="1" applyBorder="1" applyProtection="1">
      <alignment horizontal="center"/>
      <protection locked="0"/>
    </xf>
    <xf numFmtId="37" fontId="24" fillId="0" borderId="144" xfId="35" applyFill="1" applyBorder="1" applyProtection="1">
      <alignment horizontal="center"/>
      <protection locked="0"/>
    </xf>
    <xf numFmtId="37" fontId="24" fillId="0" borderId="149" xfId="35" applyFill="1" applyBorder="1" applyProtection="1">
      <alignment horizontal="center"/>
      <protection locked="0"/>
    </xf>
    <xf numFmtId="37" fontId="24" fillId="0" borderId="148" xfId="35" applyFill="1" applyBorder="1" applyProtection="1">
      <alignment horizontal="center"/>
      <protection locked="0"/>
    </xf>
    <xf numFmtId="42" fontId="24" fillId="0" borderId="146" xfId="38" applyFont="1" applyFill="1" applyBorder="1" applyAlignment="1" applyProtection="1">
      <alignment horizontal="left"/>
      <protection locked="0"/>
    </xf>
    <xf numFmtId="42" fontId="24" fillId="0" borderId="149" xfId="38" applyFont="1" applyFill="1" applyBorder="1" applyAlignment="1" applyProtection="1">
      <alignment horizontal="left"/>
      <protection locked="0"/>
    </xf>
    <xf numFmtId="42" fontId="24" fillId="0" borderId="148" xfId="38" applyFont="1" applyFill="1" applyBorder="1" applyAlignment="1" applyProtection="1">
      <alignment horizontal="left"/>
      <protection locked="0"/>
    </xf>
    <xf numFmtId="37" fontId="24" fillId="0" borderId="145" xfId="0" applyNumberFormat="1" applyFont="1" applyBorder="1"/>
    <xf numFmtId="42" fontId="24" fillId="22" borderId="157" xfId="39" applyFont="1" applyFill="1" applyBorder="1" applyAlignment="1" applyProtection="1">
      <alignment horizontal="left"/>
      <protection locked="0"/>
    </xf>
    <xf numFmtId="42" fontId="24" fillId="22" borderId="157" xfId="38" applyFont="1" applyFill="1" applyBorder="1" applyAlignment="1" applyProtection="1">
      <alignment horizontal="left"/>
      <protection locked="0"/>
    </xf>
    <xf numFmtId="2" fontId="24" fillId="28" borderId="158" xfId="67" applyNumberFormat="1" applyFont="1" applyBorder="1" applyAlignment="1" applyProtection="1">
      <alignment horizontal="center"/>
    </xf>
    <xf numFmtId="0" fontId="27" fillId="0" borderId="157" xfId="53" applyFill="1" applyBorder="1">
      <alignment horizontal="left"/>
    </xf>
    <xf numFmtId="0" fontId="27" fillId="0" borderId="157" xfId="53" applyFill="1" applyBorder="1" applyAlignment="1" applyProtection="1">
      <alignment horizontal="center"/>
      <protection locked="0"/>
    </xf>
    <xf numFmtId="0" fontId="24" fillId="27" borderId="157" xfId="59" applyBorder="1">
      <alignment horizontal="left"/>
      <protection locked="0"/>
    </xf>
    <xf numFmtId="42" fontId="24" fillId="22" borderId="162" xfId="38" applyFont="1" applyFill="1" applyBorder="1" applyAlignment="1" applyProtection="1">
      <alignment horizontal="left"/>
      <protection locked="0"/>
    </xf>
    <xf numFmtId="0" fontId="24" fillId="0" borderId="159" xfId="0" applyFont="1" applyBorder="1"/>
    <xf numFmtId="0" fontId="24" fillId="0" borderId="160" xfId="0" applyFont="1" applyBorder="1"/>
    <xf numFmtId="0" fontId="24" fillId="0" borderId="161" xfId="0" applyFont="1" applyBorder="1"/>
    <xf numFmtId="37" fontId="24" fillId="22" borderId="157" xfId="35" applyFill="1" applyBorder="1" applyProtection="1">
      <alignment horizontal="center"/>
      <protection locked="0"/>
    </xf>
    <xf numFmtId="0" fontId="30" fillId="0" borderId="142" xfId="0" applyFont="1" applyBorder="1"/>
    <xf numFmtId="5" fontId="30" fillId="0" borderId="142" xfId="0" applyNumberFormat="1" applyFont="1" applyBorder="1" applyAlignment="1">
      <alignment horizontal="center"/>
    </xf>
    <xf numFmtId="0" fontId="27" fillId="25" borderId="162" xfId="53" applyFill="1" applyBorder="1" applyAlignment="1">
      <alignment horizontal="center"/>
    </xf>
    <xf numFmtId="0" fontId="26" fillId="0" borderId="157" xfId="51" applyFill="1" applyBorder="1">
      <alignment horizontal="left"/>
    </xf>
    <xf numFmtId="0" fontId="27" fillId="0" borderId="157" xfId="53" applyFill="1" applyBorder="1" applyAlignment="1">
      <alignment horizontal="left" vertical="top"/>
    </xf>
    <xf numFmtId="0" fontId="27" fillId="0" borderId="157" xfId="53" applyFill="1" applyBorder="1" applyAlignment="1">
      <alignment horizontal="left" vertical="top" wrapText="1"/>
    </xf>
    <xf numFmtId="0" fontId="32" fillId="0" borderId="157" xfId="0" applyFont="1" applyBorder="1"/>
    <xf numFmtId="0" fontId="32" fillId="0" borderId="157" xfId="0" applyFont="1" applyBorder="1" applyAlignment="1">
      <alignment horizontal="center" wrapText="1"/>
    </xf>
    <xf numFmtId="0" fontId="0" fillId="0" borderId="157" xfId="0" applyBorder="1"/>
    <xf numFmtId="42" fontId="0" fillId="0" borderId="157" xfId="0" applyNumberFormat="1" applyBorder="1"/>
    <xf numFmtId="42" fontId="0" fillId="25" borderId="157" xfId="0" applyNumberFormat="1" applyFill="1" applyBorder="1"/>
    <xf numFmtId="37" fontId="0" fillId="0" borderId="157" xfId="0" applyNumberFormat="1" applyBorder="1"/>
    <xf numFmtId="168" fontId="0" fillId="0" borderId="157" xfId="0" applyNumberFormat="1" applyBorder="1"/>
    <xf numFmtId="170" fontId="0" fillId="0" borderId="157" xfId="0" applyNumberFormat="1" applyBorder="1"/>
    <xf numFmtId="0" fontId="32" fillId="0" borderId="157" xfId="0" applyFont="1" applyBorder="1" applyAlignment="1">
      <alignment horizontal="center"/>
    </xf>
    <xf numFmtId="0" fontId="0" fillId="0" borderId="157" xfId="0" applyBorder="1" applyAlignment="1">
      <alignment horizontal="center"/>
    </xf>
    <xf numFmtId="42" fontId="0" fillId="0" borderId="157" xfId="0" applyNumberFormat="1" applyBorder="1" applyAlignment="1">
      <alignment horizontal="center"/>
    </xf>
    <xf numFmtId="39" fontId="0" fillId="0" borderId="157" xfId="0" applyNumberFormat="1" applyBorder="1"/>
    <xf numFmtId="0" fontId="7" fillId="0" borderId="157" xfId="0" applyFont="1" applyBorder="1"/>
    <xf numFmtId="0" fontId="7" fillId="0" borderId="161" xfId="0" applyFont="1" applyBorder="1"/>
    <xf numFmtId="42" fontId="0" fillId="0" borderId="159" xfId="0" applyNumberFormat="1" applyBorder="1" applyAlignment="1">
      <alignment horizontal="center"/>
    </xf>
    <xf numFmtId="9" fontId="42" fillId="0" borderId="163" xfId="69" applyFont="1" applyBorder="1" applyAlignment="1">
      <alignment horizontal="center"/>
    </xf>
    <xf numFmtId="0" fontId="27" fillId="0" borderId="162" xfId="53" applyBorder="1" applyAlignment="1">
      <alignment horizontal="center" wrapText="1"/>
    </xf>
    <xf numFmtId="171" fontId="42" fillId="0" borderId="161" xfId="69" applyNumberFormat="1" applyFont="1" applyBorder="1" applyAlignment="1">
      <alignment horizontal="center"/>
    </xf>
    <xf numFmtId="41" fontId="42" fillId="0" borderId="161" xfId="31" applyFont="1" applyBorder="1" applyAlignment="1">
      <alignment horizontal="center"/>
    </xf>
    <xf numFmtId="0" fontId="32" fillId="25" borderId="157" xfId="0" applyFont="1" applyFill="1" applyBorder="1" applyAlignment="1">
      <alignment vertical="center"/>
    </xf>
    <xf numFmtId="0" fontId="32" fillId="25" borderId="157" xfId="0" applyFont="1" applyFill="1" applyBorder="1" applyAlignment="1">
      <alignment horizontal="center" wrapText="1"/>
    </xf>
    <xf numFmtId="42" fontId="42" fillId="0" borderId="157" xfId="0" applyNumberFormat="1" applyFont="1" applyBorder="1" applyAlignment="1">
      <alignment vertical="center"/>
    </xf>
    <xf numFmtId="9" fontId="44" fillId="0" borderId="157" xfId="69" applyFont="1" applyBorder="1" applyAlignment="1">
      <alignment horizontal="center" vertical="center"/>
    </xf>
    <xf numFmtId="37" fontId="42" fillId="0" borderId="157" xfId="31" applyNumberFormat="1" applyFont="1" applyBorder="1" applyAlignment="1">
      <alignment horizontal="center" vertical="center"/>
    </xf>
    <xf numFmtId="42" fontId="41" fillId="0" borderId="157" xfId="0" applyNumberFormat="1" applyFont="1" applyBorder="1" applyAlignment="1">
      <alignment vertical="center"/>
    </xf>
    <xf numFmtId="9" fontId="43" fillId="0" borderId="157" xfId="69" applyFont="1" applyBorder="1" applyAlignment="1">
      <alignment horizontal="center" vertical="center"/>
    </xf>
    <xf numFmtId="37" fontId="41" fillId="0" borderId="157" xfId="31" applyNumberFormat="1" applyFont="1" applyBorder="1" applyAlignment="1">
      <alignment horizontal="center" vertical="center"/>
    </xf>
    <xf numFmtId="42" fontId="42" fillId="0" borderId="161" xfId="0" applyNumberFormat="1" applyFont="1" applyBorder="1"/>
    <xf numFmtId="42" fontId="42" fillId="0" borderId="157" xfId="0" applyNumberFormat="1" applyFont="1" applyBorder="1"/>
    <xf numFmtId="39" fontId="42" fillId="0" borderId="163" xfId="0" applyNumberFormat="1" applyFont="1" applyBorder="1" applyAlignment="1">
      <alignment horizontal="center"/>
    </xf>
    <xf numFmtId="37" fontId="42" fillId="0" borderId="162" xfId="31" applyNumberFormat="1" applyFont="1" applyBorder="1" applyAlignment="1">
      <alignment horizontal="center" vertical="center"/>
    </xf>
    <xf numFmtId="39" fontId="42" fillId="0" borderId="165" xfId="0" applyNumberFormat="1" applyFont="1" applyBorder="1" applyAlignment="1">
      <alignment horizontal="center"/>
    </xf>
    <xf numFmtId="0" fontId="32" fillId="0" borderId="162" xfId="0" applyFont="1" applyBorder="1" applyAlignment="1">
      <alignment horizontal="center" wrapText="1"/>
    </xf>
    <xf numFmtId="42" fontId="42" fillId="0" borderId="162" xfId="0" applyNumberFormat="1" applyFont="1" applyBorder="1"/>
    <xf numFmtId="39" fontId="42" fillId="0" borderId="166" xfId="0" applyNumberFormat="1" applyFont="1" applyBorder="1" applyAlignment="1">
      <alignment horizontal="center"/>
    </xf>
    <xf numFmtId="0" fontId="27" fillId="0" borderId="166" xfId="0" applyFont="1" applyBorder="1" applyAlignment="1">
      <alignment horizontal="center" vertical="center" wrapText="1"/>
    </xf>
    <xf numFmtId="0" fontId="27" fillId="0" borderId="162" xfId="53" applyBorder="1" applyAlignment="1">
      <alignment horizontal="center" vertical="center" wrapText="1"/>
    </xf>
    <xf numFmtId="0" fontId="27" fillId="0" borderId="166" xfId="53" applyBorder="1" applyAlignment="1">
      <alignment horizontal="center" vertical="center" wrapText="1"/>
    </xf>
    <xf numFmtId="0" fontId="27" fillId="0" borderId="164" xfId="53" applyBorder="1" applyAlignment="1">
      <alignment horizontal="center" vertical="center" wrapText="1"/>
    </xf>
    <xf numFmtId="0" fontId="24" fillId="0" borderId="163" xfId="0" applyFont="1" applyBorder="1"/>
    <xf numFmtId="0" fontId="42" fillId="0" borderId="157" xfId="0" applyFont="1" applyBorder="1"/>
    <xf numFmtId="168" fontId="42" fillId="0" borderId="157" xfId="31" applyNumberFormat="1" applyFont="1" applyBorder="1" applyAlignment="1">
      <alignment horizontal="center" vertical="center"/>
    </xf>
    <xf numFmtId="170" fontId="42" fillId="0" borderId="157" xfId="0" applyNumberFormat="1" applyFont="1" applyBorder="1"/>
    <xf numFmtId="42" fontId="24" fillId="0" borderId="159" xfId="38" applyFont="1" applyFill="1" applyBorder="1" applyAlignment="1" applyProtection="1">
      <alignment horizontal="left"/>
      <protection locked="0"/>
    </xf>
    <xf numFmtId="37" fontId="24" fillId="0" borderId="159" xfId="35" applyFill="1" applyBorder="1" applyProtection="1">
      <alignment horizontal="center"/>
      <protection locked="0"/>
    </xf>
    <xf numFmtId="42" fontId="24" fillId="0" borderId="157" xfId="38" applyFont="1" applyFill="1" applyBorder="1" applyAlignment="1" applyProtection="1">
      <alignment horizontal="left"/>
      <protection locked="0"/>
    </xf>
    <xf numFmtId="37" fontId="24" fillId="0" borderId="157" xfId="35" applyFill="1" applyBorder="1" applyProtection="1">
      <alignment horizontal="center"/>
      <protection locked="0"/>
    </xf>
    <xf numFmtId="0" fontId="0" fillId="0" borderId="159" xfId="0" applyBorder="1"/>
    <xf numFmtId="0" fontId="0" fillId="0" borderId="160" xfId="0" applyBorder="1"/>
    <xf numFmtId="0" fontId="0" fillId="0" borderId="161" xfId="0" applyBorder="1"/>
    <xf numFmtId="0" fontId="67" fillId="34" borderId="157" xfId="77" applyFont="1" applyFill="1" applyBorder="1" applyAlignment="1">
      <alignment horizontal="center"/>
    </xf>
    <xf numFmtId="0" fontId="70" fillId="34" borderId="157" xfId="77" quotePrefix="1" applyFont="1" applyFill="1" applyBorder="1" applyAlignment="1">
      <alignment horizontal="center"/>
    </xf>
    <xf numFmtId="0" fontId="67" fillId="0" borderId="157" xfId="77" applyFont="1" applyFill="1" applyBorder="1" applyAlignment="1">
      <alignment horizontal="center"/>
    </xf>
    <xf numFmtId="0" fontId="25" fillId="34" borderId="157" xfId="77" quotePrefix="1" applyFill="1" applyBorder="1" applyAlignment="1">
      <alignment horizontal="center" vertical="center"/>
    </xf>
    <xf numFmtId="0" fontId="70" fillId="0" borderId="157" xfId="77" quotePrefix="1" applyFont="1" applyFill="1" applyBorder="1" applyAlignment="1">
      <alignment horizontal="center"/>
    </xf>
    <xf numFmtId="0" fontId="71" fillId="34" borderId="157" xfId="77" quotePrefix="1" applyFont="1" applyFill="1" applyBorder="1" applyAlignment="1">
      <alignment horizontal="center"/>
    </xf>
    <xf numFmtId="0" fontId="7" fillId="0" borderId="157" xfId="0" applyFont="1" applyBorder="1" applyAlignment="1">
      <alignment horizontal="center" wrapText="1"/>
    </xf>
    <xf numFmtId="10" fontId="0" fillId="0" borderId="157" xfId="0" applyNumberFormat="1" applyBorder="1" applyAlignment="1">
      <alignment horizontal="center"/>
    </xf>
    <xf numFmtId="0" fontId="7" fillId="0" borderId="157" xfId="0" applyFont="1" applyBorder="1" applyAlignment="1">
      <alignment horizontal="center"/>
    </xf>
    <xf numFmtId="0" fontId="24" fillId="25" borderId="164" xfId="0" applyFont="1" applyFill="1" applyBorder="1" applyAlignment="1">
      <alignment horizontal="center" vertical="center" wrapText="1"/>
    </xf>
    <xf numFmtId="0" fontId="24" fillId="25" borderId="165" xfId="0" applyFont="1" applyFill="1" applyBorder="1" applyAlignment="1">
      <alignment horizontal="center" vertical="center" wrapText="1"/>
    </xf>
    <xf numFmtId="0" fontId="24" fillId="32" borderId="157" xfId="59" applyFill="1" applyBorder="1">
      <alignment horizontal="left"/>
      <protection locked="0"/>
    </xf>
    <xf numFmtId="0" fontId="59" fillId="27" borderId="159" xfId="59" applyFont="1" applyBorder="1" applyAlignment="1" applyProtection="1">
      <alignment horizontal="left" indent="1"/>
      <protection hidden="1"/>
    </xf>
    <xf numFmtId="0" fontId="24" fillId="0" borderId="157" xfId="0" applyFont="1" applyBorder="1" applyAlignment="1">
      <alignment horizontal="center" textRotation="90"/>
    </xf>
    <xf numFmtId="0" fontId="24" fillId="27" borderId="157" xfId="0" applyFont="1" applyFill="1" applyBorder="1" applyAlignment="1" applyProtection="1">
      <alignment horizontal="center" vertical="center"/>
      <protection locked="0"/>
    </xf>
    <xf numFmtId="167" fontId="24" fillId="0" borderId="157" xfId="76" applyBorder="1"/>
    <xf numFmtId="0" fontId="25" fillId="0" borderId="157" xfId="77" applyFill="1" applyBorder="1">
      <alignment horizontal="left"/>
    </xf>
    <xf numFmtId="173" fontId="24" fillId="22" borderId="157" xfId="39" applyNumberFormat="1" applyFont="1" applyFill="1" applyBorder="1" applyAlignment="1" applyProtection="1">
      <alignment horizontal="left" vertical="center"/>
      <protection locked="0"/>
    </xf>
    <xf numFmtId="42" fontId="24" fillId="0" borderId="157" xfId="0" applyNumberFormat="1" applyFont="1" applyBorder="1" applyAlignment="1">
      <alignment vertical="center"/>
    </xf>
    <xf numFmtId="173" fontId="24" fillId="0" borderId="157" xfId="0" applyNumberFormat="1" applyFont="1" applyBorder="1" applyAlignment="1">
      <alignment vertical="center"/>
    </xf>
    <xf numFmtId="9" fontId="24" fillId="0" borderId="157" xfId="69" applyFont="1" applyBorder="1" applyAlignment="1">
      <alignment horizontal="center" vertical="center"/>
    </xf>
    <xf numFmtId="167" fontId="24" fillId="0" borderId="157" xfId="76" applyBorder="1" applyProtection="1">
      <protection locked="0"/>
    </xf>
    <xf numFmtId="42" fontId="24" fillId="0" borderId="157" xfId="0" applyNumberFormat="1" applyFont="1" applyBorder="1" applyAlignment="1" applyProtection="1">
      <alignment vertical="center"/>
      <protection locked="0"/>
    </xf>
    <xf numFmtId="173" fontId="24" fillId="0" borderId="157" xfId="0" applyNumberFormat="1" applyFont="1" applyBorder="1" applyAlignment="1" applyProtection="1">
      <alignment vertical="center"/>
      <protection locked="0"/>
    </xf>
    <xf numFmtId="9" fontId="24" fillId="0" borderId="157" xfId="69" applyFont="1" applyBorder="1" applyAlignment="1" applyProtection="1">
      <alignment horizontal="center" vertical="center"/>
      <protection locked="0"/>
    </xf>
    <xf numFmtId="42" fontId="24" fillId="22" borderId="157" xfId="39" applyFont="1" applyFill="1" applyBorder="1" applyAlignment="1" applyProtection="1">
      <alignment horizontal="left" vertical="center"/>
      <protection locked="0"/>
    </xf>
    <xf numFmtId="0" fontId="25" fillId="0" borderId="157" xfId="77" applyFill="1" applyBorder="1" applyAlignment="1">
      <alignment horizontal="left" indent="1"/>
    </xf>
    <xf numFmtId="14" fontId="72" fillId="0" borderId="157" xfId="0" applyNumberFormat="1" applyFont="1" applyBorder="1" applyAlignment="1">
      <alignment horizontal="left" vertical="top"/>
    </xf>
    <xf numFmtId="0" fontId="72" fillId="0" borderId="157" xfId="0" applyFont="1" applyBorder="1" applyAlignment="1">
      <alignment horizontal="left" vertical="top"/>
    </xf>
    <xf numFmtId="0" fontId="72" fillId="0" borderId="157" xfId="0" applyFont="1" applyBorder="1" applyAlignment="1">
      <alignment horizontal="right"/>
    </xf>
    <xf numFmtId="0" fontId="72" fillId="0" borderId="157" xfId="0" applyFont="1" applyBorder="1" applyAlignment="1">
      <alignment horizontal="left" indent="1"/>
    </xf>
    <xf numFmtId="14" fontId="75" fillId="0" borderId="157" xfId="0" applyNumberFormat="1" applyFont="1" applyBorder="1" applyAlignment="1">
      <alignment horizontal="left" vertical="top"/>
    </xf>
    <xf numFmtId="0" fontId="75" fillId="0" borderId="157" xfId="0" applyFont="1" applyBorder="1" applyAlignment="1">
      <alignment horizontal="left" vertical="top"/>
    </xf>
    <xf numFmtId="0" fontId="75" fillId="0" borderId="157" xfId="0" applyFont="1" applyBorder="1" applyAlignment="1">
      <alignment horizontal="left" indent="1"/>
    </xf>
    <xf numFmtId="0" fontId="72" fillId="0" borderId="157" xfId="0" applyFont="1" applyBorder="1" applyAlignment="1">
      <alignment horizontal="right" vertical="center"/>
    </xf>
    <xf numFmtId="0" fontId="72" fillId="0" borderId="157" xfId="0" applyFont="1" applyBorder="1" applyAlignment="1">
      <alignment horizontal="left" vertical="center" indent="1"/>
    </xf>
    <xf numFmtId="14" fontId="107" fillId="0" borderId="157" xfId="0" applyNumberFormat="1" applyFont="1" applyBorder="1" applyAlignment="1">
      <alignment horizontal="left" vertical="top"/>
    </xf>
    <xf numFmtId="0" fontId="107" fillId="0" borderId="157" xfId="0" applyFont="1" applyBorder="1" applyAlignment="1">
      <alignment horizontal="left" vertical="top"/>
    </xf>
    <xf numFmtId="0" fontId="75" fillId="0" borderId="157" xfId="0" applyFont="1" applyBorder="1" applyAlignment="1">
      <alignment horizontal="right"/>
    </xf>
    <xf numFmtId="0" fontId="75" fillId="0" borderId="157" xfId="0" applyFont="1" applyBorder="1" applyAlignment="1">
      <alignment horizontal="right" wrapText="1"/>
    </xf>
    <xf numFmtId="14" fontId="72" fillId="0" borderId="157" xfId="0" applyNumberFormat="1" applyFont="1" applyBorder="1" applyAlignment="1">
      <alignment horizontal="left" vertical="top" wrapText="1"/>
    </xf>
    <xf numFmtId="0" fontId="72" fillId="0" borderId="157" xfId="0" applyFont="1" applyBorder="1" applyAlignment="1">
      <alignment horizontal="left" vertical="top" wrapText="1"/>
    </xf>
    <xf numFmtId="0" fontId="72" fillId="0" borderId="157" xfId="0" applyFont="1" applyBorder="1" applyAlignment="1">
      <alignment horizontal="right" vertical="center" wrapText="1"/>
    </xf>
    <xf numFmtId="0" fontId="75" fillId="0" borderId="157" xfId="0" applyFont="1" applyBorder="1" applyAlignment="1">
      <alignment horizontal="right" vertical="center"/>
    </xf>
    <xf numFmtId="0" fontId="108" fillId="0" borderId="157" xfId="6021" applyFont="1" applyBorder="1" applyAlignment="1" applyProtection="1">
      <alignment horizontal="left" vertical="top"/>
      <protection locked="0"/>
    </xf>
    <xf numFmtId="0" fontId="73" fillId="0" borderId="157" xfId="53" applyFont="1" applyFill="1" applyBorder="1" applyAlignment="1" applyProtection="1">
      <alignment horizontal="left" vertical="top"/>
      <protection locked="0"/>
    </xf>
    <xf numFmtId="0" fontId="73" fillId="0" borderId="157" xfId="53" applyFont="1" applyFill="1" applyBorder="1" applyAlignment="1" applyProtection="1">
      <alignment horizontal="right" vertical="center"/>
      <protection locked="0"/>
    </xf>
    <xf numFmtId="0" fontId="75" fillId="0" borderId="157" xfId="0" applyFont="1" applyBorder="1" applyAlignment="1">
      <alignment horizontal="right" vertical="center" wrapText="1"/>
    </xf>
    <xf numFmtId="14" fontId="75" fillId="0" borderId="157" xfId="0" applyNumberFormat="1" applyFont="1" applyBorder="1" applyAlignment="1">
      <alignment horizontal="left" vertical="top" wrapText="1"/>
    </xf>
    <xf numFmtId="0" fontId="75" fillId="0" borderId="157" xfId="0" applyFont="1" applyBorder="1" applyAlignment="1">
      <alignment horizontal="left" vertical="top" wrapText="1"/>
    </xf>
    <xf numFmtId="0" fontId="108" fillId="0" borderId="157" xfId="6021" applyFont="1" applyBorder="1" applyAlignment="1" applyProtection="1">
      <alignment horizontal="left" vertical="top" wrapText="1"/>
      <protection locked="0"/>
    </xf>
    <xf numFmtId="14" fontId="72" fillId="0" borderId="157" xfId="0" applyNumberFormat="1" applyFont="1" applyBorder="1" applyAlignment="1">
      <alignment horizontal="left"/>
    </xf>
    <xf numFmtId="0" fontId="72" fillId="0" borderId="157" xfId="0" applyFont="1" applyBorder="1"/>
    <xf numFmtId="0" fontId="72" fillId="0" borderId="157" xfId="0" applyFont="1" applyBorder="1" applyAlignment="1">
      <alignment horizontal="left"/>
    </xf>
    <xf numFmtId="14" fontId="0" fillId="0" borderId="157" xfId="0" applyNumberFormat="1" applyBorder="1"/>
    <xf numFmtId="14" fontId="0" fillId="0" borderId="157" xfId="0" applyNumberFormat="1" applyBorder="1" applyAlignment="1">
      <alignment horizontal="right"/>
    </xf>
    <xf numFmtId="14" fontId="74" fillId="0" borderId="157" xfId="76" applyNumberFormat="1" applyFont="1" applyBorder="1" applyAlignment="1" applyProtection="1">
      <alignment horizontal="left" vertical="center"/>
      <protection locked="0"/>
    </xf>
    <xf numFmtId="14" fontId="0" fillId="0" borderId="157" xfId="0" applyNumberFormat="1" applyBorder="1" applyAlignment="1">
      <alignment horizontal="left"/>
    </xf>
    <xf numFmtId="42" fontId="24" fillId="0" borderId="157" xfId="38" applyFont="1" applyBorder="1"/>
    <xf numFmtId="42" fontId="24" fillId="22" borderId="157" xfId="38" applyFont="1" applyFill="1" applyBorder="1" applyAlignment="1" applyProtection="1">
      <alignment horizontal="left" vertical="center"/>
      <protection locked="0"/>
    </xf>
    <xf numFmtId="42" fontId="24" fillId="22" borderId="157" xfId="5940" applyFont="1" applyFill="1" applyBorder="1" applyAlignment="1" applyProtection="1">
      <alignment horizontal="left"/>
      <protection locked="0"/>
    </xf>
    <xf numFmtId="0" fontId="0" fillId="0" borderId="167" xfId="0" applyBorder="1"/>
    <xf numFmtId="0" fontId="24" fillId="25" borderId="167" xfId="0" applyFont="1" applyFill="1" applyBorder="1" applyAlignment="1">
      <alignment horizontal="center" vertical="center" wrapText="1"/>
    </xf>
    <xf numFmtId="0" fontId="24" fillId="25" borderId="168" xfId="0" applyFont="1" applyFill="1" applyBorder="1" applyAlignment="1">
      <alignment horizontal="center" vertical="center" wrapText="1"/>
    </xf>
    <xf numFmtId="0" fontId="24" fillId="25" borderId="169" xfId="0" applyFont="1" applyFill="1" applyBorder="1" applyAlignment="1">
      <alignment horizontal="center" vertical="center" wrapText="1"/>
    </xf>
    <xf numFmtId="0" fontId="7" fillId="0" borderId="169" xfId="0" applyFont="1" applyBorder="1"/>
    <xf numFmtId="0" fontId="7" fillId="0" borderId="167" xfId="0" applyFont="1" applyBorder="1"/>
    <xf numFmtId="0" fontId="7" fillId="0" borderId="168" xfId="0" applyFont="1" applyBorder="1"/>
    <xf numFmtId="0" fontId="24" fillId="0" borderId="169" xfId="0" applyFont="1" applyBorder="1"/>
    <xf numFmtId="0" fontId="24" fillId="0" borderId="167" xfId="0" applyFont="1" applyBorder="1"/>
    <xf numFmtId="0" fontId="24" fillId="0" borderId="168" xfId="0" applyFont="1" applyBorder="1"/>
    <xf numFmtId="42" fontId="24" fillId="22" borderId="170" xfId="38" applyFont="1" applyFill="1" applyBorder="1" applyAlignment="1" applyProtection="1">
      <alignment horizontal="left"/>
      <protection locked="0"/>
    </xf>
    <xf numFmtId="42" fontId="24" fillId="0" borderId="170" xfId="38" applyFont="1" applyBorder="1"/>
    <xf numFmtId="0" fontId="27" fillId="0" borderId="170" xfId="53" applyBorder="1" applyAlignment="1">
      <alignment horizontal="center" wrapText="1"/>
    </xf>
    <xf numFmtId="0" fontId="27" fillId="0" borderId="171" xfId="53" applyBorder="1" applyAlignment="1">
      <alignment horizontal="center" wrapText="1"/>
    </xf>
    <xf numFmtId="42" fontId="24" fillId="25" borderId="172" xfId="38" applyFont="1" applyFill="1" applyBorder="1"/>
    <xf numFmtId="42" fontId="24" fillId="25" borderId="173" xfId="38" applyFont="1" applyFill="1" applyBorder="1"/>
    <xf numFmtId="169" fontId="24" fillId="25" borderId="171" xfId="38" applyNumberFormat="1" applyFont="1" applyFill="1" applyBorder="1" applyAlignment="1" applyProtection="1">
      <alignment horizontal="left"/>
    </xf>
    <xf numFmtId="0" fontId="25" fillId="0" borderId="170" xfId="77" applyFill="1" applyBorder="1" applyAlignment="1">
      <alignment horizontal="right"/>
    </xf>
    <xf numFmtId="0" fontId="24" fillId="27" borderId="170" xfId="59" applyBorder="1">
      <alignment horizontal="left"/>
      <protection locked="0"/>
    </xf>
    <xf numFmtId="0" fontId="0" fillId="0" borderId="169" xfId="0" applyBorder="1"/>
    <xf numFmtId="0" fontId="0" fillId="0" borderId="168" xfId="0" applyBorder="1"/>
    <xf numFmtId="42" fontId="27" fillId="0" borderId="168" xfId="0" applyNumberFormat="1" applyFont="1" applyBorder="1"/>
    <xf numFmtId="2" fontId="24" fillId="27" borderId="171" xfId="59" applyNumberFormat="1" applyBorder="1" applyAlignment="1">
      <alignment horizontal="center"/>
      <protection locked="0"/>
    </xf>
    <xf numFmtId="37" fontId="24" fillId="22" borderId="170" xfId="35" applyFill="1" applyBorder="1" applyProtection="1">
      <alignment horizontal="center"/>
      <protection locked="0"/>
    </xf>
    <xf numFmtId="0" fontId="27" fillId="25" borderId="171" xfId="53" applyFill="1" applyBorder="1" applyAlignment="1">
      <alignment horizontal="center"/>
    </xf>
    <xf numFmtId="42" fontId="24" fillId="22" borderId="171" xfId="38" applyFont="1" applyFill="1" applyBorder="1" applyAlignment="1" applyProtection="1">
      <alignment horizontal="left"/>
      <protection locked="0"/>
    </xf>
    <xf numFmtId="0" fontId="27" fillId="0" borderId="171" xfId="53" applyBorder="1" applyAlignment="1">
      <alignment horizontal="center" vertical="center" wrapText="1"/>
    </xf>
    <xf numFmtId="0" fontId="27" fillId="0" borderId="168" xfId="53" applyBorder="1" applyAlignment="1">
      <alignment horizontal="center" wrapText="1"/>
    </xf>
    <xf numFmtId="42" fontId="42" fillId="0" borderId="168" xfId="0" applyNumberFormat="1" applyFont="1" applyBorder="1"/>
    <xf numFmtId="42" fontId="42" fillId="0" borderId="170" xfId="0" applyNumberFormat="1" applyFont="1" applyBorder="1"/>
    <xf numFmtId="9" fontId="44" fillId="0" borderId="171" xfId="69" applyFont="1" applyBorder="1" applyAlignment="1">
      <alignment horizontal="center"/>
    </xf>
    <xf numFmtId="37" fontId="42" fillId="0" borderId="170" xfId="31" applyNumberFormat="1" applyFont="1" applyBorder="1" applyAlignment="1">
      <alignment horizontal="center" vertical="center"/>
    </xf>
    <xf numFmtId="0" fontId="32" fillId="0" borderId="170" xfId="0" applyFont="1" applyBorder="1" applyAlignment="1">
      <alignment horizontal="center" wrapText="1"/>
    </xf>
    <xf numFmtId="0" fontId="32" fillId="0" borderId="171" xfId="0" applyFont="1" applyBorder="1" applyAlignment="1">
      <alignment horizontal="center" wrapText="1"/>
    </xf>
    <xf numFmtId="0" fontId="35" fillId="0" borderId="171" xfId="0" applyFont="1" applyBorder="1" applyAlignment="1">
      <alignment horizontal="center" vertical="center" wrapText="1"/>
    </xf>
    <xf numFmtId="0" fontId="27" fillId="0" borderId="168" xfId="53" applyBorder="1" applyAlignment="1">
      <alignment horizontal="center" vertical="center" wrapText="1"/>
    </xf>
    <xf numFmtId="168" fontId="24" fillId="25" borderId="174" xfId="36" applyFill="1" applyBorder="1" applyAlignment="1">
      <alignment horizontal="center"/>
    </xf>
    <xf numFmtId="165" fontId="36" fillId="25" borderId="174" xfId="69" applyNumberFormat="1" applyFont="1" applyFill="1" applyBorder="1" applyAlignment="1">
      <alignment horizontal="center"/>
    </xf>
    <xf numFmtId="42" fontId="24" fillId="25" borderId="175" xfId="38" applyFont="1" applyFill="1" applyBorder="1"/>
    <xf numFmtId="0" fontId="31" fillId="0" borderId="0" xfId="0" applyFont="1" applyAlignment="1">
      <alignment horizontal="left"/>
    </xf>
    <xf numFmtId="0" fontId="27" fillId="0" borderId="0" xfId="0" applyFont="1" applyAlignment="1">
      <alignment horizontal="center"/>
    </xf>
    <xf numFmtId="0" fontId="27" fillId="0" borderId="170" xfId="53" applyBorder="1" applyAlignment="1">
      <alignment horizontal="center" vertical="center" wrapText="1"/>
    </xf>
    <xf numFmtId="0" fontId="24" fillId="27" borderId="160" xfId="59" applyBorder="1" applyAlignment="1">
      <alignment horizontal="left" wrapText="1"/>
      <protection locked="0"/>
    </xf>
    <xf numFmtId="0" fontId="24" fillId="27" borderId="161" xfId="59" applyBorder="1" applyAlignment="1">
      <alignment horizontal="left" wrapText="1"/>
      <protection locked="0"/>
    </xf>
    <xf numFmtId="0" fontId="24" fillId="27" borderId="161" xfId="59" applyBorder="1">
      <alignment horizontal="left"/>
      <protection locked="0"/>
    </xf>
    <xf numFmtId="0" fontId="24" fillId="27" borderId="159" xfId="59" applyBorder="1" applyAlignment="1">
      <alignment horizontal="left" wrapText="1"/>
      <protection locked="0"/>
    </xf>
    <xf numFmtId="0" fontId="27" fillId="0" borderId="157" xfId="53" applyFill="1" applyBorder="1" applyAlignment="1">
      <alignment horizontal="center"/>
    </xf>
    <xf numFmtId="0" fontId="26" fillId="0" borderId="0" xfId="51" applyAlignment="1">
      <alignment horizontal="center"/>
    </xf>
    <xf numFmtId="0" fontId="53" fillId="0" borderId="0" xfId="51" applyFont="1" applyAlignment="1">
      <alignment horizontal="center"/>
    </xf>
    <xf numFmtId="0" fontId="27" fillId="25" borderId="157" xfId="53" applyFill="1" applyBorder="1" applyAlignment="1">
      <alignment horizontal="center"/>
    </xf>
    <xf numFmtId="0" fontId="24" fillId="25" borderId="154" xfId="0" applyFont="1" applyFill="1" applyBorder="1" applyAlignment="1">
      <alignment horizontal="center" vertical="center" wrapText="1"/>
    </xf>
    <xf numFmtId="0" fontId="24" fillId="25" borderId="160" xfId="0" applyFont="1" applyFill="1" applyBorder="1" applyAlignment="1">
      <alignment horizontal="center" vertical="center" wrapText="1"/>
    </xf>
    <xf numFmtId="0" fontId="24" fillId="25" borderId="161" xfId="0" applyFont="1" applyFill="1" applyBorder="1" applyAlignment="1">
      <alignment horizontal="center" vertical="center" wrapText="1"/>
    </xf>
    <xf numFmtId="0" fontId="24" fillId="25" borderId="0" xfId="0" applyFont="1" applyFill="1" applyAlignment="1">
      <alignment horizontal="center" vertical="center" wrapText="1"/>
    </xf>
    <xf numFmtId="0" fontId="24" fillId="25" borderId="159" xfId="0" applyFont="1" applyFill="1" applyBorder="1" applyAlignment="1">
      <alignment horizontal="center" vertical="center" wrapText="1"/>
    </xf>
    <xf numFmtId="0" fontId="24" fillId="25" borderId="163" xfId="0" applyFont="1" applyFill="1" applyBorder="1" applyAlignment="1">
      <alignment horizontal="center" vertical="center" wrapText="1"/>
    </xf>
    <xf numFmtId="0" fontId="26" fillId="25" borderId="81" xfId="0" applyFont="1" applyFill="1" applyBorder="1" applyAlignment="1">
      <alignment horizontal="center"/>
    </xf>
    <xf numFmtId="0" fontId="26" fillId="25" borderId="82" xfId="0" applyFont="1" applyFill="1" applyBorder="1" applyAlignment="1">
      <alignment horizontal="center"/>
    </xf>
    <xf numFmtId="0" fontId="26" fillId="25" borderId="83" xfId="0" applyFont="1" applyFill="1" applyBorder="1" applyAlignment="1">
      <alignment horizontal="center"/>
    </xf>
    <xf numFmtId="0" fontId="31" fillId="0" borderId="0" xfId="0" applyFont="1" applyAlignment="1">
      <alignment horizontal="left" vertical="top" wrapText="1"/>
    </xf>
    <xf numFmtId="0" fontId="31" fillId="0" borderId="0" xfId="0" applyFont="1" applyAlignment="1">
      <alignment horizontal="left"/>
    </xf>
    <xf numFmtId="0" fontId="21" fillId="31" borderId="0" xfId="12" applyFont="1" applyFill="1" applyBorder="1">
      <alignment horizontal="center" vertical="center"/>
    </xf>
    <xf numFmtId="0" fontId="52" fillId="29" borderId="41" xfId="12" applyBorder="1">
      <alignment horizontal="center" vertical="center"/>
    </xf>
    <xf numFmtId="0" fontId="52" fillId="29" borderId="0" xfId="12" applyBorder="1">
      <alignment horizontal="center" vertical="center"/>
    </xf>
    <xf numFmtId="0" fontId="7" fillId="0" borderId="0" xfId="0" applyFont="1" applyAlignment="1">
      <alignment vertical="center" wrapText="1"/>
    </xf>
    <xf numFmtId="0" fontId="7" fillId="0" borderId="0" xfId="0" applyFont="1" applyAlignment="1">
      <alignment horizontal="left" vertical="center" wrapText="1"/>
    </xf>
    <xf numFmtId="0" fontId="31" fillId="0" borderId="0" xfId="0" applyFont="1" applyAlignment="1">
      <alignment horizontal="left" wrapText="1"/>
    </xf>
    <xf numFmtId="0" fontId="31" fillId="0" borderId="0" xfId="0" quotePrefix="1" applyFont="1" applyAlignment="1">
      <alignment horizontal="left" vertical="center" wrapText="1"/>
    </xf>
    <xf numFmtId="0" fontId="31" fillId="0" borderId="10" xfId="0" quotePrefix="1" applyFont="1" applyBorder="1" applyAlignment="1">
      <alignment horizontal="left" vertical="center" wrapText="1"/>
    </xf>
    <xf numFmtId="5" fontId="24" fillId="22" borderId="159" xfId="39" applyNumberFormat="1" applyFont="1" applyFill="1" applyBorder="1" applyAlignment="1" applyProtection="1">
      <alignment horizontal="left"/>
      <protection locked="0"/>
    </xf>
    <xf numFmtId="5" fontId="24" fillId="22" borderId="160" xfId="39" applyNumberFormat="1" applyFont="1" applyFill="1" applyBorder="1" applyAlignment="1" applyProtection="1">
      <alignment horizontal="left"/>
      <protection locked="0"/>
    </xf>
    <xf numFmtId="5" fontId="24" fillId="22" borderId="161" xfId="39" applyNumberFormat="1" applyFont="1" applyFill="1" applyBorder="1" applyAlignment="1" applyProtection="1">
      <alignment horizontal="left"/>
      <protection locked="0"/>
    </xf>
    <xf numFmtId="37" fontId="24" fillId="27" borderId="159" xfId="79" applyBorder="1" applyAlignment="1" applyProtection="1">
      <alignment horizontal="left"/>
      <protection locked="0"/>
    </xf>
    <xf numFmtId="37" fontId="24" fillId="27" borderId="160" xfId="79" applyBorder="1" applyAlignment="1" applyProtection="1">
      <alignment horizontal="left"/>
      <protection locked="0"/>
    </xf>
    <xf numFmtId="37" fontId="24" fillId="27" borderId="161" xfId="79" applyBorder="1" applyAlignment="1" applyProtection="1">
      <alignment horizontal="left"/>
      <protection locked="0"/>
    </xf>
    <xf numFmtId="0" fontId="27" fillId="0" borderId="159" xfId="0" applyFont="1" applyBorder="1" applyAlignment="1">
      <alignment horizontal="center" vertical="center"/>
    </xf>
    <xf numFmtId="0" fontId="27" fillId="0" borderId="160" xfId="0" applyFont="1" applyBorder="1" applyAlignment="1">
      <alignment horizontal="center" vertical="center"/>
    </xf>
    <xf numFmtId="0" fontId="27" fillId="0" borderId="161" xfId="0" applyFont="1" applyBorder="1" applyAlignment="1">
      <alignment horizontal="center" vertical="center"/>
    </xf>
    <xf numFmtId="0" fontId="52" fillId="29" borderId="34" xfId="12">
      <alignment horizontal="center" vertical="center"/>
    </xf>
    <xf numFmtId="0" fontId="27" fillId="0" borderId="0" xfId="0" applyFont="1" applyAlignment="1">
      <alignment horizontal="center"/>
    </xf>
    <xf numFmtId="0" fontId="30" fillId="0" borderId="0" xfId="0" applyFont="1" applyAlignment="1">
      <alignment horizontal="center"/>
    </xf>
    <xf numFmtId="42" fontId="26" fillId="0" borderId="0" xfId="39" applyFont="1" applyFill="1" applyBorder="1" applyAlignment="1" applyProtection="1">
      <alignment horizontal="center"/>
      <protection locked="0"/>
    </xf>
    <xf numFmtId="0" fontId="24" fillId="27" borderId="169" xfId="59" applyBorder="1" applyAlignment="1">
      <alignment horizontal="left" vertical="top"/>
      <protection locked="0"/>
    </xf>
    <xf numFmtId="0" fontId="24" fillId="27" borderId="167" xfId="59" applyBorder="1" applyAlignment="1">
      <alignment horizontal="left" vertical="top"/>
      <protection locked="0"/>
    </xf>
    <xf numFmtId="0" fontId="24" fillId="27" borderId="168" xfId="59" applyBorder="1" applyAlignment="1">
      <alignment horizontal="left" vertical="top"/>
      <protection locked="0"/>
    </xf>
    <xf numFmtId="0" fontId="24" fillId="27" borderId="9" xfId="59" applyBorder="1" applyAlignment="1">
      <alignment horizontal="left" vertical="top"/>
      <protection locked="0"/>
    </xf>
    <xf numFmtId="0" fontId="24" fillId="27" borderId="0" xfId="59" applyBorder="1" applyAlignment="1">
      <alignment horizontal="left" vertical="top"/>
      <protection locked="0"/>
    </xf>
    <xf numFmtId="0" fontId="24" fillId="27" borderId="10" xfId="59" applyBorder="1" applyAlignment="1">
      <alignment horizontal="left" vertical="top"/>
      <protection locked="0"/>
    </xf>
    <xf numFmtId="0" fontId="24" fillId="27" borderId="11" xfId="59" applyBorder="1" applyAlignment="1">
      <alignment horizontal="left" vertical="top"/>
      <protection locked="0"/>
    </xf>
    <xf numFmtId="0" fontId="24" fillId="27" borderId="74" xfId="59" applyBorder="1" applyAlignment="1">
      <alignment horizontal="left" vertical="top"/>
      <protection locked="0"/>
    </xf>
    <xf numFmtId="0" fontId="24" fillId="27" borderId="13" xfId="59" applyBorder="1" applyAlignment="1">
      <alignment horizontal="left" vertical="top"/>
      <protection locked="0"/>
    </xf>
    <xf numFmtId="0" fontId="24" fillId="28" borderId="7" xfId="67" applyFont="1" applyAlignment="1">
      <alignment horizontal="center"/>
    </xf>
    <xf numFmtId="0" fontId="26" fillId="0" borderId="81" xfId="51" applyBorder="1" applyAlignment="1">
      <alignment horizontal="center" vertical="center"/>
    </xf>
    <xf numFmtId="0" fontId="26" fillId="0" borderId="82" xfId="51" applyBorder="1" applyAlignment="1">
      <alignment horizontal="center" vertical="center"/>
    </xf>
    <xf numFmtId="0" fontId="26" fillId="0" borderId="83" xfId="51" applyBorder="1" applyAlignment="1">
      <alignment horizontal="center" vertical="center"/>
    </xf>
    <xf numFmtId="0" fontId="27" fillId="0" borderId="170" xfId="53" applyBorder="1" applyAlignment="1">
      <alignment horizontal="center" vertical="center" wrapText="1"/>
    </xf>
    <xf numFmtId="0" fontId="27" fillId="0" borderId="23" xfId="53" applyBorder="1" applyAlignment="1">
      <alignment horizontal="center" vertical="center" wrapText="1"/>
    </xf>
    <xf numFmtId="0" fontId="52" fillId="29" borderId="43" xfId="12" applyBorder="1">
      <alignment horizontal="center" vertical="center"/>
    </xf>
    <xf numFmtId="0" fontId="52" fillId="29" borderId="44" xfId="12" applyBorder="1">
      <alignment horizontal="center" vertical="center"/>
    </xf>
    <xf numFmtId="0" fontId="52" fillId="29" borderId="45" xfId="12" applyBorder="1">
      <alignment horizontal="center" vertical="center"/>
    </xf>
    <xf numFmtId="10" fontId="24" fillId="33" borderId="159" xfId="0" applyNumberFormat="1" applyFont="1" applyFill="1" applyBorder="1" applyAlignment="1">
      <alignment horizontal="center"/>
    </xf>
    <xf numFmtId="10" fontId="24" fillId="33" borderId="160" xfId="0" applyNumberFormat="1" applyFont="1" applyFill="1" applyBorder="1" applyAlignment="1">
      <alignment horizontal="center"/>
    </xf>
    <xf numFmtId="10" fontId="24" fillId="33" borderId="161" xfId="0" applyNumberFormat="1" applyFont="1" applyFill="1" applyBorder="1" applyAlignment="1">
      <alignment horizontal="center"/>
    </xf>
    <xf numFmtId="0" fontId="24" fillId="27" borderId="159" xfId="59" applyBorder="1" applyAlignment="1">
      <alignment horizontal="left" wrapText="1"/>
      <protection locked="0"/>
    </xf>
    <xf numFmtId="0" fontId="24" fillId="27" borderId="160" xfId="59" applyBorder="1" applyAlignment="1">
      <alignment horizontal="left" wrapText="1"/>
      <protection locked="0"/>
    </xf>
    <xf numFmtId="0" fontId="24" fillId="27" borderId="161" xfId="59" applyBorder="1" applyAlignment="1">
      <alignment horizontal="left" wrapText="1"/>
      <protection locked="0"/>
    </xf>
    <xf numFmtId="0" fontId="27" fillId="0" borderId="157" xfId="54" applyBorder="1" applyAlignment="1">
      <alignment horizontal="center"/>
    </xf>
    <xf numFmtId="0" fontId="27" fillId="0" borderId="157" xfId="53" applyFill="1" applyBorder="1" applyAlignment="1">
      <alignment horizontal="center"/>
    </xf>
    <xf numFmtId="10" fontId="24" fillId="27" borderId="159" xfId="60" applyNumberFormat="1" applyBorder="1" applyAlignment="1">
      <alignment horizontal="center"/>
      <protection locked="0"/>
    </xf>
    <xf numFmtId="10" fontId="24" fillId="27" borderId="160" xfId="60" applyNumberFormat="1" applyBorder="1" applyAlignment="1">
      <alignment horizontal="center"/>
      <protection locked="0"/>
    </xf>
    <xf numFmtId="10" fontId="24" fillId="27" borderId="161" xfId="60" applyNumberFormat="1" applyBorder="1" applyAlignment="1">
      <alignment horizontal="center"/>
      <protection locked="0"/>
    </xf>
    <xf numFmtId="0" fontId="24" fillId="27" borderId="159" xfId="59" applyBorder="1">
      <alignment horizontal="left"/>
      <protection locked="0"/>
    </xf>
    <xf numFmtId="0" fontId="24" fillId="27" borderId="160" xfId="59" applyBorder="1">
      <alignment horizontal="left"/>
      <protection locked="0"/>
    </xf>
    <xf numFmtId="0" fontId="24" fillId="27" borderId="161" xfId="59" applyBorder="1">
      <alignment horizontal="left"/>
      <protection locked="0"/>
    </xf>
    <xf numFmtId="0" fontId="24" fillId="27" borderId="169" xfId="59" applyBorder="1">
      <alignment horizontal="left"/>
      <protection locked="0"/>
    </xf>
    <xf numFmtId="0" fontId="24" fillId="27" borderId="167" xfId="59" applyBorder="1">
      <alignment horizontal="left"/>
      <protection locked="0"/>
    </xf>
    <xf numFmtId="0" fontId="24" fillId="27" borderId="168" xfId="59" applyBorder="1">
      <alignment horizontal="left"/>
      <protection locked="0"/>
    </xf>
    <xf numFmtId="0" fontId="75" fillId="27" borderId="157" xfId="0" applyFont="1" applyFill="1" applyBorder="1" applyAlignment="1">
      <alignment vertical="center" wrapText="1"/>
    </xf>
    <xf numFmtId="0" fontId="75" fillId="27" borderId="78" xfId="0" applyFont="1" applyFill="1" applyBorder="1" applyAlignment="1">
      <alignment vertical="center" wrapText="1"/>
    </xf>
    <xf numFmtId="0" fontId="75" fillId="27" borderId="127" xfId="0" applyFont="1" applyFill="1" applyBorder="1" applyAlignment="1">
      <alignment vertical="center" wrapText="1"/>
    </xf>
    <xf numFmtId="0" fontId="75" fillId="27" borderId="79" xfId="0" applyFont="1" applyFill="1" applyBorder="1" applyAlignment="1">
      <alignment vertical="center" wrapText="1"/>
    </xf>
    <xf numFmtId="0" fontId="52" fillId="29" borderId="35" xfId="12" applyBorder="1">
      <alignment horizontal="center" vertical="center"/>
    </xf>
    <xf numFmtId="0" fontId="27" fillId="0" borderId="86" xfId="53" applyBorder="1" applyAlignment="1">
      <alignment horizontal="center"/>
    </xf>
    <xf numFmtId="0" fontId="27" fillId="0" borderId="87" xfId="53" applyBorder="1" applyAlignment="1">
      <alignment horizontal="center"/>
    </xf>
    <xf numFmtId="0" fontId="27" fillId="0" borderId="161" xfId="53" applyBorder="1" applyAlignment="1">
      <alignment horizontal="center" vertical="center" wrapText="1"/>
    </xf>
    <xf numFmtId="0" fontId="39" fillId="0" borderId="86" xfId="53" applyFont="1" applyBorder="1" applyAlignment="1">
      <alignment horizontal="center" wrapText="1"/>
    </xf>
    <xf numFmtId="0" fontId="39" fillId="0" borderId="87" xfId="53" applyFont="1" applyBorder="1" applyAlignment="1">
      <alignment horizontal="center" wrapText="1"/>
    </xf>
    <xf numFmtId="0" fontId="39" fillId="0" borderId="87" xfId="53" applyFont="1" applyBorder="1" applyAlignment="1">
      <alignment horizontal="center"/>
    </xf>
    <xf numFmtId="0" fontId="26" fillId="0" borderId="0" xfId="51" applyAlignment="1">
      <alignment horizontal="center"/>
    </xf>
    <xf numFmtId="0" fontId="58" fillId="0" borderId="0" xfId="51" applyFont="1" applyAlignment="1">
      <alignment horizontal="left" vertical="center"/>
    </xf>
    <xf numFmtId="0" fontId="27" fillId="25" borderId="81" xfId="51" applyFont="1" applyFill="1" applyBorder="1" applyAlignment="1">
      <alignment horizontal="center"/>
    </xf>
    <xf numFmtId="0" fontId="27" fillId="25" borderId="83" xfId="51" applyFont="1" applyFill="1" applyBorder="1" applyAlignment="1">
      <alignment horizontal="center"/>
    </xf>
    <xf numFmtId="0" fontId="26" fillId="0" borderId="143" xfId="51" applyBorder="1" applyAlignment="1">
      <alignment horizontal="center"/>
    </xf>
    <xf numFmtId="0" fontId="53" fillId="0" borderId="0" xfId="51" applyFont="1" applyAlignment="1">
      <alignment horizontal="center"/>
    </xf>
    <xf numFmtId="0" fontId="24" fillId="0" borderId="159" xfId="51" applyFont="1" applyBorder="1" applyAlignment="1">
      <alignment horizontal="left" vertical="top" wrapText="1"/>
    </xf>
    <xf numFmtId="0" fontId="24" fillId="0" borderId="160" xfId="51" applyFont="1" applyBorder="1" applyAlignment="1">
      <alignment horizontal="left" vertical="top" wrapText="1"/>
    </xf>
    <xf numFmtId="0" fontId="24" fillId="0" borderId="161" xfId="51" applyFont="1" applyBorder="1" applyAlignment="1">
      <alignment horizontal="left" vertical="top" wrapText="1"/>
    </xf>
    <xf numFmtId="0" fontId="27" fillId="25" borderId="157" xfId="51" applyFont="1" applyFill="1" applyBorder="1" applyAlignment="1">
      <alignment horizontal="center"/>
    </xf>
    <xf numFmtId="0" fontId="27" fillId="25" borderId="157" xfId="53" applyFill="1" applyBorder="1" applyAlignment="1">
      <alignment horizontal="center"/>
    </xf>
    <xf numFmtId="0" fontId="7" fillId="0" borderId="159" xfId="0" applyFont="1" applyBorder="1" applyAlignment="1">
      <alignment horizontal="center"/>
    </xf>
    <xf numFmtId="0" fontId="0" fillId="0" borderId="160" xfId="0" applyBorder="1" applyAlignment="1">
      <alignment horizontal="center"/>
    </xf>
    <xf numFmtId="0" fontId="0" fillId="0" borderId="161" xfId="0" applyBorder="1" applyAlignment="1">
      <alignment horizontal="center"/>
    </xf>
    <xf numFmtId="0" fontId="69" fillId="0" borderId="0" xfId="77" applyFont="1" applyFill="1" applyAlignment="1">
      <alignment horizontal="center" vertical="center" wrapText="1"/>
    </xf>
    <xf numFmtId="0" fontId="40" fillId="25" borderId="78" xfId="0" applyFont="1" applyFill="1" applyBorder="1" applyAlignment="1">
      <alignment horizontal="center"/>
    </xf>
    <xf numFmtId="0" fontId="40" fillId="25" borderId="127" xfId="0" applyFont="1" applyFill="1" applyBorder="1" applyAlignment="1">
      <alignment horizontal="center"/>
    </xf>
    <xf numFmtId="0" fontId="40" fillId="25" borderId="80" xfId="0" applyFont="1" applyFill="1" applyBorder="1" applyAlignment="1">
      <alignment horizontal="center"/>
    </xf>
    <xf numFmtId="0" fontId="32" fillId="25" borderId="78" xfId="0" applyFont="1" applyFill="1" applyBorder="1" applyAlignment="1">
      <alignment horizontal="center" vertical="center"/>
    </xf>
    <xf numFmtId="0" fontId="32" fillId="25" borderId="80" xfId="0" applyFont="1" applyFill="1" applyBorder="1" applyAlignment="1">
      <alignment horizontal="center" vertical="center"/>
    </xf>
    <xf numFmtId="0" fontId="32" fillId="25" borderId="127" xfId="0" applyFont="1" applyFill="1" applyBorder="1" applyAlignment="1">
      <alignment horizontal="center" vertical="center"/>
    </xf>
    <xf numFmtId="0" fontId="32" fillId="25" borderId="78" xfId="0" applyFont="1" applyFill="1" applyBorder="1" applyAlignment="1">
      <alignment horizontal="center"/>
    </xf>
    <xf numFmtId="0" fontId="32" fillId="25" borderId="80" xfId="0" applyFont="1" applyFill="1" applyBorder="1" applyAlignment="1">
      <alignment horizontal="center"/>
    </xf>
    <xf numFmtId="0" fontId="41" fillId="25" borderId="92" xfId="0" applyFont="1" applyFill="1" applyBorder="1" applyAlignment="1">
      <alignment horizontal="center" vertical="center" wrapText="1"/>
    </xf>
    <xf numFmtId="0" fontId="41" fillId="25" borderId="19" xfId="0" applyFont="1" applyFill="1" applyBorder="1" applyAlignment="1">
      <alignment horizontal="center" vertical="center" wrapText="1"/>
    </xf>
    <xf numFmtId="0" fontId="41" fillId="25" borderId="17" xfId="0" applyFont="1" applyFill="1" applyBorder="1" applyAlignment="1">
      <alignment horizontal="center" vertical="center" wrapText="1"/>
    </xf>
    <xf numFmtId="0" fontId="32" fillId="25" borderId="127" xfId="0" applyFont="1" applyFill="1" applyBorder="1" applyAlignment="1">
      <alignment horizontal="center"/>
    </xf>
    <xf numFmtId="0" fontId="32" fillId="25" borderId="88" xfId="0" applyFont="1" applyFill="1" applyBorder="1" applyAlignment="1">
      <alignment horizontal="center"/>
    </xf>
    <xf numFmtId="0" fontId="32" fillId="25" borderId="89" xfId="0" applyFont="1" applyFill="1" applyBorder="1" applyAlignment="1">
      <alignment horizontal="center"/>
    </xf>
    <xf numFmtId="0" fontId="32" fillId="25" borderId="91" xfId="0" applyFont="1" applyFill="1" applyBorder="1" applyAlignment="1">
      <alignment horizontal="center"/>
    </xf>
    <xf numFmtId="0" fontId="32" fillId="25" borderId="95" xfId="0" applyFont="1" applyFill="1" applyBorder="1" applyAlignment="1">
      <alignment horizontal="center" vertical="center" wrapText="1"/>
    </xf>
    <xf numFmtId="0" fontId="32" fillId="25" borderId="151" xfId="0" applyFont="1" applyFill="1" applyBorder="1" applyAlignment="1">
      <alignment horizontal="center" vertical="center" wrapText="1"/>
    </xf>
    <xf numFmtId="0" fontId="27" fillId="0" borderId="81" xfId="53" applyBorder="1" applyAlignment="1">
      <alignment horizontal="center" wrapText="1"/>
    </xf>
    <xf numFmtId="0" fontId="27" fillId="0" borderId="164" xfId="53" applyBorder="1" applyAlignment="1">
      <alignment horizontal="center" wrapText="1"/>
    </xf>
    <xf numFmtId="0" fontId="41" fillId="0" borderId="86" xfId="0" applyFont="1" applyBorder="1" applyAlignment="1">
      <alignment horizontal="center"/>
    </xf>
    <xf numFmtId="0" fontId="41" fillId="0" borderId="87" xfId="0" applyFont="1" applyBorder="1" applyAlignment="1">
      <alignment horizontal="center"/>
    </xf>
    <xf numFmtId="0" fontId="41" fillId="0" borderId="96" xfId="0" applyFont="1" applyBorder="1" applyAlignment="1">
      <alignment horizontal="center"/>
    </xf>
    <xf numFmtId="0" fontId="24" fillId="27" borderId="78" xfId="59" applyBorder="1">
      <alignment horizontal="left"/>
      <protection locked="0"/>
    </xf>
    <xf numFmtId="0" fontId="24" fillId="27" borderId="127" xfId="59" applyBorder="1">
      <alignment horizontal="left"/>
      <protection locked="0"/>
    </xf>
    <xf numFmtId="0" fontId="24" fillId="27" borderId="80" xfId="59" applyBorder="1">
      <alignment horizontal="left"/>
      <protection locked="0"/>
    </xf>
    <xf numFmtId="0" fontId="32" fillId="25" borderId="159" xfId="0" applyFont="1" applyFill="1" applyBorder="1" applyAlignment="1">
      <alignment horizontal="center" vertical="center"/>
    </xf>
    <xf numFmtId="0" fontId="32" fillId="25" borderId="160" xfId="0" applyFont="1" applyFill="1" applyBorder="1" applyAlignment="1">
      <alignment horizontal="center" vertical="center"/>
    </xf>
    <xf numFmtId="0" fontId="32" fillId="25" borderId="161" xfId="0" applyFont="1" applyFill="1" applyBorder="1" applyAlignment="1">
      <alignment horizontal="center" vertical="center"/>
    </xf>
    <xf numFmtId="0" fontId="40" fillId="0" borderId="0" xfId="0" applyFont="1" applyAlignment="1">
      <alignment horizontal="center"/>
    </xf>
    <xf numFmtId="0" fontId="32" fillId="0" borderId="95" xfId="0" applyFont="1" applyBorder="1" applyAlignment="1">
      <alignment horizontal="center" vertical="center" wrapText="1"/>
    </xf>
    <xf numFmtId="0" fontId="32" fillId="0" borderId="152" xfId="0" applyFont="1" applyBorder="1" applyAlignment="1">
      <alignment horizontal="center" vertical="center" wrapText="1"/>
    </xf>
    <xf numFmtId="0" fontId="32" fillId="0" borderId="86" xfId="0" applyFont="1" applyBorder="1" applyAlignment="1">
      <alignment horizontal="center" vertical="center"/>
    </xf>
    <xf numFmtId="0" fontId="32" fillId="0" borderId="97" xfId="0" applyFont="1" applyBorder="1" applyAlignment="1">
      <alignment horizontal="center" vertical="center"/>
    </xf>
    <xf numFmtId="0" fontId="32" fillId="0" borderId="87" xfId="0" applyFont="1" applyBorder="1" applyAlignment="1">
      <alignment horizontal="center" vertical="center"/>
    </xf>
    <xf numFmtId="0" fontId="32" fillId="0" borderId="166" xfId="0" applyFont="1" applyBorder="1" applyAlignment="1">
      <alignment horizontal="center" vertical="center" wrapText="1"/>
    </xf>
    <xf numFmtId="0" fontId="30" fillId="0" borderId="78" xfId="0" applyFont="1" applyBorder="1" applyAlignment="1">
      <alignment horizontal="center"/>
    </xf>
    <xf numFmtId="0" fontId="30" fillId="0" borderId="127" xfId="0" applyFont="1" applyBorder="1" applyAlignment="1">
      <alignment horizontal="center"/>
    </xf>
    <xf numFmtId="0" fontId="30" fillId="0" borderId="80" xfId="0" applyFont="1" applyBorder="1" applyAlignment="1">
      <alignment horizontal="center"/>
    </xf>
    <xf numFmtId="0" fontId="27" fillId="0" borderId="76" xfId="0" applyFont="1" applyBorder="1" applyAlignment="1">
      <alignment horizontal="center"/>
    </xf>
    <xf numFmtId="0" fontId="27" fillId="0" borderId="98" xfId="0" applyFont="1" applyBorder="1" applyAlignment="1">
      <alignment horizontal="center"/>
    </xf>
    <xf numFmtId="0" fontId="27" fillId="0" borderId="75" xfId="0" applyFont="1" applyBorder="1" applyAlignment="1">
      <alignment horizontal="center"/>
    </xf>
    <xf numFmtId="0" fontId="52" fillId="29" borderId="37" xfId="12" applyBorder="1">
      <alignment horizontal="center" vertical="center"/>
    </xf>
    <xf numFmtId="0" fontId="52" fillId="29" borderId="38" xfId="12" applyBorder="1">
      <alignment horizontal="center" vertical="center"/>
    </xf>
    <xf numFmtId="0" fontId="52" fillId="29" borderId="39" xfId="12" applyBorder="1">
      <alignment horizontal="center" vertical="center"/>
    </xf>
    <xf numFmtId="0" fontId="40" fillId="0" borderId="169" xfId="0" applyFont="1" applyBorder="1" applyAlignment="1">
      <alignment horizontal="center"/>
    </xf>
    <xf numFmtId="0" fontId="40" fillId="0" borderId="167" xfId="0" applyFont="1" applyBorder="1" applyAlignment="1">
      <alignment horizontal="center"/>
    </xf>
    <xf numFmtId="0" fontId="40" fillId="0" borderId="168" xfId="0" applyFont="1" applyBorder="1" applyAlignment="1">
      <alignment horizontal="center"/>
    </xf>
    <xf numFmtId="0" fontId="32" fillId="0" borderId="157" xfId="0" applyFont="1" applyBorder="1" applyAlignment="1">
      <alignment horizontal="center" vertical="center"/>
    </xf>
  </cellXfs>
  <cellStyles count="47861">
    <cellStyle name="_x0013_" xfId="95" xr:uid="{E98CA37F-962E-44CB-BC6F-2BAF685C6076}"/>
    <cellStyle name="_x0013_ 10" xfId="96" xr:uid="{02765B93-C066-416B-B6AF-FFA13272ED8D}"/>
    <cellStyle name="_x0013_ 2" xfId="97" xr:uid="{A56CED1B-FA26-435B-82A4-EDC587468608}"/>
    <cellStyle name="_x0013_ 2 2" xfId="98" xr:uid="{14D32A27-0B27-4D11-840D-BFEED0B74CE1}"/>
    <cellStyle name="_x0013_ 2 2 2" xfId="99" xr:uid="{73B16E1D-14D2-4097-BEC8-96DC3CE91C4B}"/>
    <cellStyle name="_x0013_ 2 2 3" xfId="100" xr:uid="{93927CBA-20AE-45A5-921C-2B4BD2122DE5}"/>
    <cellStyle name="_x0013_ 2 3" xfId="101" xr:uid="{4295851D-83DA-4EA3-BED2-0494E88394B9}"/>
    <cellStyle name="_x0013_ 2 4" xfId="102" xr:uid="{AFC4E328-C9F9-4B35-A8EB-03F02478359F}"/>
    <cellStyle name="_x0013_ 3" xfId="103" xr:uid="{402CB129-4F9C-4148-880A-3CE7F4CB65CA}"/>
    <cellStyle name="_x0013_ 3 2" xfId="104" xr:uid="{C726CAD8-9ACD-4D90-9392-7DF9336E7ED6}"/>
    <cellStyle name="_x0013_ 3 3" xfId="105" xr:uid="{BE2E280D-D873-4CD3-8E16-E2AC5251262F}"/>
    <cellStyle name="_x0013_ 4" xfId="106" xr:uid="{6DA65138-FB2E-4048-B9D1-B1B67B0152E1}"/>
    <cellStyle name="_x0013_ 4 2" xfId="107" xr:uid="{2848186A-3AF7-4D3B-91B6-6825AC603FF5}"/>
    <cellStyle name="_x0013_ 4 3" xfId="108" xr:uid="{5691B21D-4E8D-4446-BC63-491E17B11A8D}"/>
    <cellStyle name="_x0013_ 5" xfId="109" xr:uid="{45FB12C2-EBF3-4726-92FF-74F2B2776ADB}"/>
    <cellStyle name="_x0013_ 5 2" xfId="110" xr:uid="{D24B2D18-78B0-4BE4-8D76-F94265EE6CDF}"/>
    <cellStyle name="_x0013_ 5 3" xfId="111" xr:uid="{37975EFF-711C-4E2F-BFF6-5DA4A48FDF3F}"/>
    <cellStyle name="_x0013_ 6" xfId="112" xr:uid="{DB6C7A99-6323-4E45-9C2E-CADAE53E4071}"/>
    <cellStyle name="_x0013_ 6 2" xfId="113" xr:uid="{D8AC37EE-1FF8-4C98-9EAA-61998927B45C}"/>
    <cellStyle name="_x0013_ 6 3" xfId="114" xr:uid="{5113EA86-5DD7-4DCD-8FAC-69B1D78ED417}"/>
    <cellStyle name="_x0013_ 7" xfId="115" xr:uid="{21DC552E-A1FA-4874-8EAE-B5ED5987E287}"/>
    <cellStyle name="_x0013_ 7 2" xfId="116" xr:uid="{C6CA9491-A27D-4937-B70A-1DC733D83A4B}"/>
    <cellStyle name="_x0013_ 7 3" xfId="117" xr:uid="{887C3C81-FD56-4360-AE09-BEAD1A8CADF0}"/>
    <cellStyle name="_x0013_ 8" xfId="118" xr:uid="{C5274DDB-766A-4DF3-9148-FC63E10FAC11}"/>
    <cellStyle name="_x0013_ 8 2" xfId="119" xr:uid="{E491F71B-C31A-4C28-A511-6898041A3892}"/>
    <cellStyle name="_x0013_ 8 3" xfId="120" xr:uid="{6DC26137-B2A2-44ED-A9D2-4B6046DFCADA}"/>
    <cellStyle name="_x0013_ 9" xfId="121" xr:uid="{5A10FA17-7B31-435A-86F7-EB069A28196A}"/>
    <cellStyle name="_x0013__5. Table of Results - Peak" xfId="122" xr:uid="{CA6D9FDC-1FAF-4063-86B5-9AD550427701}"/>
    <cellStyle name="_x0013__5. Table of Results - Peak 2" xfId="123" xr:uid="{995EF37E-0CD6-4176-83D4-CDD55FE8882A}"/>
    <cellStyle name="_x0013__5. Table of Results - Peak 3" xfId="124" xr:uid="{4A2F9C35-D344-4361-9B68-9D7709A2A112}"/>
    <cellStyle name="_x0013__DSM @ Generator" xfId="125" xr:uid="{ADE35A97-D836-4619-8720-9C794F8A8661}"/>
    <cellStyle name="_x0013__DSM @ Generator 2" xfId="126" xr:uid="{EFB40E2C-A0A8-438F-94B6-6093E68D319E}"/>
    <cellStyle name="_x0013__DSM @ Meter" xfId="127" xr:uid="{7035612A-8220-4973-90F1-EECBEA37B6D1}"/>
    <cellStyle name="_x0013__DSM @ Meter 2" xfId="128" xr:uid="{792A81F0-8DDD-465E-9B65-33FA740D9658}"/>
    <cellStyle name="_x0013__Generation" xfId="129" xr:uid="{A1F6FA42-C289-48E0-9A6F-39BB905CC688}"/>
    <cellStyle name="_x0013__Generation 10" xfId="130" xr:uid="{A1FDD158-D9AE-46DA-8C29-45948EE834C1}"/>
    <cellStyle name="_x0013__Generation 2" xfId="131" xr:uid="{D2F7F271-1CB6-4629-B7CF-66E7D699DE44}"/>
    <cellStyle name="_x0013__Generation 2 2" xfId="132" xr:uid="{FD2763B8-AAE3-494E-A16A-FFD6E1E3877A}"/>
    <cellStyle name="_x0013__Generation 2 2 2" xfId="133" xr:uid="{7E4334A5-C84E-4F4C-8893-A94EAB2C8E59}"/>
    <cellStyle name="_x0013__Generation 2 2 3" xfId="134" xr:uid="{3B62D8F4-4C64-4AC2-ADD7-B1584ECE531A}"/>
    <cellStyle name="_x0013__Generation 2 3" xfId="135" xr:uid="{FE4B1502-9E2B-45F0-868E-917DD2D39678}"/>
    <cellStyle name="_x0013__Generation 2 4" xfId="136" xr:uid="{EADCD7A9-C3A5-4815-A01B-2D7A45867202}"/>
    <cellStyle name="_x0013__Generation 3" xfId="137" xr:uid="{F45B2C67-531E-423E-87EC-BADD99FAC9C3}"/>
    <cellStyle name="_x0013__Generation 3 2" xfId="138" xr:uid="{CB658173-19E1-44BA-8A02-19D6D3BD3085}"/>
    <cellStyle name="_x0013__Generation 3 3" xfId="139" xr:uid="{2970AA5F-0863-4F0C-BBBA-6862D45431F9}"/>
    <cellStyle name="_x0013__Generation 4" xfId="140" xr:uid="{86AF796A-FE4F-4353-B442-A69D2B906431}"/>
    <cellStyle name="_x0013__Generation 4 2" xfId="141" xr:uid="{45AFF485-BBDE-4593-B1F4-46E002A0C855}"/>
    <cellStyle name="_x0013__Generation 4 3" xfId="142" xr:uid="{32EB533C-3F7A-48D7-AA65-BCB1A2CB9127}"/>
    <cellStyle name="_x0013__Generation 5" xfId="143" xr:uid="{7CD2C6F0-163E-46A4-A411-62730709220C}"/>
    <cellStyle name="_x0013__Generation 5 2" xfId="144" xr:uid="{E92086FE-CAD6-4F23-8014-A11E19399444}"/>
    <cellStyle name="_x0013__Generation 5 3" xfId="145" xr:uid="{98924E90-A574-4C8A-9F89-69A24E0455D0}"/>
    <cellStyle name="_x0013__Generation 6" xfId="146" xr:uid="{13A0E3B2-4E12-4B4B-A7EA-1B3BAB3223C9}"/>
    <cellStyle name="_x0013__Generation 6 2" xfId="147" xr:uid="{BAA1C9C0-A619-4A83-B831-684E6AA0650A}"/>
    <cellStyle name="_x0013__Generation 6 3" xfId="148" xr:uid="{121944D9-9C80-41A4-993C-FBE59739954E}"/>
    <cellStyle name="_x0013__Generation 7" xfId="149" xr:uid="{CEE7EF06-0513-4205-8930-3E7A71D81764}"/>
    <cellStyle name="_x0013__Generation 7 2" xfId="150" xr:uid="{970ED877-D9EF-4C81-BF26-75602910DCB7}"/>
    <cellStyle name="_x0013__Generation 7 3" xfId="151" xr:uid="{79EF94DF-694D-4FF7-8150-0C7483EC54F8}"/>
    <cellStyle name="_x0013__Generation 8" xfId="152" xr:uid="{A7B925F5-A7EF-4A99-8B0E-20546E26973F}"/>
    <cellStyle name="_x0013__Generation 8 2" xfId="153" xr:uid="{AE9F990C-AF26-465F-8380-AEDF27C26C86}"/>
    <cellStyle name="_x0013__Generation 8 3" xfId="154" xr:uid="{33135E14-EDF1-4981-8EE9-41FF4842C5F2}"/>
    <cellStyle name="_x0013__Generation 9" xfId="155" xr:uid="{6CD4C7C8-5B2F-489D-8F78-90ADB3067E7F}"/>
    <cellStyle name="_x0013__Generation_5. Table of Results - Peak" xfId="156" xr:uid="{EB89CFCA-F586-4100-9A46-B0087589A1FA}"/>
    <cellStyle name="_x0013__Generation_5. Table of Results - Peak 2" xfId="157" xr:uid="{935D0438-AC91-41DD-9263-C3A3E7B329AE}"/>
    <cellStyle name="_x0013__Generation_5. Table of Results - Peak 3" xfId="158" xr:uid="{13C648D7-796B-4878-8291-166C27E823C3}"/>
    <cellStyle name="_x0013__Generation_Pasted Hourly Prices (2010$)" xfId="159" xr:uid="{D41F8D2F-DADA-4A05-A111-F135091A4AE2}"/>
    <cellStyle name="_x0013__Generation_Pasted Hourly Prices (2010$) 2" xfId="160" xr:uid="{07EA3902-6B44-42FB-A899-D43F5CACB3E0}"/>
    <cellStyle name="_x0013__Generation_Slope Avg(1.5IQR)" xfId="161" xr:uid="{F05CBA08-5FAF-43FC-BF9A-3FB91D8394C2}"/>
    <cellStyle name="_x0013__Generation_Slope Avg(1.5IQR) 2" xfId="162" xr:uid="{F8E17A61-2705-4A58-948F-A21734D02948}"/>
    <cellStyle name="_x0013__Generation_Slope Avg(1.5IQR) 3" xfId="163" xr:uid="{D18271A8-8F88-4081-B5F1-5956F1B1778A}"/>
    <cellStyle name="_x0013__Generation_Slope Avg(1.5IQR)_Heat Rates" xfId="164" xr:uid="{5E927338-2D78-4A60-9DA3-4C34A68E3D20}"/>
    <cellStyle name="_x0013__Generation_Slope Avg(1.5IQR)_Hourly MCP" xfId="165" xr:uid="{EF279A51-6436-4751-8824-4A477EF4834E}"/>
    <cellStyle name="_x0013__Generation_Slope Avg(1.5IQR)_Inputs" xfId="166" xr:uid="{581BF45F-FE17-4000-B637-A3126F96ECEC}"/>
    <cellStyle name="_x0013__Generation_Slope Avg(1.5IQR)_MCP_Real" xfId="167" xr:uid="{060D0FA1-1B03-4E11-BD3E-E328AC1B071A}"/>
    <cellStyle name="_x0013__Generation_Slope Avg(1.5IQR)_Monthly MCP" xfId="168" xr:uid="{45BB52BE-D6EE-4D5B-9269-B9B765F260A7}"/>
    <cellStyle name="_x0013__Load" xfId="169" xr:uid="{A578FF7D-44B7-4D9B-9CF5-E71442AF1B16}"/>
    <cellStyle name="_x0013__Load 2" xfId="170" xr:uid="{A877E968-C760-4FA5-9C67-06A876509641}"/>
    <cellStyle name="_x0013__Master Support File_SPO_Henry Hub NG Fcst_Spring Update_WIP_100413" xfId="171" xr:uid="{41DD6A0A-EF31-4060-B56C-C302983B0F18}"/>
    <cellStyle name="_x0013__Mkt Share" xfId="172" xr:uid="{73A22DFC-01BB-4819-A968-DA0C610A1C8B}"/>
    <cellStyle name="_x0013__Mkt Share 10" xfId="173" xr:uid="{50F60910-D3B9-49C7-8769-28D23A8DEB07}"/>
    <cellStyle name="_x0013__Mkt Share 2" xfId="174" xr:uid="{C232C14E-F00F-4085-B6C2-472D27E77507}"/>
    <cellStyle name="_x0013__Mkt Share 2 2" xfId="175" xr:uid="{8784DB99-0DFE-43B0-AFDF-DB0F8E1C9C67}"/>
    <cellStyle name="_x0013__Mkt Share 2 2 2" xfId="176" xr:uid="{D51DE9C0-7268-4BB6-971C-CC582C3012B6}"/>
    <cellStyle name="_x0013__Mkt Share 2 2 3" xfId="177" xr:uid="{F206A5B1-983B-4E1D-8CC4-BE1B322AA791}"/>
    <cellStyle name="_x0013__Mkt Share 2 3" xfId="178" xr:uid="{52F824D9-E02C-43B5-98D0-6EFD4587ECD2}"/>
    <cellStyle name="_x0013__Mkt Share 2 4" xfId="179" xr:uid="{FC3A34AB-8402-43C1-A89C-E68E1898D589}"/>
    <cellStyle name="_x0013__Mkt Share 3" xfId="180" xr:uid="{3ED1CAA4-C56D-4E55-8B49-85141535F1F7}"/>
    <cellStyle name="_x0013__Mkt Share 3 2" xfId="181" xr:uid="{4FC71536-9F01-4280-9CE6-AB4402EF87BB}"/>
    <cellStyle name="_x0013__Mkt Share 3 3" xfId="182" xr:uid="{CB665118-794C-4713-A7F1-C2E3E8FEB71E}"/>
    <cellStyle name="_x0013__Mkt Share 4" xfId="183" xr:uid="{BD2E1A44-B4E5-483A-B631-63E512B496E5}"/>
    <cellStyle name="_x0013__Mkt Share 4 2" xfId="184" xr:uid="{5A83543D-05A0-4AB0-8D0F-1E37B55732F5}"/>
    <cellStyle name="_x0013__Mkt Share 4 3" xfId="185" xr:uid="{5B12AA4E-36E7-48AF-AF02-A0947DFCEB96}"/>
    <cellStyle name="_x0013__Mkt Share 5" xfId="186" xr:uid="{A60A06C2-305A-4651-8AB3-21054BA774FF}"/>
    <cellStyle name="_x0013__Mkt Share 5 2" xfId="187" xr:uid="{1A2B37A8-5AF5-4587-9493-6BF7D5659363}"/>
    <cellStyle name="_x0013__Mkt Share 5 3" xfId="188" xr:uid="{CCFFEEC4-0CB0-49DA-86F4-3D06C6C1BE0D}"/>
    <cellStyle name="_x0013__Mkt Share 6" xfId="189" xr:uid="{E7815E5C-8BB8-47C3-BDC7-2A945DDE8659}"/>
    <cellStyle name="_x0013__Mkt Share 6 2" xfId="190" xr:uid="{BF3CC418-3BE9-44EC-B92E-36488E818268}"/>
    <cellStyle name="_x0013__Mkt Share 6 3" xfId="191" xr:uid="{95C16F8B-A263-48FD-92B9-E972FCFC1BE2}"/>
    <cellStyle name="_x0013__Mkt Share 7" xfId="192" xr:uid="{B0890085-2B55-483D-BCA8-6F464858B806}"/>
    <cellStyle name="_x0013__Mkt Share 7 2" xfId="193" xr:uid="{97216914-6DF0-4226-8961-D76CB0EDE37A}"/>
    <cellStyle name="_x0013__Mkt Share 7 3" xfId="194" xr:uid="{95827D2F-1ADA-4C7B-A589-878551C33C7B}"/>
    <cellStyle name="_x0013__Mkt Share 8" xfId="195" xr:uid="{27BAF633-3AC1-4298-BC1D-BA2DBFD772EE}"/>
    <cellStyle name="_x0013__Mkt Share 8 2" xfId="196" xr:uid="{D29584A9-18E5-4153-A3C5-417965F3468E}"/>
    <cellStyle name="_x0013__Mkt Share 8 3" xfId="197" xr:uid="{76B32479-8D1C-4035-8120-82D64A33CD1D}"/>
    <cellStyle name="_x0013__Mkt Share 9" xfId="198" xr:uid="{0FD669EE-5808-452D-ADED-361D23A0136E}"/>
    <cellStyle name="_x0013__Mkt Share_5. Table of Results - Peak" xfId="199" xr:uid="{0024425E-A96F-4FFE-A89B-DE1D23ED0E32}"/>
    <cellStyle name="_x0013__Mkt Share_5. Table of Results - Peak 2" xfId="200" xr:uid="{202D8EEB-EE57-497E-9300-5C77F915DE32}"/>
    <cellStyle name="_x0013__Mkt Share_5. Table of Results - Peak 3" xfId="201" xr:uid="{EDF469B9-61B6-4568-AA78-98C4D308781F}"/>
    <cellStyle name="_x0013__Mkt Share_Pasted Hourly Prices (2010$)" xfId="202" xr:uid="{C2F58EF8-0E8A-444F-B462-6E94587DE423}"/>
    <cellStyle name="_x0013__Mkt Share_Pasted Hourly Prices (2010$) 2" xfId="203" xr:uid="{4F1C6838-A829-43AB-9881-A7A379855459}"/>
    <cellStyle name="_x0013__Mkt Share_Slope Avg(1.5IQR)" xfId="204" xr:uid="{2D1BB1DB-348B-43CF-8BDB-893708B19E2B}"/>
    <cellStyle name="_x0013__Mkt Share_Slope Avg(1.5IQR) 2" xfId="205" xr:uid="{8212B0DD-7C3A-4AF5-A577-4CBF01FC4F74}"/>
    <cellStyle name="_x0013__Mkt Share_Slope Avg(1.5IQR) 3" xfId="206" xr:uid="{73EF3C5F-33F5-4420-AE8B-82F3E85C72E0}"/>
    <cellStyle name="_x0013__Mkt Share_Slope Avg(1.5IQR)_Heat Rates" xfId="207" xr:uid="{FEE43F0C-1937-4AEE-8BDD-DA1AD0A1B639}"/>
    <cellStyle name="_x0013__Mkt Share_Slope Avg(1.5IQR)_Hourly MCP" xfId="208" xr:uid="{A57D34E4-64B9-4385-9602-975DC3E888D4}"/>
    <cellStyle name="_x0013__Mkt Share_Slope Avg(1.5IQR)_Inputs" xfId="209" xr:uid="{BDCB8F2B-74C9-4E22-876A-60F970610E6F}"/>
    <cellStyle name="_x0013__Mkt Share_Slope Avg(1.5IQR)_MCP_Real" xfId="210" xr:uid="{AB17BDC9-302B-495E-A9B2-ED09DE663F5E}"/>
    <cellStyle name="_x0013__Mkt Share_Slope Avg(1.5IQR)_Monthly MCP" xfId="211" xr:uid="{C00C027A-51DF-4F50-A067-711BB3C27B28}"/>
    <cellStyle name="_x0013__NG LT Methodology Analysis_mac_100416_09$" xfId="212" xr:uid="{B9B72C45-9ACA-43B1-A3AA-7EB262D4573E}"/>
    <cellStyle name="_x0013__NOx" xfId="213" xr:uid="{2402FDC2-A121-4AF6-87A6-88B5B5414B5D}"/>
    <cellStyle name="_x0013__NOx 10" xfId="214" xr:uid="{0ABEFA1D-0100-4512-BBF6-2CB67111A585}"/>
    <cellStyle name="_x0013__NOx 2" xfId="215" xr:uid="{9F6C713D-10D4-4B39-8CF3-A9BF96BEE433}"/>
    <cellStyle name="_x0013__NOx 2 2" xfId="216" xr:uid="{6AAA0FFD-0A28-45BE-B1B9-959BBE1BCE72}"/>
    <cellStyle name="_x0013__NOx 2 2 2" xfId="217" xr:uid="{89189FF4-FAFC-41D8-905B-D2C1D35352E9}"/>
    <cellStyle name="_x0013__NOx 2 2 3" xfId="218" xr:uid="{DACA9F81-0B44-4795-9409-6DB503B14F28}"/>
    <cellStyle name="_x0013__NOx 2 3" xfId="219" xr:uid="{0E205F9D-F0D7-444C-BD9C-7675599CE209}"/>
    <cellStyle name="_x0013__NOx 2 4" xfId="220" xr:uid="{3CE10D33-4E91-42D0-B1DB-E54AA197C0C1}"/>
    <cellStyle name="_x0013__NOx 3" xfId="221" xr:uid="{DE700E72-CCB7-4C23-8A0A-E500648D05B8}"/>
    <cellStyle name="_x0013__NOx 3 2" xfId="222" xr:uid="{743F571A-7040-4978-A8BA-0F3F849674F4}"/>
    <cellStyle name="_x0013__NOx 3 3" xfId="223" xr:uid="{A0458D9D-C0AE-4CF6-96D0-06C6AF16302C}"/>
    <cellStyle name="_x0013__NOx 4" xfId="224" xr:uid="{8D7D57DB-C594-4CB6-A19D-ED6FBD78F5B4}"/>
    <cellStyle name="_x0013__NOx 4 2" xfId="225" xr:uid="{15C8E8A8-1E45-421C-AE80-56BD91E50322}"/>
    <cellStyle name="_x0013__NOx 4 3" xfId="226" xr:uid="{1812033E-AFAC-4DE4-B5C8-DA4B2BE49592}"/>
    <cellStyle name="_x0013__NOx 5" xfId="227" xr:uid="{7C2AF988-03F2-454F-9083-D230A4218CCA}"/>
    <cellStyle name="_x0013__NOx 5 2" xfId="228" xr:uid="{E456AD15-9BB2-4058-8AEC-F488DEA34696}"/>
    <cellStyle name="_x0013__NOx 5 3" xfId="229" xr:uid="{F5DE46CA-4239-4E08-889F-3FC246E06FA3}"/>
    <cellStyle name="_x0013__NOx 6" xfId="230" xr:uid="{075A0C3E-DC58-4CBA-B876-063581CCAF29}"/>
    <cellStyle name="_x0013__NOx 6 2" xfId="231" xr:uid="{2351899B-8771-4187-B48F-B9B5E86241D2}"/>
    <cellStyle name="_x0013__NOx 6 3" xfId="232" xr:uid="{E8E9521B-916F-4168-AA18-6D69A2723CFE}"/>
    <cellStyle name="_x0013__NOx 7" xfId="233" xr:uid="{AFCAC1AB-AEEA-486F-AF32-DB8B84B278F8}"/>
    <cellStyle name="_x0013__NOx 7 2" xfId="234" xr:uid="{03F99280-0536-41C3-9A49-C9DC17072EF1}"/>
    <cellStyle name="_x0013__NOx 7 3" xfId="235" xr:uid="{436BBDCC-F42E-4BCE-8DA5-C6463581F9C0}"/>
    <cellStyle name="_x0013__NOx 8" xfId="236" xr:uid="{602DE75B-91A7-437E-9977-2CED0DAF78EA}"/>
    <cellStyle name="_x0013__NOx 8 2" xfId="237" xr:uid="{39BE95BF-462E-4D50-908F-28C84D03ECB4}"/>
    <cellStyle name="_x0013__NOx 8 3" xfId="238" xr:uid="{59D265B2-C92A-486B-BB0E-EF61D638C4F4}"/>
    <cellStyle name="_x0013__NOx 9" xfId="239" xr:uid="{009114B8-A15D-48DF-AAAF-F04CD53F2AC5}"/>
    <cellStyle name="_x0013__NOx_5. Table of Results - Peak" xfId="240" xr:uid="{0F28E19F-19C2-4A7B-8304-961CE582CAD5}"/>
    <cellStyle name="_x0013__NOx_5. Table of Results - Peak 2" xfId="241" xr:uid="{F6DDE1F5-37BC-4272-BD92-8B9EE394066E}"/>
    <cellStyle name="_x0013__NOx_5. Table of Results - Peak 3" xfId="242" xr:uid="{76CD7120-65E3-40F6-960A-9ED1CBB6A994}"/>
    <cellStyle name="_x0013__NOx_Pasted Hourly Prices (2010$)" xfId="243" xr:uid="{8CD5134A-D681-4062-9164-C909A01CFD7C}"/>
    <cellStyle name="_x0013__NOx_Pasted Hourly Prices (2010$) 2" xfId="244" xr:uid="{D1116ADF-8A85-40B1-8773-9297B761B589}"/>
    <cellStyle name="_x0013__NOx_Slope Avg(1.5IQR)" xfId="245" xr:uid="{F434C1C8-C181-419D-B15A-32BD728AF973}"/>
    <cellStyle name="_x0013__NOx_Slope Avg(1.5IQR) 2" xfId="246" xr:uid="{BD3491A7-7EB0-45E1-8E3F-40A7435936D1}"/>
    <cellStyle name="_x0013__NOx_Slope Avg(1.5IQR) 3" xfId="247" xr:uid="{DC7A9776-FF81-42D7-8E1F-FDCA8B46F3D4}"/>
    <cellStyle name="_x0013__NOx_Slope Avg(1.5IQR)_Heat Rates" xfId="248" xr:uid="{23064F30-BEFD-474D-91C7-7FD5B3EB72F7}"/>
    <cellStyle name="_x0013__NOx_Slope Avg(1.5IQR)_Hourly MCP" xfId="249" xr:uid="{EBE6216F-7AE0-4A15-8755-AC6C99986D9B}"/>
    <cellStyle name="_x0013__NOx_Slope Avg(1.5IQR)_Inputs" xfId="250" xr:uid="{A22E12B2-B6B6-499A-AD5D-999D21A81444}"/>
    <cellStyle name="_x0013__NOx_Slope Avg(1.5IQR)_MCP_Real" xfId="251" xr:uid="{D269ED6C-EAC4-4972-8FA2-E88E43310D2C}"/>
    <cellStyle name="_x0013__NOx_Slope Avg(1.5IQR)_Monthly MCP" xfId="252" xr:uid="{1BECFC9D-F87F-4978-91A6-D83C274126C2}"/>
    <cellStyle name="_x0013__Pasted Hourly Prices (2010$)" xfId="253" xr:uid="{A77CC871-435E-4190-8412-229F98B511BE}"/>
    <cellStyle name="_x0013__Pasted Hourly Prices (2010$) 2" xfId="254" xr:uid="{05D76A10-3119-46B5-93B8-2CF85BDC4F7C}"/>
    <cellStyle name="_x0013__Sheet2" xfId="255" xr:uid="{3D14275A-4955-4D86-89D3-FB0FEB5AFC8F}"/>
    <cellStyle name="_x0013__Sheet2 2" xfId="256" xr:uid="{6306A229-108C-4AA2-A632-7880AF71C8EF}"/>
    <cellStyle name="_x0013__Slope Avg(1.5IQR)" xfId="257" xr:uid="{67DB48B8-5EF6-49B3-93DF-F026DE906483}"/>
    <cellStyle name="_x0013__Slope Avg(1.5IQR) 2" xfId="258" xr:uid="{D3B9E122-1E05-4295-83CF-AF30AF2B7EC0}"/>
    <cellStyle name="_x0013__Slope Avg(1.5IQR) 3" xfId="259" xr:uid="{4AD1F3B1-9E2F-42C1-B62F-C718977048E0}"/>
    <cellStyle name="_x0013__Slope Avg(1.5IQR)_Heat Rates" xfId="260" xr:uid="{496F376D-D7EA-4FB2-872D-5B943E30F6EB}"/>
    <cellStyle name="_x0013__Slope Avg(1.5IQR)_Hourly MCP" xfId="261" xr:uid="{FB06A6F1-BC32-4E50-922C-AFB47BADC24C}"/>
    <cellStyle name="_x0013__Slope Avg(1.5IQR)_Inputs" xfId="262" xr:uid="{BB60AF28-8703-49C0-AA9A-5E0A1AFCFC0E}"/>
    <cellStyle name="_x0013__Slope Avg(1.5IQR)_MCP_Real" xfId="263" xr:uid="{8B89F45B-B4DC-49A2-B7BC-37F71DCFCA0A}"/>
    <cellStyle name="_x0013__Slope Avg(1.5IQR)_Monthly MCP" xfId="264" xr:uid="{1DDE908E-2368-4BAD-B93F-19E303F8B5C4}"/>
    <cellStyle name="_x0013__Slope Comparison" xfId="265" xr:uid="{60A223C9-0BAF-4A24-BDCD-A2BC7703153E}"/>
    <cellStyle name="_x0013__Slope Comparison 2" xfId="266" xr:uid="{D90257B6-787E-454A-9E09-FF90167747AF}"/>
    <cellStyle name="_x0013__Slope Comparison 3" xfId="267" xr:uid="{A32D7389-4654-46A1-91A9-81F8388CEB34}"/>
    <cellStyle name="_x0013__Slope Comparison_Heat Rates" xfId="268" xr:uid="{5191AC98-1C48-461B-9BA5-13753A29CD1A}"/>
    <cellStyle name="_x0013__Slope Comparison_Hourly MCP" xfId="269" xr:uid="{37DB67BD-F423-450F-A036-1F04E106DA39}"/>
    <cellStyle name="_x0013__Slope Comparison_Inputs" xfId="270" xr:uid="{D760EE2B-BE21-4EFB-9016-24722A9B37B9}"/>
    <cellStyle name="_x0013__Slope Comparison_MCP_Real" xfId="271" xr:uid="{D8DED4DC-382C-464E-B05B-499689BE407E}"/>
    <cellStyle name="_x0013__Slope Comparison_Monthly MCP" xfId="272" xr:uid="{174D2168-0C9A-4CCB-B1CB-33C66AC4B584}"/>
    <cellStyle name="_x0013__SO2" xfId="273" xr:uid="{A43E3D63-B9DA-4C90-9A37-133E7D316881}"/>
    <cellStyle name="_x0013__SO2 10" xfId="274" xr:uid="{CC1B5EBA-B7B7-4C58-A070-C44421178AF3}"/>
    <cellStyle name="_x0013__SO2 2" xfId="275" xr:uid="{A3758560-86A2-4C12-A685-1A4635D05DC4}"/>
    <cellStyle name="_x0013__SO2 2 2" xfId="276" xr:uid="{DE7C853C-9504-4E0B-A97E-3CC2701D77D3}"/>
    <cellStyle name="_x0013__SO2 2 2 2" xfId="277" xr:uid="{178CF711-CE5B-45E1-837D-1BEB73A0D31D}"/>
    <cellStyle name="_x0013__SO2 2 2 3" xfId="278" xr:uid="{691B7F02-F02D-4A2C-9A00-DB12C62F095E}"/>
    <cellStyle name="_x0013__SO2 2 3" xfId="279" xr:uid="{AE4A5CBA-814A-4CA3-A6B9-544857FED1F8}"/>
    <cellStyle name="_x0013__SO2 2 4" xfId="280" xr:uid="{9990A165-AF97-4F74-BFC0-FFB1B17DDCF8}"/>
    <cellStyle name="_x0013__SO2 3" xfId="281" xr:uid="{35116EDA-9D01-4139-BC9C-3379315E8B3A}"/>
    <cellStyle name="_x0013__SO2 3 2" xfId="282" xr:uid="{69158B1C-451A-4B55-8733-192A74ECDE7C}"/>
    <cellStyle name="_x0013__SO2 3 3" xfId="283" xr:uid="{3F9A930C-CF14-433A-9635-A973C47D1696}"/>
    <cellStyle name="_x0013__SO2 4" xfId="284" xr:uid="{BFE6693E-598B-4043-B1AE-068F9D78CB70}"/>
    <cellStyle name="_x0013__SO2 4 2" xfId="285" xr:uid="{26E7B394-D4FF-4762-BAE9-54D7623773D2}"/>
    <cellStyle name="_x0013__SO2 4 3" xfId="286" xr:uid="{DE92ECC4-A10C-4C8E-940F-8E291742EA4F}"/>
    <cellStyle name="_x0013__SO2 5" xfId="287" xr:uid="{A238C9EE-5460-4398-BFD6-87404CD03787}"/>
    <cellStyle name="_x0013__SO2 5 2" xfId="288" xr:uid="{F9F86075-5D46-4792-8A20-05AAF459CF05}"/>
    <cellStyle name="_x0013__SO2 5 3" xfId="289" xr:uid="{7AF01C01-0D7E-4F7A-A40A-551DDE907018}"/>
    <cellStyle name="_x0013__SO2 6" xfId="290" xr:uid="{0E67619A-EDD0-4E20-9782-F1610D6C5055}"/>
    <cellStyle name="_x0013__SO2 6 2" xfId="291" xr:uid="{CC0ED636-098F-4188-A1C0-F6A0710B48B4}"/>
    <cellStyle name="_x0013__SO2 6 3" xfId="292" xr:uid="{55821E0C-D14C-4DEB-8B81-F9FD496DBF87}"/>
    <cellStyle name="_x0013__SO2 7" xfId="293" xr:uid="{54120B57-E132-49E4-B4F3-2F9417CD1A84}"/>
    <cellStyle name="_x0013__SO2 7 2" xfId="294" xr:uid="{314B0587-9497-4ACB-8C47-D96367BECF55}"/>
    <cellStyle name="_x0013__SO2 7 3" xfId="295" xr:uid="{CCBFDC8B-2956-4699-BF10-AF2FFC65603B}"/>
    <cellStyle name="_x0013__SO2 8" xfId="296" xr:uid="{9FC82121-CE64-49D0-809C-59C187421BF2}"/>
    <cellStyle name="_x0013__SO2 8 2" xfId="297" xr:uid="{D2B335FB-55BD-4A60-83A0-46B8AF1654B5}"/>
    <cellStyle name="_x0013__SO2 8 3" xfId="298" xr:uid="{93D80E2F-E71E-44C1-90B9-ED6FA93AF76C}"/>
    <cellStyle name="_x0013__SO2 9" xfId="299" xr:uid="{7326C52B-F839-40C1-BCB5-250F916E6011}"/>
    <cellStyle name="_x0013__SO2_5. Table of Results - Peak" xfId="300" xr:uid="{A8263808-CBB4-4EF1-A4ED-7078D37C72DC}"/>
    <cellStyle name="_x0013__SO2_5. Table of Results - Peak 2" xfId="301" xr:uid="{F8E061CE-24EA-4643-BADC-C99995D4500E}"/>
    <cellStyle name="_x0013__SO2_5. Table of Results - Peak 3" xfId="302" xr:uid="{5735D71B-44D3-410F-8A1D-B36A6148BB8E}"/>
    <cellStyle name="_x0013__SO2_Pasted Hourly Prices (2010$)" xfId="303" xr:uid="{067CC6B7-2E4A-4364-B1F1-3D8D7B82A8E2}"/>
    <cellStyle name="_x0013__SO2_Pasted Hourly Prices (2010$) 2" xfId="304" xr:uid="{8FC526DC-D736-4E55-A86B-6DE89021EA4B}"/>
    <cellStyle name="_x0013__SO2_Slope Avg(1.5IQR)" xfId="305" xr:uid="{37AAFEA7-4922-41D7-A9E8-5957E8F05105}"/>
    <cellStyle name="_x0013__SO2_Slope Avg(1.5IQR) 2" xfId="306" xr:uid="{1F4C6404-43D9-4023-AA24-4D022BE6A61C}"/>
    <cellStyle name="_x0013__SO2_Slope Avg(1.5IQR) 3" xfId="307" xr:uid="{859794EF-7AFB-4BE0-8EB8-2992983A85F4}"/>
    <cellStyle name="_x0013__SO2_Slope Avg(1.5IQR)_Heat Rates" xfId="308" xr:uid="{AD8C886A-7066-4619-8342-939F4647DDE4}"/>
    <cellStyle name="_x0013__SO2_Slope Avg(1.5IQR)_Hourly MCP" xfId="309" xr:uid="{6D2B3C37-663D-4EB2-AD33-C2D30C8CFD8D}"/>
    <cellStyle name="_x0013__SO2_Slope Avg(1.5IQR)_Inputs" xfId="310" xr:uid="{2C0C0887-E324-4433-B1EE-410061BCF984}"/>
    <cellStyle name="_x0013__SO2_Slope Avg(1.5IQR)_MCP_Real" xfId="311" xr:uid="{9E0FDA94-CF02-4116-9E77-D3C296413CA2}"/>
    <cellStyle name="_x0013__SO2_Slope Avg(1.5IQR)_Monthly MCP" xfId="312" xr:uid="{DF3EBF0F-0117-452B-A1EA-D43F02605C06}"/>
    <cellStyle name="20% - Accent1" xfId="1" builtinId="30" hidden="1" customBuiltin="1"/>
    <cellStyle name="20% - Accent1" xfId="77" builtinId="30"/>
    <cellStyle name="20% - Accent1 10" xfId="314" xr:uid="{54EA09F3-50A1-41FD-8551-1A19E0F219AA}"/>
    <cellStyle name="20% - Accent1 10 2" xfId="5123" xr:uid="{451219EC-1BCB-450F-8353-0BCAC50F86FD}"/>
    <cellStyle name="20% - Accent1 11" xfId="315" xr:uid="{79308EFA-60C8-4CB4-9230-1C5571C8B8AD}"/>
    <cellStyle name="20% - Accent1 11 2" xfId="5124" xr:uid="{DCEC4C28-E92C-4371-91A4-D70CC9F59EAC}"/>
    <cellStyle name="20% - Accent1 12" xfId="316" xr:uid="{78454C00-CAB0-4E1F-A406-5887B92CEBEA}"/>
    <cellStyle name="20% - Accent1 12 2" xfId="5125" xr:uid="{40195220-E65D-4D17-BBBF-F859A1E0E986}"/>
    <cellStyle name="20% - Accent1 13" xfId="317" xr:uid="{A5131F28-C27E-49F8-80D8-968F11F22588}"/>
    <cellStyle name="20% - Accent1 13 2" xfId="5126" xr:uid="{9C4EF855-E82E-4D1B-8994-660B83110B8A}"/>
    <cellStyle name="20% - Accent1 14" xfId="318" xr:uid="{C75DAD15-7721-4788-8AFD-07F644594BDA}"/>
    <cellStyle name="20% - Accent1 14 2" xfId="5127" xr:uid="{D4A5F765-8CAA-42DE-85C9-8BC6240DCCA9}"/>
    <cellStyle name="20% - Accent1 15" xfId="319" xr:uid="{818E5C40-408C-4EAB-BEAB-92492E52B9A2}"/>
    <cellStyle name="20% - Accent1 15 2" xfId="5128" xr:uid="{7EFE48ED-503D-4DD5-BC51-E805A125F907}"/>
    <cellStyle name="20% - Accent1 16" xfId="320" xr:uid="{B0B967AB-A911-4AF7-A066-7DE5033C97AE}"/>
    <cellStyle name="20% - Accent1 16 2" xfId="5129" xr:uid="{F4A6BFE3-4210-40DA-9B68-9E78EB784F73}"/>
    <cellStyle name="20% - Accent1 17" xfId="321" xr:uid="{73F61EF4-3EC3-4A35-91A3-E58384F21659}"/>
    <cellStyle name="20% - Accent1 17 2" xfId="5130" xr:uid="{E8AA8D04-9F92-4CD5-B3F5-A035E1E97CE4}"/>
    <cellStyle name="20% - Accent1 18" xfId="322" xr:uid="{A0D4C05E-E395-4DC6-B177-7C23B8CD87C2}"/>
    <cellStyle name="20% - Accent1 18 2" xfId="5131" xr:uid="{8E64A5C2-745D-459E-B28D-CE01C805D23C}"/>
    <cellStyle name="20% - Accent1 19" xfId="323" xr:uid="{AB7B9DEE-9873-49B2-B80D-56F03E3E701A}"/>
    <cellStyle name="20% - Accent1 19 2" xfId="5132" xr:uid="{283F15E4-2FBD-4CB4-B6F5-F2C74A1D2CCD}"/>
    <cellStyle name="20% - Accent1 2" xfId="324" xr:uid="{956569B0-C29E-49B8-AEB4-BB68CA7FE67E}"/>
    <cellStyle name="20% - Accent1 2 2" xfId="325" xr:uid="{FF7A3787-F833-418E-938F-9E8AF3FBA60B}"/>
    <cellStyle name="20% - Accent1 20" xfId="326" xr:uid="{7CA81DCF-501B-4455-BEF2-8168A0A847F7}"/>
    <cellStyle name="20% - Accent1 20 2" xfId="5133" xr:uid="{C6C22044-0F20-4AA5-AD52-88D25A5210A0}"/>
    <cellStyle name="20% - Accent1 21" xfId="327" xr:uid="{CBC4C5C9-79F7-41BE-917D-2E46D56440F6}"/>
    <cellStyle name="20% - Accent1 21 2" xfId="5134" xr:uid="{FBFEF7A3-F435-4AD5-B5A5-867ABAC9ED2F}"/>
    <cellStyle name="20% - Accent1 22" xfId="328" xr:uid="{AA9A3A76-42B2-435C-9130-B5B7E30151F2}"/>
    <cellStyle name="20% - Accent1 22 2" xfId="5135" xr:uid="{342038FD-6970-467D-8B2F-F3620F7D2E2B}"/>
    <cellStyle name="20% - Accent1 23" xfId="329" xr:uid="{04F50D3B-3333-454E-ABB2-1699C07D6D6C}"/>
    <cellStyle name="20% - Accent1 23 2" xfId="5136" xr:uid="{B402EC8B-819E-4080-B31D-0EA47A155801}"/>
    <cellStyle name="20% - Accent1 24" xfId="330" xr:uid="{140CD2CC-5E00-441E-B264-97FA2162049D}"/>
    <cellStyle name="20% - Accent1 24 2" xfId="5137" xr:uid="{FE213BE1-77E2-40AA-9348-B133CB5BF768}"/>
    <cellStyle name="20% - Accent1 25" xfId="331" xr:uid="{03E1561B-26AF-4F42-ADD4-FCFAF753E5F6}"/>
    <cellStyle name="20% - Accent1 25 2" xfId="5138" xr:uid="{36295C5C-5B38-4BA6-A284-086125B7060B}"/>
    <cellStyle name="20% - Accent1 26" xfId="332" xr:uid="{7E9AF72A-8F52-4270-B5E7-006417258931}"/>
    <cellStyle name="20% - Accent1 26 2" xfId="5139" xr:uid="{B15E54E8-C158-499B-A211-577FB75CDCE8}"/>
    <cellStyle name="20% - Accent1 27" xfId="333" xr:uid="{49C2777F-11EA-4A3B-A655-99C14836D47B}"/>
    <cellStyle name="20% - Accent1 27 2" xfId="5140" xr:uid="{3DD3FA84-2A04-49A2-8CD9-60FA542AEC7C}"/>
    <cellStyle name="20% - Accent1 28" xfId="334" xr:uid="{DABBB2B5-4491-4245-B284-25ABECFF0430}"/>
    <cellStyle name="20% - Accent1 28 2" xfId="5141" xr:uid="{F991E86A-9093-4A1F-BF3F-7B95604F813E}"/>
    <cellStyle name="20% - Accent1 29" xfId="335" xr:uid="{433B257F-1F1E-4011-80EE-41C9910567FD}"/>
    <cellStyle name="20% - Accent1 29 2" xfId="5142" xr:uid="{A943E71B-D87A-4FA3-8FBC-A326CBB23292}"/>
    <cellStyle name="20% - Accent1 3" xfId="336" xr:uid="{ACD78C69-1D08-4091-9C49-9F87643B2F82}"/>
    <cellStyle name="20% - Accent1 3 2" xfId="5143" xr:uid="{9717D844-0FEB-46FE-8360-A738AFB02B0A}"/>
    <cellStyle name="20% - Accent1 30" xfId="337" xr:uid="{19357AEC-F615-47E5-8D2D-F0CC66EEB968}"/>
    <cellStyle name="20% - Accent1 30 2" xfId="5144" xr:uid="{A4D8859B-ECC8-46B6-B529-437E9AF0926B}"/>
    <cellStyle name="20% - Accent1 31" xfId="338" xr:uid="{68A831E9-8DC4-4CE3-9785-191D0FE8CB9C}"/>
    <cellStyle name="20% - Accent1 31 2" xfId="5145" xr:uid="{1831BE7F-2632-467F-970E-8DA0F87D4BF5}"/>
    <cellStyle name="20% - Accent1 32" xfId="339" xr:uid="{D7FA886A-4EC5-436A-9EDD-6DE7350B8767}"/>
    <cellStyle name="20% - Accent1 32 2" xfId="5146" xr:uid="{6C769395-42A2-4BDF-903E-5EA98EC832F3}"/>
    <cellStyle name="20% - Accent1 33" xfId="340" xr:uid="{520FD40E-645E-4828-83BA-FB6E333B8670}"/>
    <cellStyle name="20% - Accent1 33 2" xfId="5147" xr:uid="{23D5E7B1-ADD7-4F8C-B415-D3DA20AE9C66}"/>
    <cellStyle name="20% - Accent1 34" xfId="341" xr:uid="{CFB51C46-339D-4893-890E-440D62BB9FF4}"/>
    <cellStyle name="20% - Accent1 34 2" xfId="5148" xr:uid="{6E683082-A9F7-4D36-A912-FC06465EB4FC}"/>
    <cellStyle name="20% - Accent1 35" xfId="342" xr:uid="{71FFC2A9-8073-460A-AAD6-62D835CFB1F1}"/>
    <cellStyle name="20% - Accent1 35 2" xfId="5149" xr:uid="{80B28CB3-FC6E-4DB0-8957-D92CFBA9C337}"/>
    <cellStyle name="20% - Accent1 36" xfId="343" xr:uid="{C2E989C8-5605-4D3D-970C-3AAB61087BD5}"/>
    <cellStyle name="20% - Accent1 36 2" xfId="5150" xr:uid="{9C9C9940-5313-489E-89A6-BE50F77C2CBB}"/>
    <cellStyle name="20% - Accent1 37" xfId="344" xr:uid="{3E0160CA-2EB8-4209-A72A-EEF2D31AC4FD}"/>
    <cellStyle name="20% - Accent1 37 2" xfId="5151" xr:uid="{A4910B96-9FC3-4931-9E9A-CB6909083935}"/>
    <cellStyle name="20% - Accent1 38" xfId="345" xr:uid="{E82DED07-F2A0-4CC6-B642-AB5DE6D557DE}"/>
    <cellStyle name="20% - Accent1 38 2" xfId="5152" xr:uid="{F6F68EEB-BB03-4787-86A8-C42CA22F9155}"/>
    <cellStyle name="20% - Accent1 39" xfId="346" xr:uid="{33CE900D-685F-4C37-931D-12DA99125CD7}"/>
    <cellStyle name="20% - Accent1 39 2" xfId="5153" xr:uid="{50DD7B67-D5B3-4D33-9389-E5439DEBFFF3}"/>
    <cellStyle name="20% - Accent1 4" xfId="347" xr:uid="{B90AB650-6078-4DC4-BB2F-35ECFF11CB16}"/>
    <cellStyle name="20% - Accent1 4 2" xfId="5154" xr:uid="{51691396-F308-49B9-B1E3-100C18629D6C}"/>
    <cellStyle name="20% - Accent1 40" xfId="348" xr:uid="{5C8B5306-7471-4728-8EC1-5F4305194983}"/>
    <cellStyle name="20% - Accent1 40 2" xfId="5155" xr:uid="{863509A2-9CBF-4F3E-A252-1985367FD8FF}"/>
    <cellStyle name="20% - Accent1 41" xfId="349" xr:uid="{466743B1-3D42-4A71-A3FE-A6C67D073DBD}"/>
    <cellStyle name="20% - Accent1 41 2" xfId="5156" xr:uid="{E7CE9599-C4D1-4BAE-88FF-C252CCE4C6F8}"/>
    <cellStyle name="20% - Accent1 42" xfId="350" xr:uid="{867C3908-1725-49D3-BDB8-4FEA10FFDB24}"/>
    <cellStyle name="20% - Accent1 42 2" xfId="5157" xr:uid="{A6439140-17DA-483D-B826-D91574F04CE6}"/>
    <cellStyle name="20% - Accent1 43" xfId="351" xr:uid="{5D772FC9-CD79-470B-9371-2E6383811061}"/>
    <cellStyle name="20% - Accent1 43 2" xfId="5158" xr:uid="{55C2F4E7-0C35-4FE5-87E1-A4EE7DE45109}"/>
    <cellStyle name="20% - Accent1 44" xfId="5938" xr:uid="{4BA91982-57EB-4031-AA60-56918928014F}"/>
    <cellStyle name="20% - Accent1 44 2" xfId="7176" xr:uid="{563099AF-57A9-42C9-A61B-A01E3B7EB864}"/>
    <cellStyle name="20% - Accent1 45" xfId="313" xr:uid="{3F48216D-9A79-4792-8C36-C55286C430C5}"/>
    <cellStyle name="20% - Accent1 45 2" xfId="12368" xr:uid="{2F545F9A-2100-4EC2-B6BA-ECFEF26DC4A2}"/>
    <cellStyle name="20% - Accent1 5" xfId="352" xr:uid="{498BF9CA-A588-45C0-B339-BF4515696D16}"/>
    <cellStyle name="20% - Accent1 5 2" xfId="5159" xr:uid="{1D689B15-197B-45B7-9B5C-284FE7980366}"/>
    <cellStyle name="20% - Accent1 6" xfId="353" xr:uid="{44957077-AD44-4711-A347-603830D0A7BE}"/>
    <cellStyle name="20% - Accent1 6 2" xfId="5160" xr:uid="{DDD9DE37-C2DD-42EB-BAEB-5FB3BAEC3D20}"/>
    <cellStyle name="20% - Accent1 7" xfId="354" xr:uid="{F44FF363-04E0-4BC3-B114-89065986C583}"/>
    <cellStyle name="20% - Accent1 7 2" xfId="5161" xr:uid="{418F7EFA-D7B3-417D-819E-1935FA1E6451}"/>
    <cellStyle name="20% - Accent1 8" xfId="355" xr:uid="{FB68B2A0-1372-4DF1-9F48-11F813B508D9}"/>
    <cellStyle name="20% - Accent1 8 2" xfId="5162" xr:uid="{068229DE-CEFA-4FB9-BF60-8E863B784690}"/>
    <cellStyle name="20% - Accent1 9" xfId="356" xr:uid="{9F0D0755-3EEB-4088-ACF7-2AB62DE5B323}"/>
    <cellStyle name="20% - Accent1 9 2" xfId="5163" xr:uid="{4D633DD9-6768-4620-9F0A-7BF08052B6D5}"/>
    <cellStyle name="20% - Accent2" xfId="2" builtinId="34" hidden="1" customBuiltin="1"/>
    <cellStyle name="20% - Accent2" xfId="357" builtinId="34" customBuiltin="1"/>
    <cellStyle name="20% - Accent2 10" xfId="358" xr:uid="{8BA5FC66-F8FB-4491-81D4-71FF7CFD01B8}"/>
    <cellStyle name="20% - Accent2 10 2" xfId="5164" xr:uid="{7C9A6245-98BC-4E60-9573-BDFEA4EF825F}"/>
    <cellStyle name="20% - Accent2 11" xfId="359" xr:uid="{1A4D39CA-90D3-4E1D-A0E5-06FF84CA9376}"/>
    <cellStyle name="20% - Accent2 11 2" xfId="5165" xr:uid="{A706BA54-C9F5-406A-9D2F-46DE88CD0254}"/>
    <cellStyle name="20% - Accent2 12" xfId="360" xr:uid="{B672DE97-4EE0-42F0-A49A-E4B64BFB2043}"/>
    <cellStyle name="20% - Accent2 12 2" xfId="5166" xr:uid="{51FB99AA-B5BF-485B-9726-DC5D63D14351}"/>
    <cellStyle name="20% - Accent2 13" xfId="361" xr:uid="{00A52B31-6F52-4988-B351-0B207E63E545}"/>
    <cellStyle name="20% - Accent2 13 2" xfId="5167" xr:uid="{58BE8872-DB8E-47DA-B902-7208B6812CE0}"/>
    <cellStyle name="20% - Accent2 14" xfId="362" xr:uid="{05A16368-2928-4752-9655-7992D4B4E886}"/>
    <cellStyle name="20% - Accent2 14 2" xfId="5168" xr:uid="{126F98A3-6944-4F1D-B13A-66A5B8723B16}"/>
    <cellStyle name="20% - Accent2 15" xfId="363" xr:uid="{3B99B121-53B0-477C-A6AC-58384E84818A}"/>
    <cellStyle name="20% - Accent2 15 2" xfId="5169" xr:uid="{DAC31061-361E-4CA5-9C0A-CA6BBFE0982C}"/>
    <cellStyle name="20% - Accent2 16" xfId="364" xr:uid="{2FB8C8A2-95D9-4C99-B408-088A89494F0A}"/>
    <cellStyle name="20% - Accent2 16 2" xfId="5170" xr:uid="{DEBFC375-3935-40F7-8641-7393E1D33BFE}"/>
    <cellStyle name="20% - Accent2 17" xfId="365" xr:uid="{6610B62A-8341-4791-961B-C85EF102E3B8}"/>
    <cellStyle name="20% - Accent2 17 2" xfId="5171" xr:uid="{63023271-2E5C-4415-9AD5-9E32F8939319}"/>
    <cellStyle name="20% - Accent2 18" xfId="366" xr:uid="{4C1AB4EB-C65F-4527-AD72-2A723419D629}"/>
    <cellStyle name="20% - Accent2 18 2" xfId="5172" xr:uid="{69818A69-34E2-4B56-ADC4-67BE66ED6F4B}"/>
    <cellStyle name="20% - Accent2 19" xfId="367" xr:uid="{0799F6C5-954C-4C9E-B99C-3E1D8B840294}"/>
    <cellStyle name="20% - Accent2 19 2" xfId="5173" xr:uid="{9819DF86-3FA7-48D7-9CB8-1CC007A4D70F}"/>
    <cellStyle name="20% - Accent2 2" xfId="368" xr:uid="{73A6EBA0-0DB9-4971-B504-134D8E1CACD2}"/>
    <cellStyle name="20% - Accent2 2 2" xfId="369" xr:uid="{F6D7CB01-2F8D-4C12-BC60-551DA22DFE79}"/>
    <cellStyle name="20% - Accent2 20" xfId="370" xr:uid="{AF8E76D9-F92B-4539-BCAB-0ABC3E6D4209}"/>
    <cellStyle name="20% - Accent2 20 2" xfId="5174" xr:uid="{949A22F0-E165-47DC-B583-546F50101A86}"/>
    <cellStyle name="20% - Accent2 21" xfId="371" xr:uid="{8EA1D2A0-D08B-4D8C-816F-EABA14E327D5}"/>
    <cellStyle name="20% - Accent2 21 2" xfId="5175" xr:uid="{C5AEFED7-7E26-4579-A275-DE43F97AC4D2}"/>
    <cellStyle name="20% - Accent2 22" xfId="372" xr:uid="{F36214FC-BC06-49F1-B19C-A34118FAD3A7}"/>
    <cellStyle name="20% - Accent2 22 2" xfId="5176" xr:uid="{F9C85E8A-04ED-4929-A23B-5E0E4CA99BC0}"/>
    <cellStyle name="20% - Accent2 23" xfId="373" xr:uid="{B687E7BB-944F-4BD3-852E-86BCE1087B6D}"/>
    <cellStyle name="20% - Accent2 23 2" xfId="5177" xr:uid="{D08CA09A-C053-470C-B500-C3E3BB5CCD59}"/>
    <cellStyle name="20% - Accent2 24" xfId="374" xr:uid="{361C8F75-7F37-4AAE-894D-CE45C30DB1A9}"/>
    <cellStyle name="20% - Accent2 24 2" xfId="5178" xr:uid="{4AD25F21-CF50-4ED2-9147-C421EE87CCDE}"/>
    <cellStyle name="20% - Accent2 25" xfId="375" xr:uid="{E5AB3693-89BA-4EE4-95C2-9BF743491919}"/>
    <cellStyle name="20% - Accent2 25 2" xfId="5179" xr:uid="{DE3D4C1F-64B5-4370-ABBF-C752A1ABFBAF}"/>
    <cellStyle name="20% - Accent2 26" xfId="376" xr:uid="{8A54045B-626B-428C-8223-805FA55F15B6}"/>
    <cellStyle name="20% - Accent2 26 2" xfId="5180" xr:uid="{00F971A6-CDEF-451D-A903-A90312DC1853}"/>
    <cellStyle name="20% - Accent2 27" xfId="377" xr:uid="{4DB354F4-15D9-4984-8628-D92BE69649F1}"/>
    <cellStyle name="20% - Accent2 27 2" xfId="5181" xr:uid="{6E9ABD5E-8F3F-4C6E-8F91-B75A3E522844}"/>
    <cellStyle name="20% - Accent2 28" xfId="378" xr:uid="{20CC3ABB-F1A7-4120-9BBF-74DE1E5B0687}"/>
    <cellStyle name="20% - Accent2 28 2" xfId="5182" xr:uid="{4BAA5B7F-BC32-4D91-BA3F-972C5DF135E0}"/>
    <cellStyle name="20% - Accent2 29" xfId="379" xr:uid="{B725D446-FDD2-48F9-895A-B2B90D0396F7}"/>
    <cellStyle name="20% - Accent2 29 2" xfId="5183" xr:uid="{D19E239F-F14B-435B-AEE4-7A64E9CE0D65}"/>
    <cellStyle name="20% - Accent2 3" xfId="380" xr:uid="{0126A31E-B44F-4F7E-8429-B6D098737BB5}"/>
    <cellStyle name="20% - Accent2 3 2" xfId="5184" xr:uid="{A963D543-D04E-4CDD-B2E6-B34C85188DE9}"/>
    <cellStyle name="20% - Accent2 30" xfId="381" xr:uid="{8329B978-C33F-4FD5-AC5B-F7C2405E3871}"/>
    <cellStyle name="20% - Accent2 30 2" xfId="5185" xr:uid="{D7C52BC1-EC19-4EA4-82E4-867852560FF3}"/>
    <cellStyle name="20% - Accent2 31" xfId="382" xr:uid="{7F802567-A934-474E-A3BA-9661DF1962D8}"/>
    <cellStyle name="20% - Accent2 31 2" xfId="5186" xr:uid="{1993F32B-0B37-4140-9D46-3F58ABD554FE}"/>
    <cellStyle name="20% - Accent2 32" xfId="383" xr:uid="{A8DA8915-2A9E-4AE2-A922-C8AEF384C2D9}"/>
    <cellStyle name="20% - Accent2 32 2" xfId="5187" xr:uid="{7E12D973-DCD4-4F55-98B9-A3338BB4F15D}"/>
    <cellStyle name="20% - Accent2 33" xfId="384" xr:uid="{85C1E466-EAE7-463F-B785-45A0F2F539F0}"/>
    <cellStyle name="20% - Accent2 33 2" xfId="5188" xr:uid="{14F7E531-947C-4CB4-8F1E-F3E2CAC3203E}"/>
    <cellStyle name="20% - Accent2 34" xfId="385" xr:uid="{F8661986-E4A3-4B7D-8319-931384537AC1}"/>
    <cellStyle name="20% - Accent2 34 2" xfId="5189" xr:uid="{CE79606E-C4FE-454C-9835-15DFD681C983}"/>
    <cellStyle name="20% - Accent2 35" xfId="386" xr:uid="{08FB8291-3334-4759-B69F-0DAC8E7D2A1C}"/>
    <cellStyle name="20% - Accent2 35 2" xfId="5190" xr:uid="{31B2D4EA-7D39-4F31-A87C-C16358CA5BB9}"/>
    <cellStyle name="20% - Accent2 36" xfId="387" xr:uid="{BA5EB2D5-7F81-4614-9660-B064F86FE97D}"/>
    <cellStyle name="20% - Accent2 36 2" xfId="5191" xr:uid="{7AC1E645-D3EF-4051-AB7C-13E82F25A5A4}"/>
    <cellStyle name="20% - Accent2 37" xfId="388" xr:uid="{F25DC9A6-AA1D-45F9-AE38-EDE26AFB1F3D}"/>
    <cellStyle name="20% - Accent2 37 2" xfId="5192" xr:uid="{ED3E9B17-8517-4CCC-A894-CAE9E01CEA3F}"/>
    <cellStyle name="20% - Accent2 38" xfId="389" xr:uid="{1F4E1C99-9CC2-43E9-B907-42147FA203AB}"/>
    <cellStyle name="20% - Accent2 38 2" xfId="5193" xr:uid="{DE375375-7ED8-4116-8082-C661A67B1178}"/>
    <cellStyle name="20% - Accent2 39" xfId="390" xr:uid="{BF089402-C47D-4B3A-96ED-1A8C5F7FA5C1}"/>
    <cellStyle name="20% - Accent2 39 2" xfId="5194" xr:uid="{6600F41E-612F-48EA-93F3-FD034185FA37}"/>
    <cellStyle name="20% - Accent2 4" xfId="391" xr:uid="{CE9BBC10-C367-40AB-9056-46C33117CEEC}"/>
    <cellStyle name="20% - Accent2 4 2" xfId="5195" xr:uid="{7C6D2EFC-55C9-4F0D-8F05-D77F272A6B4D}"/>
    <cellStyle name="20% - Accent2 40" xfId="392" xr:uid="{641D0AF5-9348-4B4A-9427-D17382CFDFC0}"/>
    <cellStyle name="20% - Accent2 40 2" xfId="5196" xr:uid="{27E4AF36-6789-457E-B0ED-588117FF2A45}"/>
    <cellStyle name="20% - Accent2 41" xfId="393" xr:uid="{1B4B543F-84E9-4A0C-9423-4075065CE3FB}"/>
    <cellStyle name="20% - Accent2 41 2" xfId="5197" xr:uid="{991D6F20-B3D1-420C-A74A-8701EE2F5A8C}"/>
    <cellStyle name="20% - Accent2 42" xfId="394" xr:uid="{D29FBEE6-D483-432E-9EC5-CBD5C02CAD04}"/>
    <cellStyle name="20% - Accent2 42 2" xfId="5198" xr:uid="{E695C800-F51B-4609-AAD6-C2F30C19198B}"/>
    <cellStyle name="20% - Accent2 43" xfId="395" xr:uid="{229FE073-90E0-419F-BD48-7E9B2B8F5DCD}"/>
    <cellStyle name="20% - Accent2 43 2" xfId="5199" xr:uid="{47994C85-BEC5-4E34-AE6E-EB4D4148CF8B}"/>
    <cellStyle name="20% - Accent2 44" xfId="7219" xr:uid="{D0B1A9CD-888D-445C-B34E-DA51794ADFF2}"/>
    <cellStyle name="20% - Accent2 5" xfId="396" xr:uid="{E884F065-F8D7-4703-B1F1-D464891F7FDB}"/>
    <cellStyle name="20% - Accent2 5 2" xfId="5200" xr:uid="{1977715C-9428-4179-86DB-051CEEE0C8E6}"/>
    <cellStyle name="20% - Accent2 6" xfId="397" xr:uid="{3C027CFB-EF17-444F-8B90-E74092D1A386}"/>
    <cellStyle name="20% - Accent2 6 2" xfId="5201" xr:uid="{2A765317-9538-4FCD-A94C-BE34B41818CF}"/>
    <cellStyle name="20% - Accent2 7" xfId="398" xr:uid="{6DA7E212-E610-4ABE-B655-E3EBAC9EB003}"/>
    <cellStyle name="20% - Accent2 7 2" xfId="5202" xr:uid="{B8ECD47C-E5B2-4E3B-B253-20E4CCB34316}"/>
    <cellStyle name="20% - Accent2 8" xfId="399" xr:uid="{BA38C304-7C7E-4305-B20D-151401D4E0CF}"/>
    <cellStyle name="20% - Accent2 8 2" xfId="5203" xr:uid="{6F707CA2-0C47-4BE5-982F-5B2ACF4A2555}"/>
    <cellStyle name="20% - Accent2 9" xfId="400" xr:uid="{DDD3886D-2F4E-4C8F-B493-FC616A34AEB9}"/>
    <cellStyle name="20% - Accent2 9 2" xfId="5204" xr:uid="{71EF1664-0868-4438-B9AD-53DF644C31DA}"/>
    <cellStyle name="20% - Accent3" xfId="3" builtinId="38" hidden="1" customBuiltin="1"/>
    <cellStyle name="20% - Accent3" xfId="401" builtinId="38" customBuiltin="1"/>
    <cellStyle name="20% - Accent3 10" xfId="402" xr:uid="{6108DCD8-F3D4-46B0-B005-18D65222CD40}"/>
    <cellStyle name="20% - Accent3 10 2" xfId="5205" xr:uid="{3DBB32FB-67C5-4EE6-BC61-7544F2BD07AE}"/>
    <cellStyle name="20% - Accent3 11" xfId="403" xr:uid="{628AEBEB-0B26-4F39-85E8-79825AE4254D}"/>
    <cellStyle name="20% - Accent3 11 2" xfId="5206" xr:uid="{2F8DA42B-2295-4689-89F9-E9315DC32F98}"/>
    <cellStyle name="20% - Accent3 12" xfId="404" xr:uid="{F7A7C0D0-593E-4AED-BC50-B0F675E1E83B}"/>
    <cellStyle name="20% - Accent3 12 2" xfId="5207" xr:uid="{56D8A312-26B1-4665-8AF3-A45725E5C800}"/>
    <cellStyle name="20% - Accent3 13" xfId="405" xr:uid="{2F7CB04A-26B2-4B90-B8C1-43606577DFCD}"/>
    <cellStyle name="20% - Accent3 13 2" xfId="5208" xr:uid="{9B9D4368-EA08-413C-9D93-75721ADAB653}"/>
    <cellStyle name="20% - Accent3 14" xfId="406" xr:uid="{AE99AD68-9BB5-482E-AD59-D49B49ACB380}"/>
    <cellStyle name="20% - Accent3 14 2" xfId="5209" xr:uid="{3C839A95-DAD4-4C43-BA13-614727FC6634}"/>
    <cellStyle name="20% - Accent3 15" xfId="407" xr:uid="{B2F03C17-87A0-4D0A-9DBB-B1AEA05BD479}"/>
    <cellStyle name="20% - Accent3 15 2" xfId="5210" xr:uid="{52D7C70D-662C-45DF-B0DD-A2255F782927}"/>
    <cellStyle name="20% - Accent3 16" xfId="408" xr:uid="{B087B76A-2B0E-414D-A448-3404920EF046}"/>
    <cellStyle name="20% - Accent3 16 2" xfId="5211" xr:uid="{D8F8C78A-887B-49D8-BEAE-C1C5D9B64C5F}"/>
    <cellStyle name="20% - Accent3 17" xfId="409" xr:uid="{28B3BCAC-4549-42FE-8637-01767E1A67D4}"/>
    <cellStyle name="20% - Accent3 17 2" xfId="5212" xr:uid="{81E16CE5-EB92-4A81-B158-2C16100A1ED6}"/>
    <cellStyle name="20% - Accent3 18" xfId="410" xr:uid="{856FF5A8-BC78-48A5-83C1-2743408591B2}"/>
    <cellStyle name="20% - Accent3 18 2" xfId="5213" xr:uid="{8F75D62D-4FDA-4F7D-8F64-E7B0FDDED6DA}"/>
    <cellStyle name="20% - Accent3 19" xfId="411" xr:uid="{1D3B1ECF-210E-4E1F-9681-1521B5600B94}"/>
    <cellStyle name="20% - Accent3 19 2" xfId="5214" xr:uid="{103208B2-A631-4EAB-9D34-4907B45CF8B8}"/>
    <cellStyle name="20% - Accent3 2" xfId="412" xr:uid="{D9396A45-F969-48B4-8253-594C3D04CE1D}"/>
    <cellStyle name="20% - Accent3 2 2" xfId="413" xr:uid="{4D8BEF55-1E8E-4D3E-AFA0-05B0CDD05EB0}"/>
    <cellStyle name="20% - Accent3 20" xfId="414" xr:uid="{9F8D2B2D-7F96-4651-B120-EB24D9DA5FF0}"/>
    <cellStyle name="20% - Accent3 20 2" xfId="5215" xr:uid="{D1BBEFBD-29AC-487B-85AE-54AED871B7DA}"/>
    <cellStyle name="20% - Accent3 21" xfId="415" xr:uid="{88609F49-29DF-44DA-8FF1-F116CC092F19}"/>
    <cellStyle name="20% - Accent3 21 2" xfId="5216" xr:uid="{4CF28FE3-E05D-40CC-991B-D7A399EB8BFE}"/>
    <cellStyle name="20% - Accent3 22" xfId="416" xr:uid="{558B9A9E-1CB7-4C8C-9305-EEC141812B0E}"/>
    <cellStyle name="20% - Accent3 22 2" xfId="5217" xr:uid="{16C12703-BE42-4C20-8A01-A92A8816960F}"/>
    <cellStyle name="20% - Accent3 23" xfId="417" xr:uid="{D8434DA9-C44E-4FE7-A959-FCDFB7F849D7}"/>
    <cellStyle name="20% - Accent3 23 2" xfId="5218" xr:uid="{3FA617B2-2487-4058-A8F3-DE4E1F29F939}"/>
    <cellStyle name="20% - Accent3 24" xfId="418" xr:uid="{539E3CDA-9033-4BDC-88CC-A9AE75060E4E}"/>
    <cellStyle name="20% - Accent3 24 2" xfId="5219" xr:uid="{DB19346B-23BD-4AAA-A17C-2C52FFB08B2C}"/>
    <cellStyle name="20% - Accent3 25" xfId="419" xr:uid="{2CEFA73E-2CF3-41B3-9187-1877E00CDC0D}"/>
    <cellStyle name="20% - Accent3 25 2" xfId="5220" xr:uid="{7E55A985-FCF9-4C7C-A305-06D1131BB99C}"/>
    <cellStyle name="20% - Accent3 26" xfId="420" xr:uid="{E5E28FEF-EED3-431F-B668-F5031A2DA99E}"/>
    <cellStyle name="20% - Accent3 26 2" xfId="5221" xr:uid="{0ABA4CDA-5D46-4B19-AF66-CCFABE02EE8F}"/>
    <cellStyle name="20% - Accent3 27" xfId="421" xr:uid="{AD8CA723-24CC-4AE5-8F6D-032418077F58}"/>
    <cellStyle name="20% - Accent3 27 2" xfId="5222" xr:uid="{71FD4CEF-5060-4268-A45B-D2486325F1E5}"/>
    <cellStyle name="20% - Accent3 28" xfId="422" xr:uid="{465C663B-7145-4BBE-B9BC-1EC48C96A9EB}"/>
    <cellStyle name="20% - Accent3 28 2" xfId="5223" xr:uid="{D044E1F1-85A6-48FD-8FEB-764C166679F2}"/>
    <cellStyle name="20% - Accent3 29" xfId="423" xr:uid="{6AEF835A-C776-4907-AF94-0BC8A08DF890}"/>
    <cellStyle name="20% - Accent3 29 2" xfId="5224" xr:uid="{5805A87E-7536-4B8F-901A-32006F60240F}"/>
    <cellStyle name="20% - Accent3 3" xfId="424" xr:uid="{DBA95674-CB23-459C-B2B4-C2CCCE9A68A5}"/>
    <cellStyle name="20% - Accent3 3 2" xfId="5225" xr:uid="{67611D52-F9A4-4353-8C3C-0F8A9FF55FD0}"/>
    <cellStyle name="20% - Accent3 30" xfId="425" xr:uid="{0508B2C3-0183-4105-B4C0-3852D19E313F}"/>
    <cellStyle name="20% - Accent3 30 2" xfId="5226" xr:uid="{75BC753D-98B6-455C-9EBD-89F0FB605B41}"/>
    <cellStyle name="20% - Accent3 31" xfId="426" xr:uid="{940E5969-AEE0-4FC0-855C-4EA3B922F555}"/>
    <cellStyle name="20% - Accent3 31 2" xfId="5227" xr:uid="{BECF2EB4-9EA4-46DB-A360-1D7F3700C662}"/>
    <cellStyle name="20% - Accent3 32" xfId="427" xr:uid="{5AACE41C-82F2-424C-AB00-14E605464618}"/>
    <cellStyle name="20% - Accent3 32 2" xfId="5228" xr:uid="{6C1B8CFC-9CE3-427A-A156-4D3222CAD5B4}"/>
    <cellStyle name="20% - Accent3 33" xfId="428" xr:uid="{30D04FC5-36E8-4323-A5E7-995A3579ED1C}"/>
    <cellStyle name="20% - Accent3 33 2" xfId="5229" xr:uid="{5567CB8B-3F5B-49BF-87FE-10FB5A6D0069}"/>
    <cellStyle name="20% - Accent3 34" xfId="429" xr:uid="{C0D20A19-6688-450B-957F-8A25E7F4F411}"/>
    <cellStyle name="20% - Accent3 34 2" xfId="5230" xr:uid="{8492463E-7A22-479D-A6A0-39220B2D4349}"/>
    <cellStyle name="20% - Accent3 35" xfId="430" xr:uid="{558ED8FF-4C83-475B-989B-A906E53CD483}"/>
    <cellStyle name="20% - Accent3 35 2" xfId="5231" xr:uid="{2EC7F4B7-AAD1-4FA5-8FEC-6938874B2F26}"/>
    <cellStyle name="20% - Accent3 36" xfId="431" xr:uid="{2E77221A-CE8B-417F-97FA-F54619E701A1}"/>
    <cellStyle name="20% - Accent3 36 2" xfId="5232" xr:uid="{4E5E595E-E867-4DF3-9C58-7F6DD32154B4}"/>
    <cellStyle name="20% - Accent3 37" xfId="432" xr:uid="{CB792BD8-F7F4-4B6D-9CD1-886D30700882}"/>
    <cellStyle name="20% - Accent3 37 2" xfId="5233" xr:uid="{D9C49596-810C-4E16-A9B7-1E91C86544FE}"/>
    <cellStyle name="20% - Accent3 38" xfId="433" xr:uid="{466B2B3E-136D-47B8-80B7-A95F5688E4BD}"/>
    <cellStyle name="20% - Accent3 38 2" xfId="5234" xr:uid="{70DBF176-AF4E-4A6F-A5FF-EA393FE68E04}"/>
    <cellStyle name="20% - Accent3 39" xfId="434" xr:uid="{BD3E38FB-A1C7-4F31-BD41-1BEDEEF809A0}"/>
    <cellStyle name="20% - Accent3 39 2" xfId="5235" xr:uid="{3BE45272-A667-4D13-AF6E-B761009D5C5D}"/>
    <cellStyle name="20% - Accent3 4" xfId="435" xr:uid="{26A9F502-0804-4C33-8CC0-7E475C7D3E53}"/>
    <cellStyle name="20% - Accent3 4 2" xfId="5236" xr:uid="{2C07AFC4-6D42-4154-8923-C94270559890}"/>
    <cellStyle name="20% - Accent3 40" xfId="436" xr:uid="{E8E98963-6202-43AC-9C66-766E1EA59DEC}"/>
    <cellStyle name="20% - Accent3 40 2" xfId="5237" xr:uid="{7B813601-B0C5-41EF-8DE4-38D975F03A42}"/>
    <cellStyle name="20% - Accent3 41" xfId="437" xr:uid="{60596A3D-8017-496A-8DBE-3C126454311C}"/>
    <cellStyle name="20% - Accent3 41 2" xfId="5238" xr:uid="{BD7D750C-50A0-4C57-B1B2-9A4F16AC0968}"/>
    <cellStyle name="20% - Accent3 42" xfId="438" xr:uid="{8520B993-0D63-4DF9-914C-95EDA951DB40}"/>
    <cellStyle name="20% - Accent3 42 2" xfId="5239" xr:uid="{787CF951-A425-4406-842D-073592034D0A}"/>
    <cellStyle name="20% - Accent3 43" xfId="439" xr:uid="{BA9BFE79-977D-4C80-AFC9-DADF70428624}"/>
    <cellStyle name="20% - Accent3 43 2" xfId="5240" xr:uid="{2F1792B2-87CC-4BE8-B4FD-94B7A38602F4}"/>
    <cellStyle name="20% - Accent3 44" xfId="7262" xr:uid="{2A8BAD03-A6E5-4AD7-9AA9-2365054A9E8A}"/>
    <cellStyle name="20% - Accent3 5" xfId="440" xr:uid="{79F13322-B539-4504-9CC5-3BB950BE9E2D}"/>
    <cellStyle name="20% - Accent3 5 2" xfId="5241" xr:uid="{9824C9D4-C57D-4374-BCC5-5540EBBFB784}"/>
    <cellStyle name="20% - Accent3 6" xfId="441" xr:uid="{CD871B5C-28DE-4213-A2D5-739F3A76C8E5}"/>
    <cellStyle name="20% - Accent3 6 2" xfId="5242" xr:uid="{E2086ADA-E93F-4B96-9C45-F73170F0B45F}"/>
    <cellStyle name="20% - Accent3 7" xfId="442" xr:uid="{EBD353D4-8815-48A2-A32A-7034D398545E}"/>
    <cellStyle name="20% - Accent3 7 2" xfId="5243" xr:uid="{F4EF98E1-F803-403A-8BB9-4B21BF59BD2B}"/>
    <cellStyle name="20% - Accent3 8" xfId="443" xr:uid="{CE1A5303-99AD-47E8-B95F-34E6F823897B}"/>
    <cellStyle name="20% - Accent3 8 2" xfId="5244" xr:uid="{1385D910-0DB9-4728-88F6-49445E2AF9B7}"/>
    <cellStyle name="20% - Accent3 9" xfId="444" xr:uid="{4194E191-116F-4969-A4C1-279ED7173687}"/>
    <cellStyle name="20% - Accent3 9 2" xfId="5245" xr:uid="{ECD72D16-3BB3-47E2-B487-7FD9541A357F}"/>
    <cellStyle name="20% - Accent4" xfId="4" builtinId="42" hidden="1" customBuiltin="1"/>
    <cellStyle name="20% - Accent4" xfId="445" builtinId="42" customBuiltin="1"/>
    <cellStyle name="20% - Accent4 10" xfId="446" xr:uid="{905C1B06-2F55-4CEE-886B-5713CE63BA54}"/>
    <cellStyle name="20% - Accent4 10 2" xfId="5246" xr:uid="{295EC14A-F242-471A-9A22-BDC15CBAD8C0}"/>
    <cellStyle name="20% - Accent4 11" xfId="447" xr:uid="{82D1D078-D683-4A5E-808A-E2DDD69CE260}"/>
    <cellStyle name="20% - Accent4 11 2" xfId="5247" xr:uid="{B7164E8A-6182-4B66-9C39-6C23CD654EEA}"/>
    <cellStyle name="20% - Accent4 12" xfId="448" xr:uid="{7E048D75-862F-47AD-9987-BF76DB853BAF}"/>
    <cellStyle name="20% - Accent4 12 2" xfId="5248" xr:uid="{AF436649-CF31-4E96-8CB9-94AB415508C3}"/>
    <cellStyle name="20% - Accent4 13" xfId="449" xr:uid="{D2DC2E55-49B5-4AD7-9294-A5D40B27F466}"/>
    <cellStyle name="20% - Accent4 13 2" xfId="5249" xr:uid="{28082298-B93A-49EB-B2C8-6DA69C6737F6}"/>
    <cellStyle name="20% - Accent4 14" xfId="450" xr:uid="{A0927FCA-7C98-4FDC-AE7A-3D13ADF20D28}"/>
    <cellStyle name="20% - Accent4 14 2" xfId="5250" xr:uid="{C6D149A7-C3D0-4577-B34E-FC53DFDC57D4}"/>
    <cellStyle name="20% - Accent4 15" xfId="451" xr:uid="{4CE944A3-18BD-4654-9CAD-07EFCC2CC0CB}"/>
    <cellStyle name="20% - Accent4 15 2" xfId="5251" xr:uid="{B8B93F9F-3BCA-4425-A14F-02BE30C6EC66}"/>
    <cellStyle name="20% - Accent4 16" xfId="452" xr:uid="{9791FFCA-BA36-41B0-AF78-E7C45862CE9E}"/>
    <cellStyle name="20% - Accent4 16 2" xfId="5252" xr:uid="{6498973F-8F99-4314-BCB7-C6E8526F4090}"/>
    <cellStyle name="20% - Accent4 17" xfId="453" xr:uid="{BFE49F1D-F44D-4167-93B8-D3BB6290728B}"/>
    <cellStyle name="20% - Accent4 17 2" xfId="5253" xr:uid="{08C1A9F1-C795-4422-8378-82323785A718}"/>
    <cellStyle name="20% - Accent4 18" xfId="454" xr:uid="{F0443241-107F-4E8C-B159-9FAB4877F49D}"/>
    <cellStyle name="20% - Accent4 18 2" xfId="5254" xr:uid="{04C68019-DF04-49DC-8639-55079CC4C686}"/>
    <cellStyle name="20% - Accent4 19" xfId="455" xr:uid="{CD91C8F7-10F7-4B64-A70F-CF1C24A1D2E0}"/>
    <cellStyle name="20% - Accent4 19 2" xfId="5255" xr:uid="{CB5C6AC3-6682-4DDA-A21E-1F2B2A635E06}"/>
    <cellStyle name="20% - Accent4 2" xfId="456" xr:uid="{AF4474E1-0560-4F61-B33D-D0328E3E9B2E}"/>
    <cellStyle name="20% - Accent4 2 2" xfId="457" xr:uid="{2A2F2F92-FB55-48D6-8409-078109896C1C}"/>
    <cellStyle name="20% - Accent4 20" xfId="458" xr:uid="{DDFC07CA-2DAB-4337-A061-D5C69FC16D46}"/>
    <cellStyle name="20% - Accent4 20 2" xfId="5256" xr:uid="{F66B0BDB-4393-48A0-BAE8-21FEEF02B9DC}"/>
    <cellStyle name="20% - Accent4 21" xfId="459" xr:uid="{A1ED16FB-EC46-4DAF-8CB7-4CE49EAD398D}"/>
    <cellStyle name="20% - Accent4 21 2" xfId="5257" xr:uid="{59C81490-51D3-4F80-83F9-CBABF991A4B5}"/>
    <cellStyle name="20% - Accent4 22" xfId="460" xr:uid="{457E7161-3445-4847-BBD7-1686C659C47D}"/>
    <cellStyle name="20% - Accent4 22 2" xfId="5258" xr:uid="{9C3EADCD-4D4F-4072-B6F3-22331BACC96E}"/>
    <cellStyle name="20% - Accent4 23" xfId="461" xr:uid="{5A35EAD8-9C55-4F94-BC01-B0E985285B76}"/>
    <cellStyle name="20% - Accent4 23 2" xfId="5259" xr:uid="{12BBC453-469F-46D2-B22D-6AD0E7B8B54E}"/>
    <cellStyle name="20% - Accent4 24" xfId="462" xr:uid="{EA7BE782-57E2-4858-8CA6-FA69A12A9022}"/>
    <cellStyle name="20% - Accent4 24 2" xfId="5260" xr:uid="{28C6C211-90B0-44E0-B296-6866FE0BC873}"/>
    <cellStyle name="20% - Accent4 25" xfId="463" xr:uid="{7DE076DA-BFC6-44D9-81C2-5B53BB9901CA}"/>
    <cellStyle name="20% - Accent4 25 2" xfId="5261" xr:uid="{95A3D874-3DE4-4EB5-8CDE-DE2A261D75F0}"/>
    <cellStyle name="20% - Accent4 26" xfId="464" xr:uid="{2427059F-5A4C-4CBB-B095-E58BF0E1AF93}"/>
    <cellStyle name="20% - Accent4 26 2" xfId="5262" xr:uid="{35D9C732-4EC2-47DA-8174-31310733D20A}"/>
    <cellStyle name="20% - Accent4 27" xfId="465" xr:uid="{F6733FAF-7205-450C-9AA9-FAF31D7206EB}"/>
    <cellStyle name="20% - Accent4 27 2" xfId="5263" xr:uid="{59A69149-9B2B-4BE2-860A-4C011E9E6E66}"/>
    <cellStyle name="20% - Accent4 28" xfId="466" xr:uid="{08EB855C-ED92-4F7D-ACB8-D0649F538205}"/>
    <cellStyle name="20% - Accent4 28 2" xfId="5264" xr:uid="{E93611DE-F192-45B5-BCD3-3F809F7DAF81}"/>
    <cellStyle name="20% - Accent4 29" xfId="467" xr:uid="{594AD450-5148-4AFD-87FC-21A4CD8DE938}"/>
    <cellStyle name="20% - Accent4 29 2" xfId="5265" xr:uid="{F35D0392-5DCD-4173-83CF-56A121D44231}"/>
    <cellStyle name="20% - Accent4 3" xfId="468" xr:uid="{71732582-639D-4A7B-BD89-E9F92E0C8FB0}"/>
    <cellStyle name="20% - Accent4 3 2" xfId="5266" xr:uid="{1CFFC991-C735-488B-BC31-81F9C1CDCE35}"/>
    <cellStyle name="20% - Accent4 30" xfId="469" xr:uid="{843675A6-B320-43ED-B5EC-58A8C78E79F2}"/>
    <cellStyle name="20% - Accent4 30 2" xfId="5267" xr:uid="{005D98A2-507D-4F9F-97E9-E37B8F9F4B4B}"/>
    <cellStyle name="20% - Accent4 31" xfId="470" xr:uid="{DAFCEBBF-5567-4965-B7F8-D355E839257C}"/>
    <cellStyle name="20% - Accent4 31 2" xfId="5268" xr:uid="{3CF1A88C-DCAC-46F1-8A19-6568EDA64B2B}"/>
    <cellStyle name="20% - Accent4 32" xfId="471" xr:uid="{D12D2200-4D0B-4344-9A5E-29667645C57A}"/>
    <cellStyle name="20% - Accent4 32 2" xfId="5269" xr:uid="{272F3DA3-1134-4C97-AA1A-C1F1EF24EC3F}"/>
    <cellStyle name="20% - Accent4 33" xfId="472" xr:uid="{57FFC906-1F97-4C6F-BD43-EDDD37220E46}"/>
    <cellStyle name="20% - Accent4 33 2" xfId="5270" xr:uid="{E822C072-EA9A-4010-8DB6-1B53CD2D68CE}"/>
    <cellStyle name="20% - Accent4 34" xfId="473" xr:uid="{96490C0B-971D-48FB-A46D-F4B35E01335F}"/>
    <cellStyle name="20% - Accent4 34 2" xfId="5271" xr:uid="{6D756BA7-1078-4EE6-BC39-39EB1AFDDE42}"/>
    <cellStyle name="20% - Accent4 35" xfId="474" xr:uid="{8E3669C2-4661-4450-BEAC-DDCD20294126}"/>
    <cellStyle name="20% - Accent4 35 2" xfId="5272" xr:uid="{80B68031-88B5-4E69-85D8-D013ADC5DE2C}"/>
    <cellStyle name="20% - Accent4 36" xfId="475" xr:uid="{D4543CFD-84A9-4415-BB89-20E8E1B68988}"/>
    <cellStyle name="20% - Accent4 36 2" xfId="5273" xr:uid="{3CE1E16F-2401-4F11-B75B-4417E5DA4AEC}"/>
    <cellStyle name="20% - Accent4 37" xfId="476" xr:uid="{601E0593-E874-4600-B367-E86AF2E795C3}"/>
    <cellStyle name="20% - Accent4 37 2" xfId="5274" xr:uid="{FC201277-09DB-4AAF-A018-E259E04DBA9A}"/>
    <cellStyle name="20% - Accent4 38" xfId="477" xr:uid="{D17B9BF1-0CB8-471A-82C3-C9BAD697BF5C}"/>
    <cellStyle name="20% - Accent4 38 2" xfId="5275" xr:uid="{1542D37B-F116-48EA-9654-4A5DC6FC2D07}"/>
    <cellStyle name="20% - Accent4 39" xfId="478" xr:uid="{EF4E0887-1668-477A-8F37-E1177F0357E0}"/>
    <cellStyle name="20% - Accent4 39 2" xfId="5276" xr:uid="{8F3E942C-E3BF-482A-81DA-1F89D66AFEEF}"/>
    <cellStyle name="20% - Accent4 4" xfId="479" xr:uid="{4C2C7833-EC53-427E-91F3-0F00445485DD}"/>
    <cellStyle name="20% - Accent4 4 2" xfId="5277" xr:uid="{F048CAF2-08B6-46F2-9F4F-F499A65EFDE5}"/>
    <cellStyle name="20% - Accent4 40" xfId="480" xr:uid="{DE8A6C16-1FF3-4DD0-9273-7D1A5486E918}"/>
    <cellStyle name="20% - Accent4 40 2" xfId="5278" xr:uid="{01AE1564-B4FF-4DBB-8109-D9D6540DEC47}"/>
    <cellStyle name="20% - Accent4 41" xfId="481" xr:uid="{014A1EB9-CADB-4651-AC86-F604E1064DE0}"/>
    <cellStyle name="20% - Accent4 41 2" xfId="5279" xr:uid="{2FD7520C-ADF0-4770-9D0A-742155C0D21F}"/>
    <cellStyle name="20% - Accent4 42" xfId="482" xr:uid="{5BEAACEC-6F25-4A58-B838-6A55EC83936A}"/>
    <cellStyle name="20% - Accent4 42 2" xfId="5280" xr:uid="{0C477278-9AE1-45E4-B137-94393D9DE6BE}"/>
    <cellStyle name="20% - Accent4 43" xfId="483" xr:uid="{955F1362-DADE-4C63-86C5-ECCB42CBF032}"/>
    <cellStyle name="20% - Accent4 43 2" xfId="5281" xr:uid="{5CDAED48-59B7-4A19-97EA-EABDCD527DD1}"/>
    <cellStyle name="20% - Accent4 44" xfId="7303" xr:uid="{C5AE2675-5858-4A16-9E58-8D7ECFF6E0CA}"/>
    <cellStyle name="20% - Accent4 5" xfId="484" xr:uid="{C1341A93-473F-4514-9D2A-FBFCFD244B97}"/>
    <cellStyle name="20% - Accent4 5 2" xfId="5282" xr:uid="{4132AC30-4DAA-45F5-A765-0ED76DAE8757}"/>
    <cellStyle name="20% - Accent4 6" xfId="485" xr:uid="{9A14F1F1-53AA-4BDF-908F-D8B96AB45439}"/>
    <cellStyle name="20% - Accent4 6 2" xfId="5283" xr:uid="{750CF23C-D3D5-4886-8A33-9429C5C96300}"/>
    <cellStyle name="20% - Accent4 7" xfId="486" xr:uid="{4AE79034-1E88-41F5-9034-E7DB5685A28A}"/>
    <cellStyle name="20% - Accent4 7 2" xfId="5284" xr:uid="{3394C8FC-8FD4-4571-9B13-55EE4AD75F20}"/>
    <cellStyle name="20% - Accent4 8" xfId="487" xr:uid="{43CE5F7C-F545-4C01-8012-009D38CF5964}"/>
    <cellStyle name="20% - Accent4 8 2" xfId="5285" xr:uid="{55F0E77B-51BB-4102-AA8B-2FF6082A27D3}"/>
    <cellStyle name="20% - Accent4 9" xfId="488" xr:uid="{FB26FE99-8DAD-4C15-A39C-8714EE9E45F2}"/>
    <cellStyle name="20% - Accent4 9 2" xfId="5286" xr:uid="{309C17D8-39F8-4BC9-9D20-CE933F2775FF}"/>
    <cellStyle name="20% - Accent5" xfId="5" builtinId="46" hidden="1" customBuiltin="1"/>
    <cellStyle name="20% - Accent5" xfId="489" builtinId="46" customBuiltin="1"/>
    <cellStyle name="20% - Accent5 10" xfId="490" xr:uid="{B3EF9FE4-1775-4007-9D13-A698AB14658C}"/>
    <cellStyle name="20% - Accent5 10 2" xfId="5287" xr:uid="{7A9F0E62-2684-4158-A0DD-E23F68362B3E}"/>
    <cellStyle name="20% - Accent5 11" xfId="491" xr:uid="{CC928C18-91D7-409C-8F37-023664365D93}"/>
    <cellStyle name="20% - Accent5 11 2" xfId="5288" xr:uid="{66733DF9-40E0-429B-8601-756DB3731081}"/>
    <cellStyle name="20% - Accent5 12" xfId="492" xr:uid="{24EAD8FA-15C5-4B51-A164-E894CABADF69}"/>
    <cellStyle name="20% - Accent5 12 2" xfId="5289" xr:uid="{AE4A28F3-19AD-436F-A34A-3EE71AAD488C}"/>
    <cellStyle name="20% - Accent5 13" xfId="493" xr:uid="{4C14AB5C-ED80-42DF-8463-9FB3C84A822E}"/>
    <cellStyle name="20% - Accent5 13 2" xfId="5290" xr:uid="{F561B253-6778-4595-B428-B497C9531F91}"/>
    <cellStyle name="20% - Accent5 14" xfId="494" xr:uid="{78361627-511B-420F-B542-96A8F6CE0220}"/>
    <cellStyle name="20% - Accent5 14 2" xfId="5291" xr:uid="{38D633AD-ADDC-42B1-84BF-43F8CB48543D}"/>
    <cellStyle name="20% - Accent5 15" xfId="495" xr:uid="{8E60820C-B4FF-4F8C-B4BB-A07D0F159824}"/>
    <cellStyle name="20% - Accent5 15 2" xfId="5292" xr:uid="{FF412069-79FB-46A9-9883-4CE52E707EE2}"/>
    <cellStyle name="20% - Accent5 16" xfId="496" xr:uid="{A21ABE03-2AB1-4E70-B02A-AF7B70689B83}"/>
    <cellStyle name="20% - Accent5 16 2" xfId="5293" xr:uid="{044A3EC1-54F9-4F10-AAE6-39AF8ED62E91}"/>
    <cellStyle name="20% - Accent5 17" xfId="497" xr:uid="{918C5EEC-837D-41FF-A98F-3A1C9172CB02}"/>
    <cellStyle name="20% - Accent5 17 2" xfId="5294" xr:uid="{F62CE780-2837-4980-8A07-2687855AA87E}"/>
    <cellStyle name="20% - Accent5 18" xfId="498" xr:uid="{8BBC5AD9-5D58-4CC0-B7BF-1A07F2D393CF}"/>
    <cellStyle name="20% - Accent5 18 2" xfId="5295" xr:uid="{95F9C027-58ED-4E87-89AF-AB14E52B5E2E}"/>
    <cellStyle name="20% - Accent5 19" xfId="499" xr:uid="{E72A21FB-6E41-44F6-B85A-0802EB015F53}"/>
    <cellStyle name="20% - Accent5 19 2" xfId="5296" xr:uid="{89D295F7-C803-493B-91A0-6DBBF40015AC}"/>
    <cellStyle name="20% - Accent5 2" xfId="500" xr:uid="{367B13DA-9DF9-4D4C-BB7D-58624E658432}"/>
    <cellStyle name="20% - Accent5 2 2" xfId="501" xr:uid="{5FC389FF-5F37-4BE5-AB90-069851AFC157}"/>
    <cellStyle name="20% - Accent5 20" xfId="502" xr:uid="{B405FCBB-CCF6-4198-919B-1EE8BA08F461}"/>
    <cellStyle name="20% - Accent5 20 2" xfId="5297" xr:uid="{AB097019-4A39-447A-B247-15DEF95F718B}"/>
    <cellStyle name="20% - Accent5 21" xfId="503" xr:uid="{15FD2CB0-316F-40C8-BABA-C80ECD15A915}"/>
    <cellStyle name="20% - Accent5 21 2" xfId="5298" xr:uid="{963D869C-49AD-4ED4-9D48-CB4D9D016DC3}"/>
    <cellStyle name="20% - Accent5 22" xfId="504" xr:uid="{BBFE9C80-3BC8-4D77-BB2B-73468803D0A5}"/>
    <cellStyle name="20% - Accent5 22 2" xfId="5299" xr:uid="{78613EAA-511E-4EE2-ADEB-7B6ADF4EDC4D}"/>
    <cellStyle name="20% - Accent5 23" xfId="505" xr:uid="{E2F5E320-3E4F-4CAF-B707-75A39493FEE1}"/>
    <cellStyle name="20% - Accent5 23 2" xfId="5300" xr:uid="{FE53A733-0BA8-49D7-B07B-74D44A76A95B}"/>
    <cellStyle name="20% - Accent5 24" xfId="506" xr:uid="{BF8F699C-69B0-4932-9C28-96F17E9FF0A5}"/>
    <cellStyle name="20% - Accent5 24 2" xfId="5301" xr:uid="{9FCF8F81-C4F6-4446-84A8-CBDB2DDFACFA}"/>
    <cellStyle name="20% - Accent5 25" xfId="507" xr:uid="{FFE221E0-6288-460A-9C46-6F5698C14449}"/>
    <cellStyle name="20% - Accent5 25 2" xfId="5302" xr:uid="{E2E719DB-C01D-4F56-AA47-83A60BB66779}"/>
    <cellStyle name="20% - Accent5 26" xfId="508" xr:uid="{46934FCC-A0DE-49DA-B5CF-772B12EEF483}"/>
    <cellStyle name="20% - Accent5 26 2" xfId="5303" xr:uid="{62E11486-1135-4BC7-821C-3F2A27686410}"/>
    <cellStyle name="20% - Accent5 27" xfId="509" xr:uid="{DE9B2C7F-BE76-43A1-B740-D1B9A788E148}"/>
    <cellStyle name="20% - Accent5 27 2" xfId="5304" xr:uid="{B3A75021-0BAD-4C9B-A1A5-CCCF1D579986}"/>
    <cellStyle name="20% - Accent5 28" xfId="510" xr:uid="{7206D4CA-EC71-4DEF-B81D-C3448B5439D6}"/>
    <cellStyle name="20% - Accent5 28 2" xfId="5305" xr:uid="{41B6612A-4EFE-4B68-AA6A-91D0A36AD4EA}"/>
    <cellStyle name="20% - Accent5 29" xfId="511" xr:uid="{34BE2FFC-176D-491B-9E84-BB892CC6239E}"/>
    <cellStyle name="20% - Accent5 29 2" xfId="5306" xr:uid="{3C050598-2514-423F-8E1B-4E725FF428F3}"/>
    <cellStyle name="20% - Accent5 3" xfId="512" xr:uid="{CEDC3A9B-EE72-4A47-B5FF-7F143E023862}"/>
    <cellStyle name="20% - Accent5 3 2" xfId="5307" xr:uid="{4CD27753-2271-4254-AED3-F9744387E4CB}"/>
    <cellStyle name="20% - Accent5 30" xfId="513" xr:uid="{55DBD8F3-FA13-4CD9-93DE-6141A76659FC}"/>
    <cellStyle name="20% - Accent5 30 2" xfId="5308" xr:uid="{08E802A7-F33B-4E71-BC3C-DF38786971E4}"/>
    <cellStyle name="20% - Accent5 31" xfId="514" xr:uid="{0280A04D-EAA7-4FCB-AE12-6EE40C82B40C}"/>
    <cellStyle name="20% - Accent5 31 2" xfId="5309" xr:uid="{A3211581-5EB9-4388-A049-FAA4E299CBE9}"/>
    <cellStyle name="20% - Accent5 32" xfId="515" xr:uid="{4F4C7214-5F53-47CC-8844-426A95AFCA59}"/>
    <cellStyle name="20% - Accent5 32 2" xfId="5310" xr:uid="{DEA7E0DB-7C98-455B-BD3D-6CA4D000075A}"/>
    <cellStyle name="20% - Accent5 33" xfId="516" xr:uid="{4DB59A6C-61B0-4F01-9BF1-15E5873A19CD}"/>
    <cellStyle name="20% - Accent5 33 2" xfId="5311" xr:uid="{058D92FD-C445-4024-B166-C45526A19A82}"/>
    <cellStyle name="20% - Accent5 34" xfId="517" xr:uid="{ACAB9C63-BF0C-49AB-BA9A-397849F1065F}"/>
    <cellStyle name="20% - Accent5 34 2" xfId="5312" xr:uid="{1FE547F5-9E6F-457E-BF03-04572B68D434}"/>
    <cellStyle name="20% - Accent5 35" xfId="518" xr:uid="{D4E6B7F0-C038-4FDF-AFDB-461748105057}"/>
    <cellStyle name="20% - Accent5 35 2" xfId="5313" xr:uid="{E2DABAAD-6B35-47EF-BF37-F0F6403BEF65}"/>
    <cellStyle name="20% - Accent5 36" xfId="519" xr:uid="{EB0DC460-A12C-4A9C-9412-9D74C553E1E7}"/>
    <cellStyle name="20% - Accent5 36 2" xfId="5314" xr:uid="{06202BE3-8895-45BA-986E-4F41A98AB144}"/>
    <cellStyle name="20% - Accent5 37" xfId="520" xr:uid="{4461CF71-FBAB-4461-97CC-D4105F48FE5D}"/>
    <cellStyle name="20% - Accent5 37 2" xfId="5315" xr:uid="{0E6370DA-5D15-4333-A613-8AA50454498C}"/>
    <cellStyle name="20% - Accent5 38" xfId="521" xr:uid="{3C9BFD94-5CE1-41B9-B14E-18F4BD3DB185}"/>
    <cellStyle name="20% - Accent5 38 2" xfId="5316" xr:uid="{0386B8F5-C81E-49D0-9B7D-ED5B763A12B7}"/>
    <cellStyle name="20% - Accent5 39" xfId="522" xr:uid="{C3EB39C8-362F-4E67-AD88-055A41179D6B}"/>
    <cellStyle name="20% - Accent5 39 2" xfId="5317" xr:uid="{389FAA72-0B83-4B35-B6E2-424E141506CA}"/>
    <cellStyle name="20% - Accent5 4" xfId="523" xr:uid="{174D5729-B9B9-4627-BFD9-0F0E7DEBD49E}"/>
    <cellStyle name="20% - Accent5 4 2" xfId="5318" xr:uid="{880BFF3F-C701-4324-B679-43A43EEC357E}"/>
    <cellStyle name="20% - Accent5 40" xfId="524" xr:uid="{E2637E0E-4AC4-49DD-8AA9-6A3EDCBF9007}"/>
    <cellStyle name="20% - Accent5 40 2" xfId="5319" xr:uid="{0D9DC982-EDAF-4F16-B494-22F5FD5C4BBD}"/>
    <cellStyle name="20% - Accent5 41" xfId="525" xr:uid="{6268C9A8-F6EA-4AA9-9482-2A1E0C39BC84}"/>
    <cellStyle name="20% - Accent5 41 2" xfId="5320" xr:uid="{592FC98E-9ADB-4CBF-89D6-9C27DCBADEE2}"/>
    <cellStyle name="20% - Accent5 42" xfId="526" xr:uid="{11F3E152-4128-4F5A-B60F-FE6A1F71D6CB}"/>
    <cellStyle name="20% - Accent5 42 2" xfId="5321" xr:uid="{C3A703FF-DE4B-4707-ADDB-C5D6D1167BF8}"/>
    <cellStyle name="20% - Accent5 43" xfId="527" xr:uid="{E714C4E5-29E5-4C57-9BEB-BA1A357359FE}"/>
    <cellStyle name="20% - Accent5 43 2" xfId="5322" xr:uid="{E2728566-6ABE-46FA-A96E-12FF84A4BD90}"/>
    <cellStyle name="20% - Accent5 44" xfId="7346" xr:uid="{8197008C-408B-4955-BF92-05E360EE1434}"/>
    <cellStyle name="20% - Accent5 5" xfId="528" xr:uid="{5FEBC8B9-326A-4153-9557-21BC90183485}"/>
    <cellStyle name="20% - Accent5 5 2" xfId="5323" xr:uid="{7B50A310-6E9F-4B59-8503-80F80E6ED5D5}"/>
    <cellStyle name="20% - Accent5 6" xfId="529" xr:uid="{9A66D4E4-C9CC-4A12-AEC4-0F187E53F2C4}"/>
    <cellStyle name="20% - Accent5 6 2" xfId="5324" xr:uid="{B7ADEDC2-4409-41AE-A652-639CFA516C1A}"/>
    <cellStyle name="20% - Accent5 7" xfId="530" xr:uid="{7CE49268-6AE6-4B0A-AA50-99221C75642E}"/>
    <cellStyle name="20% - Accent5 7 2" xfId="5325" xr:uid="{EBD61D4A-267A-4DBD-87E3-B4A2A0FACCD3}"/>
    <cellStyle name="20% - Accent5 8" xfId="531" xr:uid="{7E441044-A7B4-4344-8C19-46A87FD256E7}"/>
    <cellStyle name="20% - Accent5 8 2" xfId="5326" xr:uid="{5C2571FF-77C2-40BB-8AD6-F419AF8ADA65}"/>
    <cellStyle name="20% - Accent5 9" xfId="532" xr:uid="{29585C9A-4950-4A0D-9883-7C2FFB76CE87}"/>
    <cellStyle name="20% - Accent5 9 2" xfId="5327" xr:uid="{59C81C7B-3174-474A-A8B2-633EDE476826}"/>
    <cellStyle name="20% - Accent6" xfId="6" builtinId="50" hidden="1" customBuiltin="1"/>
    <cellStyle name="20% - Accent6" xfId="533" builtinId="50" customBuiltin="1"/>
    <cellStyle name="20% - Accent6 10" xfId="534" xr:uid="{7F41BBB7-CF9D-452A-9A99-95A4F1F3BFC7}"/>
    <cellStyle name="20% - Accent6 10 2" xfId="5328" xr:uid="{219B9EE3-986D-4815-A30A-9A3ED3DE8080}"/>
    <cellStyle name="20% - Accent6 11" xfId="535" xr:uid="{A90C49B3-1651-461B-88BD-CB299A952096}"/>
    <cellStyle name="20% - Accent6 11 2" xfId="5329" xr:uid="{C5CFD040-B6E2-4ABF-80EC-659CEE05567B}"/>
    <cellStyle name="20% - Accent6 12" xfId="536" xr:uid="{E7DF1FB8-8F10-4FEB-98AD-94832B59ACC1}"/>
    <cellStyle name="20% - Accent6 12 2" xfId="5330" xr:uid="{7509B946-4DFA-4CBE-A6CB-A2DB1257901A}"/>
    <cellStyle name="20% - Accent6 13" xfId="537" xr:uid="{6E675843-D486-4734-8088-1F2507F06582}"/>
    <cellStyle name="20% - Accent6 13 2" xfId="5331" xr:uid="{3D3E66A8-2B92-4EFF-A9E0-C3EAB5687A55}"/>
    <cellStyle name="20% - Accent6 14" xfId="538" xr:uid="{B9F90247-A888-4735-AA80-2B4EE56D09C1}"/>
    <cellStyle name="20% - Accent6 14 2" xfId="5332" xr:uid="{519B745A-5E94-4B9B-9AE9-9BB3D62CAD2C}"/>
    <cellStyle name="20% - Accent6 15" xfId="539" xr:uid="{9D3E2A66-3178-42DB-9146-ADDE6E415B8F}"/>
    <cellStyle name="20% - Accent6 15 2" xfId="5333" xr:uid="{92208923-EC2F-4C0B-98B8-76F169404510}"/>
    <cellStyle name="20% - Accent6 16" xfId="540" xr:uid="{635D1A97-1FB8-4D19-9542-89188CDE19E3}"/>
    <cellStyle name="20% - Accent6 16 2" xfId="5334" xr:uid="{09024277-16D5-4E9F-95EB-78A43D3C0506}"/>
    <cellStyle name="20% - Accent6 17" xfId="541" xr:uid="{26FA1E08-D597-4964-B34E-A8CB25C50DBF}"/>
    <cellStyle name="20% - Accent6 17 2" xfId="5335" xr:uid="{C9286932-1E29-4BFC-BA5B-E09272598263}"/>
    <cellStyle name="20% - Accent6 18" xfId="542" xr:uid="{BADFF78F-1239-4A9D-8AE8-74374B3CA076}"/>
    <cellStyle name="20% - Accent6 18 2" xfId="5336" xr:uid="{F85FE8F6-F843-47B3-8C0E-2508968B7B2A}"/>
    <cellStyle name="20% - Accent6 19" xfId="543" xr:uid="{13515A2F-CF0B-467C-82D1-F805B066D021}"/>
    <cellStyle name="20% - Accent6 19 2" xfId="5337" xr:uid="{6359D12F-0856-4D88-97C7-901709B4E8B4}"/>
    <cellStyle name="20% - Accent6 2" xfId="544" xr:uid="{348F301E-C76C-453C-95A5-846DE73CA9BB}"/>
    <cellStyle name="20% - Accent6 2 2" xfId="545" xr:uid="{DAC53D4D-3CAA-461A-92D0-87DA6E6692A1}"/>
    <cellStyle name="20% - Accent6 20" xfId="546" xr:uid="{A44A1649-106D-4012-9C3E-640239A8B1AF}"/>
    <cellStyle name="20% - Accent6 20 2" xfId="5338" xr:uid="{FD144343-69B1-408E-A2B4-74CF73C5C772}"/>
    <cellStyle name="20% - Accent6 21" xfId="547" xr:uid="{4570AEF3-997D-4F63-B38A-2C113A2D3C49}"/>
    <cellStyle name="20% - Accent6 21 2" xfId="5339" xr:uid="{7E2217C7-F321-4816-A991-14F839BADB5D}"/>
    <cellStyle name="20% - Accent6 22" xfId="548" xr:uid="{65868794-EDA8-4EC8-BDDD-281EF1D41F12}"/>
    <cellStyle name="20% - Accent6 22 2" xfId="5340" xr:uid="{797DF6E3-CEAB-4388-AA7F-816A9024107A}"/>
    <cellStyle name="20% - Accent6 23" xfId="549" xr:uid="{2D36778B-8EA6-4872-9293-83B63C5F60E5}"/>
    <cellStyle name="20% - Accent6 23 2" xfId="5341" xr:uid="{CE48D3C1-B711-4E3E-B741-0DF5DF037567}"/>
    <cellStyle name="20% - Accent6 24" xfId="550" xr:uid="{36089143-EC80-4FD0-8B87-B70AC63F7D9F}"/>
    <cellStyle name="20% - Accent6 24 2" xfId="5342" xr:uid="{412F6D8E-F2E4-4ADB-B6BA-DB26638D6FE0}"/>
    <cellStyle name="20% - Accent6 25" xfId="551" xr:uid="{5E8D7975-E435-46DA-A1C5-FE0730BD8399}"/>
    <cellStyle name="20% - Accent6 25 2" xfId="5343" xr:uid="{0E3A97E3-8832-4A4F-BD8F-AB82E59ED418}"/>
    <cellStyle name="20% - Accent6 26" xfId="552" xr:uid="{339377FE-FC40-4E4C-B28B-DC00B59BAD55}"/>
    <cellStyle name="20% - Accent6 26 2" xfId="5344" xr:uid="{A20534D1-8CCC-4E9B-9D63-C4F93A8895FB}"/>
    <cellStyle name="20% - Accent6 27" xfId="553" xr:uid="{F5EC0F1A-106D-493D-9242-2A117701BE63}"/>
    <cellStyle name="20% - Accent6 27 2" xfId="5345" xr:uid="{DBB565C9-A4C2-4230-8511-E0C0C7BDC871}"/>
    <cellStyle name="20% - Accent6 28" xfId="554" xr:uid="{C6B189EA-FF95-4573-9C7F-BD92563B83E0}"/>
    <cellStyle name="20% - Accent6 28 2" xfId="5346" xr:uid="{9584AC89-1CBB-4451-8225-9F8076B477CD}"/>
    <cellStyle name="20% - Accent6 29" xfId="555" xr:uid="{0F40F83E-0713-44F6-A13B-0406E9C11A7A}"/>
    <cellStyle name="20% - Accent6 29 2" xfId="5347" xr:uid="{BA5D541A-4424-40A5-9CC9-CD60036429BC}"/>
    <cellStyle name="20% - Accent6 3" xfId="556" xr:uid="{1F0401D7-A6F7-47E4-8712-DF7C12D63C4B}"/>
    <cellStyle name="20% - Accent6 3 2" xfId="5348" xr:uid="{79BC0216-D9B1-49BE-B6CF-E9CBA9B0CBAD}"/>
    <cellStyle name="20% - Accent6 30" xfId="557" xr:uid="{7EF0031A-1CCE-4332-B99F-5733B354C584}"/>
    <cellStyle name="20% - Accent6 30 2" xfId="5349" xr:uid="{20C318A8-B4BA-4F55-A577-5DEA1581C5B5}"/>
    <cellStyle name="20% - Accent6 31" xfId="558" xr:uid="{21F97BFE-849C-4811-BBBF-A64127AB0404}"/>
    <cellStyle name="20% - Accent6 31 2" xfId="5350" xr:uid="{33AC99EB-148D-4B12-8962-853FF9D1E9E2}"/>
    <cellStyle name="20% - Accent6 32" xfId="559" xr:uid="{ABD6C84B-F1E1-4F7B-899D-0824C569B5E8}"/>
    <cellStyle name="20% - Accent6 32 2" xfId="5351" xr:uid="{C7C754BB-4C14-49E3-861F-0FA80273BCF4}"/>
    <cellStyle name="20% - Accent6 33" xfId="560" xr:uid="{D6617160-FD73-4343-87A2-6C6D397CA804}"/>
    <cellStyle name="20% - Accent6 33 2" xfId="5352" xr:uid="{9B86345C-7001-41B3-9EDF-6DCDC5041D2F}"/>
    <cellStyle name="20% - Accent6 34" xfId="561" xr:uid="{9040C6B9-8BB7-44CB-A8A3-B454413A8814}"/>
    <cellStyle name="20% - Accent6 34 2" xfId="5353" xr:uid="{929A7DE9-9F14-4DC4-B08E-8885911AAAF3}"/>
    <cellStyle name="20% - Accent6 35" xfId="562" xr:uid="{E6976C81-027E-436A-B10C-9A93C4AB84AF}"/>
    <cellStyle name="20% - Accent6 35 2" xfId="5354" xr:uid="{CBD75A7A-5DC5-4C0A-8911-629964447685}"/>
    <cellStyle name="20% - Accent6 36" xfId="563" xr:uid="{305A1C8D-C74E-49AB-98F3-29692C104227}"/>
    <cellStyle name="20% - Accent6 36 2" xfId="5355" xr:uid="{06BC4474-99D2-49E1-A8A0-B6CB186EC12D}"/>
    <cellStyle name="20% - Accent6 37" xfId="564" xr:uid="{CE8270CA-2633-442C-83B4-34627FB1D1B7}"/>
    <cellStyle name="20% - Accent6 37 2" xfId="5356" xr:uid="{BA47F93E-99C0-4C66-A7C4-343788444492}"/>
    <cellStyle name="20% - Accent6 38" xfId="565" xr:uid="{BA715991-DD21-42D7-B8AA-D340B81F03DC}"/>
    <cellStyle name="20% - Accent6 38 2" xfId="5357" xr:uid="{B0F038D2-66E6-4539-9567-37471EC3D3E1}"/>
    <cellStyle name="20% - Accent6 39" xfId="566" xr:uid="{91B06541-79AD-466A-865C-BCE04D0BF51F}"/>
    <cellStyle name="20% - Accent6 39 2" xfId="5358" xr:uid="{318BE1A1-CE46-4DBF-9918-6481AC376ED7}"/>
    <cellStyle name="20% - Accent6 4" xfId="567" xr:uid="{B9C4B63C-BDC4-488F-84DF-533D1624A389}"/>
    <cellStyle name="20% - Accent6 4 2" xfId="5359" xr:uid="{57EDA706-0382-40F8-9D2E-903FF2D60760}"/>
    <cellStyle name="20% - Accent6 40" xfId="568" xr:uid="{5F0CADA6-54B7-413B-8596-FABF2E09612F}"/>
    <cellStyle name="20% - Accent6 40 2" xfId="5360" xr:uid="{2CC18C97-681A-41DE-9F7D-6830348BF1F0}"/>
    <cellStyle name="20% - Accent6 41" xfId="569" xr:uid="{B2C2E696-BDB0-40EF-A4D7-65F6A382C1B0}"/>
    <cellStyle name="20% - Accent6 41 2" xfId="5361" xr:uid="{16EA88E6-731D-4A5F-96A3-2D1BAB7F96D4}"/>
    <cellStyle name="20% - Accent6 42" xfId="570" xr:uid="{61D7B5E5-4F44-4F39-8B60-DF4104C28FB1}"/>
    <cellStyle name="20% - Accent6 42 2" xfId="5362" xr:uid="{6EBECC74-D7F0-4A19-8EDA-14761652CCF4}"/>
    <cellStyle name="20% - Accent6 43" xfId="571" xr:uid="{8709489F-3CC8-4C07-A1F8-92EE1DF67BD0}"/>
    <cellStyle name="20% - Accent6 43 2" xfId="5363" xr:uid="{AF83947F-AC7A-4043-A714-FB9AB1A08214}"/>
    <cellStyle name="20% - Accent6 44" xfId="7389" xr:uid="{D11637B8-0D68-41E3-BE95-D39730CFD55A}"/>
    <cellStyle name="20% - Accent6 5" xfId="572" xr:uid="{3FA9C430-730F-48E4-93A1-09A5F298DEAC}"/>
    <cellStyle name="20% - Accent6 5 2" xfId="5364" xr:uid="{D27C0AAE-4F9C-4470-ACCC-CCA82CB03FEE}"/>
    <cellStyle name="20% - Accent6 6" xfId="573" xr:uid="{73D9D804-46B7-48B3-81FA-6AF8D8A331A4}"/>
    <cellStyle name="20% - Accent6 6 2" xfId="5365" xr:uid="{C9C6311F-7C7C-447F-937A-AF9EBD009259}"/>
    <cellStyle name="20% - Accent6 7" xfId="574" xr:uid="{5473E884-278E-4626-9F15-7AEDDE704B62}"/>
    <cellStyle name="20% - Accent6 7 2" xfId="5366" xr:uid="{FDB024BE-2C08-4246-97DB-0EF4CC5917E7}"/>
    <cellStyle name="20% - Accent6 8" xfId="575" xr:uid="{3536370F-0ED0-443F-A784-25594FD46AB0}"/>
    <cellStyle name="20% - Accent6 8 2" xfId="5367" xr:uid="{F2A4DE84-C527-4376-9202-433A63C74632}"/>
    <cellStyle name="20% - Accent6 9" xfId="576" xr:uid="{78DDA259-ACED-4244-900D-DE2F84EC99AC}"/>
    <cellStyle name="20% - Accent6 9 2" xfId="5368" xr:uid="{9888748E-7BB4-4EB1-8D65-578F92E91317}"/>
    <cellStyle name="40% - Accent1" xfId="7" builtinId="31" hidden="1" customBuiltin="1"/>
    <cellStyle name="40% - Accent1" xfId="577" builtinId="31" customBuiltin="1"/>
    <cellStyle name="40% - Accent1 10" xfId="578" xr:uid="{2D4FCAF8-4DF9-4958-9F9A-FFB24FAF46C9}"/>
    <cellStyle name="40% - Accent1 10 2" xfId="5369" xr:uid="{94D69EC6-CCD5-4776-96B7-04EBEC409FBE}"/>
    <cellStyle name="40% - Accent1 11" xfId="579" xr:uid="{ED4FC4BD-7F76-4438-ABDC-15073AA3AC9B}"/>
    <cellStyle name="40% - Accent1 11 2" xfId="5370" xr:uid="{E34D3F69-C8E1-4EDC-809E-B888CD999D62}"/>
    <cellStyle name="40% - Accent1 12" xfId="580" xr:uid="{2A3F1BDA-7C33-41A9-A346-AA11468CB66F}"/>
    <cellStyle name="40% - Accent1 12 2" xfId="5371" xr:uid="{5EAB3C58-BE13-4770-96C0-284FEB9B6D3E}"/>
    <cellStyle name="40% - Accent1 13" xfId="581" xr:uid="{4FA026AB-2978-4E36-BB93-6514B25049BB}"/>
    <cellStyle name="40% - Accent1 13 2" xfId="5372" xr:uid="{BD45BFC4-8687-46EA-8C63-76EF187F02D6}"/>
    <cellStyle name="40% - Accent1 14" xfId="582" xr:uid="{97E561FF-D223-409F-998F-C9DB0B843291}"/>
    <cellStyle name="40% - Accent1 14 2" xfId="5373" xr:uid="{914975C7-7873-49CF-BA9B-CB91862FF448}"/>
    <cellStyle name="40% - Accent1 15" xfId="583" xr:uid="{FD747076-29B9-4243-AB3D-1AFC690F4099}"/>
    <cellStyle name="40% - Accent1 15 2" xfId="5374" xr:uid="{8DB384F0-239D-4B12-AB75-621509B0F3AE}"/>
    <cellStyle name="40% - Accent1 16" xfId="584" xr:uid="{41E5F8FC-6025-41B1-807E-0F0B816EFE19}"/>
    <cellStyle name="40% - Accent1 16 2" xfId="5375" xr:uid="{834872B5-D0C5-46AD-963A-E64D2B59DF3B}"/>
    <cellStyle name="40% - Accent1 17" xfId="585" xr:uid="{702C41D6-C2D6-4A8F-8DCA-2A13FECD5C30}"/>
    <cellStyle name="40% - Accent1 17 2" xfId="5376" xr:uid="{ACDF0A15-7020-413E-AA05-BE82F7FDE25F}"/>
    <cellStyle name="40% - Accent1 18" xfId="586" xr:uid="{77DFA95E-7349-47F4-B636-A36D34E70931}"/>
    <cellStyle name="40% - Accent1 18 2" xfId="5377" xr:uid="{8ADFA81A-86E1-44BC-82EA-96A945427683}"/>
    <cellStyle name="40% - Accent1 19" xfId="587" xr:uid="{EC2F22B6-48EE-4349-AEC5-F280D202B46B}"/>
    <cellStyle name="40% - Accent1 19 2" xfId="5378" xr:uid="{751504F0-59F4-45F2-B549-BD527F4BE550}"/>
    <cellStyle name="40% - Accent1 2" xfId="588" xr:uid="{5D16C37B-32AA-4668-8327-FFB32DC6DA50}"/>
    <cellStyle name="40% - Accent1 2 2" xfId="589" xr:uid="{8406ECDA-C152-48A6-8A5E-D8025545DD1F}"/>
    <cellStyle name="40% - Accent1 20" xfId="590" xr:uid="{63BCE5B9-2D54-4BD8-91A0-97B1F7D05F00}"/>
    <cellStyle name="40% - Accent1 20 2" xfId="5379" xr:uid="{08213254-1D83-46FD-9A24-B8CB680FEE24}"/>
    <cellStyle name="40% - Accent1 21" xfId="591" xr:uid="{6098159E-1466-4A33-BD51-D38233F00D75}"/>
    <cellStyle name="40% - Accent1 21 2" xfId="5380" xr:uid="{44C3D3B0-1A42-4D9C-A88A-DDD9860D6526}"/>
    <cellStyle name="40% - Accent1 22" xfId="592" xr:uid="{0F453A4C-7CB0-4091-B5B3-F307092E6B1B}"/>
    <cellStyle name="40% - Accent1 22 2" xfId="5381" xr:uid="{B3029779-055A-4335-9C9B-4BBF4157F5C7}"/>
    <cellStyle name="40% - Accent1 23" xfId="593" xr:uid="{3022BE97-587D-4C9F-8A27-5710CAD0ED5B}"/>
    <cellStyle name="40% - Accent1 23 2" xfId="5382" xr:uid="{0EF9C095-FAF7-444D-B09C-9A961EEF295F}"/>
    <cellStyle name="40% - Accent1 24" xfId="594" xr:uid="{78B3490E-A2BE-4887-94A9-FE67744A1048}"/>
    <cellStyle name="40% - Accent1 24 2" xfId="5383" xr:uid="{1FDA64E1-E633-406A-ABFB-AF503F14D7F4}"/>
    <cellStyle name="40% - Accent1 25" xfId="595" xr:uid="{DB40AD85-9E87-40E2-AC50-3A5EFE57A496}"/>
    <cellStyle name="40% - Accent1 25 2" xfId="5384" xr:uid="{1469834E-B9AB-4693-8C8E-CD64FD3E4D16}"/>
    <cellStyle name="40% - Accent1 26" xfId="596" xr:uid="{A5E6D5F8-7F74-416B-B053-B317A068392E}"/>
    <cellStyle name="40% - Accent1 26 2" xfId="5385" xr:uid="{3C711BA9-16DC-4291-837C-A8C1C5789855}"/>
    <cellStyle name="40% - Accent1 27" xfId="597" xr:uid="{B5036E3A-9A7F-4ED9-87A0-CD31D1EB92D3}"/>
    <cellStyle name="40% - Accent1 27 2" xfId="5386" xr:uid="{A8C54376-D661-4C0F-87FD-91A6F46020A7}"/>
    <cellStyle name="40% - Accent1 28" xfId="598" xr:uid="{B9E86D32-046F-4BA6-97A3-0D6FFB8CC8D2}"/>
    <cellStyle name="40% - Accent1 28 2" xfId="5387" xr:uid="{5F8D53F5-A4B8-46E6-B7EE-962950A189F5}"/>
    <cellStyle name="40% - Accent1 29" xfId="599" xr:uid="{901A7C55-25BD-4396-AFB3-994FA0D8BB8B}"/>
    <cellStyle name="40% - Accent1 29 2" xfId="5388" xr:uid="{34AF05A3-7A94-49D0-8F91-0F7A5BD28A3A}"/>
    <cellStyle name="40% - Accent1 3" xfId="600" xr:uid="{6C5229D1-5B7A-4111-AEEE-B29F80C02A63}"/>
    <cellStyle name="40% - Accent1 3 2" xfId="5389" xr:uid="{A2BD2288-79AF-4DA9-943D-339FC3ADB7C1}"/>
    <cellStyle name="40% - Accent1 30" xfId="601" xr:uid="{A976FB76-8BE6-4B8A-9FA7-1C11E778170C}"/>
    <cellStyle name="40% - Accent1 30 2" xfId="5390" xr:uid="{AB436106-674C-4578-A72B-1772FC6DC6BB}"/>
    <cellStyle name="40% - Accent1 31" xfId="602" xr:uid="{724E4C79-5A79-43EC-B554-D765D8CF2E52}"/>
    <cellStyle name="40% - Accent1 31 2" xfId="5391" xr:uid="{614F81D1-8EA4-4911-B1D8-EFD8CD7C8447}"/>
    <cellStyle name="40% - Accent1 32" xfId="603" xr:uid="{F1178DDB-56DB-4365-AF12-FC8FCEA5D9A1}"/>
    <cellStyle name="40% - Accent1 32 2" xfId="5392" xr:uid="{F716830A-EE66-441F-A41A-2D705A509852}"/>
    <cellStyle name="40% - Accent1 33" xfId="604" xr:uid="{3B5D2CA3-8EC9-4884-B58E-5B4266DEF447}"/>
    <cellStyle name="40% - Accent1 33 2" xfId="5393" xr:uid="{6F81C9C1-172B-4214-89CA-AA736D67FCB9}"/>
    <cellStyle name="40% - Accent1 34" xfId="605" xr:uid="{18E4C51A-3146-46A8-9CEF-BB75E29FE94A}"/>
    <cellStyle name="40% - Accent1 34 2" xfId="5394" xr:uid="{F1B056B4-CAC3-46EE-BFAA-2CABBB2A3D37}"/>
    <cellStyle name="40% - Accent1 35" xfId="606" xr:uid="{555632B4-945F-4E72-BD72-449F68BC25BC}"/>
    <cellStyle name="40% - Accent1 35 2" xfId="5395" xr:uid="{92D92FC9-2FC9-4231-A822-DE3455ED93FD}"/>
    <cellStyle name="40% - Accent1 36" xfId="607" xr:uid="{1F15625F-86B1-4C17-B99F-5B555146BFC9}"/>
    <cellStyle name="40% - Accent1 36 2" xfId="5396" xr:uid="{A46D7859-ECFE-4B10-8324-69AB2CB26967}"/>
    <cellStyle name="40% - Accent1 37" xfId="608" xr:uid="{F5BC513B-66B9-47AF-9B9B-2130DD0FC885}"/>
    <cellStyle name="40% - Accent1 37 2" xfId="5397" xr:uid="{27BB5EF3-7BA4-4A1C-AC40-ADB7A63436DF}"/>
    <cellStyle name="40% - Accent1 38" xfId="609" xr:uid="{A4C14028-CA25-4140-B20E-238AF21DF31E}"/>
    <cellStyle name="40% - Accent1 38 2" xfId="5398" xr:uid="{896E51D7-1695-47A3-BDD5-A3EC49EADC2B}"/>
    <cellStyle name="40% - Accent1 39" xfId="610" xr:uid="{B7DE3BAA-9B88-4564-A01B-C5D771A045CD}"/>
    <cellStyle name="40% - Accent1 39 2" xfId="5399" xr:uid="{7888F0D0-1387-40CD-938A-A97BE78ED92C}"/>
    <cellStyle name="40% - Accent1 4" xfId="611" xr:uid="{62C6A417-0398-43C7-A2DA-29954602BD1A}"/>
    <cellStyle name="40% - Accent1 4 2" xfId="5400" xr:uid="{96FE924B-20E6-4FA2-A95E-4D6D8B2F5B4C}"/>
    <cellStyle name="40% - Accent1 40" xfId="612" xr:uid="{F6F40769-90D3-4D0B-8643-E4DEE1DF2425}"/>
    <cellStyle name="40% - Accent1 40 2" xfId="5401" xr:uid="{3A59D0AD-CFB5-4CBB-BF60-95D401AC10B0}"/>
    <cellStyle name="40% - Accent1 41" xfId="613" xr:uid="{84578511-2E78-482C-8B7C-6CF220F2BE6A}"/>
    <cellStyle name="40% - Accent1 41 2" xfId="5402" xr:uid="{5DE32E85-7B51-4419-A533-EA2B305D8D84}"/>
    <cellStyle name="40% - Accent1 42" xfId="614" xr:uid="{5D3EF1E2-DB98-49EE-A0E7-C49E2207B929}"/>
    <cellStyle name="40% - Accent1 42 2" xfId="5403" xr:uid="{FC692045-FA3D-4BC9-855C-1511FE676726}"/>
    <cellStyle name="40% - Accent1 43" xfId="615" xr:uid="{C8B6FCE9-2227-471B-A5CB-D3DD20E9C686}"/>
    <cellStyle name="40% - Accent1 43 2" xfId="5404" xr:uid="{D7A701A1-BB8D-40D4-B513-B98BABE682A5}"/>
    <cellStyle name="40% - Accent1 44" xfId="5943" xr:uid="{73555B96-D475-4459-BA74-8905F2830B2E}"/>
    <cellStyle name="40% - Accent1 44 2" xfId="7432" xr:uid="{52E8A26D-2FF7-4E55-A23B-D407EDD766C6}"/>
    <cellStyle name="40% - Accent1 45" xfId="12369" xr:uid="{7C3D4DDA-1760-4161-986C-BA41A8F6D0DF}"/>
    <cellStyle name="40% - Accent1 5" xfId="616" xr:uid="{AC9CA1DE-A1F6-4A2E-A0F0-62A40DA8D939}"/>
    <cellStyle name="40% - Accent1 5 2" xfId="5405" xr:uid="{69045F34-8741-44E4-8691-778996AC6EA6}"/>
    <cellStyle name="40% - Accent1 6" xfId="617" xr:uid="{A4BA225B-96FA-41BE-B6FB-8F7CA11B3189}"/>
    <cellStyle name="40% - Accent1 6 2" xfId="5406" xr:uid="{64C91A3E-C453-4379-9848-0B52162313F9}"/>
    <cellStyle name="40% - Accent1 7" xfId="618" xr:uid="{B5FA1D94-6DC3-4D49-8DE3-E0445522C8C2}"/>
    <cellStyle name="40% - Accent1 7 2" xfId="5407" xr:uid="{542BBE15-D8B6-427C-88A9-D9E52EC5DFF1}"/>
    <cellStyle name="40% - Accent1 8" xfId="619" xr:uid="{BC09ACEC-4DFE-4D75-A987-56525C76A8C1}"/>
    <cellStyle name="40% - Accent1 8 2" xfId="5408" xr:uid="{8C5ED9F8-C2CF-4633-939B-3AD4F6AD87D5}"/>
    <cellStyle name="40% - Accent1 9" xfId="620" xr:uid="{F9FE61F8-D648-47F2-8D14-97E8D730421A}"/>
    <cellStyle name="40% - Accent1 9 2" xfId="5409" xr:uid="{168B7DF0-6E73-4FDA-B8E8-08829DD77180}"/>
    <cellStyle name="40% - Accent2" xfId="8" builtinId="35" hidden="1" customBuiltin="1"/>
    <cellStyle name="40% - Accent2" xfId="621" builtinId="35" customBuiltin="1"/>
    <cellStyle name="40% - Accent2 10" xfId="622" xr:uid="{4981D114-F895-4148-ABBD-597BE442B794}"/>
    <cellStyle name="40% - Accent2 10 2" xfId="5410" xr:uid="{9B608518-E742-41C8-AE54-27E296A32144}"/>
    <cellStyle name="40% - Accent2 11" xfId="623" xr:uid="{5410D9B0-24F1-4C07-BF61-2C1F11046922}"/>
    <cellStyle name="40% - Accent2 11 2" xfId="5411" xr:uid="{D1F37669-B39A-42FE-99A4-82FDF65FA2FC}"/>
    <cellStyle name="40% - Accent2 12" xfId="624" xr:uid="{CFB6E061-F716-43B5-B5A6-B37757B2A477}"/>
    <cellStyle name="40% - Accent2 12 2" xfId="5412" xr:uid="{8616BFE6-BA6C-46F2-9C22-A1D96105AC2E}"/>
    <cellStyle name="40% - Accent2 13" xfId="625" xr:uid="{955EC05E-1C48-405B-A335-E6573953DDF4}"/>
    <cellStyle name="40% - Accent2 13 2" xfId="5413" xr:uid="{AA739B78-AF25-4406-B161-A9ADFF07AA3B}"/>
    <cellStyle name="40% - Accent2 14" xfId="626" xr:uid="{FE6E9EEE-96CD-414F-BA04-97FAA9A5CE59}"/>
    <cellStyle name="40% - Accent2 14 2" xfId="5414" xr:uid="{34CD8401-F659-4DCE-83C8-D95D5680D52D}"/>
    <cellStyle name="40% - Accent2 15" xfId="627" xr:uid="{F12A288C-DF92-4917-84B6-43EC2DED4FD5}"/>
    <cellStyle name="40% - Accent2 15 2" xfId="5415" xr:uid="{AF7EB0F8-6973-4BA4-9167-87177FDD2BC7}"/>
    <cellStyle name="40% - Accent2 16" xfId="628" xr:uid="{AFE7C4FC-0311-4FBC-A75A-5693AB2F2127}"/>
    <cellStyle name="40% - Accent2 16 2" xfId="5416" xr:uid="{6A564215-4533-4941-81D1-343D7A9DBF4C}"/>
    <cellStyle name="40% - Accent2 17" xfId="629" xr:uid="{957975DB-753D-47FC-8D0A-27644D89016A}"/>
    <cellStyle name="40% - Accent2 17 2" xfId="5417" xr:uid="{0108E88D-04A6-4515-86F8-F36D938887AC}"/>
    <cellStyle name="40% - Accent2 18" xfId="630" xr:uid="{0FCF0452-2C38-450F-99C3-E01F0B367769}"/>
    <cellStyle name="40% - Accent2 18 2" xfId="5418" xr:uid="{9A72D8EB-3FF1-4AA3-B534-A0F8EB9A2461}"/>
    <cellStyle name="40% - Accent2 19" xfId="631" xr:uid="{727E863C-302D-44B4-B78D-8FFF140202CE}"/>
    <cellStyle name="40% - Accent2 19 2" xfId="5419" xr:uid="{5070C35C-8A94-4F91-91D2-B638167226A5}"/>
    <cellStyle name="40% - Accent2 2" xfId="632" xr:uid="{7294B3BC-1C4F-44F2-9F61-ADDB9B41812C}"/>
    <cellStyle name="40% - Accent2 2 2" xfId="633" xr:uid="{360A1CF2-E410-4878-BEF1-A9C13A749537}"/>
    <cellStyle name="40% - Accent2 20" xfId="634" xr:uid="{E57ECE18-339B-4F29-A497-3CD3857F3657}"/>
    <cellStyle name="40% - Accent2 20 2" xfId="5420" xr:uid="{24089EAE-9A83-4A99-A03D-AAA1DAB06238}"/>
    <cellStyle name="40% - Accent2 21" xfId="635" xr:uid="{0A03196F-8921-475D-9AD9-BBBA1858F40A}"/>
    <cellStyle name="40% - Accent2 21 2" xfId="5421" xr:uid="{CF2F494B-7D61-4795-8444-EEDE9F49DB92}"/>
    <cellStyle name="40% - Accent2 22" xfId="636" xr:uid="{36D80DE1-ABED-4D89-AB7D-5B41187811F2}"/>
    <cellStyle name="40% - Accent2 22 2" xfId="5422" xr:uid="{90E0EA63-4981-43D8-9936-7952D29F5145}"/>
    <cellStyle name="40% - Accent2 23" xfId="637" xr:uid="{A83E57CA-97F9-495D-ADA4-7F41CE8135CE}"/>
    <cellStyle name="40% - Accent2 23 2" xfId="5423" xr:uid="{85F432DA-36A5-4893-B2C5-FE6A8738C45E}"/>
    <cellStyle name="40% - Accent2 24" xfId="638" xr:uid="{4A0C71A1-F891-4B4B-9BAE-0A2D9F6212A7}"/>
    <cellStyle name="40% - Accent2 24 2" xfId="5424" xr:uid="{622A0500-97B9-42FC-9398-58D87710AEEE}"/>
    <cellStyle name="40% - Accent2 25" xfId="639" xr:uid="{737AC177-AAB6-4688-B853-92EBF7329F67}"/>
    <cellStyle name="40% - Accent2 25 2" xfId="5425" xr:uid="{7ADFCFEC-5F7A-4B61-90FC-545B37BC3E3F}"/>
    <cellStyle name="40% - Accent2 26" xfId="640" xr:uid="{D3DAD2D4-17C6-4AC8-A59C-B39FC8B75B79}"/>
    <cellStyle name="40% - Accent2 26 2" xfId="5426" xr:uid="{AEDAFB24-CD7E-4415-99C7-A0D349EB3795}"/>
    <cellStyle name="40% - Accent2 27" xfId="641" xr:uid="{476BB6C8-1B82-4AF5-A010-54A91E3B2993}"/>
    <cellStyle name="40% - Accent2 27 2" xfId="5427" xr:uid="{FBAF1FE2-685E-472B-9FEA-4BD6E966AF24}"/>
    <cellStyle name="40% - Accent2 28" xfId="642" xr:uid="{AE1B90A5-4098-422A-B9E0-30E9DDF5AE44}"/>
    <cellStyle name="40% - Accent2 28 2" xfId="5428" xr:uid="{C68A5911-6196-4755-9963-D51F7468ADA9}"/>
    <cellStyle name="40% - Accent2 29" xfId="643" xr:uid="{78077F3E-2794-4159-B3E2-1873EBFCB1D5}"/>
    <cellStyle name="40% - Accent2 29 2" xfId="5429" xr:uid="{5E4E99B2-906F-4A1B-AFA6-404AA029687D}"/>
    <cellStyle name="40% - Accent2 3" xfId="644" xr:uid="{B9E563AD-4A7C-4D32-ADEF-F0B79523EF42}"/>
    <cellStyle name="40% - Accent2 3 2" xfId="5430" xr:uid="{FFDE0DEA-FA90-4E46-8A7F-0A89C6E38470}"/>
    <cellStyle name="40% - Accent2 30" xfId="645" xr:uid="{2671C686-3B4C-4AAC-8EFC-4999DBED9574}"/>
    <cellStyle name="40% - Accent2 30 2" xfId="5431" xr:uid="{510A4994-2BF5-48DC-B5E5-2324CC8B4151}"/>
    <cellStyle name="40% - Accent2 31" xfId="646" xr:uid="{FB17B54E-FFD8-4AB0-84C8-30DB353A8037}"/>
    <cellStyle name="40% - Accent2 31 2" xfId="5432" xr:uid="{C0CD5BB5-8768-4615-9522-1BD980ACB7ED}"/>
    <cellStyle name="40% - Accent2 32" xfId="647" xr:uid="{356065C6-06DF-44BA-BFE7-DA179D1AC99D}"/>
    <cellStyle name="40% - Accent2 32 2" xfId="5433" xr:uid="{B69CDC04-DD12-4936-A7E0-EC18F3C75E4A}"/>
    <cellStyle name="40% - Accent2 33" xfId="648" xr:uid="{41494827-6AF8-4C3D-BBE7-6AF4C71055DA}"/>
    <cellStyle name="40% - Accent2 33 2" xfId="5434" xr:uid="{0986254C-A557-4DE8-AD13-28E6176E4F8C}"/>
    <cellStyle name="40% - Accent2 34" xfId="649" xr:uid="{D7B587A1-04E0-4887-B792-5366A36F7169}"/>
    <cellStyle name="40% - Accent2 34 2" xfId="5435" xr:uid="{AB312C57-2274-4687-99FB-3095ECDE602D}"/>
    <cellStyle name="40% - Accent2 35" xfId="650" xr:uid="{4FF53FF2-C1D1-48A9-8587-AB781DFCB21B}"/>
    <cellStyle name="40% - Accent2 35 2" xfId="5436" xr:uid="{E76943A5-B0E6-4F86-A83F-AFABFCE28393}"/>
    <cellStyle name="40% - Accent2 36" xfId="651" xr:uid="{B7A53F5A-6F90-49CC-A4DB-15725DE6562D}"/>
    <cellStyle name="40% - Accent2 36 2" xfId="5437" xr:uid="{8846C713-7D63-4AF3-87A1-3CE3E2070866}"/>
    <cellStyle name="40% - Accent2 37" xfId="652" xr:uid="{484E73EF-30AF-4B85-B31F-27088C4E0270}"/>
    <cellStyle name="40% - Accent2 37 2" xfId="5438" xr:uid="{BE752953-226A-4D0A-BB60-759514C192B5}"/>
    <cellStyle name="40% - Accent2 38" xfId="653" xr:uid="{D5255B1B-8992-407E-AA6A-0BCE5CFFA18D}"/>
    <cellStyle name="40% - Accent2 38 2" xfId="5439" xr:uid="{9C03E7DD-DE72-4DD2-BFAE-DB9E550F07C2}"/>
    <cellStyle name="40% - Accent2 39" xfId="654" xr:uid="{AF51B7BB-8141-4EFC-95D2-5D138CE3EBBD}"/>
    <cellStyle name="40% - Accent2 39 2" xfId="5440" xr:uid="{DF641AB6-238B-40F1-9AFD-AB1173B387EB}"/>
    <cellStyle name="40% - Accent2 4" xfId="655" xr:uid="{2056D987-AEC2-4EB5-88BC-8C37B5F8FEEE}"/>
    <cellStyle name="40% - Accent2 4 2" xfId="5441" xr:uid="{27109309-7000-4054-AC3E-F3BB001D61ED}"/>
    <cellStyle name="40% - Accent2 40" xfId="656" xr:uid="{62A8FE9B-63C2-4ABF-A6B4-9A4A97E055BB}"/>
    <cellStyle name="40% - Accent2 40 2" xfId="5442" xr:uid="{22E1CCC2-3D3F-4216-A1E2-11D9025B778A}"/>
    <cellStyle name="40% - Accent2 41" xfId="657" xr:uid="{290F1E54-4955-483E-94C7-5D4CF711518F}"/>
    <cellStyle name="40% - Accent2 41 2" xfId="5443" xr:uid="{F50C9E37-6D28-4BEF-85C0-5AD3AD14F877}"/>
    <cellStyle name="40% - Accent2 42" xfId="658" xr:uid="{0C5F1683-B2D1-41BF-98C5-C453E0D2AA4C}"/>
    <cellStyle name="40% - Accent2 42 2" xfId="5444" xr:uid="{7D856CC2-F84E-4AA8-9258-CF72F76CE30E}"/>
    <cellStyle name="40% - Accent2 43" xfId="659" xr:uid="{D4C6FA17-A74C-47EB-8057-AAEADA25F227}"/>
    <cellStyle name="40% - Accent2 43 2" xfId="5445" xr:uid="{92B31DF0-D8A7-4409-BCA9-3D972A17198F}"/>
    <cellStyle name="40% - Accent2 44" xfId="7476" xr:uid="{16DB8370-A55B-4236-9110-D53DC56C2C2A}"/>
    <cellStyle name="40% - Accent2 5" xfId="660" xr:uid="{E8F61A72-8BFE-4383-999A-F0741A5D6379}"/>
    <cellStyle name="40% - Accent2 5 2" xfId="5446" xr:uid="{418BBAD7-8647-4389-ACBF-AB85B0A23FD8}"/>
    <cellStyle name="40% - Accent2 6" xfId="661" xr:uid="{629FDCF4-BDE5-4A89-9795-DD729B1EEED3}"/>
    <cellStyle name="40% - Accent2 6 2" xfId="5447" xr:uid="{E3B56CC1-2869-49B7-A172-3A60266EFB73}"/>
    <cellStyle name="40% - Accent2 7" xfId="662" xr:uid="{1FC3EE99-3CCF-490F-9A86-738A754C1E41}"/>
    <cellStyle name="40% - Accent2 7 2" xfId="5448" xr:uid="{0DDD6FA2-1C0F-471D-97D9-13941A5D37E1}"/>
    <cellStyle name="40% - Accent2 8" xfId="663" xr:uid="{CDCD1743-94AA-4252-A802-FB0B101942AE}"/>
    <cellStyle name="40% - Accent2 8 2" xfId="5449" xr:uid="{335D4957-2269-48DC-8FF0-FEEB2C8CE76D}"/>
    <cellStyle name="40% - Accent2 9" xfId="664" xr:uid="{66E201E8-FA43-48F3-BFED-8B43199BB0CE}"/>
    <cellStyle name="40% - Accent2 9 2" xfId="5450" xr:uid="{AE0A9DC7-F127-4D6B-A7DC-F539F7D86ED8}"/>
    <cellStyle name="40% - Accent3" xfId="9" builtinId="39" hidden="1" customBuiltin="1"/>
    <cellStyle name="40% - Accent3" xfId="665" builtinId="39" customBuiltin="1"/>
    <cellStyle name="40% - Accent3 10" xfId="666" xr:uid="{9BE90B03-5E5F-417B-822D-0965785CCA20}"/>
    <cellStyle name="40% - Accent3 10 2" xfId="5451" xr:uid="{C1383CE4-1D5E-4E65-AB21-DFE8C7400EC1}"/>
    <cellStyle name="40% - Accent3 11" xfId="667" xr:uid="{1429DBFD-3955-4FB9-9882-37F6562F7511}"/>
    <cellStyle name="40% - Accent3 11 2" xfId="5452" xr:uid="{921249D7-FB94-41EE-851A-B4DAA40A4E2E}"/>
    <cellStyle name="40% - Accent3 12" xfId="668" xr:uid="{BC58E564-6D34-4F58-AEE1-7EE6CAE0C887}"/>
    <cellStyle name="40% - Accent3 12 2" xfId="5453" xr:uid="{D43851E3-1B8C-49FC-8D9D-5F52351152C7}"/>
    <cellStyle name="40% - Accent3 13" xfId="669" xr:uid="{7457CBC6-1FBD-4CE5-8874-05B9B76F02AB}"/>
    <cellStyle name="40% - Accent3 13 2" xfId="5454" xr:uid="{253B2202-C45C-45A4-885A-65645B81987D}"/>
    <cellStyle name="40% - Accent3 14" xfId="670" xr:uid="{E8B1E739-D4CC-47D8-85CC-641C0088FCEF}"/>
    <cellStyle name="40% - Accent3 14 2" xfId="5455" xr:uid="{3027DDD7-B549-445F-AEE2-FDC808FF2E6E}"/>
    <cellStyle name="40% - Accent3 15" xfId="671" xr:uid="{A06E361C-B272-4FB7-821A-8687D86A43C8}"/>
    <cellStyle name="40% - Accent3 15 2" xfId="5456" xr:uid="{061120E8-D26C-4F7C-958D-F3715F78D79B}"/>
    <cellStyle name="40% - Accent3 16" xfId="672" xr:uid="{4B59BE1C-8A92-4D91-AA46-F10EFA4E4D80}"/>
    <cellStyle name="40% - Accent3 16 2" xfId="5457" xr:uid="{A39EC7FF-ED56-4E45-8FC5-D4C7D79EF93F}"/>
    <cellStyle name="40% - Accent3 17" xfId="673" xr:uid="{66785097-0D18-4825-845A-B96951E7F66D}"/>
    <cellStyle name="40% - Accent3 17 2" xfId="5458" xr:uid="{B12BBC60-01C7-4268-AFB6-A0DFDEB0AEB8}"/>
    <cellStyle name="40% - Accent3 18" xfId="674" xr:uid="{BBC16091-62C3-4C11-BED6-F988350AB6A0}"/>
    <cellStyle name="40% - Accent3 18 2" xfId="5459" xr:uid="{68127A2F-4ADB-41DA-B99C-6D4870E8912B}"/>
    <cellStyle name="40% - Accent3 19" xfId="675" xr:uid="{3BCD04BA-FBB1-445E-9D32-BFFE0AB611B6}"/>
    <cellStyle name="40% - Accent3 19 2" xfId="5460" xr:uid="{82213452-D74B-47EB-AE64-7CB15D7D23F9}"/>
    <cellStyle name="40% - Accent3 2" xfId="676" xr:uid="{5125F1F7-9202-4B44-9749-CA12337C102F}"/>
    <cellStyle name="40% - Accent3 2 2" xfId="677" xr:uid="{9D4D2E90-1282-418F-A70E-6467DAD7AF98}"/>
    <cellStyle name="40% - Accent3 20" xfId="678" xr:uid="{CE9B8C52-AFC9-4A36-A70F-58025D2D56F3}"/>
    <cellStyle name="40% - Accent3 20 2" xfId="5461" xr:uid="{6543FF51-EC4E-4D16-ACF8-D05E0ADD60F2}"/>
    <cellStyle name="40% - Accent3 21" xfId="679" xr:uid="{606D46DB-10ED-47A2-B508-48B4C72D93C2}"/>
    <cellStyle name="40% - Accent3 21 2" xfId="5462" xr:uid="{689805FC-D654-4082-A936-39C322940076}"/>
    <cellStyle name="40% - Accent3 22" xfId="680" xr:uid="{C1FA83C1-4CF1-41FA-BBF1-00FCB9E62320}"/>
    <cellStyle name="40% - Accent3 22 2" xfId="5463" xr:uid="{8C939A3F-EC73-4581-BF69-BEB8FFB13678}"/>
    <cellStyle name="40% - Accent3 23" xfId="681" xr:uid="{63326879-ED2D-4EAF-B19B-3E8A39D10CF0}"/>
    <cellStyle name="40% - Accent3 23 2" xfId="5464" xr:uid="{043C0E95-4572-4C41-9C85-88064CED465F}"/>
    <cellStyle name="40% - Accent3 24" xfId="682" xr:uid="{5613B0D5-C2A5-4503-9EB8-51DDF7DC3E5F}"/>
    <cellStyle name="40% - Accent3 24 2" xfId="5465" xr:uid="{52E4F71D-4582-40DC-AF4F-214941C74ACE}"/>
    <cellStyle name="40% - Accent3 25" xfId="683" xr:uid="{2B54475D-05C5-4390-8F39-A452C4A5FD24}"/>
    <cellStyle name="40% - Accent3 25 2" xfId="5466" xr:uid="{2F06FD95-7B76-48F0-9CAD-FFB63B65997A}"/>
    <cellStyle name="40% - Accent3 26" xfId="684" xr:uid="{E2F090AF-4F4A-45E1-AD64-32813886D71A}"/>
    <cellStyle name="40% - Accent3 26 2" xfId="5467" xr:uid="{B3BFE8B3-D6E1-480A-9712-CEEA3F2377A8}"/>
    <cellStyle name="40% - Accent3 27" xfId="685" xr:uid="{06B13806-71E6-4F95-A96D-967AEBBCF405}"/>
    <cellStyle name="40% - Accent3 27 2" xfId="5468" xr:uid="{B8B73799-6EA0-48A6-8089-97FC0544FB43}"/>
    <cellStyle name="40% - Accent3 28" xfId="686" xr:uid="{D8869FF4-0389-4E9D-A89B-FC05C05B8CD4}"/>
    <cellStyle name="40% - Accent3 28 2" xfId="5469" xr:uid="{AE93FF31-5DA5-4C31-845A-F2C6F5A139FD}"/>
    <cellStyle name="40% - Accent3 29" xfId="687" xr:uid="{B0D3A716-D07B-4B29-AFC3-98DAFD007FE9}"/>
    <cellStyle name="40% - Accent3 29 2" xfId="5470" xr:uid="{C12B3356-1E42-4B85-AAE7-C96A43FE3EC8}"/>
    <cellStyle name="40% - Accent3 3" xfId="688" xr:uid="{114C9FA3-68F7-4A6B-B4E4-75C003E8D9C3}"/>
    <cellStyle name="40% - Accent3 3 2" xfId="5471" xr:uid="{F559860A-607E-47CA-8471-B9205786DB9A}"/>
    <cellStyle name="40% - Accent3 30" xfId="689" xr:uid="{DCA7DFD3-CF53-48AC-B81F-51BEE78BA01F}"/>
    <cellStyle name="40% - Accent3 30 2" xfId="5472" xr:uid="{CD522427-4C45-482E-899F-6C2B11CB631C}"/>
    <cellStyle name="40% - Accent3 31" xfId="690" xr:uid="{DD0FF11E-42D9-4FBC-B426-BD51E84ABD40}"/>
    <cellStyle name="40% - Accent3 31 2" xfId="5473" xr:uid="{73DD93F8-1C32-4EDB-B348-F09FE6C14A67}"/>
    <cellStyle name="40% - Accent3 32" xfId="691" xr:uid="{A0BA7542-8D6A-4547-80AF-5EB48F5626C3}"/>
    <cellStyle name="40% - Accent3 32 2" xfId="5474" xr:uid="{1DF5C06F-A9B1-4D3E-9A26-62DF97B459FD}"/>
    <cellStyle name="40% - Accent3 33" xfId="692" xr:uid="{2009A4EF-12AA-4C19-8456-C2D5373AD733}"/>
    <cellStyle name="40% - Accent3 33 2" xfId="5475" xr:uid="{CCF044A7-A40E-4BBE-9A50-A07663BF919E}"/>
    <cellStyle name="40% - Accent3 34" xfId="693" xr:uid="{D0FC45E8-A568-44B4-8912-031C01A76A29}"/>
    <cellStyle name="40% - Accent3 34 2" xfId="5476" xr:uid="{CCD77854-8691-4192-8D8C-E8347593DD92}"/>
    <cellStyle name="40% - Accent3 35" xfId="694" xr:uid="{B1548ECA-533B-4A90-A758-9D69EC79C39D}"/>
    <cellStyle name="40% - Accent3 35 2" xfId="5477" xr:uid="{FE2F6099-A2C5-4A6D-99BD-74999A409308}"/>
    <cellStyle name="40% - Accent3 36" xfId="695" xr:uid="{7D6A0B2F-BFD5-435B-B7C5-B2AFECB685DA}"/>
    <cellStyle name="40% - Accent3 36 2" xfId="5478" xr:uid="{A900B730-B3F9-41C4-BEC4-AD021A2E6579}"/>
    <cellStyle name="40% - Accent3 37" xfId="696" xr:uid="{5EAC16D7-B923-42EA-8C74-BE24FD8D7D49}"/>
    <cellStyle name="40% - Accent3 37 2" xfId="5479" xr:uid="{0526B962-9B4F-4E27-83BD-B1BC58AEB2F0}"/>
    <cellStyle name="40% - Accent3 38" xfId="697" xr:uid="{5EC0F793-53BB-483E-A12E-32F807AE14D0}"/>
    <cellStyle name="40% - Accent3 38 2" xfId="5480" xr:uid="{2F1CE7E9-6E1B-4A32-A1D2-E4997529F3D4}"/>
    <cellStyle name="40% - Accent3 39" xfId="698" xr:uid="{9BE6368F-140A-40F6-8EE4-4EC5F90125B9}"/>
    <cellStyle name="40% - Accent3 39 2" xfId="5481" xr:uid="{A9E26DBB-6151-4309-A2BC-B8CAD9CD3DD7}"/>
    <cellStyle name="40% - Accent3 4" xfId="699" xr:uid="{37FA8A34-CD73-4784-8D3D-081061F070F3}"/>
    <cellStyle name="40% - Accent3 4 2" xfId="5482" xr:uid="{882D590A-838A-46FB-9144-CCD847D207B7}"/>
    <cellStyle name="40% - Accent3 40" xfId="700" xr:uid="{2673AAA5-17ED-4C76-A3A4-CDC897002FD3}"/>
    <cellStyle name="40% - Accent3 40 2" xfId="5483" xr:uid="{B7F25760-4130-47C1-A3F0-8D14C9B1AD78}"/>
    <cellStyle name="40% - Accent3 41" xfId="701" xr:uid="{CCEB7526-5068-46CD-BD05-B8B07AEF03F7}"/>
    <cellStyle name="40% - Accent3 41 2" xfId="5484" xr:uid="{DB8FC154-8DB8-47EE-8D3D-024FD325CDE7}"/>
    <cellStyle name="40% - Accent3 42" xfId="702" xr:uid="{5CFE41A2-10BE-439F-847B-F1644206ED73}"/>
    <cellStyle name="40% - Accent3 42 2" xfId="5485" xr:uid="{3FE3ECFC-9529-48F4-808A-6065B5588156}"/>
    <cellStyle name="40% - Accent3 43" xfId="703" xr:uid="{8E1EC5F3-CCCB-405A-B0D3-8C80AEE23B11}"/>
    <cellStyle name="40% - Accent3 43 2" xfId="5486" xr:uid="{E72CAE03-E094-441C-B10D-EF025786B7F4}"/>
    <cellStyle name="40% - Accent3 44" xfId="7518" xr:uid="{C62DF4FF-59BD-42AF-8882-06BAFBEC3D2A}"/>
    <cellStyle name="40% - Accent3 5" xfId="704" xr:uid="{10C2FB19-6048-4334-946E-BDDA23C92611}"/>
    <cellStyle name="40% - Accent3 5 2" xfId="5487" xr:uid="{E633CE52-AC40-44A5-BC18-8EC51D867D3B}"/>
    <cellStyle name="40% - Accent3 6" xfId="705" xr:uid="{84C653A3-C231-4490-BEEE-25718F28420A}"/>
    <cellStyle name="40% - Accent3 6 2" xfId="5488" xr:uid="{BE7DCCDD-69EB-47E7-B763-113A4BC7FE0A}"/>
    <cellStyle name="40% - Accent3 7" xfId="706" xr:uid="{11C6C464-EB41-400C-A4BD-2A61FF8624AE}"/>
    <cellStyle name="40% - Accent3 7 2" xfId="5489" xr:uid="{704CD580-2D2B-4892-BDF2-7FCFE9E3BB98}"/>
    <cellStyle name="40% - Accent3 8" xfId="707" xr:uid="{E783AD8A-368C-46E1-B87A-0015A2E91ACC}"/>
    <cellStyle name="40% - Accent3 8 2" xfId="5490" xr:uid="{37A27B65-6984-498D-886D-5682E0C2474C}"/>
    <cellStyle name="40% - Accent3 9" xfId="708" xr:uid="{1337C798-0BBB-49BA-8583-E3D9C58CB284}"/>
    <cellStyle name="40% - Accent3 9 2" xfId="5491" xr:uid="{AFFBB6DB-D262-4ACC-A3BF-D0DA9AC14827}"/>
    <cellStyle name="40% - Accent4" xfId="10" builtinId="43" hidden="1" customBuiltin="1"/>
    <cellStyle name="40% - Accent4" xfId="709" builtinId="43" customBuiltin="1"/>
    <cellStyle name="40% - Accent4 10" xfId="710" xr:uid="{C0F2534E-4567-485C-89B7-753D53F2245C}"/>
    <cellStyle name="40% - Accent4 10 2" xfId="5492" xr:uid="{3EFE8168-8955-44F4-809F-73CD23C6637B}"/>
    <cellStyle name="40% - Accent4 11" xfId="711" xr:uid="{7F20090C-03AC-4311-BC0B-26A61A2B2E33}"/>
    <cellStyle name="40% - Accent4 11 2" xfId="5493" xr:uid="{C3B3E420-E985-4752-B07F-EA2DB09EAB94}"/>
    <cellStyle name="40% - Accent4 12" xfId="712" xr:uid="{3B0CD2A3-D40D-473C-942F-27B27578FCAD}"/>
    <cellStyle name="40% - Accent4 12 2" xfId="5494" xr:uid="{1F9C2DF4-0689-4710-B349-8F87745FBC64}"/>
    <cellStyle name="40% - Accent4 13" xfId="713" xr:uid="{F3D22818-1E32-439A-8318-4A4C55273DCF}"/>
    <cellStyle name="40% - Accent4 13 2" xfId="5495" xr:uid="{CACE094C-DD71-4754-8A57-1A02C1372998}"/>
    <cellStyle name="40% - Accent4 14" xfId="714" xr:uid="{F05D8F2D-1FD9-4B3F-9260-756521DA767C}"/>
    <cellStyle name="40% - Accent4 14 2" xfId="5496" xr:uid="{AD076429-4C1B-4811-A13A-21BDE49A4ECF}"/>
    <cellStyle name="40% - Accent4 15" xfId="715" xr:uid="{2C72513B-9450-4B7E-8114-CE82B486F5F9}"/>
    <cellStyle name="40% - Accent4 15 2" xfId="5497" xr:uid="{E8B3C074-FB9F-4DFC-B242-F7E7A287E6D0}"/>
    <cellStyle name="40% - Accent4 16" xfId="716" xr:uid="{60A08456-DF70-4ACC-A63D-C048E3E353F6}"/>
    <cellStyle name="40% - Accent4 16 2" xfId="5498" xr:uid="{B309FAFE-40A7-4D5D-BA41-FE0CE187E803}"/>
    <cellStyle name="40% - Accent4 17" xfId="717" xr:uid="{9BE917C5-1A3F-4E10-B0A8-398610D56B54}"/>
    <cellStyle name="40% - Accent4 17 2" xfId="5499" xr:uid="{FC5CC8B6-4BF3-4B00-9B7E-1B8D715011FC}"/>
    <cellStyle name="40% - Accent4 18" xfId="718" xr:uid="{A0B33F39-45FD-4C92-8F1B-DF67F2FFF8E1}"/>
    <cellStyle name="40% - Accent4 18 2" xfId="5500" xr:uid="{93D34905-6296-46AE-A689-0217D20ED1B3}"/>
    <cellStyle name="40% - Accent4 19" xfId="719" xr:uid="{EC97FF18-65A2-48CA-A6F3-7254C53A15C1}"/>
    <cellStyle name="40% - Accent4 19 2" xfId="5501" xr:uid="{E0177987-2714-44B5-AF24-B2C20EF2DD6F}"/>
    <cellStyle name="40% - Accent4 2" xfId="720" xr:uid="{FCD0B5A7-E788-4EFD-8D39-83B586D7843F}"/>
    <cellStyle name="40% - Accent4 2 2" xfId="721" xr:uid="{E7458889-9369-414A-B1B6-B3F0DAC5AAC5}"/>
    <cellStyle name="40% - Accent4 20" xfId="722" xr:uid="{F5FE7804-0CBD-44E1-8A10-1FCADCD2367A}"/>
    <cellStyle name="40% - Accent4 20 2" xfId="5502" xr:uid="{00A036C7-2077-4C9F-B97B-AA8BBBD7D98B}"/>
    <cellStyle name="40% - Accent4 21" xfId="723" xr:uid="{830FDFA7-D691-4FB8-A9BD-D16134E9162A}"/>
    <cellStyle name="40% - Accent4 21 2" xfId="5503" xr:uid="{9E170746-325E-42A6-92C1-393363B0BE25}"/>
    <cellStyle name="40% - Accent4 22" xfId="724" xr:uid="{6CCF750F-D8BC-4635-BFCE-42DB6B0D1B8F}"/>
    <cellStyle name="40% - Accent4 22 2" xfId="5504" xr:uid="{BA6BEFE7-7FC8-4395-A23D-B86247EFB8BD}"/>
    <cellStyle name="40% - Accent4 23" xfId="725" xr:uid="{EBD04D8C-4EB5-4BBD-8584-33EE1F10E64E}"/>
    <cellStyle name="40% - Accent4 23 2" xfId="5505" xr:uid="{824C4C0D-F8C4-4F4D-9D26-DDC39976F62F}"/>
    <cellStyle name="40% - Accent4 24" xfId="726" xr:uid="{59506218-8A50-453B-8C73-94D0C340D4FE}"/>
    <cellStyle name="40% - Accent4 24 2" xfId="5506" xr:uid="{403D76D5-9D45-4081-B45C-2DBF4CCFF470}"/>
    <cellStyle name="40% - Accent4 25" xfId="727" xr:uid="{5C559FFA-1C18-40C8-8857-B6A5C8D66881}"/>
    <cellStyle name="40% - Accent4 25 2" xfId="5507" xr:uid="{62CD5CCC-A357-4DAD-B7E1-715AA12FF231}"/>
    <cellStyle name="40% - Accent4 26" xfId="728" xr:uid="{A9FE8AF2-8015-44B6-943F-E9C48373264B}"/>
    <cellStyle name="40% - Accent4 26 2" xfId="5508" xr:uid="{887FE1DF-E8C5-41D3-94C1-ABCB125C56A2}"/>
    <cellStyle name="40% - Accent4 27" xfId="729" xr:uid="{E45EBDDE-9A95-4AD0-AEAA-CFDBEA969973}"/>
    <cellStyle name="40% - Accent4 27 2" xfId="5509" xr:uid="{26854922-74CC-45AB-9AD4-2FEAD0719AAA}"/>
    <cellStyle name="40% - Accent4 28" xfId="730" xr:uid="{7CCB5F81-B3F2-4FFE-906A-FF9950EB7699}"/>
    <cellStyle name="40% - Accent4 28 2" xfId="5510" xr:uid="{F13535DF-343A-4D1F-81DC-830FB57E6558}"/>
    <cellStyle name="40% - Accent4 29" xfId="731" xr:uid="{7A32B06D-976C-4311-9829-33E7B50A650B}"/>
    <cellStyle name="40% - Accent4 29 2" xfId="5511" xr:uid="{5E43098F-F19F-4B84-B0F3-9C851F177014}"/>
    <cellStyle name="40% - Accent4 3" xfId="732" xr:uid="{42D35E54-7F77-4BE3-BE26-E0F248CDB75F}"/>
    <cellStyle name="40% - Accent4 3 2" xfId="5512" xr:uid="{BCBD5468-E222-42CF-ACD8-6A5C19449226}"/>
    <cellStyle name="40% - Accent4 30" xfId="733" xr:uid="{F22C611A-D908-4E99-A446-2A5A171CEE6A}"/>
    <cellStyle name="40% - Accent4 30 2" xfId="5513" xr:uid="{677F541A-5481-4DBB-92E4-B146146883D4}"/>
    <cellStyle name="40% - Accent4 31" xfId="734" xr:uid="{96CB72E4-CA3C-4D33-986A-420DA7A1B1F0}"/>
    <cellStyle name="40% - Accent4 31 2" xfId="5514" xr:uid="{E823B9C5-CA2E-42D0-935C-56E985114407}"/>
    <cellStyle name="40% - Accent4 32" xfId="735" xr:uid="{A323977E-CB5A-428D-A7CE-E73574F7E037}"/>
    <cellStyle name="40% - Accent4 32 2" xfId="5515" xr:uid="{D412985C-9810-46F6-9617-833CDBE3DAF0}"/>
    <cellStyle name="40% - Accent4 33" xfId="736" xr:uid="{C953B654-1AE5-4C56-8B2A-C667DB896765}"/>
    <cellStyle name="40% - Accent4 33 2" xfId="5516" xr:uid="{23BD8EE3-6B87-4D22-B384-50D5F9D0F4F9}"/>
    <cellStyle name="40% - Accent4 34" xfId="737" xr:uid="{7CDF55E2-AE67-4BC8-B8F0-526A52ED37EF}"/>
    <cellStyle name="40% - Accent4 34 2" xfId="5517" xr:uid="{83594766-C38C-4551-92AE-E8E39C0CB1B2}"/>
    <cellStyle name="40% - Accent4 35" xfId="738" xr:uid="{8C3D5EEA-507F-477A-8389-D298FBAC57B8}"/>
    <cellStyle name="40% - Accent4 35 2" xfId="5518" xr:uid="{82A7383E-5C65-4D75-8366-5AF101933FA5}"/>
    <cellStyle name="40% - Accent4 36" xfId="739" xr:uid="{C4A6EB2E-80F5-403E-977F-D4B854BE7883}"/>
    <cellStyle name="40% - Accent4 36 2" xfId="5519" xr:uid="{05DBBB25-B158-4A57-8E18-BE96E27BF710}"/>
    <cellStyle name="40% - Accent4 37" xfId="740" xr:uid="{DBC61690-3345-40F4-A778-C1C707FB71C5}"/>
    <cellStyle name="40% - Accent4 37 2" xfId="5520" xr:uid="{0305E8FC-F7F0-4E0C-B66E-0C02AFC18273}"/>
    <cellStyle name="40% - Accent4 38" xfId="741" xr:uid="{90DB8494-521C-44C7-B4E2-0A3AA4643E99}"/>
    <cellStyle name="40% - Accent4 38 2" xfId="5521" xr:uid="{164D6440-8436-4A0D-8AA1-646C6D5F5879}"/>
    <cellStyle name="40% - Accent4 39" xfId="742" xr:uid="{78B37BBC-5736-4F1B-BA7E-037382FB1734}"/>
    <cellStyle name="40% - Accent4 39 2" xfId="5522" xr:uid="{6BC90078-D5ED-4D83-A16C-BB501866CB8A}"/>
    <cellStyle name="40% - Accent4 4" xfId="743" xr:uid="{6312AF4F-A885-4B20-A1A5-FAAA96756977}"/>
    <cellStyle name="40% - Accent4 4 2" xfId="5523" xr:uid="{AFBD257C-3266-4B1C-97DF-2F896133A472}"/>
    <cellStyle name="40% - Accent4 40" xfId="744" xr:uid="{F2ABF691-57FF-4C2C-9BC9-D491641AD357}"/>
    <cellStyle name="40% - Accent4 40 2" xfId="5524" xr:uid="{EF137068-9314-4F78-8C91-0076EA7251E9}"/>
    <cellStyle name="40% - Accent4 41" xfId="745" xr:uid="{8B1D5173-AC57-43F5-A149-DF25F4FE33E0}"/>
    <cellStyle name="40% - Accent4 41 2" xfId="5525" xr:uid="{5FA03542-6B4D-4791-BF04-FA3DF352615A}"/>
    <cellStyle name="40% - Accent4 42" xfId="746" xr:uid="{0C733106-12E9-4FB1-A641-CED41F5721F6}"/>
    <cellStyle name="40% - Accent4 42 2" xfId="5526" xr:uid="{73B8D664-61C6-4165-A891-670697545352}"/>
    <cellStyle name="40% - Accent4 43" xfId="747" xr:uid="{370AA75B-1E96-4DB6-8E4B-DE70B1FA7E23}"/>
    <cellStyle name="40% - Accent4 43 2" xfId="5527" xr:uid="{61AE491F-70F5-4D60-BC86-B48F37ED68E6}"/>
    <cellStyle name="40% - Accent4 44" xfId="7561" xr:uid="{A84CEDD8-3616-4E9F-A0BB-43AE5D09CAAC}"/>
    <cellStyle name="40% - Accent4 5" xfId="748" xr:uid="{98C4DFF1-6578-472F-99C5-9C278E78C3BB}"/>
    <cellStyle name="40% - Accent4 5 2" xfId="5528" xr:uid="{3AF0C0D1-0C9D-457D-99C8-E0A447F1EDEA}"/>
    <cellStyle name="40% - Accent4 6" xfId="749" xr:uid="{CB295510-0A6B-49B4-8FD0-CBED4B25DB12}"/>
    <cellStyle name="40% - Accent4 6 2" xfId="5529" xr:uid="{BC5B3CD8-CFF1-465E-8EF0-EBE4426D78B7}"/>
    <cellStyle name="40% - Accent4 7" xfId="750" xr:uid="{59418FB6-003E-4AF6-B004-A1D0656D820C}"/>
    <cellStyle name="40% - Accent4 7 2" xfId="5530" xr:uid="{A425136C-47E1-4E9E-A125-666732F334B5}"/>
    <cellStyle name="40% - Accent4 8" xfId="751" xr:uid="{CED3755E-970C-46E3-BE0C-7DA94F9A8377}"/>
    <cellStyle name="40% - Accent4 8 2" xfId="5531" xr:uid="{2A0C1AAD-1B37-4741-947A-A48D2B7B2D62}"/>
    <cellStyle name="40% - Accent4 9" xfId="752" xr:uid="{E4FCD99B-0F07-46A2-BC12-F2F5E295DA70}"/>
    <cellStyle name="40% - Accent4 9 2" xfId="5532" xr:uid="{6904F7E5-DF18-4DE5-8E56-091E562B8164}"/>
    <cellStyle name="40% - Accent5" xfId="11" builtinId="47" hidden="1" customBuiltin="1"/>
    <cellStyle name="40% - Accent5" xfId="753" builtinId="47" customBuiltin="1"/>
    <cellStyle name="40% - Accent5 10" xfId="754" xr:uid="{137823CA-7415-495A-BCB2-FE4DDCB33612}"/>
    <cellStyle name="40% - Accent5 10 2" xfId="5533" xr:uid="{D2ED9A9F-7D66-4451-8C96-4B1956AD4AB6}"/>
    <cellStyle name="40% - Accent5 11" xfId="755" xr:uid="{D2D2D17E-6F7F-40F5-9A6A-EA84224F560F}"/>
    <cellStyle name="40% - Accent5 11 2" xfId="5534" xr:uid="{AB39A74E-01FF-4348-8751-4A7759F5B6D5}"/>
    <cellStyle name="40% - Accent5 12" xfId="756" xr:uid="{9ABF516F-B7CD-485E-BC2B-FBAC5D802766}"/>
    <cellStyle name="40% - Accent5 12 2" xfId="5535" xr:uid="{9A853ED3-F0FB-47F6-9508-7678E55744DE}"/>
    <cellStyle name="40% - Accent5 13" xfId="757" xr:uid="{E7FA3959-C5F3-4282-806C-F0D1C63DB584}"/>
    <cellStyle name="40% - Accent5 13 2" xfId="5536" xr:uid="{053F9A3A-553B-4C0B-9463-8D880D37BE5D}"/>
    <cellStyle name="40% - Accent5 14" xfId="758" xr:uid="{3F3C9FD0-F473-4188-B8AB-F31BB917822A}"/>
    <cellStyle name="40% - Accent5 14 2" xfId="5537" xr:uid="{DC789C32-D960-442C-B2BA-249D5EBCC1A5}"/>
    <cellStyle name="40% - Accent5 15" xfId="759" xr:uid="{E3B3376C-0E91-49C8-B245-AC0034EF5035}"/>
    <cellStyle name="40% - Accent5 15 2" xfId="5538" xr:uid="{B78EC719-762E-4E80-937E-935E59163F6A}"/>
    <cellStyle name="40% - Accent5 16" xfId="760" xr:uid="{08F70FA0-FD4A-43B1-80E9-EC8B06B5A1A1}"/>
    <cellStyle name="40% - Accent5 16 2" xfId="5539" xr:uid="{8DAED17C-339E-4022-A509-4A1BE33E6544}"/>
    <cellStyle name="40% - Accent5 17" xfId="761" xr:uid="{38CFB781-89D9-40F8-B147-51F59034EC4E}"/>
    <cellStyle name="40% - Accent5 17 2" xfId="5540" xr:uid="{8D9DD6EE-3DEA-4BBE-A1B3-29751E470619}"/>
    <cellStyle name="40% - Accent5 18" xfId="762" xr:uid="{1E294A2A-8E30-4A07-8732-88C779F7824B}"/>
    <cellStyle name="40% - Accent5 18 2" xfId="5541" xr:uid="{D3B20AFF-91CF-4497-B618-6B11042AA2C5}"/>
    <cellStyle name="40% - Accent5 19" xfId="763" xr:uid="{657E039F-AF46-41B0-9CAC-7E32ED4796B0}"/>
    <cellStyle name="40% - Accent5 19 2" xfId="5542" xr:uid="{C1B0B6D3-DAAF-48F9-9268-44B8EC54B9C9}"/>
    <cellStyle name="40% - Accent5 2" xfId="764" xr:uid="{573F0144-73E0-43FE-A963-530F12B98741}"/>
    <cellStyle name="40% - Accent5 2 2" xfId="765" xr:uid="{1AA5F782-98A9-4AF7-A5A6-F45C399715A9}"/>
    <cellStyle name="40% - Accent5 20" xfId="766" xr:uid="{8584D0A2-AB3E-49B1-A055-FA00630EB2A5}"/>
    <cellStyle name="40% - Accent5 20 2" xfId="5543" xr:uid="{D609E619-DD27-4F81-9D2E-B4AFA5A172DC}"/>
    <cellStyle name="40% - Accent5 21" xfId="767" xr:uid="{04BB0481-E146-4A18-95EE-DFF320F3C9CA}"/>
    <cellStyle name="40% - Accent5 21 2" xfId="5544" xr:uid="{FB8D3908-763F-45BA-8225-792352F7769E}"/>
    <cellStyle name="40% - Accent5 22" xfId="768" xr:uid="{D6685BD5-85FE-4F20-9E00-2991EEB42D78}"/>
    <cellStyle name="40% - Accent5 22 2" xfId="5545" xr:uid="{CAA198B3-24DC-4E3F-B2C0-5DB25FC20A4C}"/>
    <cellStyle name="40% - Accent5 23" xfId="769" xr:uid="{678013A5-A07B-4B8E-A6B9-62C36DE04298}"/>
    <cellStyle name="40% - Accent5 23 2" xfId="5546" xr:uid="{1D3565CC-A4A1-4F85-93CF-811917CAC56C}"/>
    <cellStyle name="40% - Accent5 24" xfId="770" xr:uid="{65D198C2-DFE8-4961-98D8-8A1707332A29}"/>
    <cellStyle name="40% - Accent5 24 2" xfId="5547" xr:uid="{75FCB340-D1B3-4977-B24F-529A9EF4B0E6}"/>
    <cellStyle name="40% - Accent5 25" xfId="771" xr:uid="{28CF327A-4778-4100-8C33-14E8E15DCCBD}"/>
    <cellStyle name="40% - Accent5 25 2" xfId="5548" xr:uid="{FAAF9D80-CECA-4A94-99A3-E2D2F1D1AD63}"/>
    <cellStyle name="40% - Accent5 26" xfId="772" xr:uid="{699BE93B-CD91-4ACC-A7D5-3E46D51DDD04}"/>
    <cellStyle name="40% - Accent5 26 2" xfId="5549" xr:uid="{30FC4DF0-2888-4CC1-B391-F1840719CAF8}"/>
    <cellStyle name="40% - Accent5 27" xfId="773" xr:uid="{A710EAA8-F68F-4391-8887-2C09520FC8D7}"/>
    <cellStyle name="40% - Accent5 27 2" xfId="5550" xr:uid="{CC1F5411-597D-4E2D-83BD-3230EF79ECDE}"/>
    <cellStyle name="40% - Accent5 28" xfId="774" xr:uid="{464629ED-260C-4680-A47A-26D0327C95F6}"/>
    <cellStyle name="40% - Accent5 28 2" xfId="5551" xr:uid="{D2DCB7CA-DB66-4EFF-883F-C95C5C315156}"/>
    <cellStyle name="40% - Accent5 29" xfId="775" xr:uid="{DA89891A-336B-4134-9B23-3F0CE0D00960}"/>
    <cellStyle name="40% - Accent5 29 2" xfId="5552" xr:uid="{22C115F5-1ED2-44AB-B0D2-ED7E3B7EAB66}"/>
    <cellStyle name="40% - Accent5 3" xfId="776" xr:uid="{520BB188-783C-4454-B2DA-D1F40E9CAD03}"/>
    <cellStyle name="40% - Accent5 3 2" xfId="5553" xr:uid="{3E26143B-FD1E-43E3-A475-DA33F7D4B435}"/>
    <cellStyle name="40% - Accent5 30" xfId="777" xr:uid="{230BD027-8075-4977-86EF-C58F94550DE1}"/>
    <cellStyle name="40% - Accent5 30 2" xfId="5554" xr:uid="{4FCE7A29-230C-451C-BF3E-BEF9EB784D79}"/>
    <cellStyle name="40% - Accent5 31" xfId="778" xr:uid="{E15E895C-CAB3-453B-830E-DBE2D4DD1157}"/>
    <cellStyle name="40% - Accent5 31 2" xfId="5555" xr:uid="{39572867-CA0A-4659-A993-5E9535D50BB4}"/>
    <cellStyle name="40% - Accent5 32" xfId="779" xr:uid="{AC31BB0F-3471-4089-BAE8-23431B632D75}"/>
    <cellStyle name="40% - Accent5 32 2" xfId="5556" xr:uid="{D230292A-9367-4799-89D6-F847561C45AC}"/>
    <cellStyle name="40% - Accent5 33" xfId="780" xr:uid="{E1D0FE4E-D9A5-4E6C-A731-559FF874883B}"/>
    <cellStyle name="40% - Accent5 33 2" xfId="5557" xr:uid="{2A878B88-EA76-4354-80C8-D312803667D4}"/>
    <cellStyle name="40% - Accent5 34" xfId="781" xr:uid="{AED1C3B2-7607-493C-8926-EFF47D69EA69}"/>
    <cellStyle name="40% - Accent5 34 2" xfId="5558" xr:uid="{7A3810F7-B87D-4EE9-95EF-EFCE7C58F6A9}"/>
    <cellStyle name="40% - Accent5 35" xfId="782" xr:uid="{68B7BB28-82BC-4E9B-BFA2-07F83AF59011}"/>
    <cellStyle name="40% - Accent5 35 2" xfId="5559" xr:uid="{58440350-9375-4750-8EF7-A662A1513668}"/>
    <cellStyle name="40% - Accent5 36" xfId="783" xr:uid="{5B6FA5D3-CA7A-4862-BAAC-D8F676EA3901}"/>
    <cellStyle name="40% - Accent5 36 2" xfId="5560" xr:uid="{E2F188E6-6142-4B4D-9A14-D5DE6B5CC35F}"/>
    <cellStyle name="40% - Accent5 37" xfId="784" xr:uid="{F9A8B319-B7AD-462A-ACA7-87AB86093412}"/>
    <cellStyle name="40% - Accent5 37 2" xfId="5561" xr:uid="{5CCFFDE0-2277-4AF4-A936-D0BFC8527032}"/>
    <cellStyle name="40% - Accent5 38" xfId="785" xr:uid="{2E41B667-164C-468E-9227-84848109B89C}"/>
    <cellStyle name="40% - Accent5 38 2" xfId="5562" xr:uid="{2F1C8F19-7E58-4F57-8115-ADBD934328E4}"/>
    <cellStyle name="40% - Accent5 39" xfId="786" xr:uid="{59C11254-C2DA-4357-91AE-65A9B9293EC3}"/>
    <cellStyle name="40% - Accent5 39 2" xfId="5563" xr:uid="{2BF389B3-8BEB-49CE-8CA7-CC70D011AC05}"/>
    <cellStyle name="40% - Accent5 4" xfId="787" xr:uid="{61C6F2B3-5760-4274-AC4E-E659BB0E2598}"/>
    <cellStyle name="40% - Accent5 4 2" xfId="5564" xr:uid="{2F9122E9-C2F8-40C2-A218-F6704E7959B7}"/>
    <cellStyle name="40% - Accent5 40" xfId="788" xr:uid="{4232C014-37ED-4742-A356-16CC797ADE81}"/>
    <cellStyle name="40% - Accent5 40 2" xfId="5565" xr:uid="{ACE36BA0-2F5D-47B3-9D3E-1441A7442922}"/>
    <cellStyle name="40% - Accent5 41" xfId="789" xr:uid="{102BED11-0599-4082-8426-F14D380D75B5}"/>
    <cellStyle name="40% - Accent5 41 2" xfId="5566" xr:uid="{805A5D48-82C6-4ACB-805D-390D10EA722E}"/>
    <cellStyle name="40% - Accent5 42" xfId="790" xr:uid="{1AED2BCC-5865-408A-9955-699ED8622FDA}"/>
    <cellStyle name="40% - Accent5 42 2" xfId="5567" xr:uid="{F85948F3-99FE-4D06-A064-D46255624A98}"/>
    <cellStyle name="40% - Accent5 43" xfId="791" xr:uid="{C7F85022-EB63-46D3-A0B5-B7BEC2BAC3AD}"/>
    <cellStyle name="40% - Accent5 43 2" xfId="5568" xr:uid="{BBFD3675-77B1-44AD-A7BB-BC162B401E97}"/>
    <cellStyle name="40% - Accent5 44" xfId="7604" xr:uid="{C058625B-65A5-4B75-8D39-3EFFDB69A99E}"/>
    <cellStyle name="40% - Accent5 5" xfId="792" xr:uid="{E471681A-D570-4CFF-96E8-6DC35BC94EF9}"/>
    <cellStyle name="40% - Accent5 5 2" xfId="5569" xr:uid="{C34ED1D9-A501-4DA5-A131-F03CCB106BC9}"/>
    <cellStyle name="40% - Accent5 6" xfId="793" xr:uid="{79C2DE3F-D3A5-41BE-901E-0CFA54301CA9}"/>
    <cellStyle name="40% - Accent5 6 2" xfId="5570" xr:uid="{7723837C-3A9A-4169-A218-572BA74D684B}"/>
    <cellStyle name="40% - Accent5 7" xfId="794" xr:uid="{229BDE0E-D618-4ED2-BA49-A26ACD33440E}"/>
    <cellStyle name="40% - Accent5 7 2" xfId="5571" xr:uid="{E7127FE2-48C8-430A-BEE7-D6BE8B52AB0E}"/>
    <cellStyle name="40% - Accent5 8" xfId="795" xr:uid="{EB6946EE-16FB-43CE-9333-1721EDC5E552}"/>
    <cellStyle name="40% - Accent5 8 2" xfId="5572" xr:uid="{706A6AC6-4EA1-4946-9AFA-73F84136979F}"/>
    <cellStyle name="40% - Accent5 9" xfId="796" xr:uid="{C3F0F76A-8CC0-44FB-8EA0-7BAFD07C96A9}"/>
    <cellStyle name="40% - Accent5 9 2" xfId="5573" xr:uid="{6117790D-5A46-40E3-8358-8583EDC80EBF}"/>
    <cellStyle name="40% - Accent6" xfId="13" builtinId="51" hidden="1" customBuiltin="1"/>
    <cellStyle name="40% - Accent6" xfId="797" builtinId="51" customBuiltin="1"/>
    <cellStyle name="40% - Accent6 10" xfId="798" xr:uid="{4EC3A144-2276-4A2D-8589-DED56201E733}"/>
    <cellStyle name="40% - Accent6 10 2" xfId="5574" xr:uid="{FB07D917-B35A-4B16-8F54-22A11A56E138}"/>
    <cellStyle name="40% - Accent6 11" xfId="799" xr:uid="{2D240339-2F91-4C45-AF83-10E2CFDE6260}"/>
    <cellStyle name="40% - Accent6 11 2" xfId="5575" xr:uid="{6DABA0C5-99C9-4FB0-ADA9-A9908ADEC6D0}"/>
    <cellStyle name="40% - Accent6 12" xfId="800" xr:uid="{640A7387-F5BB-4FFC-8BF2-B279F08FFAE8}"/>
    <cellStyle name="40% - Accent6 12 2" xfId="5576" xr:uid="{9A427137-A3C6-45AA-B647-05ABDE8F637E}"/>
    <cellStyle name="40% - Accent6 13" xfId="801" xr:uid="{C5AA38B1-CC13-4C88-9666-328D7A0EF6BE}"/>
    <cellStyle name="40% - Accent6 13 2" xfId="5577" xr:uid="{03BF8A6D-2D4A-469F-8AF6-BA73C94945CB}"/>
    <cellStyle name="40% - Accent6 14" xfId="802" xr:uid="{F9BD8E95-5F36-4CC5-B856-07E62DE98CEB}"/>
    <cellStyle name="40% - Accent6 14 2" xfId="5578" xr:uid="{C692B553-4DE8-448E-9F53-4843B3527532}"/>
    <cellStyle name="40% - Accent6 15" xfId="803" xr:uid="{698925BC-6768-4818-BF18-1857FBF54656}"/>
    <cellStyle name="40% - Accent6 15 2" xfId="5579" xr:uid="{E113B6B5-1A63-46B4-B3B9-56E4A445A4A3}"/>
    <cellStyle name="40% - Accent6 16" xfId="804" xr:uid="{8C9268F3-79D8-4EBB-9386-7DBB501CF7C7}"/>
    <cellStyle name="40% - Accent6 16 2" xfId="5580" xr:uid="{3FF03E0F-9B7E-4BC2-967E-CA1DCCCE3967}"/>
    <cellStyle name="40% - Accent6 17" xfId="805" xr:uid="{4FF03177-C4BA-4108-B9B8-BA81FA72FEEE}"/>
    <cellStyle name="40% - Accent6 17 2" xfId="5581" xr:uid="{8FB7A395-4FA3-4893-BEB6-8A52DD8BFE09}"/>
    <cellStyle name="40% - Accent6 18" xfId="806" xr:uid="{3E4D01E3-A7C0-4380-A77E-1DF289203AF2}"/>
    <cellStyle name="40% - Accent6 18 2" xfId="5582" xr:uid="{2BD92D03-6BA4-4F17-935D-7D1FE2E65BDC}"/>
    <cellStyle name="40% - Accent6 19" xfId="807" xr:uid="{55560AF5-75B6-4F2B-89B4-96FCDA22254C}"/>
    <cellStyle name="40% - Accent6 19 2" xfId="5583" xr:uid="{1FF66555-03FA-43C7-8DE7-F38FA8118FEE}"/>
    <cellStyle name="40% - Accent6 2" xfId="808" xr:uid="{5F9B63F2-889B-4D34-BDB9-52C35AFB7062}"/>
    <cellStyle name="40% - Accent6 2 2" xfId="809" xr:uid="{7F744380-F2F1-4C0B-A5EF-F33FFA1B1C79}"/>
    <cellStyle name="40% - Accent6 20" xfId="810" xr:uid="{89B05518-1340-4AD4-84DE-FE9613CD5BD0}"/>
    <cellStyle name="40% - Accent6 20 2" xfId="5584" xr:uid="{82FA24D1-1377-4700-B523-A0AC51ECD2E4}"/>
    <cellStyle name="40% - Accent6 21" xfId="811" xr:uid="{0C728BA0-AFE0-4652-A7FE-563D96640E20}"/>
    <cellStyle name="40% - Accent6 21 2" xfId="5585" xr:uid="{5E7B665D-9B0C-43DC-BC33-7DC8414753D4}"/>
    <cellStyle name="40% - Accent6 22" xfId="812" xr:uid="{727B1D5D-165E-449E-AF57-2AB58D794E1D}"/>
    <cellStyle name="40% - Accent6 22 2" xfId="5586" xr:uid="{0BF67800-A41A-4AC3-A00D-FFE5B914764F}"/>
    <cellStyle name="40% - Accent6 23" xfId="813" xr:uid="{29B41661-058E-4A1B-827E-E8E6D9E5F28F}"/>
    <cellStyle name="40% - Accent6 23 2" xfId="5587" xr:uid="{AD6F10D7-5F76-4DB2-AF6C-198FAF6B02C6}"/>
    <cellStyle name="40% - Accent6 24" xfId="814" xr:uid="{1578CEF1-575F-4486-ACDE-235BE9178894}"/>
    <cellStyle name="40% - Accent6 24 2" xfId="5588" xr:uid="{B15040C6-970E-4057-872C-DF10EAA3737F}"/>
    <cellStyle name="40% - Accent6 25" xfId="815" xr:uid="{1A609D6E-A6A6-4D71-BFFB-9804FD9E1DA6}"/>
    <cellStyle name="40% - Accent6 25 2" xfId="5589" xr:uid="{F9E15C61-8B70-4802-9E89-F8C1DFF0C38D}"/>
    <cellStyle name="40% - Accent6 26" xfId="816" xr:uid="{100DBD14-C528-4AC4-B608-48680C176E7B}"/>
    <cellStyle name="40% - Accent6 26 2" xfId="5590" xr:uid="{BB7AA8C1-0689-4F01-9F22-826AAD5015CA}"/>
    <cellStyle name="40% - Accent6 27" xfId="817" xr:uid="{7138D756-2FBB-41F9-BC5B-8DD9ECE77F5A}"/>
    <cellStyle name="40% - Accent6 27 2" xfId="5591" xr:uid="{15C76C46-4A9B-4099-89EA-74B4C4005693}"/>
    <cellStyle name="40% - Accent6 28" xfId="818" xr:uid="{A2FE81A0-6010-419B-B535-4243744051D9}"/>
    <cellStyle name="40% - Accent6 28 2" xfId="5592" xr:uid="{A89D83BF-1CD8-4865-8F77-B03690786F42}"/>
    <cellStyle name="40% - Accent6 29" xfId="819" xr:uid="{809EA092-BE9C-4F1B-9AD7-B4617803EF21}"/>
    <cellStyle name="40% - Accent6 29 2" xfId="5593" xr:uid="{F44F43F3-E287-4605-996A-8101246E947A}"/>
    <cellStyle name="40% - Accent6 3" xfId="820" xr:uid="{1F81BC84-CBE5-4277-84CB-017D2114CABB}"/>
    <cellStyle name="40% - Accent6 3 2" xfId="5594" xr:uid="{6A85A067-17AF-4C49-9269-38E28A1FB6FD}"/>
    <cellStyle name="40% - Accent6 30" xfId="821" xr:uid="{F98315C0-593A-4413-B05A-6084CB42D1F8}"/>
    <cellStyle name="40% - Accent6 30 2" xfId="5595" xr:uid="{3AA25136-AADD-4934-A8A8-9623EF6F8C4C}"/>
    <cellStyle name="40% - Accent6 31" xfId="822" xr:uid="{57E51FCE-3C32-43ED-BA50-435D3571DF10}"/>
    <cellStyle name="40% - Accent6 31 2" xfId="5596" xr:uid="{3F438412-46F9-4E61-8B01-5E697BF01523}"/>
    <cellStyle name="40% - Accent6 32" xfId="823" xr:uid="{6CD22557-A9E0-43E8-AE11-8D755AD535ED}"/>
    <cellStyle name="40% - Accent6 32 2" xfId="5597" xr:uid="{050158E6-2284-4E64-85FB-F3189EFC0BE2}"/>
    <cellStyle name="40% - Accent6 33" xfId="824" xr:uid="{E425E6CA-45A0-4B64-9DDE-BAA4935CB213}"/>
    <cellStyle name="40% - Accent6 33 2" xfId="5598" xr:uid="{CD0C7FFD-AD8D-4B2A-9D1A-309C11863EA9}"/>
    <cellStyle name="40% - Accent6 34" xfId="825" xr:uid="{6BC9864D-BC3F-4B7F-8875-5A235F995B57}"/>
    <cellStyle name="40% - Accent6 34 2" xfId="5599" xr:uid="{8EF30D4A-A066-499E-93DF-6B73AD35CC37}"/>
    <cellStyle name="40% - Accent6 35" xfId="826" xr:uid="{4388702F-AADE-4585-A7F1-EC11EB8512DF}"/>
    <cellStyle name="40% - Accent6 35 2" xfId="5600" xr:uid="{A7C48F0A-D988-463A-9A70-F1D2454E6109}"/>
    <cellStyle name="40% - Accent6 36" xfId="827" xr:uid="{B48D3BFF-7B8B-41AC-B3CE-563FB8E123FA}"/>
    <cellStyle name="40% - Accent6 36 2" xfId="5601" xr:uid="{75494681-4EB9-4AE4-A681-8BA874B58F8F}"/>
    <cellStyle name="40% - Accent6 37" xfId="828" xr:uid="{06991ABD-E1BC-46E4-9370-1FF009CCAE6E}"/>
    <cellStyle name="40% - Accent6 37 2" xfId="5602" xr:uid="{059B3EF4-3155-4164-AFF2-66470A9A3E0C}"/>
    <cellStyle name="40% - Accent6 38" xfId="829" xr:uid="{1412A768-E644-4B3C-A2FC-5C1DDCD8551B}"/>
    <cellStyle name="40% - Accent6 38 2" xfId="5603" xr:uid="{5EB116FF-5772-4CB1-B935-B3B135EF8120}"/>
    <cellStyle name="40% - Accent6 39" xfId="830" xr:uid="{C9B87CD9-699F-4DF6-99D3-3B1951F9BDA4}"/>
    <cellStyle name="40% - Accent6 39 2" xfId="5604" xr:uid="{A68230D4-FC05-4C99-A163-2EAB7D05F317}"/>
    <cellStyle name="40% - Accent6 4" xfId="831" xr:uid="{F9A0FE21-A263-4E2F-B59A-1261DF097E02}"/>
    <cellStyle name="40% - Accent6 4 2" xfId="5605" xr:uid="{1DF09042-9A0F-4338-9939-000976C56B29}"/>
    <cellStyle name="40% - Accent6 40" xfId="832" xr:uid="{7318A1EE-4873-442C-9031-113BBBD2C0AF}"/>
    <cellStyle name="40% - Accent6 40 2" xfId="5606" xr:uid="{24805FFC-7B11-4702-B5AD-DCB9490A1D17}"/>
    <cellStyle name="40% - Accent6 41" xfId="833" xr:uid="{D02FF3E5-BB86-451C-A4D9-56D592C1184C}"/>
    <cellStyle name="40% - Accent6 41 2" xfId="5607" xr:uid="{2EF4E95E-1E2C-4A39-8026-187F8A19C77F}"/>
    <cellStyle name="40% - Accent6 42" xfId="834" xr:uid="{55662817-D6B7-44E0-BA6E-69E5DA341AA8}"/>
    <cellStyle name="40% - Accent6 42 2" xfId="5608" xr:uid="{B7090EE0-F72E-4276-B3EC-30C4B12AE4F2}"/>
    <cellStyle name="40% - Accent6 43" xfId="835" xr:uid="{99A75482-1B75-4D2C-85C8-57B37666878E}"/>
    <cellStyle name="40% - Accent6 43 2" xfId="5609" xr:uid="{49EB0F19-A12C-48A3-AD83-02CD09CE9364}"/>
    <cellStyle name="40% - Accent6 44" xfId="7641" xr:uid="{56B3499E-910F-4D0B-9E04-174FBED2F37D}"/>
    <cellStyle name="40% - Accent6 5" xfId="836" xr:uid="{F53F6CC8-463F-4045-8AF3-11DCD0B2B1AE}"/>
    <cellStyle name="40% - Accent6 5 2" xfId="5610" xr:uid="{DDCA9686-BE37-4ABE-BFB7-2D4E9BEBE4D8}"/>
    <cellStyle name="40% - Accent6 6" xfId="837" xr:uid="{54098B55-4CDB-4C2E-9EFF-7BA664726B0E}"/>
    <cellStyle name="40% - Accent6 6 2" xfId="5611" xr:uid="{F69F3209-9A6D-4A20-9DD8-6627A2F85B88}"/>
    <cellStyle name="40% - Accent6 7" xfId="838" xr:uid="{354B6FA7-7420-47B7-A888-5FB1429C131C}"/>
    <cellStyle name="40% - Accent6 7 2" xfId="5612" xr:uid="{B3DD43CA-2194-4C0A-8272-BA8155B9D02E}"/>
    <cellStyle name="40% - Accent6 8" xfId="839" xr:uid="{6935A70C-70BB-4813-841F-F7695A8CCDC8}"/>
    <cellStyle name="40% - Accent6 8 2" xfId="5613" xr:uid="{ACD906ED-275B-465B-BB5D-236CECE54BC5}"/>
    <cellStyle name="40% - Accent6 9" xfId="840" xr:uid="{4BE49D4A-C959-45D6-B487-ED344C129DCD}"/>
    <cellStyle name="40% - Accent6 9 2" xfId="5614" xr:uid="{9CA43759-EE4B-4561-A1C5-45ED9CE4E19B}"/>
    <cellStyle name="60% - Accent1" xfId="14" builtinId="32" hidden="1" customBuiltin="1"/>
    <cellStyle name="60% - Accent1" xfId="841" builtinId="32" customBuiltin="1"/>
    <cellStyle name="60% - Accent1 10" xfId="842" xr:uid="{52628E47-4957-43D6-9E75-E17D018C7F8C}"/>
    <cellStyle name="60% - Accent1 11" xfId="843" xr:uid="{809FE8F0-EA6C-4B64-A045-96434C0A9B23}"/>
    <cellStyle name="60% - Accent1 12" xfId="844" xr:uid="{5E224F30-D520-4F60-9E59-E5FB05ED68A1}"/>
    <cellStyle name="60% - Accent1 13" xfId="845" xr:uid="{AFC53DB7-4D09-4486-A27E-B64B8ADEB8A1}"/>
    <cellStyle name="60% - Accent1 14" xfId="846" xr:uid="{AE112C10-8CB4-408A-88B3-254C440B6DDD}"/>
    <cellStyle name="60% - Accent1 15" xfId="847" xr:uid="{2D00EAB5-2F09-470A-9F1D-F79CDAF75B4F}"/>
    <cellStyle name="60% - Accent1 16" xfId="848" xr:uid="{9C2B8270-40E4-4E76-983A-88D8A05B3423}"/>
    <cellStyle name="60% - Accent1 17" xfId="849" xr:uid="{854630EB-A1C2-4844-AEB3-F2C534F72367}"/>
    <cellStyle name="60% - Accent1 18" xfId="850" xr:uid="{678FAD0B-58D2-4E9F-AE89-24D46AE42167}"/>
    <cellStyle name="60% - Accent1 19" xfId="851" xr:uid="{C0D6EBBE-FCF4-4878-87B0-F22B70893A65}"/>
    <cellStyle name="60% - Accent1 2" xfId="852" xr:uid="{945E372E-BF1B-4459-AAC0-6B7C118C6726}"/>
    <cellStyle name="60% - Accent1 20" xfId="853" xr:uid="{CE00EE1F-41BE-43A5-8AB7-B80E8B65E312}"/>
    <cellStyle name="60% - Accent1 21" xfId="854" xr:uid="{32A4450F-84A6-497D-A4F9-FCAAAEDF5FAE}"/>
    <cellStyle name="60% - Accent1 22" xfId="855" xr:uid="{9D727449-058F-4B40-B558-FC64B5378093}"/>
    <cellStyle name="60% - Accent1 23" xfId="856" xr:uid="{41FF5BA9-EC25-4DF7-828B-8CE14FDDC205}"/>
    <cellStyle name="60% - Accent1 24" xfId="857" xr:uid="{62A12D0C-DB84-4A5C-8712-D9C2068E1F15}"/>
    <cellStyle name="60% - Accent1 25" xfId="858" xr:uid="{A943B971-5737-4E73-BC8D-BE3D1EF18F9B}"/>
    <cellStyle name="60% - Accent1 26" xfId="859" xr:uid="{2FF52E8D-58A8-4093-AA5D-EF854C1C0357}"/>
    <cellStyle name="60% - Accent1 27" xfId="860" xr:uid="{1BE28A86-BC9E-4918-B878-B1E82DFACC55}"/>
    <cellStyle name="60% - Accent1 28" xfId="861" xr:uid="{127124D6-A3BB-4859-8481-27EBB50C2B0C}"/>
    <cellStyle name="60% - Accent1 29" xfId="862" xr:uid="{6E494462-25EF-4963-A8BD-54D2ED593D47}"/>
    <cellStyle name="60% - Accent1 3" xfId="863" xr:uid="{5118E3A8-6259-4832-B3A1-F4F9D6BDA817}"/>
    <cellStyle name="60% - Accent1 30" xfId="864" xr:uid="{4E21F897-D6E3-42A6-B641-9E03738C5875}"/>
    <cellStyle name="60% - Accent1 31" xfId="865" xr:uid="{9FE4FADF-27BB-4640-912D-6E32EF286377}"/>
    <cellStyle name="60% - Accent1 32" xfId="866" xr:uid="{7C31C448-4E7E-4B7C-BBDC-ED7DD02B0568}"/>
    <cellStyle name="60% - Accent1 33" xfId="867" xr:uid="{3D2A1837-DABD-49D2-B875-8BF045633EB9}"/>
    <cellStyle name="60% - Accent1 34" xfId="868" xr:uid="{6044037C-41F8-4ABA-AC9A-48F1D597B174}"/>
    <cellStyle name="60% - Accent1 35" xfId="869" xr:uid="{2F293731-8E3F-4C53-AAE7-78002DDF1240}"/>
    <cellStyle name="60% - Accent1 36" xfId="870" xr:uid="{E4AD8C5F-6745-4806-98CA-E61FEB08FF29}"/>
    <cellStyle name="60% - Accent1 37" xfId="871" xr:uid="{0C17AD59-EC1F-4A5B-9895-A2A1FEDB3098}"/>
    <cellStyle name="60% - Accent1 38" xfId="872" xr:uid="{491FF982-B287-4DE3-8BBC-4DA90DF07933}"/>
    <cellStyle name="60% - Accent1 39" xfId="873" xr:uid="{0435F356-5B23-4BF8-84AF-646C1B2371C6}"/>
    <cellStyle name="60% - Accent1 4" xfId="874" xr:uid="{5509B2A2-66A2-4A82-A19E-49FD78B039CE}"/>
    <cellStyle name="60% - Accent1 40" xfId="875" xr:uid="{CCC46F4D-B393-4BAA-82AB-A5AA6116D302}"/>
    <cellStyle name="60% - Accent1 41" xfId="876" xr:uid="{2FCD1242-FAC9-4C2B-AB19-7641B54F927F}"/>
    <cellStyle name="60% - Accent1 42" xfId="877" xr:uid="{91780848-7EA1-4CB3-B4C9-E1C2E57871D9}"/>
    <cellStyle name="60% - Accent1 43" xfId="878" xr:uid="{BA2D0621-88D7-4547-B9D3-331CF34E635A}"/>
    <cellStyle name="60% - Accent1 44" xfId="7682" xr:uid="{5D11D5C1-7579-46CC-8068-162E41B8D030}"/>
    <cellStyle name="60% - Accent1 5" xfId="879" xr:uid="{B00897D1-142D-4D86-9D53-0768D1A1B91F}"/>
    <cellStyle name="60% - Accent1 6" xfId="880" xr:uid="{738826C6-1221-44AF-9255-6AF6CC034B3B}"/>
    <cellStyle name="60% - Accent1 7" xfId="881" xr:uid="{91A931A6-3286-4ECA-A15B-40955D3704E5}"/>
    <cellStyle name="60% - Accent1 8" xfId="882" xr:uid="{B7FDE869-1857-4655-83D9-0B800C186870}"/>
    <cellStyle name="60% - Accent1 9" xfId="883" xr:uid="{1897D34D-B320-4398-93A7-E94E80CA2C33}"/>
    <cellStyle name="60% - Accent2" xfId="15" builtinId="36" hidden="1" customBuiltin="1"/>
    <cellStyle name="60% - Accent2" xfId="884" builtinId="36" customBuiltin="1"/>
    <cellStyle name="60% - Accent2 10" xfId="885" xr:uid="{304607A7-7DE5-4B9C-89B6-38E01BA954CA}"/>
    <cellStyle name="60% - Accent2 11" xfId="886" xr:uid="{AE6BC501-F3EC-4BC0-AA1C-1B0490989AD3}"/>
    <cellStyle name="60% - Accent2 12" xfId="887" xr:uid="{77098727-A29C-4C70-89F9-8E777287A040}"/>
    <cellStyle name="60% - Accent2 13" xfId="888" xr:uid="{A9AB9E77-0339-4A67-ADDB-DF2A85AEEBED}"/>
    <cellStyle name="60% - Accent2 14" xfId="889" xr:uid="{89CB2AA4-E9B5-41D8-B56B-0CDF9FA33887}"/>
    <cellStyle name="60% - Accent2 15" xfId="890" xr:uid="{D6000249-904F-4C88-9A7E-A1550AF97432}"/>
    <cellStyle name="60% - Accent2 16" xfId="891" xr:uid="{3C58814B-7ED6-4EBC-B006-71113D3E7A9C}"/>
    <cellStyle name="60% - Accent2 17" xfId="892" xr:uid="{95D48B2D-68B0-4C7C-B183-DAE8952C56E8}"/>
    <cellStyle name="60% - Accent2 18" xfId="893" xr:uid="{E427C0DE-E752-4780-A21D-A5234DD1D807}"/>
    <cellStyle name="60% - Accent2 19" xfId="894" xr:uid="{1D0F460A-5BF7-459E-A9FC-4FCD83DC9630}"/>
    <cellStyle name="60% - Accent2 2" xfId="895" xr:uid="{5D6CAD99-C528-4298-953A-0E25656B4B43}"/>
    <cellStyle name="60% - Accent2 20" xfId="896" xr:uid="{8628D9E6-B1B7-406D-8D37-8CDFC0F899EC}"/>
    <cellStyle name="60% - Accent2 21" xfId="897" xr:uid="{D281EEAB-73BD-48F4-AB4E-2A8086B44A01}"/>
    <cellStyle name="60% - Accent2 22" xfId="898" xr:uid="{4FE9E0B1-D512-4CB3-8A85-5E5FFA980230}"/>
    <cellStyle name="60% - Accent2 23" xfId="899" xr:uid="{D3950745-A037-4694-855B-E943D672BE4B}"/>
    <cellStyle name="60% - Accent2 24" xfId="900" xr:uid="{AC1142DC-523F-477B-BEE7-3A2EBCAE984C}"/>
    <cellStyle name="60% - Accent2 25" xfId="901" xr:uid="{AEC3FBA9-E404-4E70-87DA-117700E2AFFE}"/>
    <cellStyle name="60% - Accent2 26" xfId="902" xr:uid="{68BB5357-61D1-4EF1-A856-78F50A1F6956}"/>
    <cellStyle name="60% - Accent2 27" xfId="903" xr:uid="{56D1A077-3360-4372-8BF2-BCA54E7B3683}"/>
    <cellStyle name="60% - Accent2 28" xfId="904" xr:uid="{06BC163B-3D23-428F-9D2F-D4948F95F9CC}"/>
    <cellStyle name="60% - Accent2 29" xfId="905" xr:uid="{73356DC0-08DF-4FF3-B11E-79795A581403}"/>
    <cellStyle name="60% - Accent2 3" xfId="906" xr:uid="{82B378A5-264D-4769-BFCF-404493FBE492}"/>
    <cellStyle name="60% - Accent2 30" xfId="907" xr:uid="{DF274963-5341-443D-A59E-0F9DF1FC480A}"/>
    <cellStyle name="60% - Accent2 31" xfId="908" xr:uid="{50EE394C-4546-4817-BAAE-EC2E59D7A7C2}"/>
    <cellStyle name="60% - Accent2 32" xfId="909" xr:uid="{F8C09219-0948-46EC-BB6B-FCF8FA294113}"/>
    <cellStyle name="60% - Accent2 33" xfId="910" xr:uid="{381C3B09-8D94-43AE-853D-2919836F84FE}"/>
    <cellStyle name="60% - Accent2 34" xfId="911" xr:uid="{3BAB70F7-F83E-495F-BF8E-6E24334F7988}"/>
    <cellStyle name="60% - Accent2 35" xfId="912" xr:uid="{3E04DF45-1773-450F-B97B-74F28BF202B9}"/>
    <cellStyle name="60% - Accent2 36" xfId="913" xr:uid="{921E5391-D471-4EB1-B4EF-D26D18619E37}"/>
    <cellStyle name="60% - Accent2 37" xfId="914" xr:uid="{E80D973B-D9DB-4075-8C3A-01361BF3234B}"/>
    <cellStyle name="60% - Accent2 38" xfId="915" xr:uid="{C88FBA3D-6599-47D7-86C5-0F24FA91C40E}"/>
    <cellStyle name="60% - Accent2 39" xfId="916" xr:uid="{813AA892-5140-47BA-9D3D-9E2BAAF95420}"/>
    <cellStyle name="60% - Accent2 4" xfId="917" xr:uid="{E052FAE7-14FC-4032-A0AC-B261F0B57954}"/>
    <cellStyle name="60% - Accent2 40" xfId="918" xr:uid="{8E4608FC-406A-49A2-98D3-7B1C26F858A4}"/>
    <cellStyle name="60% - Accent2 41" xfId="919" xr:uid="{CE5F7E69-7F37-434B-8104-41DE17A6D566}"/>
    <cellStyle name="60% - Accent2 42" xfId="920" xr:uid="{9C88E374-2B1A-4C04-91FE-327A7333D0A0}"/>
    <cellStyle name="60% - Accent2 43" xfId="921" xr:uid="{03E3CD74-8437-4423-8306-04F273D35C1A}"/>
    <cellStyle name="60% - Accent2 44" xfId="7721" xr:uid="{4E996884-7803-4892-80B4-30261D161E5A}"/>
    <cellStyle name="60% - Accent2 5" xfId="922" xr:uid="{461EB6DC-3D09-4140-B311-CB883B549EF0}"/>
    <cellStyle name="60% - Accent2 6" xfId="923" xr:uid="{B847D59D-B7E1-4CBE-B427-6835237D2B29}"/>
    <cellStyle name="60% - Accent2 7" xfId="924" xr:uid="{DC733523-7608-4524-B2D2-EBA6629CBE4B}"/>
    <cellStyle name="60% - Accent2 8" xfId="925" xr:uid="{42311EF7-C6D1-424F-8BB2-0B7E844503CE}"/>
    <cellStyle name="60% - Accent2 9" xfId="926" xr:uid="{0F71E64D-89CB-4BE7-A4E2-D409DB350D28}"/>
    <cellStyle name="60% - Accent3" xfId="16" builtinId="40" hidden="1" customBuiltin="1"/>
    <cellStyle name="60% - Accent3" xfId="927" builtinId="40" customBuiltin="1"/>
    <cellStyle name="60% - Accent3 10" xfId="928" xr:uid="{A23567A1-9DED-4A03-9FCE-420E45596FA3}"/>
    <cellStyle name="60% - Accent3 11" xfId="929" xr:uid="{DB89ADCC-C7B6-463C-A6ED-9CA3165B6292}"/>
    <cellStyle name="60% - Accent3 12" xfId="930" xr:uid="{0728E150-CF98-4C8D-B5E7-847FBC91E872}"/>
    <cellStyle name="60% - Accent3 13" xfId="931" xr:uid="{1941F082-2860-4493-A890-956FE6901AAC}"/>
    <cellStyle name="60% - Accent3 14" xfId="932" xr:uid="{5C13B74C-4971-4EFD-BC15-538106CBE1A2}"/>
    <cellStyle name="60% - Accent3 15" xfId="933" xr:uid="{9219D5CF-BB94-4489-88C1-5B3E85677E25}"/>
    <cellStyle name="60% - Accent3 16" xfId="934" xr:uid="{C2071ECC-0076-4177-8985-FFE32BAF2790}"/>
    <cellStyle name="60% - Accent3 17" xfId="935" xr:uid="{8A520349-2465-44A1-8D6D-FD06C1C8F88F}"/>
    <cellStyle name="60% - Accent3 18" xfId="936" xr:uid="{0300709C-8148-4C7A-8B07-D9F9A4D04AF1}"/>
    <cellStyle name="60% - Accent3 19" xfId="937" xr:uid="{0F88B778-A57A-457D-8C22-69157C19B8BE}"/>
    <cellStyle name="60% - Accent3 2" xfId="938" xr:uid="{15D01886-01E5-49B9-B279-6EDC852D3DF5}"/>
    <cellStyle name="60% - Accent3 20" xfId="939" xr:uid="{BFE14CB5-5ED2-49E0-874B-11F10B132CB9}"/>
    <cellStyle name="60% - Accent3 21" xfId="940" xr:uid="{083B081E-10F2-4D40-AE70-A2C354222D3E}"/>
    <cellStyle name="60% - Accent3 22" xfId="941" xr:uid="{3E6FA3F0-FE1C-49F4-B9DE-7CCCCAA6DEB9}"/>
    <cellStyle name="60% - Accent3 23" xfId="942" xr:uid="{F97A905C-E9E6-4EB7-A1DA-76569EA57657}"/>
    <cellStyle name="60% - Accent3 24" xfId="943" xr:uid="{28B00C3F-E00F-4011-AE15-AA0D7927CD47}"/>
    <cellStyle name="60% - Accent3 25" xfId="944" xr:uid="{937A9FF9-1962-41FE-9331-E3E1D8DFCCA8}"/>
    <cellStyle name="60% - Accent3 26" xfId="945" xr:uid="{F28DB6B2-1BF3-42D7-9A7D-02EA33C58C50}"/>
    <cellStyle name="60% - Accent3 27" xfId="946" xr:uid="{8D761401-ACF8-404A-82EE-6FE0D2E274B7}"/>
    <cellStyle name="60% - Accent3 28" xfId="947" xr:uid="{AA54869F-5F68-43F3-B6DD-6685809DF6D9}"/>
    <cellStyle name="60% - Accent3 29" xfId="948" xr:uid="{CAC05FAD-FFCF-4958-9B03-B75A275694F0}"/>
    <cellStyle name="60% - Accent3 3" xfId="949" xr:uid="{BD66FAB4-1263-41CA-A3A8-BDDAA4AC8AB3}"/>
    <cellStyle name="60% - Accent3 30" xfId="950" xr:uid="{6B9308B6-672E-4FD6-9057-886DB7ED4F4B}"/>
    <cellStyle name="60% - Accent3 31" xfId="951" xr:uid="{5A20068E-3073-435C-BA67-F644BB82747C}"/>
    <cellStyle name="60% - Accent3 32" xfId="952" xr:uid="{3A6E026F-4908-47B0-B7D9-AE645A3457BD}"/>
    <cellStyle name="60% - Accent3 33" xfId="953" xr:uid="{BD194B90-B96E-4DAD-B280-C70C0B2B6E1B}"/>
    <cellStyle name="60% - Accent3 34" xfId="954" xr:uid="{7B8B35CE-AAB0-46AC-985D-3C34001CEA47}"/>
    <cellStyle name="60% - Accent3 35" xfId="955" xr:uid="{5C1748BA-7833-4E02-9A01-594FBB96F7A3}"/>
    <cellStyle name="60% - Accent3 36" xfId="956" xr:uid="{1DB46A03-2684-4BC5-82A9-B46CEEC6E2A2}"/>
    <cellStyle name="60% - Accent3 37" xfId="957" xr:uid="{0D28EB3F-0317-403C-B97B-15080ED4FC62}"/>
    <cellStyle name="60% - Accent3 38" xfId="958" xr:uid="{B7967FD9-50E1-4A26-AAFC-C2F64F625ED0}"/>
    <cellStyle name="60% - Accent3 39" xfId="959" xr:uid="{B2DF4844-250A-4DF7-BFE7-1546D62805E7}"/>
    <cellStyle name="60% - Accent3 4" xfId="960" xr:uid="{ADE3F44A-3A0F-4E1F-B545-353EE8A066C5}"/>
    <cellStyle name="60% - Accent3 40" xfId="961" xr:uid="{A4586888-5910-4554-8F8A-27DDF5991273}"/>
    <cellStyle name="60% - Accent3 41" xfId="962" xr:uid="{644A3550-5101-419A-BF8C-04E5636D2C90}"/>
    <cellStyle name="60% - Accent3 42" xfId="963" xr:uid="{21B34045-1AC2-4785-B0FF-1C472A6DDD5A}"/>
    <cellStyle name="60% - Accent3 43" xfId="964" xr:uid="{27EB827F-BF1B-479F-9BA3-7CE97C646A57}"/>
    <cellStyle name="60% - Accent3 44" xfId="7759" xr:uid="{37DD8891-F6EE-4C88-A976-060EDC8DA955}"/>
    <cellStyle name="60% - Accent3 5" xfId="965" xr:uid="{A5939BE8-0EAB-4ECC-BAEF-342519215A2E}"/>
    <cellStyle name="60% - Accent3 6" xfId="966" xr:uid="{3DFED7E9-699B-45E9-8606-C506C775AC44}"/>
    <cellStyle name="60% - Accent3 7" xfId="967" xr:uid="{4A65882E-2790-40A1-ACA7-10C386E43382}"/>
    <cellStyle name="60% - Accent3 8" xfId="968" xr:uid="{F25D99DE-1398-4F3A-BFA7-323E8F27EB48}"/>
    <cellStyle name="60% - Accent3 9" xfId="969" xr:uid="{F5E240FA-F69D-4D73-93B4-C32B21FBF254}"/>
    <cellStyle name="60% - Accent4" xfId="17" builtinId="44" hidden="1" customBuiltin="1"/>
    <cellStyle name="60% - Accent4" xfId="970" builtinId="44" customBuiltin="1"/>
    <cellStyle name="60% - Accent4 10" xfId="971" xr:uid="{9B93A6E7-C539-4B58-982B-562F766A9B3D}"/>
    <cellStyle name="60% - Accent4 11" xfId="972" xr:uid="{C23CC149-29F5-42AE-923E-3D085D00072D}"/>
    <cellStyle name="60% - Accent4 12" xfId="973" xr:uid="{BF94C473-FCA7-4088-94AF-F9ACD3F928F4}"/>
    <cellStyle name="60% - Accent4 13" xfId="974" xr:uid="{9C4E5DB8-AE28-45FE-A6D1-51E33E4E6BC9}"/>
    <cellStyle name="60% - Accent4 14" xfId="975" xr:uid="{EFDC73C7-E3B0-4B15-AFCC-75323B31E41F}"/>
    <cellStyle name="60% - Accent4 15" xfId="976" xr:uid="{50EE7B21-D2DD-43BE-8BB2-B65C8AFAFE05}"/>
    <cellStyle name="60% - Accent4 16" xfId="977" xr:uid="{1AAF8040-5091-4B2B-8221-1DDD8A701BCC}"/>
    <cellStyle name="60% - Accent4 17" xfId="978" xr:uid="{A9E5D10C-995B-422C-B015-1FFF8B487FEA}"/>
    <cellStyle name="60% - Accent4 18" xfId="979" xr:uid="{E99CB7C3-9F7F-40E4-8515-CDDCFC9A39AF}"/>
    <cellStyle name="60% - Accent4 19" xfId="980" xr:uid="{7A5A9813-6C44-4236-BBEA-7C0D4C31E8A8}"/>
    <cellStyle name="60% - Accent4 2" xfId="981" xr:uid="{AFA45A1D-519E-4E71-A1A4-FA60360B4891}"/>
    <cellStyle name="60% - Accent4 20" xfId="982" xr:uid="{0DAB7F83-49A4-4F4F-BCF6-87D5A143007A}"/>
    <cellStyle name="60% - Accent4 21" xfId="983" xr:uid="{509B3213-E94C-4247-8F33-D042C61F8CE6}"/>
    <cellStyle name="60% - Accent4 22" xfId="984" xr:uid="{DA888DE2-7A77-4978-9F78-05C43E5408DA}"/>
    <cellStyle name="60% - Accent4 23" xfId="985" xr:uid="{51FED2CF-2DFD-49DE-8CC5-6DEAD57996E1}"/>
    <cellStyle name="60% - Accent4 24" xfId="986" xr:uid="{ADDB24D0-FA88-4BE7-BCA5-A7BF62B5F9F6}"/>
    <cellStyle name="60% - Accent4 25" xfId="987" xr:uid="{6E548DB9-AA37-4EF5-B29D-DBBAC60461C6}"/>
    <cellStyle name="60% - Accent4 26" xfId="988" xr:uid="{2FDD6720-6661-47D7-A89C-B274E01C90F1}"/>
    <cellStyle name="60% - Accent4 27" xfId="989" xr:uid="{F558D352-7055-4A90-8B95-E81E520E2ED9}"/>
    <cellStyle name="60% - Accent4 28" xfId="990" xr:uid="{9BC8E035-FD04-464C-B6BD-B1A2B5500C04}"/>
    <cellStyle name="60% - Accent4 29" xfId="991" xr:uid="{EC1EAFC3-C0AA-4389-9BD2-6844EA9D1F38}"/>
    <cellStyle name="60% - Accent4 3" xfId="992" xr:uid="{D14CE449-3D4A-4623-8593-A0BFAC7C4846}"/>
    <cellStyle name="60% - Accent4 30" xfId="993" xr:uid="{6C46B444-F5CF-4CA5-A0B2-4459546064E8}"/>
    <cellStyle name="60% - Accent4 31" xfId="994" xr:uid="{C17F3E9F-663F-420E-9CED-46CA9867E1DB}"/>
    <cellStyle name="60% - Accent4 32" xfId="995" xr:uid="{6F05CDAE-B89A-49A1-BED4-0B688940F39A}"/>
    <cellStyle name="60% - Accent4 33" xfId="996" xr:uid="{C1941B2E-08F7-431B-8C5E-2254270D5A9A}"/>
    <cellStyle name="60% - Accent4 34" xfId="997" xr:uid="{1A6723C0-527C-4313-BA45-0D6619DA1C38}"/>
    <cellStyle name="60% - Accent4 35" xfId="998" xr:uid="{FA0F7853-0190-4A7D-B285-953EEA0D9901}"/>
    <cellStyle name="60% - Accent4 36" xfId="999" xr:uid="{EC9BEE38-6D94-46BD-847A-8FEABB4CF0F3}"/>
    <cellStyle name="60% - Accent4 37" xfId="1000" xr:uid="{85F0B560-2780-4084-824C-B1A3F853DA74}"/>
    <cellStyle name="60% - Accent4 38" xfId="1001" xr:uid="{CC6612DE-E93F-48BE-A16D-9A8D74BA06F8}"/>
    <cellStyle name="60% - Accent4 39" xfId="1002" xr:uid="{D6018D96-C78F-4DD7-A627-2180591D3B1A}"/>
    <cellStyle name="60% - Accent4 4" xfId="1003" xr:uid="{55F89CEA-EA62-48F5-94F2-FEEA564E1920}"/>
    <cellStyle name="60% - Accent4 40" xfId="1004" xr:uid="{B4DBFCAB-F563-4E6F-A690-A03D6AF5519C}"/>
    <cellStyle name="60% - Accent4 41" xfId="1005" xr:uid="{298A8ABB-D61A-464C-819E-666C6E55C3C0}"/>
    <cellStyle name="60% - Accent4 42" xfId="1006" xr:uid="{3BE10587-A4E2-4A6E-919E-E53372502FB5}"/>
    <cellStyle name="60% - Accent4 43" xfId="1007" xr:uid="{04F3C37B-BD8D-4C24-8988-EEC1359B357D}"/>
    <cellStyle name="60% - Accent4 44" xfId="7797" xr:uid="{3E8D626B-5EBE-458E-B8E4-F6A1045A9047}"/>
    <cellStyle name="60% - Accent4 5" xfId="1008" xr:uid="{68B04EC3-26C6-4407-87F0-A847321BC4B4}"/>
    <cellStyle name="60% - Accent4 6" xfId="1009" xr:uid="{7931022F-D03C-4D55-B91C-BD30CA8D8947}"/>
    <cellStyle name="60% - Accent4 7" xfId="1010" xr:uid="{F1AF1BE6-6633-4ECF-B497-5E42F8B0CA53}"/>
    <cellStyle name="60% - Accent4 8" xfId="1011" xr:uid="{415AECE7-7D55-47BC-B04E-E3347AF1F3C5}"/>
    <cellStyle name="60% - Accent4 9" xfId="1012" xr:uid="{21FE2847-2B09-4F54-A03C-4C143D6D9F89}"/>
    <cellStyle name="60% - Accent5" xfId="18" builtinId="48" hidden="1" customBuiltin="1"/>
    <cellStyle name="60% - Accent5" xfId="1013" builtinId="48" customBuiltin="1"/>
    <cellStyle name="60% - Accent5 10" xfId="1014" xr:uid="{5D6239D9-BA9C-43BB-A3EB-D232B992293A}"/>
    <cellStyle name="60% - Accent5 11" xfId="1015" xr:uid="{250D1765-3894-4A45-9846-4F4BCF1B3A40}"/>
    <cellStyle name="60% - Accent5 12" xfId="1016" xr:uid="{8C0AE5F1-B453-4172-8FDC-CF98084CFCE3}"/>
    <cellStyle name="60% - Accent5 13" xfId="1017" xr:uid="{6BDCF6E1-F96D-4FF8-B974-464FEFAA5F8C}"/>
    <cellStyle name="60% - Accent5 14" xfId="1018" xr:uid="{05065074-7F3A-4494-9748-FB8782EA6381}"/>
    <cellStyle name="60% - Accent5 15" xfId="1019" xr:uid="{E738AAA8-A9AD-4188-B785-9BDB460C77F8}"/>
    <cellStyle name="60% - Accent5 16" xfId="1020" xr:uid="{48B62DF6-A668-48F6-A68D-E94A5EE900DE}"/>
    <cellStyle name="60% - Accent5 17" xfId="1021" xr:uid="{6525E23B-76C9-45C5-B8EC-B3739E302AD2}"/>
    <cellStyle name="60% - Accent5 18" xfId="1022" xr:uid="{DE9BCD47-E6CA-41E8-92FD-1D5D99B3501E}"/>
    <cellStyle name="60% - Accent5 19" xfId="1023" xr:uid="{C2AADA8D-620F-4CAD-95AB-35A411690F5A}"/>
    <cellStyle name="60% - Accent5 2" xfId="1024" xr:uid="{1194699A-C109-4274-9370-5E61AA3A3022}"/>
    <cellStyle name="60% - Accent5 20" xfId="1025" xr:uid="{D6C6FCC6-7A8F-4EDE-8B0A-F95EC652B0F2}"/>
    <cellStyle name="60% - Accent5 21" xfId="1026" xr:uid="{B92BB1B2-6430-490A-8B4D-0153670E1626}"/>
    <cellStyle name="60% - Accent5 22" xfId="1027" xr:uid="{32DFB015-6A97-4CBE-B722-1CC62FF6011D}"/>
    <cellStyle name="60% - Accent5 23" xfId="1028" xr:uid="{E71C2FFE-3502-411E-A502-66BD06A667A3}"/>
    <cellStyle name="60% - Accent5 24" xfId="1029" xr:uid="{E2544105-0580-4F89-BCEB-1F9B8F6AF5B6}"/>
    <cellStyle name="60% - Accent5 25" xfId="1030" xr:uid="{D926F74C-ABBF-4C9E-943E-6BB45CA631B4}"/>
    <cellStyle name="60% - Accent5 26" xfId="1031" xr:uid="{6A6BF3A3-5491-4BFD-BE03-5C9EC2C98AF0}"/>
    <cellStyle name="60% - Accent5 27" xfId="1032" xr:uid="{88FF51ED-B64B-4ABC-B1E8-6CE785071E9D}"/>
    <cellStyle name="60% - Accent5 28" xfId="1033" xr:uid="{C3DDC0FE-E9BF-4C53-B69D-DDBD58F05326}"/>
    <cellStyle name="60% - Accent5 29" xfId="1034" xr:uid="{EF974218-8D7C-424C-BBDC-1B4A244A457B}"/>
    <cellStyle name="60% - Accent5 3" xfId="1035" xr:uid="{A999CB95-466D-465A-94A7-084C4C940372}"/>
    <cellStyle name="60% - Accent5 30" xfId="1036" xr:uid="{9ADE34D8-39BD-4E55-9E83-5DBFF05DED30}"/>
    <cellStyle name="60% - Accent5 31" xfId="1037" xr:uid="{C4F003D1-0BE0-4377-A449-5A9B42AFAB71}"/>
    <cellStyle name="60% - Accent5 32" xfId="1038" xr:uid="{BDA7FF40-6AA1-4C1C-BF73-897839A5F58E}"/>
    <cellStyle name="60% - Accent5 33" xfId="1039" xr:uid="{6080C2BA-A872-44E5-81E3-1D6FD4FDA38F}"/>
    <cellStyle name="60% - Accent5 34" xfId="1040" xr:uid="{F02288E4-731D-4F11-9753-6ED3D32D200A}"/>
    <cellStyle name="60% - Accent5 35" xfId="1041" xr:uid="{02ED89C9-EFAF-42CF-B568-CC0E3F4323D1}"/>
    <cellStyle name="60% - Accent5 36" xfId="1042" xr:uid="{D91ACE82-87C3-4759-9DB3-A29FA497754F}"/>
    <cellStyle name="60% - Accent5 37" xfId="1043" xr:uid="{061E114C-AEF9-4413-9F34-85F0A69571A1}"/>
    <cellStyle name="60% - Accent5 38" xfId="1044" xr:uid="{FBF5FA73-A651-4E60-98D9-6621675457A1}"/>
    <cellStyle name="60% - Accent5 39" xfId="1045" xr:uid="{F73B3891-B997-4959-9FF2-9B7870BD1D16}"/>
    <cellStyle name="60% - Accent5 4" xfId="1046" xr:uid="{29E22734-186F-4ED9-9D8C-AA7C3F97D126}"/>
    <cellStyle name="60% - Accent5 40" xfId="1047" xr:uid="{A1D75907-9982-4F27-ADB1-383CDE8EC331}"/>
    <cellStyle name="60% - Accent5 41" xfId="1048" xr:uid="{2B8C0075-96C9-4FA0-AEEC-5065DF61DBC5}"/>
    <cellStyle name="60% - Accent5 42" xfId="1049" xr:uid="{A0D0734A-BC86-4CB1-892A-87C550F5C81D}"/>
    <cellStyle name="60% - Accent5 43" xfId="1050" xr:uid="{C1B00A4C-2DAB-4AAA-B2ED-364A909C48B9}"/>
    <cellStyle name="60% - Accent5 44" xfId="7837" xr:uid="{6088DD86-C958-46DB-9235-90C22312615E}"/>
    <cellStyle name="60% - Accent5 5" xfId="1051" xr:uid="{AA743B44-14D0-48D6-8A61-88953BC2A55D}"/>
    <cellStyle name="60% - Accent5 6" xfId="1052" xr:uid="{6F7649B2-4565-4D08-88BD-D8BD8310DE38}"/>
    <cellStyle name="60% - Accent5 7" xfId="1053" xr:uid="{B47E1D9F-5C8B-43E5-8CE1-B19878912B99}"/>
    <cellStyle name="60% - Accent5 8" xfId="1054" xr:uid="{DCA8D8E3-3101-47C3-AFA2-5A1E7FC9104B}"/>
    <cellStyle name="60% - Accent5 9" xfId="1055" xr:uid="{BF2B10AF-8830-4882-963D-7E56C7458CF5}"/>
    <cellStyle name="60% - Accent6" xfId="19" builtinId="52" hidden="1" customBuiltin="1"/>
    <cellStyle name="60% - Accent6" xfId="1056" builtinId="52" customBuiltin="1"/>
    <cellStyle name="60% - Accent6 10" xfId="1057" xr:uid="{AB88378E-10BA-487A-B1A3-A84464B7126E}"/>
    <cellStyle name="60% - Accent6 11" xfId="1058" xr:uid="{4096B216-CC06-43B9-98DE-AB60A0AF8093}"/>
    <cellStyle name="60% - Accent6 12" xfId="1059" xr:uid="{A66FB451-4CC7-42E4-81FA-24C91E6BF510}"/>
    <cellStyle name="60% - Accent6 13" xfId="1060" xr:uid="{BC621A5D-E6BB-434E-AF28-9C88DD5B25CE}"/>
    <cellStyle name="60% - Accent6 14" xfId="1061" xr:uid="{A5A9C039-179D-4C68-9EE0-B3162992942B}"/>
    <cellStyle name="60% - Accent6 15" xfId="1062" xr:uid="{99D14C8A-A329-452E-9634-8EBE06B81F5D}"/>
    <cellStyle name="60% - Accent6 16" xfId="1063" xr:uid="{80FF26AA-547B-4A19-8CCE-6807480CB89C}"/>
    <cellStyle name="60% - Accent6 17" xfId="1064" xr:uid="{DBC0362B-6C3A-42ED-8E9A-72CE26AB22F3}"/>
    <cellStyle name="60% - Accent6 18" xfId="1065" xr:uid="{5ED85DA9-6ACF-414D-91EF-35E64E270437}"/>
    <cellStyle name="60% - Accent6 19" xfId="1066" xr:uid="{2A7A89CD-775C-4446-B130-361116342ECE}"/>
    <cellStyle name="60% - Accent6 2" xfId="1067" xr:uid="{03B9AF4F-B1AA-4648-B711-DCCF108F5C7F}"/>
    <cellStyle name="60% - Accent6 20" xfId="1068" xr:uid="{99A7EC30-16DC-4FB4-8DAF-5F35E5069ADB}"/>
    <cellStyle name="60% - Accent6 21" xfId="1069" xr:uid="{023004C4-59DB-4232-B025-493E313E70EB}"/>
    <cellStyle name="60% - Accent6 22" xfId="1070" xr:uid="{88609F36-A7C8-492F-9F2F-5208F565CD80}"/>
    <cellStyle name="60% - Accent6 23" xfId="1071" xr:uid="{F631E86D-25C2-4A35-A2A2-6A47A7BC48B2}"/>
    <cellStyle name="60% - Accent6 24" xfId="1072" xr:uid="{6D525CE6-9264-447A-B4BA-B6F14A71990A}"/>
    <cellStyle name="60% - Accent6 25" xfId="1073" xr:uid="{DB65B973-490B-4D9A-9DDB-D6A7F8DC23A1}"/>
    <cellStyle name="60% - Accent6 26" xfId="1074" xr:uid="{39B41DAE-517B-4B59-B16F-F59A589A6DF2}"/>
    <cellStyle name="60% - Accent6 27" xfId="1075" xr:uid="{D36BD1DC-1EFF-4D5D-890A-1F8DE2E08EF8}"/>
    <cellStyle name="60% - Accent6 28" xfId="1076" xr:uid="{E104C50C-3403-4D58-999C-39A1E9B7FADE}"/>
    <cellStyle name="60% - Accent6 29" xfId="1077" xr:uid="{7FE979D7-260D-4DBC-B51B-A65489906FCB}"/>
    <cellStyle name="60% - Accent6 3" xfId="1078" xr:uid="{9E3FDEAE-A0D4-4C95-916C-7FBBC271210C}"/>
    <cellStyle name="60% - Accent6 30" xfId="1079" xr:uid="{3BCA5F6B-8C69-4AC4-A07F-2E722696D582}"/>
    <cellStyle name="60% - Accent6 31" xfId="1080" xr:uid="{0BDA6BD1-037A-486B-8509-96BE8EB4715B}"/>
    <cellStyle name="60% - Accent6 32" xfId="1081" xr:uid="{ECCC1EEF-A330-4227-AB9E-917143EADFFA}"/>
    <cellStyle name="60% - Accent6 33" xfId="1082" xr:uid="{50ADFBE8-A449-4CF0-A89F-50D92BE51766}"/>
    <cellStyle name="60% - Accent6 34" xfId="1083" xr:uid="{FA6FA397-3CBF-402E-9F70-63A55650F0E9}"/>
    <cellStyle name="60% - Accent6 35" xfId="1084" xr:uid="{2792AFD9-96A4-461D-A350-31B39CB06248}"/>
    <cellStyle name="60% - Accent6 36" xfId="1085" xr:uid="{2E3F97FE-EFEF-4081-9CB1-D93DA336243F}"/>
    <cellStyle name="60% - Accent6 37" xfId="1086" xr:uid="{E6E5A461-D777-4D84-A8B4-B9EFECC7AAC3}"/>
    <cellStyle name="60% - Accent6 38" xfId="1087" xr:uid="{D51CCAEC-52DF-4112-8FA4-7C96C7B4B739}"/>
    <cellStyle name="60% - Accent6 39" xfId="1088" xr:uid="{64C92FEF-5DA2-47FB-8D7D-76853BB4B298}"/>
    <cellStyle name="60% - Accent6 4" xfId="1089" xr:uid="{61BCC97B-23DB-4E9F-9BEB-555D43ED205C}"/>
    <cellStyle name="60% - Accent6 40" xfId="1090" xr:uid="{89641F80-67AB-45E6-9ED9-152FEFE62FAF}"/>
    <cellStyle name="60% - Accent6 41" xfId="1091" xr:uid="{9159563A-0794-42A8-B397-13588D048910}"/>
    <cellStyle name="60% - Accent6 42" xfId="1092" xr:uid="{CC19480E-EC0A-4323-B8BE-5ED59CD16980}"/>
    <cellStyle name="60% - Accent6 43" xfId="1093" xr:uid="{B97B512A-A581-440C-B6E3-62DC7C399853}"/>
    <cellStyle name="60% - Accent6 44" xfId="7878" xr:uid="{D6AD6515-329B-4103-8DDD-357FF6825A75}"/>
    <cellStyle name="60% - Accent6 5" xfId="1094" xr:uid="{6F9E4F7E-CF6B-46A4-9BF3-FEF8B2091064}"/>
    <cellStyle name="60% - Accent6 6" xfId="1095" xr:uid="{A998E770-304B-477E-9816-6A03655CB7A0}"/>
    <cellStyle name="60% - Accent6 7" xfId="1096" xr:uid="{95BEAA27-15C7-401B-A6C3-37A877425A54}"/>
    <cellStyle name="60% - Accent6 8" xfId="1097" xr:uid="{DB6613FA-3F42-49F7-BD9D-D131C646D923}"/>
    <cellStyle name="60% - Accent6 9" xfId="1098" xr:uid="{B47B0098-5DE1-4658-B77F-0C72DCF75D96}"/>
    <cellStyle name="Accent1" xfId="20" builtinId="29" hidden="1" customBuiltin="1"/>
    <cellStyle name="Accent1" xfId="1099" builtinId="29" customBuiltin="1"/>
    <cellStyle name="Accent1 10" xfId="1100" xr:uid="{43669B5C-B4FC-433A-8A41-5F79F8834DAF}"/>
    <cellStyle name="Accent1 11" xfId="1101" xr:uid="{4D2F4DCA-07E2-4B9C-9C27-35A64CB329D3}"/>
    <cellStyle name="Accent1 12" xfId="1102" xr:uid="{E529CF94-266B-43A8-999B-96AEFFC62BE2}"/>
    <cellStyle name="Accent1 13" xfId="1103" xr:uid="{9B9842C5-6CC5-4D0C-945B-E7F8BA47EFBA}"/>
    <cellStyle name="Accent1 14" xfId="1104" xr:uid="{6BF46E7F-8C9C-4A8D-AE2A-2D487B8CB2B2}"/>
    <cellStyle name="Accent1 15" xfId="1105" xr:uid="{0AF68A2A-9488-4163-9E89-BF18053C001E}"/>
    <cellStyle name="Accent1 16" xfId="1106" xr:uid="{DB9BCFA6-A59B-4CDD-B0E3-FB231F68F1D0}"/>
    <cellStyle name="Accent1 17" xfId="1107" xr:uid="{248FFC82-DA28-4D88-9921-1FB9CF4C93E5}"/>
    <cellStyle name="Accent1 18" xfId="1108" xr:uid="{AAF0475C-4ACE-40CE-B66B-30BAAEA6A3CF}"/>
    <cellStyle name="Accent1 19" xfId="1109" xr:uid="{6EA71FCC-AAC2-4B85-AE57-365E94E3EF6C}"/>
    <cellStyle name="Accent1 2" xfId="1110" xr:uid="{B0305614-DC12-47A3-99E6-C4B8DA00CAAC}"/>
    <cellStyle name="Accent1 20" xfId="1111" xr:uid="{7395D08C-3B39-4C39-B3AA-8C35228163B6}"/>
    <cellStyle name="Accent1 21" xfId="1112" xr:uid="{7D165E9A-CC88-4C4A-BDBF-30F87123894B}"/>
    <cellStyle name="Accent1 22" xfId="1113" xr:uid="{9548090D-A980-417E-85DF-250A34DA8112}"/>
    <cellStyle name="Accent1 23" xfId="1114" xr:uid="{15EDB1BB-9864-4984-9E21-AACB768B2D1F}"/>
    <cellStyle name="Accent1 24" xfId="1115" xr:uid="{5C870A2B-A156-49D2-B527-7133597C107F}"/>
    <cellStyle name="Accent1 25" xfId="1116" xr:uid="{28B02DD0-391A-4C03-BEA3-731D9E275F98}"/>
    <cellStyle name="Accent1 26" xfId="1117" xr:uid="{B4930DED-E192-445A-82D9-D9D810A0B99D}"/>
    <cellStyle name="Accent1 27" xfId="1118" xr:uid="{D8F95952-43A1-4B17-9209-3CA8E6242DFB}"/>
    <cellStyle name="Accent1 28" xfId="1119" xr:uid="{68F66558-2D6F-45FF-89EF-B97576BDACA7}"/>
    <cellStyle name="Accent1 29" xfId="1120" xr:uid="{53A9B38E-9C23-4DF4-B48F-AC623F9DA41D}"/>
    <cellStyle name="Accent1 3" xfId="1121" xr:uid="{CCE9ACD6-A932-4B43-8A34-3E16570CFA85}"/>
    <cellStyle name="Accent1 30" xfId="1122" xr:uid="{F0C9EF9C-A99E-45BC-889B-9AE2F4719D9B}"/>
    <cellStyle name="Accent1 31" xfId="1123" xr:uid="{FABD5E49-50C7-412A-B846-8EE036F5E971}"/>
    <cellStyle name="Accent1 32" xfId="1124" xr:uid="{54A7F9DB-ADC2-41EB-8B47-B89A2CCFD6DF}"/>
    <cellStyle name="Accent1 33" xfId="1125" xr:uid="{0D558A00-5802-442C-B968-4E17B64D6739}"/>
    <cellStyle name="Accent1 34" xfId="1126" xr:uid="{4011806F-7398-449C-9CA7-134DF447ED79}"/>
    <cellStyle name="Accent1 35" xfId="1127" xr:uid="{5E6CF697-50B6-4FBD-ACEC-3934F33D1ACB}"/>
    <cellStyle name="Accent1 36" xfId="1128" xr:uid="{C2EECA60-1702-4493-8333-5DFCA41B8DB9}"/>
    <cellStyle name="Accent1 37" xfId="1129" xr:uid="{27427771-EDAF-4D77-9D4E-DE02656CD8A7}"/>
    <cellStyle name="Accent1 38" xfId="1130" xr:uid="{BF240934-7718-4D34-8BA4-A856C90EEF7A}"/>
    <cellStyle name="Accent1 39" xfId="1131" xr:uid="{E9910D8C-300A-4001-AFF7-9EDD1E604F6B}"/>
    <cellStyle name="Accent1 4" xfId="1132" xr:uid="{E1A01D8F-F3FC-48EB-A5C1-4B26FDCFFC84}"/>
    <cellStyle name="Accent1 40" xfId="1133" xr:uid="{26305041-56B9-4424-9EF8-58DE54942F95}"/>
    <cellStyle name="Accent1 41" xfId="1134" xr:uid="{03B70B7A-3EB4-404A-BF34-5A6C7B92B389}"/>
    <cellStyle name="Accent1 42" xfId="1135" xr:uid="{9687045E-576E-44FA-A285-60536D993335}"/>
    <cellStyle name="Accent1 43" xfId="1136" xr:uid="{5113FC62-44AD-43D4-8461-6FF860D201E6}"/>
    <cellStyle name="Accent1 44" xfId="7916" xr:uid="{8BD3E6D3-59C3-40EB-8E64-BACB2CD5914A}"/>
    <cellStyle name="Accent1 5" xfId="1137" xr:uid="{E0ED814E-F018-4659-90F5-92935822183C}"/>
    <cellStyle name="Accent1 6" xfId="1138" xr:uid="{25128182-FD15-451B-A10C-7980A8ECD979}"/>
    <cellStyle name="Accent1 7" xfId="1139" xr:uid="{C3365F8E-121C-4DBB-9231-EFC5800FCA3D}"/>
    <cellStyle name="Accent1 8" xfId="1140" xr:uid="{7CD74481-0855-4B14-A734-12037B170ACB}"/>
    <cellStyle name="Accent1 9" xfId="1141" xr:uid="{7BEF8D48-6352-4991-AEC6-0DE1997FB5AF}"/>
    <cellStyle name="Accent2" xfId="21" builtinId="33" hidden="1" customBuiltin="1"/>
    <cellStyle name="Accent2" xfId="1142" builtinId="33" customBuiltin="1"/>
    <cellStyle name="Accent2 10" xfId="1143" xr:uid="{D53BE1BF-C19E-43E3-8EC6-37DAE3BB5D49}"/>
    <cellStyle name="Accent2 11" xfId="1144" xr:uid="{622F8479-0D5F-409A-9175-DC681EA9803E}"/>
    <cellStyle name="Accent2 12" xfId="1145" xr:uid="{B76B2B2D-0C05-4393-9927-DAFBBC19961C}"/>
    <cellStyle name="Accent2 13" xfId="1146" xr:uid="{7DF5814A-927E-48B4-A4EE-DA80285DCC0E}"/>
    <cellStyle name="Accent2 14" xfId="1147" xr:uid="{BA6D1B27-DD93-477F-BF92-659C9BEE61CC}"/>
    <cellStyle name="Accent2 15" xfId="1148" xr:uid="{AFBD255C-25AF-4625-9C98-56D6A69BDA68}"/>
    <cellStyle name="Accent2 16" xfId="1149" xr:uid="{E59DD0D9-A1CB-4B81-AE40-3C431C0B3FA1}"/>
    <cellStyle name="Accent2 17" xfId="1150" xr:uid="{A2C3D947-E1B4-490E-9D39-0C812DA79F77}"/>
    <cellStyle name="Accent2 18" xfId="1151" xr:uid="{5BD85F6E-F716-4311-A97B-9AF98F0A70A7}"/>
    <cellStyle name="Accent2 19" xfId="1152" xr:uid="{6BBFE121-E986-4D69-BD99-4C877487A7F1}"/>
    <cellStyle name="Accent2 2" xfId="1153" xr:uid="{ED834F88-5A06-4093-859A-4C904A86C23E}"/>
    <cellStyle name="Accent2 20" xfId="1154" xr:uid="{3A9A2308-5B91-48BB-BD10-E41C352793AC}"/>
    <cellStyle name="Accent2 21" xfId="1155" xr:uid="{8E962F0C-AD84-400C-81C4-E0A298ED1B70}"/>
    <cellStyle name="Accent2 22" xfId="1156" xr:uid="{647A011C-2D21-43C1-AE0A-487E38443FF5}"/>
    <cellStyle name="Accent2 23" xfId="1157" xr:uid="{DC90EC74-016B-4EB5-86CA-15588B624A8D}"/>
    <cellStyle name="Accent2 24" xfId="1158" xr:uid="{EBE4F1E1-7525-477D-8854-EA0D1A4F1885}"/>
    <cellStyle name="Accent2 25" xfId="1159" xr:uid="{9ED7B8D9-9A3F-4E2B-9AAE-049ED7CDA53F}"/>
    <cellStyle name="Accent2 26" xfId="1160" xr:uid="{87617EEB-016F-4DEC-9E98-7E723501DB0E}"/>
    <cellStyle name="Accent2 27" xfId="1161" xr:uid="{BA333A1B-68D7-4278-BBF1-ECF03702D480}"/>
    <cellStyle name="Accent2 28" xfId="1162" xr:uid="{70F47EA8-A8C8-4173-A09B-B85FBB9F30FB}"/>
    <cellStyle name="Accent2 29" xfId="1163" xr:uid="{34E0213B-F060-4D24-8B9F-7CA9ACBF5695}"/>
    <cellStyle name="Accent2 3" xfId="1164" xr:uid="{217E2D0C-967F-475C-8D10-8525EB6196EA}"/>
    <cellStyle name="Accent2 30" xfId="1165" xr:uid="{B78F07CF-1987-43D6-A521-0340BA694990}"/>
    <cellStyle name="Accent2 31" xfId="1166" xr:uid="{5D4B2B40-35FC-4B35-ADCE-A0AAF0636D11}"/>
    <cellStyle name="Accent2 32" xfId="1167" xr:uid="{FEA5545A-EADE-4E56-AA51-03AA12CD2096}"/>
    <cellStyle name="Accent2 33" xfId="1168" xr:uid="{9C733450-0B26-4FD0-A6C5-203107DB7180}"/>
    <cellStyle name="Accent2 34" xfId="1169" xr:uid="{7AF596A3-21CF-43FF-A70C-03C8A58DC142}"/>
    <cellStyle name="Accent2 35" xfId="1170" xr:uid="{9629A44F-E55D-4E48-8CD8-AB427D933A5A}"/>
    <cellStyle name="Accent2 36" xfId="1171" xr:uid="{901DA331-8DB8-407A-A2EE-BD9003375C8C}"/>
    <cellStyle name="Accent2 37" xfId="1172" xr:uid="{1E49EE26-224C-4DBE-BE40-4923C26B72F0}"/>
    <cellStyle name="Accent2 38" xfId="1173" xr:uid="{479EF0FA-8450-4290-8B06-D85BCD4D3908}"/>
    <cellStyle name="Accent2 39" xfId="1174" xr:uid="{C8739E2B-EEAB-46D8-9C15-1B92CFCC9E1C}"/>
    <cellStyle name="Accent2 4" xfId="1175" xr:uid="{DA5B9DC6-B63D-4D6F-BD19-0F2709664C48}"/>
    <cellStyle name="Accent2 40" xfId="1176" xr:uid="{65ABA73D-E435-4F2E-946E-1033B5C280AE}"/>
    <cellStyle name="Accent2 41" xfId="1177" xr:uid="{551E4343-E65C-4CF3-9733-3647E3B44B9B}"/>
    <cellStyle name="Accent2 42" xfId="1178" xr:uid="{046887F4-BAAE-4087-85D1-D2E105E89B0E}"/>
    <cellStyle name="Accent2 43" xfId="1179" xr:uid="{F0030E4A-6A2F-43AD-8FF1-99057108B742}"/>
    <cellStyle name="Accent2 44" xfId="7955" xr:uid="{69BE7647-9722-456A-99DB-C1697CAC739E}"/>
    <cellStyle name="Accent2 5" xfId="1180" xr:uid="{876EE03C-B249-406E-9E01-7FA2E575DAC4}"/>
    <cellStyle name="Accent2 6" xfId="1181" xr:uid="{5B385ABB-6571-41B6-9DDB-CEAE614E7CFC}"/>
    <cellStyle name="Accent2 7" xfId="1182" xr:uid="{7882E15D-4654-4C57-BC6A-C915D3A5B3F1}"/>
    <cellStyle name="Accent2 8" xfId="1183" xr:uid="{4AB8708B-EB59-4C36-BE6D-42D439C43523}"/>
    <cellStyle name="Accent2 9" xfId="1184" xr:uid="{4B31A328-2970-4F1D-AC96-B7681BBD8C8F}"/>
    <cellStyle name="Accent3" xfId="22" builtinId="37" hidden="1" customBuiltin="1"/>
    <cellStyle name="Accent3" xfId="1185" builtinId="37" customBuiltin="1"/>
    <cellStyle name="Accent3 10" xfId="1186" xr:uid="{CAA659A5-AAC6-4008-A998-F5CEB7F0255E}"/>
    <cellStyle name="Accent3 11" xfId="1187" xr:uid="{8AA0AF9A-A7A1-43C4-BCA9-0207BBD3B377}"/>
    <cellStyle name="Accent3 12" xfId="1188" xr:uid="{7FE7BAF0-04A7-4255-9FA2-443CC5AC6B74}"/>
    <cellStyle name="Accent3 13" xfId="1189" xr:uid="{52190150-C99F-4C43-9E0C-8C59E1522B7C}"/>
    <cellStyle name="Accent3 14" xfId="1190" xr:uid="{89033CE6-302D-45B8-BAF5-834EE6B9A9C5}"/>
    <cellStyle name="Accent3 15" xfId="1191" xr:uid="{81B688D8-85D9-4F65-A5BA-87BDB4BE7749}"/>
    <cellStyle name="Accent3 16" xfId="1192" xr:uid="{FF476E7F-EB00-4178-B0DE-D3DA384A52C1}"/>
    <cellStyle name="Accent3 17" xfId="1193" xr:uid="{32CA3B65-DEFC-4CED-8E4A-07554AC46481}"/>
    <cellStyle name="Accent3 18" xfId="1194" xr:uid="{30520AE7-CB47-4210-9205-8F84E133D676}"/>
    <cellStyle name="Accent3 19" xfId="1195" xr:uid="{71502889-C199-4E66-8652-717C11D766D0}"/>
    <cellStyle name="Accent3 2" xfId="1196" xr:uid="{9FC4F4FF-1703-4CF5-BD8F-B36B1E963CA8}"/>
    <cellStyle name="Accent3 20" xfId="1197" xr:uid="{B24DA81C-ECDC-46CD-A640-674508495845}"/>
    <cellStyle name="Accent3 21" xfId="1198" xr:uid="{A4368610-109E-475D-8FC4-65128452C42F}"/>
    <cellStyle name="Accent3 22" xfId="1199" xr:uid="{E78BA702-5924-4AF4-9CFA-4D64E17DDE23}"/>
    <cellStyle name="Accent3 23" xfId="1200" xr:uid="{527A564F-8C42-4EF9-8F35-11ADA0E55C64}"/>
    <cellStyle name="Accent3 24" xfId="1201" xr:uid="{996D3498-142C-4E87-9A24-CD8B53F3939B}"/>
    <cellStyle name="Accent3 25" xfId="1202" xr:uid="{A82F9518-D1C9-44DB-AE3A-03A872B88CCF}"/>
    <cellStyle name="Accent3 26" xfId="1203" xr:uid="{639EBE5E-DD12-478F-B281-FF26D2F82B1F}"/>
    <cellStyle name="Accent3 27" xfId="1204" xr:uid="{CD3C1EFC-1220-4111-8963-67CDD95E91C8}"/>
    <cellStyle name="Accent3 28" xfId="1205" xr:uid="{52CB182C-02BF-48F2-8818-CAA6ECE15C39}"/>
    <cellStyle name="Accent3 29" xfId="1206" xr:uid="{FF14A686-29AD-4A62-BFF6-9E25E1E33587}"/>
    <cellStyle name="Accent3 3" xfId="1207" xr:uid="{B7F12A6A-67CF-42FE-9118-881382F8231C}"/>
    <cellStyle name="Accent3 30" xfId="1208" xr:uid="{6200D025-A752-4B39-8545-93D51CCF856E}"/>
    <cellStyle name="Accent3 31" xfId="1209" xr:uid="{F0DC4BB2-A51F-4DF7-A7C4-C994CB0AC0D5}"/>
    <cellStyle name="Accent3 32" xfId="1210" xr:uid="{EF896FAD-E78C-4AD8-A176-E1EBA0CDC575}"/>
    <cellStyle name="Accent3 33" xfId="1211" xr:uid="{BF27DF6C-7A81-4E15-B3FB-200AD13D0710}"/>
    <cellStyle name="Accent3 34" xfId="1212" xr:uid="{AC7CDD40-AD6F-455E-9F9B-DD3272A88A42}"/>
    <cellStyle name="Accent3 35" xfId="1213" xr:uid="{4CFBC124-E35F-4800-A4CA-47B155DA45AC}"/>
    <cellStyle name="Accent3 36" xfId="1214" xr:uid="{A1A6476B-7B89-4576-B841-B8B123B0280A}"/>
    <cellStyle name="Accent3 37" xfId="1215" xr:uid="{B2CB265C-143D-4975-A8F5-193D5BD539E4}"/>
    <cellStyle name="Accent3 38" xfId="1216" xr:uid="{1F58841E-4C54-4775-A34A-69C9C15B1ADD}"/>
    <cellStyle name="Accent3 39" xfId="1217" xr:uid="{CE82A3A4-5CD8-4671-969E-B44FE951EC4C}"/>
    <cellStyle name="Accent3 4" xfId="1218" xr:uid="{B88AB37F-B5C5-4719-B2DD-B24E7D4F93D1}"/>
    <cellStyle name="Accent3 40" xfId="1219" xr:uid="{32EA5AC4-8222-434E-966A-727FB39E1A10}"/>
    <cellStyle name="Accent3 41" xfId="1220" xr:uid="{DB9CFF9F-8E5A-4A64-89FB-B6979881FE28}"/>
    <cellStyle name="Accent3 42" xfId="1221" xr:uid="{37F30EB9-0167-42A3-B591-0FA93B344C8B}"/>
    <cellStyle name="Accent3 43" xfId="1222" xr:uid="{0860CB3D-69FE-4704-9EB6-183EAB8934F2}"/>
    <cellStyle name="Accent3 44" xfId="7994" xr:uid="{A7075339-2138-4EAF-B64A-14E3E29440C8}"/>
    <cellStyle name="Accent3 5" xfId="1223" xr:uid="{548E15F6-2AB7-4AA5-A849-BABEE9ADD1A5}"/>
    <cellStyle name="Accent3 6" xfId="1224" xr:uid="{6EC612A8-71B6-47E8-94BD-3355F07C9E95}"/>
    <cellStyle name="Accent3 7" xfId="1225" xr:uid="{819A206B-3F2C-4F3B-A8E2-2E1B887EE8B7}"/>
    <cellStyle name="Accent3 8" xfId="1226" xr:uid="{BF9446B2-4FB9-42D2-9802-4158C93B8CBF}"/>
    <cellStyle name="Accent3 9" xfId="1227" xr:uid="{FA64D8BD-0500-4890-AE76-735A73EEC0A7}"/>
    <cellStyle name="Accent4" xfId="23" builtinId="41" hidden="1" customBuiltin="1"/>
    <cellStyle name="Accent4" xfId="1228" builtinId="41" customBuiltin="1"/>
    <cellStyle name="Accent4 10" xfId="1229" xr:uid="{3EAE7B3D-5EEE-4B7E-AD9A-4861A310F916}"/>
    <cellStyle name="Accent4 11" xfId="1230" xr:uid="{39FF0F4D-FF9F-4E09-9F40-989E23451F84}"/>
    <cellStyle name="Accent4 12" xfId="1231" xr:uid="{092E0B3C-EF57-4D6F-B6AD-A402495CFE37}"/>
    <cellStyle name="Accent4 13" xfId="1232" xr:uid="{3AAE920E-1EFD-451E-942C-DB86E159E748}"/>
    <cellStyle name="Accent4 14" xfId="1233" xr:uid="{83161311-EB06-48A1-9884-5D9E83C629FB}"/>
    <cellStyle name="Accent4 15" xfId="1234" xr:uid="{726436A7-471F-4948-9A85-9A53D812B2A0}"/>
    <cellStyle name="Accent4 16" xfId="1235" xr:uid="{0E19802D-0FEC-4FDA-9216-775554B02FC1}"/>
    <cellStyle name="Accent4 17" xfId="1236" xr:uid="{749E891C-ABC9-42C6-8FFB-A9195E3E75A6}"/>
    <cellStyle name="Accent4 18" xfId="1237" xr:uid="{336EC016-5267-4B92-91EB-70E52A2F8A6C}"/>
    <cellStyle name="Accent4 19" xfId="1238" xr:uid="{A969C9DE-21E9-465F-90D7-8FBBA98FB771}"/>
    <cellStyle name="Accent4 2" xfId="1239" xr:uid="{D5202EC4-15CF-48D2-80B6-69856E55EA25}"/>
    <cellStyle name="Accent4 20" xfId="1240" xr:uid="{332239DF-45B9-419F-B368-17ED2B37B563}"/>
    <cellStyle name="Accent4 21" xfId="1241" xr:uid="{D45B9C17-F1D8-4E2E-AFA9-BB1D765C4138}"/>
    <cellStyle name="Accent4 22" xfId="1242" xr:uid="{559B3563-26A8-41D1-9DF4-AA5AD21CDA87}"/>
    <cellStyle name="Accent4 23" xfId="1243" xr:uid="{B538E198-6785-4DCA-AF36-07AFB38104C8}"/>
    <cellStyle name="Accent4 24" xfId="1244" xr:uid="{35253058-DB2B-4503-86A7-110DD71EA3E9}"/>
    <cellStyle name="Accent4 25" xfId="1245" xr:uid="{6EBD9CB3-2AEB-48CC-8D7B-862E08D9F370}"/>
    <cellStyle name="Accent4 26" xfId="1246" xr:uid="{72E61C60-148D-4963-9A14-7BCF6A6F235E}"/>
    <cellStyle name="Accent4 27" xfId="1247" xr:uid="{E72B329B-BD7C-493B-A523-D840BD8D4FBE}"/>
    <cellStyle name="Accent4 28" xfId="1248" xr:uid="{16B0122A-0E02-40B2-9209-AFD555D79903}"/>
    <cellStyle name="Accent4 29" xfId="1249" xr:uid="{6A6C6C50-8983-4F5C-8001-AF3BE0500BF2}"/>
    <cellStyle name="Accent4 3" xfId="1250" xr:uid="{71173667-B0B4-4D00-8112-E489F2B5A967}"/>
    <cellStyle name="Accent4 30" xfId="1251" xr:uid="{A02CC80D-6986-444D-B2D3-4321AFF631F2}"/>
    <cellStyle name="Accent4 31" xfId="1252" xr:uid="{73814F8B-0A1F-40E6-B9FD-76A6F93377CF}"/>
    <cellStyle name="Accent4 32" xfId="1253" xr:uid="{2CBE61A3-E1E7-42E5-8988-BAF5FB854F45}"/>
    <cellStyle name="Accent4 33" xfId="1254" xr:uid="{AF9EF05B-778B-489A-A52C-FC6E4CBF4744}"/>
    <cellStyle name="Accent4 34" xfId="1255" xr:uid="{0695322C-09F3-430F-9EFF-E2905D2C2F28}"/>
    <cellStyle name="Accent4 35" xfId="1256" xr:uid="{DBC45CA0-4844-4BED-811C-15EC181CFD7C}"/>
    <cellStyle name="Accent4 36" xfId="1257" xr:uid="{CED14DA3-E732-4EA0-9CFD-9BF31AFAB0A1}"/>
    <cellStyle name="Accent4 37" xfId="1258" xr:uid="{D636ADFF-56E4-4BD3-B712-85512CF7CF44}"/>
    <cellStyle name="Accent4 38" xfId="1259" xr:uid="{FBB6F4DB-A006-45A1-A1D3-7D02A4483401}"/>
    <cellStyle name="Accent4 39" xfId="1260" xr:uid="{E2D19E4A-753D-49A9-9F74-D63E8AE2B23B}"/>
    <cellStyle name="Accent4 4" xfId="1261" xr:uid="{65F8C6C4-5B0D-4047-B8F8-B2EAAD104DCD}"/>
    <cellStyle name="Accent4 40" xfId="1262" xr:uid="{8B2700D7-9CD4-450E-BE08-907CE5B9249A}"/>
    <cellStyle name="Accent4 41" xfId="1263" xr:uid="{A36576A8-429F-4A96-89BB-F2DA7303821E}"/>
    <cellStyle name="Accent4 42" xfId="1264" xr:uid="{D9E0ED1E-ED59-4D67-ACCA-7383D2E60496}"/>
    <cellStyle name="Accent4 43" xfId="1265" xr:uid="{7CAA49D4-9B3A-4E14-9DF2-371A30F827FF}"/>
    <cellStyle name="Accent4 44" xfId="8035" xr:uid="{67A575F2-CDAB-4388-A8EF-33135C88F0B8}"/>
    <cellStyle name="Accent4 5" xfId="1266" xr:uid="{6664C635-F528-4771-8FB6-C29F793386ED}"/>
    <cellStyle name="Accent4 6" xfId="1267" xr:uid="{04526417-08EC-4D23-867B-C64B1B73B02E}"/>
    <cellStyle name="Accent4 7" xfId="1268" xr:uid="{AAC0385C-2350-411B-A16B-5FA25D8FDE86}"/>
    <cellStyle name="Accent4 8" xfId="1269" xr:uid="{C8E9C2E2-6F3F-4819-9A4D-E1F1F1811BE7}"/>
    <cellStyle name="Accent4 9" xfId="1270" xr:uid="{04049002-5990-492E-9EE9-C0B71A47FDAC}"/>
    <cellStyle name="Accent5" xfId="24" builtinId="45" hidden="1" customBuiltin="1"/>
    <cellStyle name="Accent5" xfId="1271" builtinId="45" customBuiltin="1"/>
    <cellStyle name="Accent5 10" xfId="1272" xr:uid="{712EDD15-00ED-4C6D-BC56-DCF5445E2005}"/>
    <cellStyle name="Accent5 11" xfId="1273" xr:uid="{FB3468D0-A18E-42FB-B28B-84A3B5E4C82C}"/>
    <cellStyle name="Accent5 12" xfId="1274" xr:uid="{478E846E-9FA9-40AA-A89D-147051A1BDA7}"/>
    <cellStyle name="Accent5 13" xfId="1275" xr:uid="{3ACFD408-3D6A-4F71-9AE2-6E2E8F466111}"/>
    <cellStyle name="Accent5 14" xfId="1276" xr:uid="{E54F6C31-B3EE-4D58-A63B-465AB93C1E3E}"/>
    <cellStyle name="Accent5 15" xfId="1277" xr:uid="{41C4C9E8-603C-4D64-8FC0-24E075BD4617}"/>
    <cellStyle name="Accent5 16" xfId="1278" xr:uid="{296DA306-0A2C-4509-A694-F5908BDFE9AC}"/>
    <cellStyle name="Accent5 17" xfId="1279" xr:uid="{DF50800F-8266-4A1F-85D4-65B4460CBA2A}"/>
    <cellStyle name="Accent5 18" xfId="1280" xr:uid="{32BFC850-EA1F-4191-93C4-665BA3FF189E}"/>
    <cellStyle name="Accent5 19" xfId="1281" xr:uid="{B02AD89C-33D2-47E8-8C10-27C4DC701E8E}"/>
    <cellStyle name="Accent5 2" xfId="1282" xr:uid="{70DCB9DE-2FFF-4389-A90D-7B23E08F4B3A}"/>
    <cellStyle name="Accent5 20" xfId="1283" xr:uid="{4D40A0F5-8D75-45EE-B2F6-EBE0FC7C514C}"/>
    <cellStyle name="Accent5 21" xfId="1284" xr:uid="{9923E013-7380-4628-B9F5-1FB81F73198D}"/>
    <cellStyle name="Accent5 22" xfId="1285" xr:uid="{54216064-E966-4B35-BA0A-18BAD1EA52A5}"/>
    <cellStyle name="Accent5 23" xfId="1286" xr:uid="{C9868F2C-F690-45C0-83CE-35A48BB12C20}"/>
    <cellStyle name="Accent5 24" xfId="1287" xr:uid="{A3B1CBC5-13F5-4F9B-B148-CA0BBB3A8168}"/>
    <cellStyle name="Accent5 25" xfId="1288" xr:uid="{23CCFD34-AF56-4937-8176-0B193A1DB247}"/>
    <cellStyle name="Accent5 26" xfId="1289" xr:uid="{BC6B926E-3FD4-4FC1-8B07-332A71929319}"/>
    <cellStyle name="Accent5 27" xfId="1290" xr:uid="{993C1421-F702-4F50-B70F-06141DE7B18A}"/>
    <cellStyle name="Accent5 28" xfId="1291" xr:uid="{05B5FCBD-8639-4836-97EC-DA340A347D03}"/>
    <cellStyle name="Accent5 29" xfId="1292" xr:uid="{F1A22835-F0E9-4398-8339-4D65CA0E0B0B}"/>
    <cellStyle name="Accent5 3" xfId="1293" xr:uid="{14EFDA50-0C9A-4F30-9A4D-1BDA808CE812}"/>
    <cellStyle name="Accent5 30" xfId="1294" xr:uid="{ECC9B8BC-2A2C-4B0B-8C3A-261F200B0398}"/>
    <cellStyle name="Accent5 31" xfId="1295" xr:uid="{977BBFE8-7C82-41D8-B221-CC914847F810}"/>
    <cellStyle name="Accent5 32" xfId="1296" xr:uid="{DA55D591-81CE-4815-9F93-555727617DC5}"/>
    <cellStyle name="Accent5 33" xfId="1297" xr:uid="{27D79B6C-98E3-4D65-9C17-7AA51B1350B7}"/>
    <cellStyle name="Accent5 34" xfId="1298" xr:uid="{9E5063BA-EB4E-41B0-89A7-095473A1682E}"/>
    <cellStyle name="Accent5 35" xfId="1299" xr:uid="{1291ABCB-DB24-4517-AD8F-AADB155CBEF1}"/>
    <cellStyle name="Accent5 36" xfId="1300" xr:uid="{A2C3C69C-EE68-4B1D-A688-5930C5D26EE3}"/>
    <cellStyle name="Accent5 37" xfId="1301" xr:uid="{9FC8BB90-5D53-4736-9410-FAEF69BD149D}"/>
    <cellStyle name="Accent5 38" xfId="1302" xr:uid="{702D3B12-095F-4A10-B01D-B922B1902791}"/>
    <cellStyle name="Accent5 39" xfId="1303" xr:uid="{0978F74E-351D-4E98-B339-09CCD895D851}"/>
    <cellStyle name="Accent5 4" xfId="1304" xr:uid="{B31E09EA-AE21-4160-AB84-29F2442529F9}"/>
    <cellStyle name="Accent5 40" xfId="1305" xr:uid="{5F183533-5362-4410-BA73-72941252E2A5}"/>
    <cellStyle name="Accent5 41" xfId="1306" xr:uid="{57D286CA-293A-440D-99F6-7C3CF97B91AD}"/>
    <cellStyle name="Accent5 42" xfId="1307" xr:uid="{167CD238-BA21-4BDE-8819-C13040C105A0}"/>
    <cellStyle name="Accent5 43" xfId="1308" xr:uid="{00EABDD5-18EF-4867-98A6-3D21A98C637D}"/>
    <cellStyle name="Accent5 44" xfId="8074" xr:uid="{3DC02905-4E16-489B-838C-21DDD3AB753A}"/>
    <cellStyle name="Accent5 5" xfId="1309" xr:uid="{59665E2C-5C1A-43CD-A37C-53923019BCCE}"/>
    <cellStyle name="Accent5 6" xfId="1310" xr:uid="{9DF8BF87-5BE8-4889-86B5-B63697477F05}"/>
    <cellStyle name="Accent5 7" xfId="1311" xr:uid="{4DFF982A-AB3F-4533-855F-FBF945E875B7}"/>
    <cellStyle name="Accent5 8" xfId="1312" xr:uid="{F376948F-C2F9-492C-A200-7565E4E912DE}"/>
    <cellStyle name="Accent5 9" xfId="1313" xr:uid="{3D8430C8-C841-44C8-A678-550C08C96983}"/>
    <cellStyle name="Accent6" xfId="25" builtinId="49" hidden="1" customBuiltin="1"/>
    <cellStyle name="Accent6" xfId="1314" builtinId="49" customBuiltin="1"/>
    <cellStyle name="Accent6 10" xfId="1315" xr:uid="{A723E290-BB27-49A1-ADA3-2A919D1C655B}"/>
    <cellStyle name="Accent6 11" xfId="1316" xr:uid="{9CA83750-454B-4E06-B5C5-8AA89464BC64}"/>
    <cellStyle name="Accent6 12" xfId="1317" xr:uid="{D4A0DDB7-5377-46CE-83FC-1B3B835745D8}"/>
    <cellStyle name="Accent6 13" xfId="1318" xr:uid="{311E6696-00AC-4AB3-9D30-98350EB65AA4}"/>
    <cellStyle name="Accent6 14" xfId="1319" xr:uid="{E426F46F-C8A7-4FF6-BFBE-A7E9CCC5C57C}"/>
    <cellStyle name="Accent6 15" xfId="1320" xr:uid="{C3AC74EF-2EF5-4EEB-AEF1-7C0109A873B6}"/>
    <cellStyle name="Accent6 16" xfId="1321" xr:uid="{9C60911C-6B29-42D1-AC07-1BB66691141C}"/>
    <cellStyle name="Accent6 17" xfId="1322" xr:uid="{AC6DA3D4-B459-4EF8-B6F5-F7CB53DBAD2D}"/>
    <cellStyle name="Accent6 18" xfId="1323" xr:uid="{70A679FE-90D4-459C-9D45-F9D41015E1CA}"/>
    <cellStyle name="Accent6 19" xfId="1324" xr:uid="{D0900DF9-E909-4558-94EE-928ACC65ECD1}"/>
    <cellStyle name="Accent6 2" xfId="1325" xr:uid="{ED15CE52-6D99-4208-ACC2-F2FBA8FF5954}"/>
    <cellStyle name="Accent6 20" xfId="1326" xr:uid="{B71A5D3A-1A36-4538-9C32-A3EDDCD58EA7}"/>
    <cellStyle name="Accent6 21" xfId="1327" xr:uid="{89173096-B98A-48BF-8BC6-CC60B6E806FC}"/>
    <cellStyle name="Accent6 22" xfId="1328" xr:uid="{699E07EC-FE05-4D72-B109-CF7E09081833}"/>
    <cellStyle name="Accent6 23" xfId="1329" xr:uid="{9DC628AC-8F16-45E8-990B-C855A29B17E4}"/>
    <cellStyle name="Accent6 24" xfId="1330" xr:uid="{3DA52A66-E779-4DDE-B1E7-7BE46839B7D7}"/>
    <cellStyle name="Accent6 25" xfId="1331" xr:uid="{ED14E221-DEB8-4FC0-B767-E21C21219D05}"/>
    <cellStyle name="Accent6 26" xfId="1332" xr:uid="{20C872E4-3E1C-4FF9-AF08-EB53B1EFC86B}"/>
    <cellStyle name="Accent6 27" xfId="1333" xr:uid="{FE291B7A-E6B1-434A-98E4-F965A29931DD}"/>
    <cellStyle name="Accent6 28" xfId="1334" xr:uid="{2CCFD2B6-F46A-4824-8A71-056DDB93D310}"/>
    <cellStyle name="Accent6 29" xfId="1335" xr:uid="{452C5B68-F705-4438-9939-3CC7D99513D4}"/>
    <cellStyle name="Accent6 3" xfId="1336" xr:uid="{565EAD2C-3B3D-4CF9-9E06-90DDF22EE23A}"/>
    <cellStyle name="Accent6 30" xfId="1337" xr:uid="{66460BE1-D5A7-45F1-9521-E26032916C85}"/>
    <cellStyle name="Accent6 31" xfId="1338" xr:uid="{DB756A17-C268-4B2B-AB3B-A3ACBB6F9F80}"/>
    <cellStyle name="Accent6 32" xfId="1339" xr:uid="{E5613DBA-D025-416A-936A-14542B083FE9}"/>
    <cellStyle name="Accent6 33" xfId="1340" xr:uid="{C23992AA-C8DA-48C0-BACF-C2BBB5F0B47A}"/>
    <cellStyle name="Accent6 34" xfId="1341" xr:uid="{64159268-7C8B-4C21-9936-AF33B4572153}"/>
    <cellStyle name="Accent6 35" xfId="1342" xr:uid="{4DD42A1B-1505-4D78-8260-22A07AA46321}"/>
    <cellStyle name="Accent6 36" xfId="1343" xr:uid="{A91FDB5D-5E1D-4125-B3EB-75ED9D44D37F}"/>
    <cellStyle name="Accent6 37" xfId="1344" xr:uid="{E7B1E571-D95B-469A-AC5C-6EE757071271}"/>
    <cellStyle name="Accent6 38" xfId="1345" xr:uid="{AC0718A1-29C4-42F9-87CF-995C70F94A40}"/>
    <cellStyle name="Accent6 39" xfId="1346" xr:uid="{5DBF1BEE-D45B-4A84-BD86-A2A8FE1DD5B6}"/>
    <cellStyle name="Accent6 4" xfId="1347" xr:uid="{05BFB07F-3834-476B-B2C3-118F5E7E8974}"/>
    <cellStyle name="Accent6 40" xfId="1348" xr:uid="{3DCEEB65-C661-4793-9BFB-746D859707EC}"/>
    <cellStyle name="Accent6 41" xfId="1349" xr:uid="{1B726AAF-771C-4BD0-8293-C490CAB939F5}"/>
    <cellStyle name="Accent6 42" xfId="1350" xr:uid="{5FE2EC9E-DBF9-4711-AF2E-5E6D60DF34FA}"/>
    <cellStyle name="Accent6 43" xfId="1351" xr:uid="{79AAE3FB-EBD4-439E-BF1B-CD616CA7C863}"/>
    <cellStyle name="Accent6 44" xfId="8113" xr:uid="{82AE192A-78B7-4F11-AF30-191AB489D331}"/>
    <cellStyle name="Accent6 5" xfId="1352" xr:uid="{1E5480EE-1848-4086-8818-1B5F3AFF431E}"/>
    <cellStyle name="Accent6 6" xfId="1353" xr:uid="{6B6732D4-0F29-439D-BE24-16BD319757DA}"/>
    <cellStyle name="Accent6 7" xfId="1354" xr:uid="{F5539BBC-2EFF-494C-929D-3A3E6352164C}"/>
    <cellStyle name="Accent6 8" xfId="1355" xr:uid="{4AD8C73E-1595-4CDF-A6A8-2200DA31B4D6}"/>
    <cellStyle name="Accent6 9" xfId="1356" xr:uid="{77F4B90A-8677-428D-A09E-1F8E08D84B03}"/>
    <cellStyle name="Arial 10" xfId="1357" xr:uid="{A5D44BC1-46DF-4C07-A644-CFCBBFEB33E8}"/>
    <cellStyle name="Arial 10 10" xfId="1358" xr:uid="{D5349265-4B97-4846-948A-26D118005DA2}"/>
    <cellStyle name="Arial 10 2" xfId="1359" xr:uid="{77D6F12B-6694-4B28-8599-C5EE0F5CD574}"/>
    <cellStyle name="Arial 10 2 2" xfId="1360" xr:uid="{51085A1E-6B8C-4182-84EB-3C48F06E4E10}"/>
    <cellStyle name="Arial 10 2 2 2" xfId="1361" xr:uid="{F0FB0D46-0D80-4A52-8D08-04701CF73B92}"/>
    <cellStyle name="Arial 10 2 2 3" xfId="1362" xr:uid="{6D53AD64-01D9-4244-BA94-F2A9163ACB00}"/>
    <cellStyle name="Arial 10 2 3" xfId="1363" xr:uid="{56FC8540-A52F-4E09-AFA5-C94BEC217DC3}"/>
    <cellStyle name="Arial 10 2 4" xfId="1364" xr:uid="{D5870E8C-E946-4258-A293-AF6697779541}"/>
    <cellStyle name="Arial 10 3" xfId="1365" xr:uid="{0342B6B6-F9D4-4136-A32B-D57E6D26F23F}"/>
    <cellStyle name="Arial 10 3 2" xfId="1366" xr:uid="{703C5FDF-D074-4FEE-BCC1-D2147F39F7DD}"/>
    <cellStyle name="Arial 10 3 3" xfId="1367" xr:uid="{053A6CCA-729A-41D7-8994-775BAEE9B0F5}"/>
    <cellStyle name="Arial 10 4" xfId="1368" xr:uid="{62F618BA-FBAB-4F23-8006-564A054DF4B8}"/>
    <cellStyle name="Arial 10 4 2" xfId="1369" xr:uid="{A89C1121-4B3E-4B4B-811C-D334270F4E9D}"/>
    <cellStyle name="Arial 10 4 3" xfId="1370" xr:uid="{BC858E62-41E7-4F2C-82C9-E623CEAAF502}"/>
    <cellStyle name="Arial 10 5" xfId="1371" xr:uid="{23914B11-0E9B-41A4-8F5B-F90AC163E856}"/>
    <cellStyle name="Arial 10 5 2" xfId="1372" xr:uid="{DEFFCDCC-2AB6-4D22-ACA1-49B1A83F1BA0}"/>
    <cellStyle name="Arial 10 5 3" xfId="1373" xr:uid="{067E5437-076F-41CA-9434-769E318200E0}"/>
    <cellStyle name="Arial 10 6" xfId="1374" xr:uid="{A59D9BC2-3FCE-4275-A459-8FE7F31FB6A3}"/>
    <cellStyle name="Arial 10 6 2" xfId="1375" xr:uid="{144E462D-DBBA-4E82-9061-9855E9911E95}"/>
    <cellStyle name="Arial 10 6 3" xfId="1376" xr:uid="{0BAA53A9-CF90-4B5A-8B1B-C4CB6063A2C6}"/>
    <cellStyle name="Arial 10 7" xfId="1377" xr:uid="{6582B8EA-D326-4AFD-AF9E-27219F2EF52C}"/>
    <cellStyle name="Arial 10 7 2" xfId="1378" xr:uid="{66C63D46-0F29-46BA-89D1-3A6677A456F4}"/>
    <cellStyle name="Arial 10 7 3" xfId="1379" xr:uid="{219CF350-C1A3-413D-A542-9F0FB4FA6040}"/>
    <cellStyle name="Arial 10 8" xfId="1380" xr:uid="{5411752E-E568-42A4-B8D1-63B4D55AB0FF}"/>
    <cellStyle name="Arial 10 8 2" xfId="1381" xr:uid="{F920ACDB-EAAF-4E04-AEBC-E1B897A46FC2}"/>
    <cellStyle name="Arial 10 8 3" xfId="1382" xr:uid="{B28FFF48-86B5-4B7C-BBB9-F789A904383A}"/>
    <cellStyle name="Arial 10 9" xfId="1383" xr:uid="{0B4EAA28-7CE9-4217-88FA-265F636BEFEB}"/>
    <cellStyle name="Bad" xfId="26" builtinId="27" customBuiltin="1"/>
    <cellStyle name="Bad 10" xfId="1384" xr:uid="{C3C1F264-3EFA-4082-B6F3-5ACFC337DB51}"/>
    <cellStyle name="Bad 11" xfId="1385" xr:uid="{8ED86B40-4D98-4EBB-B814-70773F109685}"/>
    <cellStyle name="Bad 12" xfId="1386" xr:uid="{86DC2738-D857-4A78-94AB-E41A56F0728D}"/>
    <cellStyle name="Bad 13" xfId="1387" xr:uid="{E8B7EC28-BD76-46DE-B48F-A68F6AE9DFF5}"/>
    <cellStyle name="Bad 14" xfId="1388" xr:uid="{5E5EC90B-3606-4606-A363-0C7CCB087679}"/>
    <cellStyle name="Bad 15" xfId="1389" xr:uid="{86767A61-D27D-4486-A942-74004D78CBD9}"/>
    <cellStyle name="Bad 16" xfId="1390" xr:uid="{A784E2AB-C375-4C50-B51C-F5E01A531B2D}"/>
    <cellStyle name="Bad 17" xfId="1391" xr:uid="{2CC48789-0F65-494B-87C7-BC4B610FF279}"/>
    <cellStyle name="Bad 18" xfId="1392" xr:uid="{CC863CEC-F115-4348-9A6F-F0963DCB26BC}"/>
    <cellStyle name="Bad 19" xfId="1393" xr:uid="{F3228CB5-00BD-4CBA-853E-CFBCBC8EFD32}"/>
    <cellStyle name="Bad 2" xfId="1394" xr:uid="{C6D1B32B-8E6F-4FA6-8FA6-F2CFFE86DBAA}"/>
    <cellStyle name="Bad 20" xfId="1395" xr:uid="{79A76D79-D81B-4111-BE70-AC2838D4C0D5}"/>
    <cellStyle name="Bad 21" xfId="1396" xr:uid="{91F3D7E7-054E-44D7-99FB-25F0A9D2206C}"/>
    <cellStyle name="Bad 22" xfId="1397" xr:uid="{402147FC-5506-4FED-B46E-BC9925BFA023}"/>
    <cellStyle name="Bad 23" xfId="1398" xr:uid="{A6A07523-1A70-4FA6-AD8A-BF25CBA2F12D}"/>
    <cellStyle name="Bad 24" xfId="1399" xr:uid="{4EB3E444-29F4-49DE-8C0E-8243946822E4}"/>
    <cellStyle name="Bad 25" xfId="1400" xr:uid="{12063468-E0C5-44BF-AFD7-1356AFF84238}"/>
    <cellStyle name="Bad 26" xfId="1401" xr:uid="{9CEF468F-2CD1-4055-A6CE-0B1C5200964B}"/>
    <cellStyle name="Bad 27" xfId="1402" xr:uid="{4836268F-6715-4ED2-8383-94C6005B26F1}"/>
    <cellStyle name="Bad 28" xfId="1403" xr:uid="{F6BE3FD1-D748-434C-9374-0F909570227A}"/>
    <cellStyle name="Bad 29" xfId="1404" xr:uid="{80FDFA6C-7810-4F5F-91C7-8F4866ACB788}"/>
    <cellStyle name="Bad 3" xfId="1405" xr:uid="{B224BB1E-6503-4029-A9C2-86DF0841D91D}"/>
    <cellStyle name="Bad 30" xfId="1406" xr:uid="{8998BC3B-F25F-4EB1-9AED-6A534ABA8D0A}"/>
    <cellStyle name="Bad 31" xfId="1407" xr:uid="{67791C1F-C7A2-4E81-B295-90A692C59ED8}"/>
    <cellStyle name="Bad 32" xfId="1408" xr:uid="{62F9D3F5-D211-44AD-8B4A-137BBFB56E12}"/>
    <cellStyle name="Bad 33" xfId="1409" xr:uid="{45CAA6CD-510F-4C61-8244-9B089786FE7A}"/>
    <cellStyle name="Bad 34" xfId="1410" xr:uid="{50F4FE05-DD94-46D4-8781-ECC442FA93A3}"/>
    <cellStyle name="Bad 35" xfId="1411" xr:uid="{563DB60B-8706-42D1-A3CE-47B32F418BAC}"/>
    <cellStyle name="Bad 36" xfId="1412" xr:uid="{623BA2C2-B249-4B0E-AB50-B396AB1ECD12}"/>
    <cellStyle name="Bad 37" xfId="1413" xr:uid="{9859A793-F82B-46CC-A86C-3A0D106C3DDC}"/>
    <cellStyle name="Bad 38" xfId="1414" xr:uid="{5121B4F2-CBFD-4E64-B77B-239F0AB67C20}"/>
    <cellStyle name="Bad 39" xfId="1415" xr:uid="{960CE2DE-2F1A-4577-AB71-6E823984D44B}"/>
    <cellStyle name="Bad 4" xfId="1416" xr:uid="{999FF367-FC84-4FDC-920C-138AED33005B}"/>
    <cellStyle name="Bad 40" xfId="1417" xr:uid="{96C2CDBB-2975-425D-8709-0FD3A18412A8}"/>
    <cellStyle name="Bad 41" xfId="1418" xr:uid="{DEA92595-E243-495E-92AF-09326BE19B54}"/>
    <cellStyle name="Bad 42" xfId="1419" xr:uid="{C976D7B6-FFFF-4696-9A71-6AC0190FEA11}"/>
    <cellStyle name="Bad 43" xfId="1420" xr:uid="{FFCFDABF-11F0-4108-8351-61C95AA172C4}"/>
    <cellStyle name="Bad 44" xfId="8175" xr:uid="{50476839-027B-4A90-B868-C79330A90E3E}"/>
    <cellStyle name="Bad 5" xfId="1421" xr:uid="{DBE3D80F-FF06-4ABC-A682-8E6A9562465D}"/>
    <cellStyle name="Bad 6" xfId="1422" xr:uid="{5B385777-9EC1-4C9B-AF80-F56E795EDB69}"/>
    <cellStyle name="Bad 7" xfId="1423" xr:uid="{532F81C6-A64E-42D2-8453-AB77E7583330}"/>
    <cellStyle name="Bad 8" xfId="1424" xr:uid="{8A9E6FDD-B04A-477C-AD28-8352F33C1981}"/>
    <cellStyle name="Bad 9" xfId="1425" xr:uid="{9FDC35AB-D75B-4561-8B3A-539D3B0B20CD}"/>
    <cellStyle name="Body" xfId="1426" xr:uid="{095E1548-A37E-4F41-9D48-71FE4A7D3EB7}"/>
    <cellStyle name="Border1" xfId="12" xr:uid="{00000000-0005-0000-0000-00001A000000}"/>
    <cellStyle name="Calculation" xfId="27" builtinId="22" customBuiltin="1"/>
    <cellStyle name="Calculation 10" xfId="1427" xr:uid="{22FAA9E9-0076-49F8-A556-94EB840EFDEB}"/>
    <cellStyle name="Calculation 10 10" xfId="19230" xr:uid="{F7422BF7-28AA-4E36-9AC1-460F3367F7ED}"/>
    <cellStyle name="Calculation 10 11" xfId="17030" xr:uid="{A8B0B47A-5A9F-4510-BF82-3D51A3F9FC37}"/>
    <cellStyle name="Calculation 10 12" xfId="18851" xr:uid="{92B7D13B-4993-457D-881E-43EB8EB5075C}"/>
    <cellStyle name="Calculation 10 13" xfId="22565" xr:uid="{610DE524-2DE1-4A1A-BCAC-DC5B272E9649}"/>
    <cellStyle name="Calculation 10 14" xfId="22308" xr:uid="{00D28FBD-85C2-4ACD-845C-21EB99AECF9C}"/>
    <cellStyle name="Calculation 10 15" xfId="25404" xr:uid="{5B969DD4-FC6C-4C1A-9C3C-E59F03F9DD51}"/>
    <cellStyle name="Calculation 10 16" xfId="22600" xr:uid="{EF572EC7-5D2D-46F4-8D0A-4CFE9CD6FD13}"/>
    <cellStyle name="Calculation 10 17" xfId="25480" xr:uid="{96125FC4-E2CF-4589-8385-7D24545E23AD}"/>
    <cellStyle name="Calculation 10 18" xfId="27126" xr:uid="{F8EFA9EA-28C6-4FDF-BB5E-17E5909AF31F}"/>
    <cellStyle name="Calculation 10 19" xfId="28484" xr:uid="{A6D639FE-4EA7-4E3D-A095-67C6F4B3D236}"/>
    <cellStyle name="Calculation 10 2" xfId="9511" xr:uid="{3E872BC3-E9EA-4320-8D98-B8641E4BDF2E}"/>
    <cellStyle name="Calculation 10 20" xfId="28370" xr:uid="{BCB18930-63EE-4D1D-96E2-36172C576234}"/>
    <cellStyle name="Calculation 10 21" xfId="28061" xr:uid="{78CC33FC-9D44-407D-9BAD-77B495B33D1F}"/>
    <cellStyle name="Calculation 10 22" xfId="30269" xr:uid="{67BF6DF8-A974-407A-A759-921148D22152}"/>
    <cellStyle name="Calculation 10 23" xfId="28717" xr:uid="{D514C1DB-F099-46BB-8638-4F5A9ABBA809}"/>
    <cellStyle name="Calculation 10 24" xfId="30256" xr:uid="{79E84EBF-6BA5-4398-AB46-95D34CD900E2}"/>
    <cellStyle name="Calculation 10 25" xfId="30032" xr:uid="{80D80CB9-1C7C-40AF-A0D8-6FDFE375283F}"/>
    <cellStyle name="Calculation 10 26" xfId="6154" xr:uid="{3610EE3E-980F-4B6B-B754-D79D40A0FD75}"/>
    <cellStyle name="Calculation 10 3" xfId="13344" xr:uid="{D79D45BA-5C42-4668-9147-5B46DFAA3CE7}"/>
    <cellStyle name="Calculation 10 4" xfId="11919" xr:uid="{281B15CB-B9FD-4C83-9662-78F8DB35D81A}"/>
    <cellStyle name="Calculation 10 5" xfId="12201" xr:uid="{4D64E048-4650-425A-A8A8-20BB5A800F2D}"/>
    <cellStyle name="Calculation 10 6" xfId="12442" xr:uid="{483A1C9F-C977-4766-A94D-7065B86B5ABD}"/>
    <cellStyle name="Calculation 10 7" xfId="15661" xr:uid="{250FFE27-448D-4B5B-B78C-79EC024F91E5}"/>
    <cellStyle name="Calculation 10 8" xfId="16229" xr:uid="{3D856C6A-69DB-4014-9B58-1FBFDB5FF278}"/>
    <cellStyle name="Calculation 10 9" xfId="12662" xr:uid="{B0D062AB-90B7-4E3C-A50A-449CCF7E1A20}"/>
    <cellStyle name="Calculation 11" xfId="1428" xr:uid="{D740530F-8F23-47C5-9121-FBAFEC280AFA}"/>
    <cellStyle name="Calculation 11 10" xfId="19231" xr:uid="{9C6D4C7E-BB4D-42CA-8C47-8C1177310E10}"/>
    <cellStyle name="Calculation 11 11" xfId="19566" xr:uid="{6FC360DA-EB16-43D6-8B5C-876C9C860F61}"/>
    <cellStyle name="Calculation 11 12" xfId="20564" xr:uid="{E8FEF202-F813-4664-B025-9F35C600DF19}"/>
    <cellStyle name="Calculation 11 13" xfId="22050" xr:uid="{8F567D92-4680-4EF9-906A-8D3C84280ACB}"/>
    <cellStyle name="Calculation 11 14" xfId="24618" xr:uid="{B8C6CE3A-0A9D-4E24-9E80-6FA9DCB18A08}"/>
    <cellStyle name="Calculation 11 15" xfId="25397" xr:uid="{CD59152B-A323-471F-B118-EDA42BC16871}"/>
    <cellStyle name="Calculation 11 16" xfId="26281" xr:uid="{5A4301D5-3E34-4FD1-8712-3C0197438D9F}"/>
    <cellStyle name="Calculation 11 17" xfId="24370" xr:uid="{E3703657-E1BD-4AF4-8B76-64E8658D9B0E}"/>
    <cellStyle name="Calculation 11 18" xfId="28542" xr:uid="{70EB7B9A-0FE5-4EA3-9D36-8AF918B20708}"/>
    <cellStyle name="Calculation 11 19" xfId="27100" xr:uid="{AA5C2944-1997-4476-BB39-016FB4ED3D8D}"/>
    <cellStyle name="Calculation 11 2" xfId="9510" xr:uid="{4DF6CA11-245E-4294-85A6-9E33A935A5AE}"/>
    <cellStyle name="Calculation 11 20" xfId="29340" xr:uid="{C7FD65BA-C725-4663-A1A3-E33A65ABD07A}"/>
    <cellStyle name="Calculation 11 21" xfId="23735" xr:uid="{5E668159-1504-4A5E-BE25-14E07C7AFDBD}"/>
    <cellStyle name="Calculation 11 22" xfId="28441" xr:uid="{65236EE8-DAED-4E51-A65E-F6277A0C365A}"/>
    <cellStyle name="Calculation 11 23" xfId="29840" xr:uid="{72C276AF-1BCA-405C-9FA5-AA8B89064E6D}"/>
    <cellStyle name="Calculation 11 24" xfId="29224" xr:uid="{2BEC0A21-BBC8-40E0-969C-645BFB8DC73B}"/>
    <cellStyle name="Calculation 11 25" xfId="29516" xr:uid="{35CA8247-ED26-421C-A084-B80A7C886F0F}"/>
    <cellStyle name="Calculation 11 26" xfId="6155" xr:uid="{847B306E-995D-44B4-BFBB-DB07940FA7F3}"/>
    <cellStyle name="Calculation 11 3" xfId="10104" xr:uid="{C972EA22-FB4B-42BC-A2D0-C60E55B0AAAA}"/>
    <cellStyle name="Calculation 11 4" xfId="7507" xr:uid="{B4E3BBB4-11BE-4B29-A199-E9B7F8D4C820}"/>
    <cellStyle name="Calculation 11 5" xfId="14757" xr:uid="{AD5FE14A-AD4F-46EA-AA00-7A703C877C29}"/>
    <cellStyle name="Calculation 11 6" xfId="14123" xr:uid="{A98EDE18-DC25-4A13-B40D-B47F25B213A5}"/>
    <cellStyle name="Calculation 11 7" xfId="17306" xr:uid="{A75F6429-DA76-471E-98F1-C50C4EDEB567}"/>
    <cellStyle name="Calculation 11 8" xfId="18145" xr:uid="{4F9FB566-48E3-412C-A532-C96259D03BED}"/>
    <cellStyle name="Calculation 11 9" xfId="21512" xr:uid="{1D5599A6-01D1-43F1-9DA0-70E20AC33EAF}"/>
    <cellStyle name="Calculation 12" xfId="1429" xr:uid="{31642B06-EA1B-49F5-A811-572EF107CA18}"/>
    <cellStyle name="Calculation 12 10" xfId="17216" xr:uid="{EF37FDDE-CC25-40E3-BE35-6AE8CEF515C6}"/>
    <cellStyle name="Calculation 12 11" xfId="21305" xr:uid="{09D00F63-9C59-4B4F-BCAA-75A9AB6AC79B}"/>
    <cellStyle name="Calculation 12 12" xfId="16862" xr:uid="{76568C26-A04C-4690-8CCA-E0D4349D2906}"/>
    <cellStyle name="Calculation 12 13" xfId="21242" xr:uid="{773481A8-92B6-4BA5-93F8-B34406E4EF01}"/>
    <cellStyle name="Calculation 12 14" xfId="22820" xr:uid="{B9F76708-88A8-437C-B4B8-E8FAFFCC9FB2}"/>
    <cellStyle name="Calculation 12 15" xfId="20353" xr:uid="{03049ECF-A3AA-4F49-BF92-CD657E5CF3B2}"/>
    <cellStyle name="Calculation 12 16" xfId="23846" xr:uid="{9C812462-E081-4BEE-95A6-8BB58853FA30}"/>
    <cellStyle name="Calculation 12 17" xfId="24312" xr:uid="{390A9073-937C-4822-B75F-E231DDE42E7E}"/>
    <cellStyle name="Calculation 12 18" xfId="25641" xr:uid="{CC06F555-DF6D-4B42-BBD1-F37D1AC41802}"/>
    <cellStyle name="Calculation 12 19" xfId="29309" xr:uid="{0915F3A1-DB38-497D-A65B-6B6F2923B829}"/>
    <cellStyle name="Calculation 12 2" xfId="9509" xr:uid="{9BF2C965-7B8E-4833-A53F-D465BDE662D6}"/>
    <cellStyle name="Calculation 12 20" xfId="27048" xr:uid="{25956628-7D98-4EA1-A864-C02485F1C106}"/>
    <cellStyle name="Calculation 12 21" xfId="27738" xr:uid="{097FD6F7-06DD-422E-975A-BA253D51F812}"/>
    <cellStyle name="Calculation 12 22" xfId="29324" xr:uid="{D2ABDD73-1787-45D2-AFF7-AF1A2E15CC7D}"/>
    <cellStyle name="Calculation 12 23" xfId="21918" xr:uid="{CE49F577-2CC8-4909-8C78-BFEB37C1C700}"/>
    <cellStyle name="Calculation 12 24" xfId="30257" xr:uid="{7DEDD763-1958-4698-B8BC-943B83700847}"/>
    <cellStyle name="Calculation 12 25" xfId="29837" xr:uid="{1AB02696-D911-4110-9987-6FC443862987}"/>
    <cellStyle name="Calculation 12 26" xfId="6156" xr:uid="{307A8F1F-DFF8-4014-9DB6-A4EEDA550C4C}"/>
    <cellStyle name="Calculation 12 3" xfId="13345" xr:uid="{732B15FC-56F3-4E55-B9DD-8E9E936E3EBE}"/>
    <cellStyle name="Calculation 12 4" xfId="11920" xr:uid="{1E9F096B-D986-48AA-92CF-0BE6C3B2FF48}"/>
    <cellStyle name="Calculation 12 5" xfId="12200" xr:uid="{6CE5FE48-54A2-4764-A398-85A6A5B85DA7}"/>
    <cellStyle name="Calculation 12 6" xfId="12441" xr:uid="{4EFDDC7F-CFA0-4E7F-A5AE-3D8908A010EC}"/>
    <cellStyle name="Calculation 12 7" xfId="13770" xr:uid="{F89D3EBB-CCFD-42E9-A29A-660B6587B679}"/>
    <cellStyle name="Calculation 12 8" xfId="15774" xr:uid="{EEF91847-EA4C-4567-B6F3-96D2547460C3}"/>
    <cellStyle name="Calculation 12 9" xfId="19662" xr:uid="{450FEBA1-EE55-439D-A4D7-84F2209F33E8}"/>
    <cellStyle name="Calculation 13" xfId="1430" xr:uid="{A4A6E7AE-1CE2-4935-9203-F7CCA2D86535}"/>
    <cellStyle name="Calculation 13 10" xfId="19232" xr:uid="{CE05A341-8D28-4A09-A007-1E5928A845FE}"/>
    <cellStyle name="Calculation 13 11" xfId="19383" xr:uid="{155754C0-63D7-40A9-AC40-FC31112DF780}"/>
    <cellStyle name="Calculation 13 12" xfId="20565" xr:uid="{0879452D-2B18-418C-A301-0F6A0AA590C1}"/>
    <cellStyle name="Calculation 13 13" xfId="17885" xr:uid="{AFD895E3-2CED-47E7-A082-985A2B89E15A}"/>
    <cellStyle name="Calculation 13 14" xfId="24619" xr:uid="{F673B3C2-0BA8-45DE-913D-870ED541B92F}"/>
    <cellStyle name="Calculation 13 15" xfId="23424" xr:uid="{1E63AC8F-FCB7-46B7-BCEB-EF0FE6A6155A}"/>
    <cellStyle name="Calculation 13 16" xfId="22231" xr:uid="{515B159B-421C-40B4-8CFA-B0F6DE1A0E7F}"/>
    <cellStyle name="Calculation 13 17" xfId="23722" xr:uid="{80B05CDF-8592-4D35-9209-2FB38D93B03F}"/>
    <cellStyle name="Calculation 13 18" xfId="28543" xr:uid="{7CF838DA-0135-4556-8D55-AEE51DB48523}"/>
    <cellStyle name="Calculation 13 19" xfId="26079" xr:uid="{D4250E59-5FFD-4C71-A605-8F1BFBE78F3A}"/>
    <cellStyle name="Calculation 13 2" xfId="9508" xr:uid="{7B7C478E-6FF3-4BE9-8E4C-9E089C4296E0}"/>
    <cellStyle name="Calculation 13 20" xfId="28371" xr:uid="{9F4DF285-782A-436F-9EB0-A0B52F3122BA}"/>
    <cellStyle name="Calculation 13 21" xfId="27776" xr:uid="{89FF7B6E-8694-40A0-A452-A9FABAA8FBD3}"/>
    <cellStyle name="Calculation 13 22" xfId="26809" xr:uid="{092D5EE8-0D9C-4AE0-99D9-A14CD9DC605A}"/>
    <cellStyle name="Calculation 13 23" xfId="28056" xr:uid="{4E56AFE6-7A0A-49AF-8A27-74EA522BB439}"/>
    <cellStyle name="Calculation 13 24" xfId="29109" xr:uid="{BC00DE93-7775-4A6D-9773-6A4DD32BB5E1}"/>
    <cellStyle name="Calculation 13 25" xfId="29925" xr:uid="{1A4FC6D9-0A39-4818-BF2A-ACA2ACBFED9E}"/>
    <cellStyle name="Calculation 13 26" xfId="6157" xr:uid="{9F9C2CC0-8CC6-48F2-84F8-24E7FAF91B30}"/>
    <cellStyle name="Calculation 13 3" xfId="10103" xr:uid="{714BF915-8AD1-41E3-BCEE-446AB800200F}"/>
    <cellStyle name="Calculation 13 4" xfId="7508" xr:uid="{DF7DCA6F-4772-4698-9437-6646871D8418}"/>
    <cellStyle name="Calculation 13 5" xfId="14412" xr:uid="{2223DD49-1001-4E19-BAE7-3F084BACBD6F}"/>
    <cellStyle name="Calculation 13 6" xfId="14124" xr:uid="{650910B9-6459-4759-B1C8-10C72DD4C5BB}"/>
    <cellStyle name="Calculation 13 7" xfId="17307" xr:uid="{6884E7B5-2508-449D-A80E-311EA7DF9157}"/>
    <cellStyle name="Calculation 13 8" xfId="18146" xr:uid="{FA0EA624-3220-4BD0-8354-45D29623955F}"/>
    <cellStyle name="Calculation 13 9" xfId="21513" xr:uid="{6C524F60-6157-440C-ACB6-645F2D8C985C}"/>
    <cellStyle name="Calculation 14" xfId="1431" xr:uid="{17B28BE2-4777-41A6-9CE4-387FF36E2FD9}"/>
    <cellStyle name="Calculation 14 10" xfId="13791" xr:uid="{F1519D0C-DFCE-4EEC-A100-9FC88783D070}"/>
    <cellStyle name="Calculation 14 11" xfId="21306" xr:uid="{734AE805-A20E-4FC1-AD58-80A252C5E0FE}"/>
    <cellStyle name="Calculation 14 12" xfId="18859" xr:uid="{7C9FF0EF-25C9-42F1-98B7-FB8CD82AB14C}"/>
    <cellStyle name="Calculation 14 13" xfId="19536" xr:uid="{7BC1C3F9-2010-4E8A-B520-DB2AC1912F62}"/>
    <cellStyle name="Calculation 14 14" xfId="20377" xr:uid="{64A6AC42-4E13-4ABB-B7A8-18EB88DEA58B}"/>
    <cellStyle name="Calculation 14 15" xfId="24463" xr:uid="{2EBA8585-9A25-4B0C-AEE7-F640B50B9274}"/>
    <cellStyle name="Calculation 14 16" xfId="23847" xr:uid="{D60A544B-95FC-4C21-89F9-F17F5F1CB504}"/>
    <cellStyle name="Calculation 14 17" xfId="22679" xr:uid="{5CF9B23C-0D77-47E9-A7FC-CDA564A1F5F9}"/>
    <cellStyle name="Calculation 14 18" xfId="27127" xr:uid="{B362F8DC-C1C1-4B01-AC63-B2FB076FFF1D}"/>
    <cellStyle name="Calculation 14 19" xfId="28486" xr:uid="{F7FE47AA-56B6-4D7F-9372-F34487A22A20}"/>
    <cellStyle name="Calculation 14 2" xfId="9507" xr:uid="{7EE22B47-59FC-47EF-A4CA-9FB4F4A7B995}"/>
    <cellStyle name="Calculation 14 20" xfId="26036" xr:uid="{6A1CC16E-A6BE-4DE6-8110-1426123A9741}"/>
    <cellStyle name="Calculation 14 21" xfId="29645" xr:uid="{A8703986-B915-4B54-BEA7-ADEC6E066584}"/>
    <cellStyle name="Calculation 14 22" xfId="28442" xr:uid="{F32CDE43-F1C8-407B-8735-AC6C3A07BD88}"/>
    <cellStyle name="Calculation 14 23" xfId="29930" xr:uid="{D33BFFB1-CAC8-438A-A8B8-F543F37995A2}"/>
    <cellStyle name="Calculation 14 24" xfId="30258" xr:uid="{04517C12-4E70-4ABB-9474-625B9BFC0BB0}"/>
    <cellStyle name="Calculation 14 25" xfId="29048" xr:uid="{846D8E66-7290-43E5-BD57-67DCF303C812}"/>
    <cellStyle name="Calculation 14 26" xfId="6158" xr:uid="{F72B74CF-2FB9-4C29-8DCD-9603C33DC446}"/>
    <cellStyle name="Calculation 14 3" xfId="13346" xr:uid="{E68E500A-CC7F-42F0-B4E9-4071C63E38EF}"/>
    <cellStyle name="Calculation 14 4" xfId="11921" xr:uid="{BC6EA5EE-CAC7-41C9-B86E-6639133479DA}"/>
    <cellStyle name="Calculation 14 5" xfId="14759" xr:uid="{5E0A4A1C-EE19-4289-880F-9666AD35E3CA}"/>
    <cellStyle name="Calculation 14 6" xfId="12440" xr:uid="{30A2D35C-13E2-49E1-99F2-B55A468B74BD}"/>
    <cellStyle name="Calculation 14 7" xfId="13887" xr:uid="{13C0F9BF-64BD-4099-A72A-1AAAC628C19F}"/>
    <cellStyle name="Calculation 14 8" xfId="16230" xr:uid="{7746DAD8-FE7B-40A9-827E-5BBB9CE1E0A0}"/>
    <cellStyle name="Calculation 14 9" xfId="17707" xr:uid="{ED55D534-B607-4417-87AA-918864DAD1DA}"/>
    <cellStyle name="Calculation 15" xfId="1432" xr:uid="{E7C58FAF-DF60-44E4-916F-DD3BEC658627}"/>
    <cellStyle name="Calculation 15 10" xfId="19233" xr:uid="{510E5827-5875-41CC-B4BE-68C2334AE3F7}"/>
    <cellStyle name="Calculation 15 11" xfId="19567" xr:uid="{0F348159-1655-4954-B4BF-391285FA221A}"/>
    <cellStyle name="Calculation 15 12" xfId="20566" xr:uid="{F4BE1230-6243-4E7D-A1EF-54981A8061D8}"/>
    <cellStyle name="Calculation 15 13" xfId="22049" xr:uid="{B4C4810D-F669-4C02-B34C-E027325BD3F2}"/>
    <cellStyle name="Calculation 15 14" xfId="18769" xr:uid="{0C513628-ED6C-4E1E-8A7A-36DC80D67E08}"/>
    <cellStyle name="Calculation 15 15" xfId="25396" xr:uid="{68567A89-56F1-4649-96DB-E0343EFE7F0E}"/>
    <cellStyle name="Calculation 15 16" xfId="26282" xr:uid="{82022A7C-7E58-497F-9E52-FFE3A0FBEDCF}"/>
    <cellStyle name="Calculation 15 17" xfId="24371" xr:uid="{4FFC3CE6-FD38-4845-A86C-2CB62DF2C434}"/>
    <cellStyle name="Calculation 15 18" xfId="28544" xr:uid="{C0D5A88D-CBC7-4B6D-B9A5-8E440F518FBD}"/>
    <cellStyle name="Calculation 15 19" xfId="27101" xr:uid="{F0A21C9F-39C5-4DB9-9AFF-1A9CACD56B25}"/>
    <cellStyle name="Calculation 15 2" xfId="9506" xr:uid="{9512DDF1-2074-426F-9B33-68C4A991351D}"/>
    <cellStyle name="Calculation 15 20" xfId="28372" xr:uid="{9D3C4747-0BC6-4E89-89E2-55DE8183DDC1}"/>
    <cellStyle name="Calculation 15 21" xfId="27777" xr:uid="{62A904E9-C683-4DBE-A1FA-F8C629C02707}"/>
    <cellStyle name="Calculation 15 22" xfId="29536" xr:uid="{A3D13F66-BD75-4B4D-A482-6EDAC11F1BDF}"/>
    <cellStyle name="Calculation 15 23" xfId="27735" xr:uid="{1A16D3B6-2D34-4CC4-8BE3-5792D3D6957B}"/>
    <cellStyle name="Calculation 15 24" xfId="28253" xr:uid="{C441EE87-1F4C-4884-A735-7F3630E46E80}"/>
    <cellStyle name="Calculation 15 25" xfId="27503" xr:uid="{4DA137D0-4764-428C-A08B-399437900B70}"/>
    <cellStyle name="Calculation 15 26" xfId="6159" xr:uid="{EE6735FA-9668-4F0E-8517-C6B67EF79B05}"/>
    <cellStyle name="Calculation 15 3" xfId="10101" xr:uid="{20F66104-38F3-4A4C-9CA7-97FAD760E4CA}"/>
    <cellStyle name="Calculation 15 4" xfId="11905" xr:uid="{49964B55-9F10-4E0D-8DAE-AACE5D1ACBC3}"/>
    <cellStyle name="Calculation 15 5" xfId="12199" xr:uid="{B28A59EE-167A-4123-849D-F2C08A054E2B}"/>
    <cellStyle name="Calculation 15 6" xfId="12439" xr:uid="{E3E0F0D1-5615-44FE-A750-718711815A1D}"/>
    <cellStyle name="Calculation 15 7" xfId="17308" xr:uid="{56B6A763-0801-41C9-A097-8177CECE57BC}"/>
    <cellStyle name="Calculation 15 8" xfId="18147" xr:uid="{AB8E31F6-97D0-42BF-AC39-D7C03D5933B2}"/>
    <cellStyle name="Calculation 15 9" xfId="21514" xr:uid="{A14D78AD-1315-4A09-BA80-90DCA91B39BE}"/>
    <cellStyle name="Calculation 16" xfId="1433" xr:uid="{863D891A-06B2-41E2-9DBD-51E7671B84F3}"/>
    <cellStyle name="Calculation 16 10" xfId="16052" xr:uid="{F37EB94E-99F7-442C-A04C-BC49C0792CF3}"/>
    <cellStyle name="Calculation 16 11" xfId="17024" xr:uid="{279002E7-E27C-4E47-8CA0-B961DB1A4A77}"/>
    <cellStyle name="Calculation 16 12" xfId="20567" xr:uid="{71412478-AAC1-4DB8-AAFD-6E59918D1AD5}"/>
    <cellStyle name="Calculation 16 13" xfId="21243" xr:uid="{286A8DA1-3BB9-4D12-8FD5-78CF4ACBFE04}"/>
    <cellStyle name="Calculation 16 14" xfId="24620" xr:uid="{3A7D5EA9-4FB9-44A1-9FB0-48F8DD797139}"/>
    <cellStyle name="Calculation 16 15" xfId="21117" xr:uid="{C32A6281-C8B1-40C9-8197-EDCF8E06FCE0}"/>
    <cellStyle name="Calculation 16 16" xfId="23405" xr:uid="{6ECAF7AB-EDFB-4968-8030-6045C2CA56B6}"/>
    <cellStyle name="Calculation 16 17" xfId="24316" xr:uid="{EFE296C6-162F-4BDC-8810-180455D5D85B}"/>
    <cellStyle name="Calculation 16 18" xfId="26092" xr:uid="{5E06C4AA-E2AE-4A83-8B3A-9988489D087A}"/>
    <cellStyle name="Calculation 16 19" xfId="28487" xr:uid="{365E176B-171C-464E-9DCD-44952594638F}"/>
    <cellStyle name="Calculation 16 2" xfId="9505" xr:uid="{B8F55A58-24D8-4A57-A8A6-6EDEDA44E64B}"/>
    <cellStyle name="Calculation 16 20" xfId="26052" xr:uid="{A5FA5122-E088-443C-8AB4-09D366919036}"/>
    <cellStyle name="Calculation 16 21" xfId="29854" xr:uid="{6A1C6830-D351-4CFE-866F-E33D4BBC4F53}"/>
    <cellStyle name="Calculation 16 22" xfId="27079" xr:uid="{12CDB9ED-4D0F-4F74-AEDF-81C626F6F899}"/>
    <cellStyle name="Calculation 16 23" xfId="29924" xr:uid="{2701C404-FC49-4A0B-8137-258D8A573B57}"/>
    <cellStyle name="Calculation 16 24" xfId="30259" xr:uid="{1608C444-C417-4F10-97E5-0DE0E092D4D8}"/>
    <cellStyle name="Calculation 16 25" xfId="28921" xr:uid="{455A4AC4-EECB-4C0C-ABA8-5EFADCF3647E}"/>
    <cellStyle name="Calculation 16 26" xfId="6160" xr:uid="{FB21F226-6B6F-420F-BDB6-4DB5716DA24E}"/>
    <cellStyle name="Calculation 16 3" xfId="10100" xr:uid="{5768C962-58FA-404E-9654-F4E5E5BC214E}"/>
    <cellStyle name="Calculation 16 4" xfId="11922" xr:uid="{50057933-7C04-467A-945F-7518104C0AF8}"/>
    <cellStyle name="Calculation 16 5" xfId="14760" xr:uid="{1CE22241-30E4-47A8-8A9A-4A56C9872633}"/>
    <cellStyle name="Calculation 16 6" xfId="14126" xr:uid="{6B3742D7-100F-47ED-A2F4-8EEA1B2A5D38}"/>
    <cellStyle name="Calculation 16 7" xfId="16041" xr:uid="{F8A87BFF-9420-4ACE-A1BB-59CA6233A07D}"/>
    <cellStyle name="Calculation 16 8" xfId="17676" xr:uid="{2BF15394-75CE-4284-8705-5FDA1D095451}"/>
    <cellStyle name="Calculation 16 9" xfId="19663" xr:uid="{A4AEAB37-DB69-41F3-891F-CA8576647343}"/>
    <cellStyle name="Calculation 17" xfId="1434" xr:uid="{56BA0497-5C47-4F36-B2DF-2682DF3F1862}"/>
    <cellStyle name="Calculation 17 10" xfId="17217" xr:uid="{EA783D0D-39CD-4220-919A-68C6B9D4AC67}"/>
    <cellStyle name="Calculation 17 11" xfId="21308" xr:uid="{A3278B3E-963E-4748-9AFC-DB36412CCB38}"/>
    <cellStyle name="Calculation 17 12" xfId="16861" xr:uid="{67F4BFAB-D66A-4738-9A04-835B17A9DE69}"/>
    <cellStyle name="Calculation 17 13" xfId="20182" xr:uid="{73F8E3C5-753F-4A3F-B74C-53DB77EB6336}"/>
    <cellStyle name="Calculation 17 14" xfId="22821" xr:uid="{F922D391-EF5B-4C64-997C-A585D6CDF9AF}"/>
    <cellStyle name="Calculation 17 15" xfId="21964" xr:uid="{E8E6CE0B-68F0-479B-A86F-6D4E50EEF784}"/>
    <cellStyle name="Calculation 17 16" xfId="26283" xr:uid="{A49AF6C2-8385-4D41-8FAF-D6E696A7C6E0}"/>
    <cellStyle name="Calculation 17 17" xfId="23616" xr:uid="{42C0805F-5456-4CFE-AC65-DB10B67ADD5A}"/>
    <cellStyle name="Calculation 17 18" xfId="28545" xr:uid="{90671BFD-68E0-4970-8E7C-3E1C09259C7A}"/>
    <cellStyle name="Calculation 17 19" xfId="25635" xr:uid="{18D32317-8F14-4850-9D15-1110F1AFBCD2}"/>
    <cellStyle name="Calculation 17 2" xfId="9504" xr:uid="{85271EEF-628A-483B-816E-E7D141FDD054}"/>
    <cellStyle name="Calculation 17 20" xfId="28043" xr:uid="{DAEBFCCA-995B-4527-9450-DD16FE4FEC50}"/>
    <cellStyle name="Calculation 17 21" xfId="25977" xr:uid="{721CEB0D-B926-41F7-B984-5F4A65AF975A}"/>
    <cellStyle name="Calculation 17 22" xfId="28443" xr:uid="{866BBBAE-1608-4905-A365-4ECB3A809B8F}"/>
    <cellStyle name="Calculation 17 23" xfId="27763" xr:uid="{45BF6697-5A0F-4E7F-B79D-3C0EE9F3C2B6}"/>
    <cellStyle name="Calculation 17 24" xfId="30013" xr:uid="{0CE2C5CB-08EA-422A-8238-95DCF62784FB}"/>
    <cellStyle name="Calculation 17 25" xfId="29926" xr:uid="{72904559-2746-4F01-9A52-48980A92342C}"/>
    <cellStyle name="Calculation 17 26" xfId="6161" xr:uid="{04D20C08-7D1E-4CC9-841C-06B369E7928B}"/>
    <cellStyle name="Calculation 17 3" xfId="10099" xr:uid="{BC02D7EA-0835-46BF-A2CF-634C79061BB6}"/>
    <cellStyle name="Calculation 17 4" xfId="7510" xr:uid="{4C63FD65-DAB3-4102-82B3-F00E19F9B8BF}"/>
    <cellStyle name="Calculation 17 5" xfId="12197" xr:uid="{B7E3236B-3F0F-4666-8284-2677C4F8CF49}"/>
    <cellStyle name="Calculation 17 6" xfId="12438" xr:uid="{B7B9B82F-D476-4079-A985-1987BB228E94}"/>
    <cellStyle name="Calculation 17 7" xfId="18482" xr:uid="{F239BACD-79EC-4195-A378-239B2A9B73A5}"/>
    <cellStyle name="Calculation 17 8" xfId="18148" xr:uid="{D2D7A45E-A180-43BE-9AE1-7BACA7835C69}"/>
    <cellStyle name="Calculation 17 9" xfId="21515" xr:uid="{7AFCCAF2-3D75-452E-B2C8-BEF72547D7E9}"/>
    <cellStyle name="Calculation 18" xfId="1435" xr:uid="{0A42F7A5-D9A9-4333-B644-B0FD29007FA4}"/>
    <cellStyle name="Calculation 18 10" xfId="19234" xr:uid="{7418B26A-1992-41CF-AC82-BC64D6664BBB}"/>
    <cellStyle name="Calculation 18 11" xfId="19568" xr:uid="{BB234486-2EF1-4DA6-8430-18794D737BA4}"/>
    <cellStyle name="Calculation 18 12" xfId="20568" xr:uid="{96240614-48ED-43DF-93BB-ADF241D6AB80}"/>
    <cellStyle name="Calculation 18 13" xfId="19387" xr:uid="{50A36100-F6FD-4EE8-8316-624FE5278737}"/>
    <cellStyle name="Calculation 18 14" xfId="24621" xr:uid="{DCA0BE46-EE28-4C80-B3EC-A873D3428C4C}"/>
    <cellStyle name="Calculation 18 15" xfId="24464" xr:uid="{5A9ED908-CA33-4F67-9934-39D3311C730F}"/>
    <cellStyle name="Calculation 18 16" xfId="23848" xr:uid="{F06109F7-4C62-4F8C-A5F1-7B4529645A73}"/>
    <cellStyle name="Calculation 18 17" xfId="25556" xr:uid="{8B746F98-C09E-40F5-B683-8E7DFE81D109}"/>
    <cellStyle name="Calculation 18 18" xfId="27128" xr:uid="{B865C938-2923-470E-8664-C77052EB67E6}"/>
    <cellStyle name="Calculation 18 19" xfId="28488" xr:uid="{EB95BAD7-71CB-4FA5-BEB5-C8C4ED0687A7}"/>
    <cellStyle name="Calculation 18 2" xfId="9503" xr:uid="{75C23047-EF27-4940-91B7-1B390846AC2F}"/>
    <cellStyle name="Calculation 18 20" xfId="27049" xr:uid="{888142BA-0034-4FDC-8604-8FEC895DCD20}"/>
    <cellStyle name="Calculation 18 21" xfId="25242" xr:uid="{B6A2FD78-CC62-488E-AE7C-92F53D735B8A}"/>
    <cellStyle name="Calculation 18 22" xfId="29323" xr:uid="{A0ADD255-6D60-4104-9A59-9783EA7423C6}"/>
    <cellStyle name="Calculation 18 23" xfId="29631" xr:uid="{158EBCF8-39A3-46D0-B58B-D093D4DD919A}"/>
    <cellStyle name="Calculation 18 24" xfId="30260" xr:uid="{A04E169F-A2C2-4D43-8EF4-AEBF1CBA4E75}"/>
    <cellStyle name="Calculation 18 25" xfId="29628" xr:uid="{DA5C4276-CCC0-41AE-A7E4-D3700040BBAA}"/>
    <cellStyle name="Calculation 18 26" xfId="6162" xr:uid="{09B44830-6C07-42FA-9B01-BE0C7FC856A4}"/>
    <cellStyle name="Calculation 18 3" xfId="10098" xr:uid="{BD820BA8-015A-46BC-AD9C-A35799CFEFC2}"/>
    <cellStyle name="Calculation 18 4" xfId="11923" xr:uid="{E7242D4F-0063-4C04-BBB0-E239C4EAC7C6}"/>
    <cellStyle name="Calculation 18 5" xfId="14761" xr:uid="{FED05213-F570-41D5-9996-C70AA96391A1}"/>
    <cellStyle name="Calculation 18 6" xfId="14127" xr:uid="{6685CBD9-A98F-4D2F-8346-90BA9E0B1FAE}"/>
    <cellStyle name="Calculation 18 7" xfId="17309" xr:uid="{B09379D9-1748-4047-9243-215CD9F04DE2}"/>
    <cellStyle name="Calculation 18 8" xfId="12627" xr:uid="{E6E34D3A-A443-4936-B8C8-D7BB193DA5FA}"/>
    <cellStyle name="Calculation 18 9" xfId="13605" xr:uid="{C49BD542-DC91-4AE5-997E-214598565858}"/>
    <cellStyle name="Calculation 19" xfId="1436" xr:uid="{AE55C052-3EB9-4DC9-9E8D-189F35297CC4}"/>
    <cellStyle name="Calculation 19 10" xfId="19235" xr:uid="{33A866FB-283D-4057-A2A3-5C5647C3915D}"/>
    <cellStyle name="Calculation 19 11" xfId="21309" xr:uid="{C8D46D41-D51D-477A-AB0C-CCE5A90822DF}"/>
    <cellStyle name="Calculation 19 12" xfId="18860" xr:uid="{484C8EB8-37F8-4F33-846C-75D69AB918D8}"/>
    <cellStyle name="Calculation 19 13" xfId="17882" xr:uid="{E91A5513-E9FD-424A-85EB-EB10B3C65AC4}"/>
    <cellStyle name="Calculation 19 14" xfId="22309" xr:uid="{53ACBD43-D3B7-4570-9287-238977C28E91}"/>
    <cellStyle name="Calculation 19 15" xfId="25395" xr:uid="{DBB55361-299E-4814-88C2-88C56998C1E3}"/>
    <cellStyle name="Calculation 19 16" xfId="26284" xr:uid="{0FEB8F43-0413-44B4-A134-E35B1367314F}"/>
    <cellStyle name="Calculation 19 17" xfId="25479" xr:uid="{0A1DB8DF-4D19-42D2-B66F-8AA93693F1AE}"/>
    <cellStyle name="Calculation 19 18" xfId="28546" xr:uid="{99352D37-C1D9-49C4-A88E-DD5F0F264117}"/>
    <cellStyle name="Calculation 19 19" xfId="27102" xr:uid="{7CE8960C-8147-4742-998D-BADFB3A9CA64}"/>
    <cellStyle name="Calculation 19 2" xfId="9502" xr:uid="{80A76B4C-86F4-4CB6-A6AA-D6AD9BD46C04}"/>
    <cellStyle name="Calculation 19 20" xfId="28373" xr:uid="{32D2598E-0558-4C89-A930-05C8F107724C}"/>
    <cellStyle name="Calculation 19 21" xfId="27778" xr:uid="{FF49F902-A773-4D5E-A1E1-429B3B1BC2A8}"/>
    <cellStyle name="Calculation 19 22" xfId="26069" xr:uid="{7D855A85-DDE4-4390-8973-979E7AACB852}"/>
    <cellStyle name="Calculation 19 23" xfId="29931" xr:uid="{91F5FA59-B67C-4C91-8A5F-253F63854A9D}"/>
    <cellStyle name="Calculation 19 24" xfId="28251" xr:uid="{09EA7CA1-14FF-4DC4-B45C-9BD60EE898B1}"/>
    <cellStyle name="Calculation 19 25" xfId="25983" xr:uid="{6D33062D-7A66-4A67-801C-4694D6372FDA}"/>
    <cellStyle name="Calculation 19 26" xfId="6163" xr:uid="{EEF2CD5C-FC01-4044-8228-ED831B16D847}"/>
    <cellStyle name="Calculation 19 3" xfId="10097" xr:uid="{DED14554-BA77-4A0B-9DB5-7503F404E228}"/>
    <cellStyle name="Calculation 19 4" xfId="7511" xr:uid="{9A591CAB-B74D-4200-8DB0-079BAECA8562}"/>
    <cellStyle name="Calculation 19 5" xfId="12196" xr:uid="{3C0DB62B-28B6-415B-B094-C977EF7366BC}"/>
    <cellStyle name="Calculation 19 6" xfId="13471" xr:uid="{65DBE601-895D-45FD-AF55-706F44838635}"/>
    <cellStyle name="Calculation 19 7" xfId="15660" xr:uid="{0AB21F03-C98E-4A64-B600-3393843FF5B1}"/>
    <cellStyle name="Calculation 19 8" xfId="18149" xr:uid="{EFCA3229-B694-427E-856E-FEFD9898BB14}"/>
    <cellStyle name="Calculation 19 9" xfId="21516" xr:uid="{E2949717-7BB3-4D37-AF8C-D8D0B4F2212B}"/>
    <cellStyle name="Calculation 2" xfId="28" xr:uid="{00000000-0005-0000-0000-00001C000000}"/>
    <cellStyle name="Calculation 2 10" xfId="19664" xr:uid="{383EFB58-33CB-4ADC-B286-735D757D4376}"/>
    <cellStyle name="Calculation 2 11" xfId="17218" xr:uid="{3CF18B54-53DB-4136-BC31-D8095614B4C3}"/>
    <cellStyle name="Calculation 2 12" xfId="17023" xr:uid="{EF142821-73E5-43DB-9C45-55A3DE377281}"/>
    <cellStyle name="Calculation 2 13" xfId="20569" xr:uid="{6532EBD9-50FD-4B81-930D-5D37E5699D53}"/>
    <cellStyle name="Calculation 2 14" xfId="22048" xr:uid="{E38D1F34-A04F-45F6-B4D0-623175667DB4}"/>
    <cellStyle name="Calculation 2 15" xfId="24622" xr:uid="{3B89C13A-AA96-44C4-8C2F-AE1355E061C5}"/>
    <cellStyle name="Calculation 2 16" xfId="22259" xr:uid="{AE381763-13A1-4636-A933-1511882DE7CE}"/>
    <cellStyle name="Calculation 2 17" xfId="22602" xr:uid="{58A47B04-05C5-485D-AABF-711FA22BB750}"/>
    <cellStyle name="Calculation 2 18" xfId="24372" xr:uid="{32B6637B-9A95-4973-B930-368A36D58A30}"/>
    <cellStyle name="Calculation 2 19" xfId="22625" xr:uid="{FD762FC0-E360-4908-A59D-D48604D1A4EB}"/>
    <cellStyle name="Calculation 2 2" xfId="1437" xr:uid="{74C0BF0C-A3AC-4606-A96E-5318E5334FD0}"/>
    <cellStyle name="Calculation 2 2 10" xfId="19236" xr:uid="{D647618A-DD05-4282-B629-A2AD5308BCCA}"/>
    <cellStyle name="Calculation 2 2 11" xfId="21310" xr:uid="{F86A5878-E3F7-4129-B917-A3A218E96A9F}"/>
    <cellStyle name="Calculation 2 2 12" xfId="16123" xr:uid="{B3B45484-2DED-4466-A23D-A16E37663651}"/>
    <cellStyle name="Calculation 2 2 13" xfId="21244" xr:uid="{1E16CF02-8DB1-49EE-8704-6681BA7430AD}"/>
    <cellStyle name="Calculation 2 2 14" xfId="24623" xr:uid="{BDB3F80C-97C6-4F44-8110-2E72C835CAA2}"/>
    <cellStyle name="Calculation 2 2 15" xfId="23425" xr:uid="{7927A1A4-68A9-4E67-B38C-DA33359EC425}"/>
    <cellStyle name="Calculation 2 2 16" xfId="20284" xr:uid="{97920B0F-9283-441A-A4B0-7567F56D1204}"/>
    <cellStyle name="Calculation 2 2 17" xfId="24311" xr:uid="{85A10F94-DD22-4116-83BA-1F5F087BF0C1}"/>
    <cellStyle name="Calculation 2 2 18" xfId="28547" xr:uid="{DE62EACA-4C93-44A7-9CD8-3FCBA6AA0F69}"/>
    <cellStyle name="Calculation 2 2 19" xfId="29308" xr:uid="{41B88FB9-50D5-44D2-97DE-C7E58AEBA907}"/>
    <cellStyle name="Calculation 2 2 2" xfId="9500" xr:uid="{EA13E670-6871-4E32-AE63-81639A53C4EB}"/>
    <cellStyle name="Calculation 2 2 20" xfId="28374" xr:uid="{5EBE22EE-F807-404F-AE81-D2ABC24733AC}"/>
    <cellStyle name="Calculation 2 2 21" xfId="25840" xr:uid="{386B1A9D-499D-4292-885F-2E61D12F757F}"/>
    <cellStyle name="Calculation 2 2 22" xfId="27080" xr:uid="{A3BE49AE-B335-4095-B77F-E40B1E34022F}"/>
    <cellStyle name="Calculation 2 2 23" xfId="23643" xr:uid="{7984898B-6C4A-4D96-8D34-8CD5447F8EC3}"/>
    <cellStyle name="Calculation 2 2 24" xfId="30261" xr:uid="{E473A59E-D7F1-4756-A82E-289D01E67E93}"/>
    <cellStyle name="Calculation 2 2 25" xfId="29927" xr:uid="{E08C520F-D68C-4EB5-ABB2-8CBD3C37BC4E}"/>
    <cellStyle name="Calculation 2 2 26" xfId="6165" xr:uid="{72AFF8E2-02CC-47FB-AB9D-01D9CB1F69FE}"/>
    <cellStyle name="Calculation 2 2 3" xfId="10095" xr:uid="{A48D5A3D-5C29-477A-9968-6AE7865B912F}"/>
    <cellStyle name="Calculation 2 2 4" xfId="7512" xr:uid="{97A8BCA2-FD4E-4E8F-821E-CFAC381EFCD2}"/>
    <cellStyle name="Calculation 2 2 5" xfId="12194" xr:uid="{9837E3B2-1D48-4F39-9812-557ED6447D96}"/>
    <cellStyle name="Calculation 2 2 6" xfId="12436" xr:uid="{4F719290-189D-4810-A777-45C06552BF27}"/>
    <cellStyle name="Calculation 2 2 7" xfId="17831" xr:uid="{396D83A3-FD6D-4295-91C7-05008A44E653}"/>
    <cellStyle name="Calculation 2 2 8" xfId="18150" xr:uid="{04A9813D-8FA0-470C-8929-C04B7F4B98D4}"/>
    <cellStyle name="Calculation 2 2 9" xfId="21517" xr:uid="{20975B95-9E00-4242-8B93-D23EA00340B7}"/>
    <cellStyle name="Calculation 2 20" xfId="28489" xr:uid="{4C14A14D-7E3A-4DA8-9A26-4401CB4FCD98}"/>
    <cellStyle name="Calculation 2 21" xfId="25621" xr:uid="{71CF01E7-FA9E-404D-8881-66DAF0FEE078}"/>
    <cellStyle name="Calculation 2 22" xfId="28924" xr:uid="{E7108FB9-DCF4-41B9-9FEE-89EC952680EC}"/>
    <cellStyle name="Calculation 2 23" xfId="28444" xr:uid="{48FCDFE6-B6E0-4DEB-ACC0-DD0237F81B7B}"/>
    <cellStyle name="Calculation 2 24" xfId="29841" xr:uid="{1C4C6F03-DF27-4D4E-91DD-1AF769DB893F}"/>
    <cellStyle name="Calculation 2 25" xfId="28127" xr:uid="{BDE81A8B-8C94-4EE1-8C41-0B50B2F6F429}"/>
    <cellStyle name="Calculation 2 26" xfId="29838" xr:uid="{9721593B-E9F3-471C-87D4-441063A23338}"/>
    <cellStyle name="Calculation 2 27" xfId="6164" xr:uid="{7365D31D-7114-41D2-8BD5-8137C0583136}"/>
    <cellStyle name="Calculation 2 3" xfId="9501" xr:uid="{E8ED7D6C-C588-48FA-BAF2-83FAD075AE5E}"/>
    <cellStyle name="Calculation 2 4" xfId="10096" xr:uid="{7C645C9A-641A-4FD0-A345-571998DEEEBB}"/>
    <cellStyle name="Calculation 2 5" xfId="11924" xr:uid="{1760580D-1B18-4962-9844-C7476FFD7734}"/>
    <cellStyle name="Calculation 2 6" xfId="14762" xr:uid="{7A06078C-64E4-46EB-9FD6-CE4A3D1B3CB8}"/>
    <cellStyle name="Calculation 2 7" xfId="12437" xr:uid="{F6EF4D3C-2068-426F-8ED7-7B01916CC6D2}"/>
    <cellStyle name="Calculation 2 8" xfId="17310" xr:uid="{21F982A6-1B44-4F7D-82BC-6F966CDDFBE1}"/>
    <cellStyle name="Calculation 2 9" xfId="16231" xr:uid="{417475B8-F924-4134-80DE-B6E3E53596A6}"/>
    <cellStyle name="Calculation 20" xfId="1438" xr:uid="{B6CFEAD4-F8B3-4490-B7E6-19314570E184}"/>
    <cellStyle name="Calculation 20 10" xfId="16814" xr:uid="{C4D97D48-EF9D-4F03-8CF6-94D645766F74}"/>
    <cellStyle name="Calculation 20 11" xfId="22550" xr:uid="{EB7497DC-1557-4FF3-B30E-60D058F6586D}"/>
    <cellStyle name="Calculation 20 12" xfId="20570" xr:uid="{CC9E28DE-2D0E-462F-A342-5D3B599720AA}"/>
    <cellStyle name="Calculation 20 13" xfId="18622" xr:uid="{B1A05DA8-5953-418A-8232-0EB50D142FC6}"/>
    <cellStyle name="Calculation 20 14" xfId="18546" xr:uid="{1F6E863D-DC04-40FA-9D02-ECF5AC08C9C5}"/>
    <cellStyle name="Calculation 20 15" xfId="24465" xr:uid="{FFE9977E-7929-4AC7-8FF5-17D6B8F774F9}"/>
    <cellStyle name="Calculation 20 16" xfId="26285" xr:uid="{BA219E9F-48BE-4967-B181-BC1E94C0F504}"/>
    <cellStyle name="Calculation 20 17" xfId="23684" xr:uid="{FE644973-9660-4BC1-82A5-435523355B68}"/>
    <cellStyle name="Calculation 20 18" xfId="27129" xr:uid="{79D78EBF-C0BC-47EA-BD2F-BA4CABE63EF7}"/>
    <cellStyle name="Calculation 20 19" xfId="26080" xr:uid="{6C46DE0B-28AC-42D4-B8D4-CADB46B3C20B}"/>
    <cellStyle name="Calculation 20 2" xfId="9499" xr:uid="{67A7372C-8FF8-4A9E-B507-64588AA83FE2}"/>
    <cellStyle name="Calculation 20 20" xfId="27050" xr:uid="{3DFDF228-D4B3-4CFF-9189-30A8100401DB}"/>
    <cellStyle name="Calculation 20 21" xfId="30034" xr:uid="{B9147F0C-D025-4957-B898-28D11A38E0F1}"/>
    <cellStyle name="Calculation 20 22" xfId="28445" xr:uid="{4081E936-C5B1-4F65-993F-C0C6D518836C}"/>
    <cellStyle name="Calculation 20 23" xfId="26455" xr:uid="{83D4EA4F-367F-4649-BDA0-EDF504A2B727}"/>
    <cellStyle name="Calculation 20 24" xfId="29027" xr:uid="{2DE51E4C-DD68-4D4A-8059-2FA34DBE7BE3}"/>
    <cellStyle name="Calculation 20 25" xfId="26014" xr:uid="{C4E3E9F7-6631-4511-851F-E1C012BE55B8}"/>
    <cellStyle name="Calculation 20 26" xfId="6166" xr:uid="{13410126-C646-4B9F-84DF-148EDEB26448}"/>
    <cellStyle name="Calculation 20 3" xfId="10094" xr:uid="{3C9625FA-48E7-458C-B583-B84166159B35}"/>
    <cellStyle name="Calculation 20 4" xfId="7513" xr:uid="{1DFA64E4-8F3C-472C-B2EC-9B7A6F491B99}"/>
    <cellStyle name="Calculation 20 5" xfId="14763" xr:uid="{18DFCD33-6805-46A6-9B77-1E5ACB589AC9}"/>
    <cellStyle name="Calculation 20 6" xfId="14128" xr:uid="{6DB95BD5-5563-4D1C-A1D2-DC6F49367706}"/>
    <cellStyle name="Calculation 20 7" xfId="18479" xr:uid="{66BE183D-A5BA-4C28-AF32-B39E2FA7D21B}"/>
    <cellStyle name="Calculation 20 8" xfId="16223" xr:uid="{0C4F9669-AB20-48A6-8E7E-DA48862A2B92}"/>
    <cellStyle name="Calculation 20 9" xfId="17706" xr:uid="{1DEA054B-B068-4352-BA48-B442E7A5C3AC}"/>
    <cellStyle name="Calculation 21" xfId="1439" xr:uid="{7D5FDC83-EA26-416A-91F3-C88B5EDFD6C7}"/>
    <cellStyle name="Calculation 21 10" xfId="19237" xr:uid="{D0FEE214-37B3-45AF-8A6E-60F9A4A2B899}"/>
    <cellStyle name="Calculation 21 11" xfId="19569" xr:uid="{3FCCDF95-9B9F-42F2-A93C-1CD67F36949E}"/>
    <cellStyle name="Calculation 21 12" xfId="18861" xr:uid="{B4B1EFA1-0989-4ABD-B3CF-FD79CB6A4407}"/>
    <cellStyle name="Calculation 21 13" xfId="19537" xr:uid="{01B365E4-A42B-4690-95A7-65B33A03CA2E}"/>
    <cellStyle name="Calculation 21 14" xfId="24624" xr:uid="{1B81275E-85AF-403A-BC49-1CDA26E3DC58}"/>
    <cellStyle name="Calculation 21 15" xfId="25394" xr:uid="{8F8CCB2C-0B96-4A99-B680-9948D671515A}"/>
    <cellStyle name="Calculation 21 16" xfId="23849" xr:uid="{BB06C8B4-68F7-483D-AD8D-F75211642DFB}"/>
    <cellStyle name="Calculation 21 17" xfId="24373" xr:uid="{70AB40F3-B72F-448A-853F-25A1E854B96F}"/>
    <cellStyle name="Calculation 21 18" xfId="28548" xr:uid="{639343C3-F4C4-45F7-ABCC-F5407906554C}"/>
    <cellStyle name="Calculation 21 19" xfId="28490" xr:uid="{F7BE5306-3F04-4319-9941-7912F3F56B0B}"/>
    <cellStyle name="Calculation 21 2" xfId="9498" xr:uid="{AB2B0F58-D038-4DA4-8431-AD9ABF4917BA}"/>
    <cellStyle name="Calculation 21 20" xfId="29558" xr:uid="{C250EFE1-D74A-4E09-A014-433A76FF445C}"/>
    <cellStyle name="Calculation 21 21" xfId="27779" xr:uid="{E9E9B3D6-160D-4DD8-BAC6-1808460B3BA0}"/>
    <cellStyle name="Calculation 21 22" xfId="21909" xr:uid="{42194560-D8AA-46A5-BC57-F5FAF03D69F6}"/>
    <cellStyle name="Calculation 21 23" xfId="29932" xr:uid="{3C2D8D9A-9768-4F3B-A604-22C1AA60D92C}"/>
    <cellStyle name="Calculation 21 24" xfId="30262" xr:uid="{F455AFB3-2C91-46B0-9628-9683C40FC1C3}"/>
    <cellStyle name="Calculation 21 25" xfId="25841" xr:uid="{21B89AAE-4C39-4CF4-9E4B-C383B0D3D322}"/>
    <cellStyle name="Calculation 21 26" xfId="6167" xr:uid="{51940F3B-4119-4940-A855-D7882B7E8D7D}"/>
    <cellStyle name="Calculation 21 3" xfId="10093" xr:uid="{DCD99A02-48F2-49DC-95AE-9556D1030DFE}"/>
    <cellStyle name="Calculation 21 4" xfId="11926" xr:uid="{2709A0FD-54B5-4CEC-A51F-DFBBD4A39994}"/>
    <cellStyle name="Calculation 21 5" xfId="15989" xr:uid="{62B366F8-C38A-4C4B-AD55-81093631DF95}"/>
    <cellStyle name="Calculation 21 6" xfId="13470" xr:uid="{0D47CBFA-B572-4056-AD8B-C292805F8952}"/>
    <cellStyle name="Calculation 21 7" xfId="14518" xr:uid="{685B2D34-EBBB-4087-A814-6BFE3EAAAFB1}"/>
    <cellStyle name="Calculation 21 8" xfId="15775" xr:uid="{919D7BFE-65C0-4BB2-AC68-DFF039392572}"/>
    <cellStyle name="Calculation 21 9" xfId="21518" xr:uid="{FC79878E-F5FA-4413-9815-F8C578877646}"/>
    <cellStyle name="Calculation 22" xfId="1440" xr:uid="{A8140064-39A7-4580-B102-43AD81A62CA4}"/>
    <cellStyle name="Calculation 22 10" xfId="17219" xr:uid="{C17E9FC1-8175-49CF-8973-FEDB55F2549B}"/>
    <cellStyle name="Calculation 22 11" xfId="21311" xr:uid="{86B6CB92-5992-42C8-A126-1E99E7042859}"/>
    <cellStyle name="Calculation 22 12" xfId="20571" xr:uid="{025018C9-9BE1-4145-8B68-E544D5044A19}"/>
    <cellStyle name="Calculation 22 13" xfId="22047" xr:uid="{5F9228A2-7341-4A32-B1EC-BF594BFD26C2}"/>
    <cellStyle name="Calculation 22 14" xfId="22823" xr:uid="{96F97623-2CF6-482D-9D70-E69C879F8395}"/>
    <cellStyle name="Calculation 22 15" xfId="21859" xr:uid="{5168F5CC-9E4C-48E1-A3E9-94056FCA0096}"/>
    <cellStyle name="Calculation 22 16" xfId="26286" xr:uid="{1F76C6BD-DD65-40C8-8B83-2A6E7F936992}"/>
    <cellStyle name="Calculation 22 17" xfId="23615" xr:uid="{4B958AFC-41AA-49CA-AD15-4753169C3C58}"/>
    <cellStyle name="Calculation 22 18" xfId="26093" xr:uid="{5E7E2511-2A61-4535-AAB7-6ABF25E5FEC8}"/>
    <cellStyle name="Calculation 22 19" xfId="28034" xr:uid="{F703953B-0C1E-4671-8712-F7E845BF803A}"/>
    <cellStyle name="Calculation 22 2" xfId="9497" xr:uid="{C1D4616D-BF06-4F94-81C1-013F12A7B3B3}"/>
    <cellStyle name="Calculation 22 20" xfId="28375" xr:uid="{D341179D-0199-4414-84B1-982F83CA8192}"/>
    <cellStyle name="Calculation 22 21" xfId="29855" xr:uid="{A412C059-2941-4A2F-90D8-E8902C297DFF}"/>
    <cellStyle name="Calculation 22 22" xfId="28446" xr:uid="{0BED8CBD-75C6-4276-A9CE-DEC7AE6EE4D8}"/>
    <cellStyle name="Calculation 22 23" xfId="28922" xr:uid="{2222F816-75A9-4BD6-9086-7CB750A21BD6}"/>
    <cellStyle name="Calculation 22 24" xfId="28206" xr:uid="{EE9BAB11-7160-4E2F-BF49-0E44892C6C4E}"/>
    <cellStyle name="Calculation 22 25" xfId="25849" xr:uid="{55441A39-96A2-4C3A-9B0F-50A7C696A32B}"/>
    <cellStyle name="Calculation 22 26" xfId="6168" xr:uid="{9EE0037F-D290-4CA0-918B-80B4DCE4FBD5}"/>
    <cellStyle name="Calculation 22 3" xfId="10092" xr:uid="{5F48C6CD-5322-4617-B7F3-CD0EB30B0701}"/>
    <cellStyle name="Calculation 22 4" xfId="7514" xr:uid="{2500E8F5-0B80-48FC-AAF8-0363A5FE67C2}"/>
    <cellStyle name="Calculation 22 5" xfId="12195" xr:uid="{E3A656AC-9CFB-4C77-AB6F-97C708665003}"/>
    <cellStyle name="Calculation 22 6" xfId="14129" xr:uid="{D72E3F42-4A6A-497D-B18F-3E80009225D1}"/>
    <cellStyle name="Calculation 22 7" xfId="17311" xr:uid="{875D6805-D1B7-43AB-9D8B-AF3B76AA4BDD}"/>
    <cellStyle name="Calculation 22 8" xfId="18151" xr:uid="{CB9D3AD7-1448-4A05-B5FB-ACD8DF2AE540}"/>
    <cellStyle name="Calculation 22 9" xfId="19665" xr:uid="{39FD8162-FBF3-4F60-8CDE-1C56D3F4C390}"/>
    <cellStyle name="Calculation 23" xfId="1441" xr:uid="{81D259FD-B250-4CA6-9591-2AAAB4FEB865}"/>
    <cellStyle name="Calculation 23 10" xfId="19238" xr:uid="{6E56202B-4CE6-4756-8F0E-ADAE6CD84557}"/>
    <cellStyle name="Calculation 23 11" xfId="22551" xr:uid="{4A312212-5FC1-434C-A535-B0BB8B58AE3F}"/>
    <cellStyle name="Calculation 23 12" xfId="16860" xr:uid="{DA906F7C-4C4E-483B-A83C-860171B6634D}"/>
    <cellStyle name="Calculation 23 13" xfId="20183" xr:uid="{8D56AF16-91D2-493F-95D0-18C92ED13942}"/>
    <cellStyle name="Calculation 23 14" xfId="24625" xr:uid="{8E2F424E-A3D3-45D1-9F41-B065142EA444}"/>
    <cellStyle name="Calculation 23 15" xfId="22683" xr:uid="{8E270EC9-04BC-4C45-8C6E-506B8E4BB7E2}"/>
    <cellStyle name="Calculation 23 16" xfId="15420" xr:uid="{E905577B-D171-4B9C-8C92-0A0DC6934F52}"/>
    <cellStyle name="Calculation 23 17" xfId="25555" xr:uid="{761E883B-1019-43C3-8336-A5F5FB6F664B}"/>
    <cellStyle name="Calculation 23 18" xfId="28549" xr:uid="{A5C3B80F-8400-4BEF-8B66-915D012B361B}"/>
    <cellStyle name="Calculation 23 19" xfId="28491" xr:uid="{0BC8F83B-A3A5-4898-9D86-9B2053A486BF}"/>
    <cellStyle name="Calculation 23 2" xfId="9496" xr:uid="{EE1367F8-2F8F-434B-AF21-05CEF451087B}"/>
    <cellStyle name="Calculation 23 20" xfId="26053" xr:uid="{5CA97A48-5621-4122-97B7-7F888445F910}"/>
    <cellStyle name="Calculation 23 21" xfId="29382" xr:uid="{7E346A68-3423-4319-8080-E5C2051B7F4D}"/>
    <cellStyle name="Calculation 23 22" xfId="27081" xr:uid="{937F4C68-06A6-4BD3-8A37-1F6E81C0B8EE}"/>
    <cellStyle name="Calculation 23 23" xfId="27764" xr:uid="{98D197F4-5F3C-4747-B2E6-6000033FCDFE}"/>
    <cellStyle name="Calculation 23 24" xfId="30263" xr:uid="{F393111E-1C12-421E-B17E-6985B86F18B1}"/>
    <cellStyle name="Calculation 23 25" xfId="28865" xr:uid="{1E94DB27-2C37-4369-83DE-EE5AEE8E902D}"/>
    <cellStyle name="Calculation 23 26" xfId="6169" xr:uid="{EC675A35-B5F0-4787-B9AA-BF2CA69D5237}"/>
    <cellStyle name="Calculation 23 3" xfId="10091" xr:uid="{A47B42E6-5F6D-46CA-93D5-692A4B02FC17}"/>
    <cellStyle name="Calculation 23 4" xfId="11927" xr:uid="{F5803288-32E6-44B9-8ACE-1B2B477E33AA}"/>
    <cellStyle name="Calculation 23 5" xfId="14764" xr:uid="{E20EA08D-BF06-4E78-9766-A02402AF6156}"/>
    <cellStyle name="Calculation 23 6" xfId="12435" xr:uid="{075D45E8-88AA-4081-B837-8CD01AEBB6B2}"/>
    <cellStyle name="Calculation 23 7" xfId="12682" xr:uid="{CACD6911-DA1A-49E5-9C6F-9BC5DBEB46BB}"/>
    <cellStyle name="Calculation 23 8" xfId="16232" xr:uid="{E655C6D6-1B70-4A51-B9D7-B72856E5B9B1}"/>
    <cellStyle name="Calculation 23 9" xfId="21519" xr:uid="{F10A435B-6C1F-442B-88A1-5297F908F894}"/>
    <cellStyle name="Calculation 24" xfId="1442" xr:uid="{68C92CA4-FAAD-429B-A214-B5E26BE576AE}"/>
    <cellStyle name="Calculation 24 10" xfId="17220" xr:uid="{8BB7D40F-6205-4C54-9FE7-9ED6A66C6384}"/>
    <cellStyle name="Calculation 24 11" xfId="17022" xr:uid="{E9C49C9F-4010-47FF-A23F-A17A81238C2D}"/>
    <cellStyle name="Calculation 24 12" xfId="20572" xr:uid="{8BA5723F-B384-4682-B167-B268D8518A5B}"/>
    <cellStyle name="Calculation 24 13" xfId="17795" xr:uid="{7ECD407B-92A4-4768-B4A6-F7E09E28E599}"/>
    <cellStyle name="Calculation 24 14" xfId="20255" xr:uid="{456AB443-5A38-487C-A429-544A3A6FF32F}"/>
    <cellStyle name="Calculation 24 15" xfId="25928" xr:uid="{5D5F578A-D06B-4148-9FA0-909A572D8EF3}"/>
    <cellStyle name="Calculation 24 16" xfId="23850" xr:uid="{A27DDF31-37B4-409C-BEAF-60807035CDCF}"/>
    <cellStyle name="Calculation 24 17" xfId="25478" xr:uid="{25E22000-1698-4183-9107-AE8D509E120B}"/>
    <cellStyle name="Calculation 24 18" xfId="27130" xr:uid="{8A05FD87-4495-4402-9BA1-089B5971BDBC}"/>
    <cellStyle name="Calculation 24 19" xfId="27103" xr:uid="{BA8A6849-1B8B-4306-BEAE-679875AD5BE4}"/>
    <cellStyle name="Calculation 24 2" xfId="9495" xr:uid="{420873A0-5FEE-4ADC-AC85-47C9E2ABB32B}"/>
    <cellStyle name="Calculation 24 20" xfId="29559" xr:uid="{16524C23-A416-4A0C-B88D-06D1E2B02E9E}"/>
    <cellStyle name="Calculation 24 21" xfId="29646" xr:uid="{CED43EB6-B936-4EF4-BAB9-963E76C31787}"/>
    <cellStyle name="Calculation 24 22" xfId="28447" xr:uid="{1B13B238-9A43-4E98-8B93-7CBD1A656845}"/>
    <cellStyle name="Calculation 24 23" xfId="29632" xr:uid="{E06BF6EB-1845-4850-9675-43B127A4E4C0}"/>
    <cellStyle name="Calculation 24 24" xfId="29603" xr:uid="{7EFED3C7-FC8E-42F6-B834-764C09BC3FDD}"/>
    <cellStyle name="Calculation 24 25" xfId="29629" xr:uid="{6B2DAA3F-4BFB-41A5-8963-2C4621DFD0B2}"/>
    <cellStyle name="Calculation 24 26" xfId="6170" xr:uid="{30E12C31-01D5-41A6-84C9-E26867210A71}"/>
    <cellStyle name="Calculation 24 3" xfId="10090" xr:uid="{5B46A512-F068-4FFC-86F2-B46454A8020A}"/>
    <cellStyle name="Calculation 24 4" xfId="7515" xr:uid="{D669E343-9D51-4B40-BECF-C4F7ECC7126E}"/>
    <cellStyle name="Calculation 24 5" xfId="15990" xr:uid="{F980037F-1CCD-4C7C-8866-734B6E13C1FF}"/>
    <cellStyle name="Calculation 24 6" xfId="14130" xr:uid="{4AFA6355-6888-40F6-9A14-75D4C363F20B}"/>
    <cellStyle name="Calculation 24 7" xfId="17312" xr:uid="{A15DA47F-B772-4B30-9906-463255F48EFB}"/>
    <cellStyle name="Calculation 24 8" xfId="18152" xr:uid="{A48C6622-3AD2-4DCF-A822-7300B33165B3}"/>
    <cellStyle name="Calculation 24 9" xfId="15704" xr:uid="{760350D0-B1CD-46FE-AD9A-46539BC0825E}"/>
    <cellStyle name="Calculation 25" xfId="1443" xr:uid="{8B902F72-BBDD-4231-A321-60ADA3044FAC}"/>
    <cellStyle name="Calculation 25 10" xfId="15680" xr:uid="{AED37C6B-7FA2-44C0-BAF4-DB25130D11CD}"/>
    <cellStyle name="Calculation 25 11" xfId="21312" xr:uid="{70224660-758F-4410-A3FD-096E04435E60}"/>
    <cellStyle name="Calculation 25 12" xfId="18862" xr:uid="{ADB48FA7-A156-4BB9-B991-C8FE0C942051}"/>
    <cellStyle name="Calculation 25 13" xfId="22046" xr:uid="{591D47EB-B05E-4698-867B-F9E92AA5A987}"/>
    <cellStyle name="Calculation 25 14" xfId="25771" xr:uid="{3B999D7D-E736-46E5-A989-1F3A5AA94817}"/>
    <cellStyle name="Calculation 25 15" xfId="18551" xr:uid="{36E145CC-86FE-4947-A145-A15753422A49}"/>
    <cellStyle name="Calculation 25 16" xfId="26288" xr:uid="{1AA8ECF0-8E9E-4AC9-8937-70BFAD88EF23}"/>
    <cellStyle name="Calculation 25 17" xfId="24374" xr:uid="{74D75AAE-1498-4222-AC40-C5C31D4F0872}"/>
    <cellStyle name="Calculation 25 18" xfId="28550" xr:uid="{6EDBAE53-3561-4B79-8E6A-5E372CD4ABAE}"/>
    <cellStyle name="Calculation 25 19" xfId="28492" xr:uid="{A00A3BAB-7850-43A6-9B2C-A831577AB129}"/>
    <cellStyle name="Calculation 25 2" xfId="9494" xr:uid="{E8EBF169-75CF-47E9-9E33-86DE334EDEA4}"/>
    <cellStyle name="Calculation 25 20" xfId="28376" xr:uid="{92CF893A-610A-4A44-B303-5B556EFDB445}"/>
    <cellStyle name="Calculation 25 21" xfId="24336" xr:uid="{640E1CAA-DAC7-4B21-B308-ABC57A76C8BA}"/>
    <cellStyle name="Calculation 25 22" xfId="26070" xr:uid="{43F20E13-A3C8-4833-8DD7-A3B91D9DB8A9}"/>
    <cellStyle name="Calculation 25 23" xfId="29933" xr:uid="{FEB8C567-5F19-4581-A58E-C68AB289B97E}"/>
    <cellStyle name="Calculation 25 24" xfId="29030" xr:uid="{74A46FBB-55E7-486F-8543-82226CFA8398}"/>
    <cellStyle name="Calculation 25 25" xfId="29928" xr:uid="{CB96DEC9-BC25-4FF5-A13E-F5238F98F516}"/>
    <cellStyle name="Calculation 25 26" xfId="6171" xr:uid="{A617E6D2-94E9-4F4F-8F5F-AEA7B34F5AA0}"/>
    <cellStyle name="Calculation 25 3" xfId="10089" xr:uid="{5C6A4976-C1C0-4E38-8BA0-225D85E502E0}"/>
    <cellStyle name="Calculation 25 4" xfId="11928" xr:uid="{E2938525-8025-4E74-836A-F29FE5615E80}"/>
    <cellStyle name="Calculation 25 5" xfId="14411" xr:uid="{FCA148C7-EA9E-4C29-8DEC-A2E4FEE139B3}"/>
    <cellStyle name="Calculation 25 6" xfId="12451" xr:uid="{0B91D15B-464D-4D4E-A587-2F7DCA69AFBF}"/>
    <cellStyle name="Calculation 25 7" xfId="13769" xr:uid="{F7874817-7570-427D-893E-6B13270BBEA8}"/>
    <cellStyle name="Calculation 25 8" xfId="13941" xr:uid="{DDCF8FF1-D9B0-4E53-ACE0-098F0BEAB703}"/>
    <cellStyle name="Calculation 25 9" xfId="21520" xr:uid="{FD67E398-1ABF-4F7F-8F20-DB0306D70516}"/>
    <cellStyle name="Calculation 26" xfId="1444" xr:uid="{B59CFABA-0987-4D03-AF5A-80D75673A88B}"/>
    <cellStyle name="Calculation 26 10" xfId="17221" xr:uid="{34AA45B4-867E-4633-A6F5-C1B0F69E84C3}"/>
    <cellStyle name="Calculation 26 11" xfId="20901" xr:uid="{63CC6189-7625-478C-9F0F-52CF0BED7518}"/>
    <cellStyle name="Calculation 26 12" xfId="20573" xr:uid="{AEA0C4BB-92E0-44DC-B5F5-A1AAB3DB24B7}"/>
    <cellStyle name="Calculation 26 13" xfId="21246" xr:uid="{62E60645-3444-45A3-8C53-657856C5B7C9}"/>
    <cellStyle name="Calculation 26 14" xfId="24626" xr:uid="{3EE89272-0555-47CD-9273-B923486CCE6A}"/>
    <cellStyle name="Calculation 26 15" xfId="25393" xr:uid="{328CF1A5-5AD0-4421-B0AB-E5D674E7A8C4}"/>
    <cellStyle name="Calculation 26 16" xfId="22599" xr:uid="{2E2A970F-B22D-4402-9C56-C7925B5D8860}"/>
    <cellStyle name="Calculation 26 17" xfId="25486" xr:uid="{7D6E0858-8153-4375-9A6B-44CC75335456}"/>
    <cellStyle name="Calculation 26 18" xfId="25642" xr:uid="{61F95E05-D85E-4F7D-B144-9CBF4239E94F}"/>
    <cellStyle name="Calculation 26 19" xfId="23411" xr:uid="{07CEAE8E-B252-4132-A585-7D3334077221}"/>
    <cellStyle name="Calculation 26 2" xfId="9493" xr:uid="{866D8878-77F1-463B-9143-155AE4AE79AF}"/>
    <cellStyle name="Calculation 26 20" xfId="27051" xr:uid="{6CCC00A7-8171-47BB-BB1E-9AE37C9369ED}"/>
    <cellStyle name="Calculation 26 21" xfId="25990" xr:uid="{C7E2DF5B-063F-441F-B5F0-071BF515002A}"/>
    <cellStyle name="Calculation 26 22" xfId="29320" xr:uid="{42DDFEB8-617C-43C8-A6B9-435EE11BEA7A}"/>
    <cellStyle name="Calculation 26 23" xfId="28057" xr:uid="{488C50E0-AB58-4923-AACB-AE88EDE0E8BE}"/>
    <cellStyle name="Calculation 26 24" xfId="30264" xr:uid="{36285E4D-52EC-412D-869A-0BE3B144FF83}"/>
    <cellStyle name="Calculation 26 25" xfId="25592" xr:uid="{5ADB8960-AC7B-40CC-A6DF-3E2FD4006C6F}"/>
    <cellStyle name="Calculation 26 26" xfId="6172" xr:uid="{47E8E04A-5211-460C-85C1-6673CED4DF57}"/>
    <cellStyle name="Calculation 26 3" xfId="10088" xr:uid="{CE819477-4075-452B-AAB9-3C90BCB199E5}"/>
    <cellStyle name="Calculation 26 4" xfId="7516" xr:uid="{B28169C0-1AFB-4A8F-8964-E3609DE57454}"/>
    <cellStyle name="Calculation 26 5" xfId="14765" xr:uid="{562C8FBB-DBF4-4394-9D6E-6203C334F4E7}"/>
    <cellStyle name="Calculation 26 6" xfId="12434" xr:uid="{7641C3C0-95BA-4BC6-AD9F-0B97A905B4A9}"/>
    <cellStyle name="Calculation 26 7" xfId="17313" xr:uid="{A41ADDD3-27DE-463F-8651-3C4BA1A6A9B8}"/>
    <cellStyle name="Calculation 26 8" xfId="16233" xr:uid="{28E2B5C7-B930-4875-B83B-536A2597C140}"/>
    <cellStyle name="Calculation 26 9" xfId="19666" xr:uid="{50DABA06-047E-475B-A44A-998398AEF30A}"/>
    <cellStyle name="Calculation 27" xfId="1445" xr:uid="{D099E28B-247C-4E66-A311-F978B3DDA23A}"/>
    <cellStyle name="Calculation 27 10" xfId="13790" xr:uid="{45FC2810-0A12-4D14-BE53-D93BCFEACCB5}"/>
    <cellStyle name="Calculation 27 11" xfId="19570" xr:uid="{5C5657B4-DA89-4E6A-B869-C0C0CF288E97}"/>
    <cellStyle name="Calculation 27 12" xfId="15378" xr:uid="{F75ACB8E-2E92-458D-A030-467284215BD5}"/>
    <cellStyle name="Calculation 27 13" xfId="17886" xr:uid="{DF0A4CB5-6EBB-4D82-B82E-6B839E504A2C}"/>
    <cellStyle name="Calculation 27 14" xfId="22310" xr:uid="{A480D886-4610-435E-BC04-12BDE68E75E0}"/>
    <cellStyle name="Calculation 27 15" xfId="24467" xr:uid="{D5C06968-A2F2-4031-994D-314CCCA3C5B5}"/>
    <cellStyle name="Calculation 27 16" xfId="26289" xr:uid="{48FF6A97-3B6F-43D6-89A5-08311CBC3D4B}"/>
    <cellStyle name="Calculation 27 17" xfId="24310" xr:uid="{C4405698-67DD-40C0-BD9F-0E98CECB95B7}"/>
    <cellStyle name="Calculation 27 18" xfId="28551" xr:uid="{2AF000F3-82B8-4DC3-9FD5-87AD1400DF8E}"/>
    <cellStyle name="Calculation 27 19" xfId="28493" xr:uid="{3FEBD194-E9AE-4928-8EF7-2CCC89C770A8}"/>
    <cellStyle name="Calculation 27 2" xfId="9492" xr:uid="{89A89A17-4153-46F4-9361-551F8425DB24}"/>
    <cellStyle name="Calculation 27 20" xfId="28377" xr:uid="{C0F9EFEB-C7CD-4323-ACF2-B117D82D87B6}"/>
    <cellStyle name="Calculation 27 21" xfId="27780" xr:uid="{16153E8B-DB7A-4754-ACAA-28A90E59F084}"/>
    <cellStyle name="Calculation 27 22" xfId="28448" xr:uid="{3E84A8BE-7156-46CF-ACBF-051CF4AF48E2}"/>
    <cellStyle name="Calculation 27 23" xfId="25982" xr:uid="{042B2708-E9F3-40A8-BE15-87D431BFD542}"/>
    <cellStyle name="Calculation 27 24" xfId="27694" xr:uid="{A97FD3AF-5750-41CA-AD10-7D613B1E0671}"/>
    <cellStyle name="Calculation 27 25" xfId="29839" xr:uid="{F0EFA9AD-CFF2-4DCD-BA29-36D10A79FA95}"/>
    <cellStyle name="Calculation 27 26" xfId="6173" xr:uid="{D3AD3BED-6EEA-444E-8A52-99D67E058724}"/>
    <cellStyle name="Calculation 27 3" xfId="10087" xr:uid="{8673AE99-5703-4836-8577-B381D1232E4E}"/>
    <cellStyle name="Calculation 27 4" xfId="11929" xr:uid="{2A2A08CD-9506-42B6-BB81-20CAB8C3010D}"/>
    <cellStyle name="Calculation 27 5" xfId="12193" xr:uid="{8C89CB83-D6BF-48A1-A7E5-1D9A73858A3D}"/>
    <cellStyle name="Calculation 27 6" xfId="14131" xr:uid="{8E8047D1-1705-4C6D-AD20-3F8E76206911}"/>
    <cellStyle name="Calculation 27 7" xfId="12699" xr:uid="{C9570B99-8B49-498B-A991-4D638E11C258}"/>
    <cellStyle name="Calculation 27 8" xfId="19323" xr:uid="{DE942B61-961B-4190-AF30-66C2E6C5FF2A}"/>
    <cellStyle name="Calculation 27 9" xfId="21521" xr:uid="{384AA670-6CD7-4A39-8768-08E09662B2BB}"/>
    <cellStyle name="Calculation 28" xfId="1446" xr:uid="{0147488C-D94E-495D-834C-C20BBE57EF6B}"/>
    <cellStyle name="Calculation 28 10" xfId="17222" xr:uid="{66E01D07-B611-450C-9CC9-C16D4566799C}"/>
    <cellStyle name="Calculation 28 11" xfId="22549" xr:uid="{3B8F2FC5-701C-4F80-8B87-3FE7B6FC5F99}"/>
    <cellStyle name="Calculation 28 12" xfId="20574" xr:uid="{533AECE5-4D49-491D-AF9A-3CB50F4FB486}"/>
    <cellStyle name="Calculation 28 13" xfId="22564" xr:uid="{A9ADA40B-DCF6-4DA9-8749-EA1814DE9EFA}"/>
    <cellStyle name="Calculation 28 14" xfId="25772" xr:uid="{FF02B96A-EA71-4618-A009-1FCEC1111367}"/>
    <cellStyle name="Calculation 28 15" xfId="23426" xr:uid="{294FDC7F-8301-4240-A383-6AA206571DEA}"/>
    <cellStyle name="Calculation 28 16" xfId="26757" xr:uid="{EEF4B28C-10CC-4855-A8B2-E71F39C092BF}"/>
    <cellStyle name="Calculation 28 17" xfId="21924" xr:uid="{723EAB1F-EB50-49FA-9001-E0ECD2E144C4}"/>
    <cellStyle name="Calculation 28 18" xfId="27131" xr:uid="{257382A9-29A8-49E7-B470-675D82240308}"/>
    <cellStyle name="Calculation 28 19" xfId="27104" xr:uid="{DB1A95BE-4D64-4F98-8172-4E9BDB4DB99B}"/>
    <cellStyle name="Calculation 28 2" xfId="9491" xr:uid="{2451E2CA-4EA4-4852-8D4F-B2FFCF78E733}"/>
    <cellStyle name="Calculation 28 20" xfId="22630" xr:uid="{F3627342-CB68-4A87-81D2-99552D3470BF}"/>
    <cellStyle name="Calculation 28 21" xfId="25603" xr:uid="{A534E699-7949-4BD7-B5D0-477206CFA6F9}"/>
    <cellStyle name="Calculation 28 22" xfId="28437" xr:uid="{16323031-726C-4977-A1DC-D17F604CBDA9}"/>
    <cellStyle name="Calculation 28 23" xfId="29633" xr:uid="{F55B86C8-830D-422B-81BD-71EED97D6555}"/>
    <cellStyle name="Calculation 28 24" xfId="30265" xr:uid="{8D56534D-BD12-42CC-B3D1-426CAC47E081}"/>
    <cellStyle name="Calculation 28 25" xfId="28718" xr:uid="{B6EA045B-4AC1-49CC-8C1E-A6DE9B6434B3}"/>
    <cellStyle name="Calculation 28 26" xfId="6174" xr:uid="{1E35956B-B4FF-4185-9ADB-4159C24891E2}"/>
    <cellStyle name="Calculation 28 3" xfId="10086" xr:uid="{A24936F8-E3F8-4583-83D5-CFC4BF1F5E55}"/>
    <cellStyle name="Calculation 28 4" xfId="7517" xr:uid="{90DBD5DA-8F75-4BF8-B3AB-62431FCA8C33}"/>
    <cellStyle name="Calculation 28 5" xfId="14766" xr:uid="{8187C93A-C6B5-4FA5-B0AC-C0DF1EDF43FE}"/>
    <cellStyle name="Calculation 28 6" xfId="12433" xr:uid="{6DE0B978-E386-472C-BA3C-9C82048DA10A}"/>
    <cellStyle name="Calculation 28 7" xfId="17314" xr:uid="{252F9D19-97A7-4ADF-AB11-C2B686B1FB3E}"/>
    <cellStyle name="Calculation 28 8" xfId="18154" xr:uid="{62A4498A-F1CB-4B9A-BDF6-8CB310509C1F}"/>
    <cellStyle name="Calculation 28 9" xfId="17705" xr:uid="{0DE17DF3-0E76-4397-9C79-D5224295CC0C}"/>
    <cellStyle name="Calculation 29" xfId="1447" xr:uid="{F745F3C2-6068-4742-9C26-06772793A697}"/>
    <cellStyle name="Calculation 29 10" xfId="13897" xr:uid="{9C7BDA93-7895-422C-BB3D-C083F31B270E}"/>
    <cellStyle name="Calculation 29 11" xfId="17796" xr:uid="{428697D1-6E81-45FA-8CD5-3552BF4605E9}"/>
    <cellStyle name="Calculation 29 12" xfId="18863" xr:uid="{BA952629-44CA-4F9B-B43C-DBC2626DBBA1}"/>
    <cellStyle name="Calculation 29 13" xfId="22045" xr:uid="{426FB4DE-6846-483B-B42C-1B12E6B48FA4}"/>
    <cellStyle name="Calculation 29 14" xfId="24627" xr:uid="{A730D41A-68BD-4C92-B225-3AC9D941F9D4}"/>
    <cellStyle name="Calculation 29 15" xfId="21116" xr:uid="{A45720B2-BDE0-45F2-8613-112BFD28E805}"/>
    <cellStyle name="Calculation 29 16" xfId="23851" xr:uid="{05759F5D-A926-42DD-BBFF-8D431412079E}"/>
    <cellStyle name="Calculation 29 17" xfId="21943" xr:uid="{5F1477AB-C94D-4D6B-AFE6-F7D1EC4ED4AF}"/>
    <cellStyle name="Calculation 29 18" xfId="28552" xr:uid="{BDF9BA09-C2CD-49B5-923C-6C22B9ED9BAB}"/>
    <cellStyle name="Calculation 29 19" xfId="28494" xr:uid="{3AB1CD93-825D-4377-8B87-086767A4CFAA}"/>
    <cellStyle name="Calculation 29 2" xfId="9490" xr:uid="{CBCD2A08-ED81-4BCC-86BB-371563F74DBE}"/>
    <cellStyle name="Calculation 29 20" xfId="29557" xr:uid="{722D9F1D-BB99-4851-A365-DF118831AB60}"/>
    <cellStyle name="Calculation 29 21" xfId="27500" xr:uid="{9521E37D-3CEE-4240-BBF7-60D3E8E8BE8D}"/>
    <cellStyle name="Calculation 29 22" xfId="27082" xr:uid="{BF0705D2-A240-44D3-9D12-C06A477A1ABF}"/>
    <cellStyle name="Calculation 29 23" xfId="29934" xr:uid="{AEDC03F9-DF64-4941-8FAE-74516B443E9C}"/>
    <cellStyle name="Calculation 29 24" xfId="29093" xr:uid="{FBA668EB-2D08-4FD3-AC52-CF36E779B9A9}"/>
    <cellStyle name="Calculation 29 25" xfId="25243" xr:uid="{3CBEBCBA-62C4-41E8-B013-FD7E3D01E8F7}"/>
    <cellStyle name="Calculation 29 26" xfId="6175" xr:uid="{464935C0-9D74-4F7C-AD67-76C029FFCB27}"/>
    <cellStyle name="Calculation 29 3" xfId="10085" xr:uid="{863A3C4B-206D-4F51-B7F0-CBD57DF41B5F}"/>
    <cellStyle name="Calculation 29 4" xfId="11930" xr:uid="{44D95694-86A1-4890-B040-DCA061D87D52}"/>
    <cellStyle name="Calculation 29 5" xfId="15988" xr:uid="{98D74DC4-70E5-45C5-92B0-C983EBB04278}"/>
    <cellStyle name="Calculation 29 6" xfId="14132" xr:uid="{2B122D92-ADB6-471E-802C-335D7DCECF29}"/>
    <cellStyle name="Calculation 29 7" xfId="14517" xr:uid="{1C7CD9BF-BBE0-497B-85DC-8C45C2EA0AE4}"/>
    <cellStyle name="Calculation 29 8" xfId="13938" xr:uid="{B3A3244A-B06C-470D-9A5F-3260D47E5551}"/>
    <cellStyle name="Calculation 29 9" xfId="21522" xr:uid="{C95F2C4C-040F-4D57-9614-CFC7CBCB0847}"/>
    <cellStyle name="Calculation 3" xfId="1448" xr:uid="{46E2CDD4-16BF-4986-9FDE-79C31DB725C2}"/>
    <cellStyle name="Calculation 3 10" xfId="17223" xr:uid="{FBAE5A6A-D891-4FB7-B54A-696F6F4C690C}"/>
    <cellStyle name="Calculation 3 11" xfId="21313" xr:uid="{F9C05806-784E-4EB8-B609-7C40E4C71697}"/>
    <cellStyle name="Calculation 3 12" xfId="18855" xr:uid="{6EDC5898-5E16-4E59-9806-D8469F0737CF}"/>
    <cellStyle name="Calculation 3 13" xfId="19538" xr:uid="{DA511897-AB35-40E1-BA3D-9C2CC40DA1B8}"/>
    <cellStyle name="Calculation 3 14" xfId="20378" xr:uid="{D3230D59-6356-43DD-AFCD-C2B60AC8F30A}"/>
    <cellStyle name="Calculation 3 15" xfId="25392" xr:uid="{40160CBF-BE14-4B26-B8D5-6F45F5CCF275}"/>
    <cellStyle name="Calculation 3 16" xfId="26290" xr:uid="{006F9611-0846-4AD9-8F87-41E954E3DB4C}"/>
    <cellStyle name="Calculation 3 17" xfId="24375" xr:uid="{FD7CA1D9-A56E-40F8-861B-B4C0D2DD8CDB}"/>
    <cellStyle name="Calculation 3 18" xfId="26094" xr:uid="{3B46E4D8-525E-45C4-A6E6-763F5971D7F8}"/>
    <cellStyle name="Calculation 3 19" xfId="26081" xr:uid="{FE640FF7-2C3B-4170-9991-373D4C1CAA5C}"/>
    <cellStyle name="Calculation 3 2" xfId="9489" xr:uid="{E3470DD6-4C97-470B-991E-C4FDB9430D6B}"/>
    <cellStyle name="Calculation 3 20" xfId="28378" xr:uid="{74645A74-0A05-4F68-AF00-51745D9A4D26}"/>
    <cellStyle name="Calculation 3 21" xfId="29856" xr:uid="{672A2540-23F9-41C8-A1A4-DB1BD44D82BF}"/>
    <cellStyle name="Calculation 3 22" xfId="28449" xr:uid="{0E88EB40-8244-43C6-8752-6CEF8CAC6218}"/>
    <cellStyle name="Calculation 3 23" xfId="29842" xr:uid="{71191A4D-F99A-4930-B73B-0292038FBE17}"/>
    <cellStyle name="Calculation 3 24" xfId="26944" xr:uid="{24582192-F44D-400D-8E23-04799650C401}"/>
    <cellStyle name="Calculation 3 25" xfId="29929" xr:uid="{FE7A9F40-0616-46F9-9D45-82512AF85EBD}"/>
    <cellStyle name="Calculation 3 26" xfId="6176" xr:uid="{56EAD444-E185-496C-98B4-C642F420D927}"/>
    <cellStyle name="Calculation 3 3" xfId="10084" xr:uid="{5B58A3DB-DD1B-47DF-A29B-1019FE454EBD}"/>
    <cellStyle name="Calculation 3 4" xfId="7519" xr:uid="{483191AF-8BFB-4E0A-B807-68FE7F3384BF}"/>
    <cellStyle name="Calculation 3 5" xfId="12191" xr:uid="{1A9FB7F5-CE1C-4141-B598-04820539D336}"/>
    <cellStyle name="Calculation 3 6" xfId="12432" xr:uid="{298001D5-8B41-4F56-85BD-3E35086A0A32}"/>
    <cellStyle name="Calculation 3 7" xfId="18480" xr:uid="{1AB842AF-AD33-43A5-B707-D332DD9C8C0F}"/>
    <cellStyle name="Calculation 3 8" xfId="12826" xr:uid="{B842D4FC-C6A6-4399-A076-13908D43B692}"/>
    <cellStyle name="Calculation 3 9" xfId="19667" xr:uid="{38350199-1EA4-4A4B-9981-1894A3E75458}"/>
    <cellStyle name="Calculation 30" xfId="1449" xr:uid="{741BC95D-E089-4760-9CAC-859284FB3FA9}"/>
    <cellStyle name="Calculation 30 10" xfId="16055" xr:uid="{1204327D-45DE-4C7B-B598-B69E6B6B406A}"/>
    <cellStyle name="Calculation 30 11" xfId="17021" xr:uid="{5033FFFB-D1BE-4B60-8B71-D39B367AA518}"/>
    <cellStyle name="Calculation 30 12" xfId="20575" xr:uid="{3245D749-D9B2-4574-8021-FF32FCB4E656}"/>
    <cellStyle name="Calculation 30 13" xfId="21752" xr:uid="{31C5D59D-3A54-4B05-BF8E-FB02C2CF6B67}"/>
    <cellStyle name="Calculation 30 14" xfId="24628" xr:uid="{5C6EBDE4-E829-4AB0-89C5-3956AA5E8DF2}"/>
    <cellStyle name="Calculation 30 15" xfId="24468" xr:uid="{FE4F7721-E5B9-41B1-8E39-35A5E187A801}"/>
    <cellStyle name="Calculation 30 16" xfId="22230" xr:uid="{681800B8-6C02-4ADC-A4D3-39316CEC449E}"/>
    <cellStyle name="Calculation 30 17" xfId="26447" xr:uid="{DEF23782-3B5F-444F-A7F6-B864A56420B7}"/>
    <cellStyle name="Calculation 30 18" xfId="28553" xr:uid="{5E89059A-321A-42A5-9A8D-2C3DEBD0892C}"/>
    <cellStyle name="Calculation 30 19" xfId="28495" xr:uid="{322D998B-CC71-4451-BA94-79281B75EE7F}"/>
    <cellStyle name="Calculation 30 2" xfId="9488" xr:uid="{0C989EB1-E23E-4709-8A5C-F4C5877FC3FC}"/>
    <cellStyle name="Calculation 30 20" xfId="27045" xr:uid="{2948006A-55ED-44A8-9AEC-553E602419F0}"/>
    <cellStyle name="Calculation 30 21" xfId="27774" xr:uid="{30B6B1DC-926B-4BF9-B063-63B484D13503}"/>
    <cellStyle name="Calculation 30 22" xfId="29321" xr:uid="{EE592C62-ED7F-4F62-ACE8-426D415C0029}"/>
    <cellStyle name="Calculation 30 23" xfId="29935" xr:uid="{D390B797-6AF7-46D3-A8D9-25A8AAAB260A}"/>
    <cellStyle name="Calculation 30 24" xfId="30014" xr:uid="{A7282434-28F7-4ED9-8B17-020D702C2D9F}"/>
    <cellStyle name="Calculation 30 25" xfId="29405" xr:uid="{E5928DFB-0A39-4A2B-BFCB-2DC02C9F4463}"/>
    <cellStyle name="Calculation 30 26" xfId="6177" xr:uid="{A7225665-B966-4521-8EA2-A1ADA4C22001}"/>
    <cellStyle name="Calculation 30 3" xfId="10083" xr:uid="{05798D23-8356-4E40-8257-628E5FEED574}"/>
    <cellStyle name="Calculation 30 4" xfId="11931" xr:uid="{B557D830-745A-45E2-B819-A8F2129B445C}"/>
    <cellStyle name="Calculation 30 5" xfId="14767" xr:uid="{E9B54005-5A0F-497C-96C5-780CA10B997C}"/>
    <cellStyle name="Calculation 30 6" xfId="12431" xr:uid="{135C7184-F73C-4F72-956A-E5A8E71AEC92}"/>
    <cellStyle name="Calculation 30 7" xfId="17315" xr:uid="{83BC4CD0-1521-4623-AE22-ADF8D05AF14A}"/>
    <cellStyle name="Calculation 30 8" xfId="18155" xr:uid="{C85EDC80-6805-4814-8E2A-B7C236FC864D}"/>
    <cellStyle name="Calculation 30 9" xfId="21523" xr:uid="{D5DD4A2A-74FD-485D-9F33-900B3D95993F}"/>
    <cellStyle name="Calculation 31" xfId="1450" xr:uid="{CB4A629B-D334-4039-947A-39CF97E6685F}"/>
    <cellStyle name="Calculation 31 10" xfId="14537" xr:uid="{72C883A5-B056-4B5D-84DC-B511177C0B06}"/>
    <cellStyle name="Calculation 31 11" xfId="21314" xr:uid="{70E8F83F-84E5-4EF7-9DDB-296E8AEAFE70}"/>
    <cellStyle name="Calculation 31 12" xfId="16859" xr:uid="{32AEA4D6-4306-4293-8153-1BDF965D9E06}"/>
    <cellStyle name="Calculation 31 13" xfId="21247" xr:uid="{DB8DFB67-DF00-4381-B011-F2BA8661C1D2}"/>
    <cellStyle name="Calculation 31 14" xfId="22824" xr:uid="{EBAB81B6-2281-4610-B5E7-83ED3D9AC241}"/>
    <cellStyle name="Calculation 31 15" xfId="21965" xr:uid="{553AF795-7133-4C39-A4DF-E906FB45FFFF}"/>
    <cellStyle name="Calculation 31 16" xfId="26291" xr:uid="{17867939-1C5D-46FE-8CD1-0389EB0B80B9}"/>
    <cellStyle name="Calculation 31 17" xfId="25554" xr:uid="{B2BB28F3-E9BC-4B46-A72F-C65654244252}"/>
    <cellStyle name="Calculation 31 18" xfId="27132" xr:uid="{8024BB17-2CBF-4EAD-8D05-B9A8CDBE0AF9}"/>
    <cellStyle name="Calculation 31 19" xfId="27105" xr:uid="{8EAB00AE-B455-4AD6-8B3B-2F158B8CFF5B}"/>
    <cellStyle name="Calculation 31 2" xfId="9487" xr:uid="{6D8F82C4-6196-49A8-B0A0-DD709981369B}"/>
    <cellStyle name="Calculation 31 20" xfId="28042" xr:uid="{63721BEE-736F-4383-87FF-99C7CA5D5EBA}"/>
    <cellStyle name="Calculation 31 21" xfId="28805" xr:uid="{45674C96-119F-407A-B7EE-F52DC43110F2}"/>
    <cellStyle name="Calculation 31 22" xfId="28436" xr:uid="{64B34111-E475-4578-A66D-9E6C27B6D542}"/>
    <cellStyle name="Calculation 31 23" xfId="29610" xr:uid="{07D2DEA4-65C3-49C8-937E-943B28C78AB9}"/>
    <cellStyle name="Calculation 31 24" xfId="28254" xr:uid="{45EA08E3-B810-4D43-8F80-A9977FF23CE7}"/>
    <cellStyle name="Calculation 31 25" xfId="27762" xr:uid="{5ECD2DDC-4613-46EB-A977-9008315AA3C7}"/>
    <cellStyle name="Calculation 31 26" xfId="6178" xr:uid="{509C3737-4FA6-4B1D-AD27-7BB6EB0F09AA}"/>
    <cellStyle name="Calculation 31 3" xfId="10082" xr:uid="{4FCC9E49-3AA5-46E7-868D-DE564DBB1821}"/>
    <cellStyle name="Calculation 31 4" xfId="7520" xr:uid="{7723C43F-F0A1-4EEB-84D5-C6ABC1044B41}"/>
    <cellStyle name="Calculation 31 5" xfId="12192" xr:uid="{DA3D0452-20A5-43A1-952D-4B5A0015B07E}"/>
    <cellStyle name="Calculation 31 6" xfId="15099" xr:uid="{B51419D3-053B-454B-8A5B-917A48553B3F}"/>
    <cellStyle name="Calculation 31 7" xfId="15659" xr:uid="{8755B02C-62B1-466B-98D9-ECAED92B058F}"/>
    <cellStyle name="Calculation 31 8" xfId="16234" xr:uid="{C04F6E52-EB8C-4C0D-AFC7-0CE9D82A719E}"/>
    <cellStyle name="Calculation 31 9" xfId="19378" xr:uid="{04824019-D80D-4752-846A-26ED84C14E4E}"/>
    <cellStyle name="Calculation 32" xfId="1451" xr:uid="{04DBF7C3-A6B3-4D31-BD42-83148266BD70}"/>
    <cellStyle name="Calculation 32 10" xfId="17224" xr:uid="{6C0646FD-358B-4B92-A144-FDA847D4F788}"/>
    <cellStyle name="Calculation 32 11" xfId="19571" xr:uid="{B30E2CFF-0140-4541-B2AD-F594CDE0F436}"/>
    <cellStyle name="Calculation 32 12" xfId="20576" xr:uid="{FA9D7E4D-A962-42D9-B364-ED241312F452}"/>
    <cellStyle name="Calculation 32 13" xfId="17039" xr:uid="{D56AFF41-037E-4A1B-994E-9BE8E5956B3C}"/>
    <cellStyle name="Calculation 32 14" xfId="25770" xr:uid="{832C13B6-003B-4F63-8A3E-ED14EF8D30B6}"/>
    <cellStyle name="Calculation 32 15" xfId="24218" xr:uid="{042B08DC-8A09-4D06-973C-2F2F17321E7B}"/>
    <cellStyle name="Calculation 32 16" xfId="23852" xr:uid="{E053336D-7030-4FAC-AFF5-6FF2789ACC09}"/>
    <cellStyle name="Calculation 32 17" xfId="23614" xr:uid="{15A1A1CD-9909-4DBD-BADE-99E02534A001}"/>
    <cellStyle name="Calculation 32 18" xfId="28554" xr:uid="{E245244D-A64E-400B-9AE8-7470107F081C}"/>
    <cellStyle name="Calculation 32 19" xfId="28496" xr:uid="{15061FFF-4007-47F5-8145-8E1E2F0C2C2F}"/>
    <cellStyle name="Calculation 32 2" xfId="9486" xr:uid="{B1EB97EF-0B3E-4488-BE6E-085CCC3493E6}"/>
    <cellStyle name="Calculation 32 20" xfId="29555" xr:uid="{4747E6C4-F5D0-4940-931E-FD804F633C59}"/>
    <cellStyle name="Calculation 32 21" xfId="29647" xr:uid="{A7665D7A-79BB-4558-A454-7D7C3232F54B}"/>
    <cellStyle name="Calculation 32 22" xfId="29322" xr:uid="{22D21AB7-08F0-46BF-A996-A9BF8A5422B3}"/>
    <cellStyle name="Calculation 32 23" xfId="27757" xr:uid="{9377E5B0-9EE3-458B-A328-9989F91E4E03}"/>
    <cellStyle name="Calculation 32 24" xfId="25021" xr:uid="{9721DDD0-3E8D-42A7-BEB7-7E85E0DD18D5}"/>
    <cellStyle name="Calculation 32 25" xfId="29940" xr:uid="{D9DFA572-3BE0-463C-A207-09D1D279902B}"/>
    <cellStyle name="Calculation 32 26" xfId="6179" xr:uid="{08BBD859-53E3-4377-AC57-7B0292C1A72A}"/>
    <cellStyle name="Calculation 32 3" xfId="10081" xr:uid="{37CAB870-6705-4E05-B715-C1DC44848198}"/>
    <cellStyle name="Calculation 32 4" xfId="11932" xr:uid="{3079D812-E15A-47AA-80A6-D8669791621D}"/>
    <cellStyle name="Calculation 32 5" xfId="14768" xr:uid="{B874BF21-F598-47B2-8967-42540245D25F}"/>
    <cellStyle name="Calculation 32 6" xfId="14134" xr:uid="{E231D88D-8DF7-4972-B41B-A7100C5FFFBB}"/>
    <cellStyle name="Calculation 32 7" xfId="17316" xr:uid="{2D94CA4E-6D16-4C1B-A318-9D8105C42A06}"/>
    <cellStyle name="Calculation 32 8" xfId="18156" xr:uid="{3209BD38-DC44-4523-BC2B-AD35D0732246}"/>
    <cellStyle name="Calculation 32 9" xfId="21524" xr:uid="{0EDF5DDD-0C63-4FAD-A911-E1D86D3A10B4}"/>
    <cellStyle name="Calculation 33" xfId="1452" xr:uid="{4B31D277-728C-4F25-9FC6-60E963F7DC91}"/>
    <cellStyle name="Calculation 33 10" xfId="15679" xr:uid="{AC917399-8CD1-4D13-A6C3-BE2FEF7C6999}"/>
    <cellStyle name="Calculation 33 11" xfId="21315" xr:uid="{3D986458-37B3-467E-A08E-AB258A445D23}"/>
    <cellStyle name="Calculation 33 12" xfId="18864" xr:uid="{7670CDF2-318B-4AEE-A1D6-F0D01D056978}"/>
    <cellStyle name="Calculation 33 13" xfId="17887" xr:uid="{027DF320-FFE5-43B7-9455-895E222BCC9D}"/>
    <cellStyle name="Calculation 33 14" xfId="24629" xr:uid="{A0E4FC53-B1AF-4771-8003-CF80E63569C2}"/>
    <cellStyle name="Calculation 33 15" xfId="25391" xr:uid="{F203244E-3BF6-4881-A196-52381B3C5CE3}"/>
    <cellStyle name="Calculation 33 16" xfId="26292" xr:uid="{A1FCE418-A28E-46BE-B3B0-106C5C372AEA}"/>
    <cellStyle name="Calculation 33 17" xfId="24376" xr:uid="{50C0D951-6B18-45FD-9BD2-513FE36D05ED}"/>
    <cellStyle name="Calculation 33 18" xfId="23766" xr:uid="{5823F566-030D-45D8-B74E-BC71B78AC43F}"/>
    <cellStyle name="Calculation 33 19" xfId="25636" xr:uid="{30EEEB67-0328-40EA-A15B-054F3CC3D056}"/>
    <cellStyle name="Calculation 33 2" xfId="9485" xr:uid="{9CE980F5-C085-4BDF-B606-1BC6FF937122}"/>
    <cellStyle name="Calculation 33 20" xfId="28379" xr:uid="{0D835C0B-783E-4E23-9FC9-55E1015B50E9}"/>
    <cellStyle name="Calculation 33 21" xfId="27826" xr:uid="{5B7DBCFE-DE1B-459E-97C5-8D3B0BA12D91}"/>
    <cellStyle name="Calculation 33 22" xfId="28037" xr:uid="{DF01E5CA-15C6-4009-8E11-04412325006D}"/>
    <cellStyle name="Calculation 33 23" xfId="25584" xr:uid="{BBB6FB0C-A9EB-47DD-AFF2-D137C0FF8C91}"/>
    <cellStyle name="Calculation 33 24" xfId="29026" xr:uid="{B97DAB6E-160B-4374-90F6-948CE1EEC1CD}"/>
    <cellStyle name="Calculation 33 25" xfId="28228" xr:uid="{CFBAEC96-DB76-463E-BBDC-172EDB5E5C21}"/>
    <cellStyle name="Calculation 33 26" xfId="6180" xr:uid="{66FF3190-3F94-41F7-9C42-A2C3ADAD070F}"/>
    <cellStyle name="Calculation 33 3" xfId="10080" xr:uid="{97BDDD2E-41D3-4112-9166-52B72B1903CD}"/>
    <cellStyle name="Calculation 33 4" xfId="7521" xr:uid="{6F99B45F-5BA2-4E26-B7A0-EAB856B55CA2}"/>
    <cellStyle name="Calculation 33 5" xfId="12190" xr:uid="{85A4F77F-B3D2-4BCB-8F82-D8035303715C}"/>
    <cellStyle name="Calculation 33 6" xfId="12430" xr:uid="{E83C780A-DC85-4467-AA2D-B03208B6ABDF}"/>
    <cellStyle name="Calculation 33 7" xfId="13768" xr:uid="{DD9E5769-043D-449C-9384-8DAA2F829059}"/>
    <cellStyle name="Calculation 33 8" xfId="15776" xr:uid="{1754D203-5B70-40B1-99AB-4403F2EEA6E8}"/>
    <cellStyle name="Calculation 33 9" xfId="19668" xr:uid="{38362394-A87A-4F60-84CB-190DB7C04CE8}"/>
    <cellStyle name="Calculation 34" xfId="1453" xr:uid="{8D9D5744-6E63-48CD-B6AA-D938365C9896}"/>
    <cellStyle name="Calculation 34 10" xfId="17225" xr:uid="{C5BCDF93-9BE4-4DE5-9604-0DF85F74AECA}"/>
    <cellStyle name="Calculation 34 11" xfId="17020" xr:uid="{B7A86F86-D1C0-4F5B-BB14-216EA6D709DE}"/>
    <cellStyle name="Calculation 34 12" xfId="20577" xr:uid="{0CC24D8A-C85A-41AB-B1C0-68A10B7C63DC}"/>
    <cellStyle name="Calculation 34 13" xfId="21248" xr:uid="{7A88629E-53A7-4F8A-87B3-881A07DFCB07}"/>
    <cellStyle name="Calculation 34 14" xfId="22311" xr:uid="{F53F16CD-5A25-4E5F-B3E4-3286C709837C}"/>
    <cellStyle name="Calculation 34 15" xfId="24469" xr:uid="{CC86336A-555E-4D16-879B-8DDF1AE59F1B}"/>
    <cellStyle name="Calculation 34 16" xfId="21017" xr:uid="{AFF206CE-2578-4A48-936F-2EA86D2222F5}"/>
    <cellStyle name="Calculation 34 17" xfId="25477" xr:uid="{23D4DDBA-DA14-40BA-BB6A-7E55A0C05598}"/>
    <cellStyle name="Calculation 34 18" xfId="28555" xr:uid="{63FCEA7E-B854-4D6B-B8A3-5AB61A60D973}"/>
    <cellStyle name="Calculation 34 19" xfId="28497" xr:uid="{6659FE34-78CE-48C0-B77D-3A136B2D5BD6}"/>
    <cellStyle name="Calculation 34 2" xfId="9484" xr:uid="{A33A09C5-2692-4F99-A4EF-51A3896D3D14}"/>
    <cellStyle name="Calculation 34 20" xfId="28365" xr:uid="{745A0452-EB9A-497E-86CC-196344399C03}"/>
    <cellStyle name="Calculation 34 21" xfId="29408" xr:uid="{CF60DF82-EFBE-440F-B204-B60324CA4889}"/>
    <cellStyle name="Calculation 34 22" xfId="27083" xr:uid="{8092B8AB-C552-4632-85ED-D534E123EA23}"/>
    <cellStyle name="Calculation 34 23" xfId="29936" xr:uid="{45598228-FA03-4AD2-BE20-43191AEF6065}"/>
    <cellStyle name="Calculation 34 24" xfId="29223" xr:uid="{E1635221-746A-4A12-A169-08E2995A22A6}"/>
    <cellStyle name="Calculation 34 25" xfId="29635" xr:uid="{F46B5710-A390-43AF-AB70-FAA7DFF26F9B}"/>
    <cellStyle name="Calculation 34 26" xfId="6181" xr:uid="{7D8A8F5A-ED14-46D6-8DB3-5879F3EDF9FB}"/>
    <cellStyle name="Calculation 34 3" xfId="10079" xr:uid="{CBD83EAC-AF50-407A-85AF-E0FD21AC5B34}"/>
    <cellStyle name="Calculation 34 4" xfId="11933" xr:uid="{25641247-6FB3-455F-B950-B9C9C3C71DB0}"/>
    <cellStyle name="Calculation 34 5" xfId="14769" xr:uid="{C931D8C0-D676-4EEE-A3ED-2DF02BBD74C5}"/>
    <cellStyle name="Calculation 34 6" xfId="14135" xr:uid="{1566A326-E077-4AD6-99A9-500719B83CC0}"/>
    <cellStyle name="Calculation 34 7" xfId="17317" xr:uid="{21468E2A-DCEA-4BBD-9778-20CD8A16B948}"/>
    <cellStyle name="Calculation 34 8" xfId="18157" xr:uid="{41DDDB08-145D-4106-B6A6-4ECE620FDECB}"/>
    <cellStyle name="Calculation 34 9" xfId="21525" xr:uid="{5D4FEF50-7411-436B-904F-40034008062D}"/>
    <cellStyle name="Calculation 35" xfId="1454" xr:uid="{7E801E44-6627-4367-A271-B4F1523DD1A6}"/>
    <cellStyle name="Calculation 35 10" xfId="16065" xr:uid="{B6F2EF03-03EC-4F20-AD5A-F3F7F7D717A9}"/>
    <cellStyle name="Calculation 35 11" xfId="21316" xr:uid="{99550902-BA75-495C-A9E1-9EBD848EC5DA}"/>
    <cellStyle name="Calculation 35 12" xfId="18865" xr:uid="{E10E32CF-62C5-407C-8983-340F95C4D944}"/>
    <cellStyle name="Calculation 35 13" xfId="22044" xr:uid="{194C7D9E-1679-41B3-B6D6-166C69975358}"/>
    <cellStyle name="Calculation 35 14" xfId="24630" xr:uid="{966142B6-7164-4601-91C7-86C7024D8D26}"/>
    <cellStyle name="Calculation 35 15" xfId="25040" xr:uid="{FA299E0E-05C7-42D0-BF57-0CA22EB66547}"/>
    <cellStyle name="Calculation 35 16" xfId="26293" xr:uid="{7DD65B85-499F-419A-815C-044F574BB315}"/>
    <cellStyle name="Calculation 35 17" xfId="23720" xr:uid="{19A9592F-67B5-4BE9-ABED-2B2B0CD95573}"/>
    <cellStyle name="Calculation 35 18" xfId="27133" xr:uid="{EE9887F7-2C30-4270-840C-AC457C3E544B}"/>
    <cellStyle name="Calculation 35 19" xfId="27093" xr:uid="{21CB540B-9028-479E-9187-BB9143C4B1EA}"/>
    <cellStyle name="Calculation 35 2" xfId="9483" xr:uid="{D7D90B97-56D5-4F99-BCD1-285F687EC818}"/>
    <cellStyle name="Calculation 35 20" xfId="27052" xr:uid="{F1BB843B-BB26-4580-BF1B-7F2186F6211D}"/>
    <cellStyle name="Calculation 35 21" xfId="25586" xr:uid="{44BA14AD-2EA7-4409-8031-AFDA376F1270}"/>
    <cellStyle name="Calculation 35 22" xfId="29319" xr:uid="{60E311BC-A59A-47AA-BD7E-C4F8AF872379}"/>
    <cellStyle name="Calculation 35 23" xfId="27524" xr:uid="{B53E68AC-2F40-41B5-803E-416E81F7A2E9}"/>
    <cellStyle name="Calculation 35 24" xfId="30012" xr:uid="{9E0D1B7A-CA69-44B4-A2E0-D51716EA6F0E}"/>
    <cellStyle name="Calculation 35 25" xfId="25839" xr:uid="{7048AC2B-F574-448B-9A3B-9DD2CCFBE1ED}"/>
    <cellStyle name="Calculation 35 26" xfId="6182" xr:uid="{DDCA710E-57DB-4DC4-86AB-011824C8FE19}"/>
    <cellStyle name="Calculation 35 3" xfId="10078" xr:uid="{68D01258-995C-48B3-A3E1-04C3215FA07B}"/>
    <cellStyle name="Calculation 35 4" xfId="7522" xr:uid="{B2A2AA42-3872-4FED-97FF-DF3CDA3BA12B}"/>
    <cellStyle name="Calculation 35 5" xfId="12188" xr:uid="{211E3142-56D1-4CFD-90CE-D4F5EAF08B30}"/>
    <cellStyle name="Calculation 35 6" xfId="12429" xr:uid="{B2E88E2D-6759-4D7A-894E-B3C4CA70860E}"/>
    <cellStyle name="Calculation 35 7" xfId="13886" xr:uid="{7B805DE9-A63A-4FF5-8AC2-9A39DACBB935}"/>
    <cellStyle name="Calculation 35 8" xfId="16235" xr:uid="{5B10D937-DC4E-4E0B-9A9C-36A9FE58C058}"/>
    <cellStyle name="Calculation 35 9" xfId="15289" xr:uid="{7A9BB24D-A3B6-4437-AEDE-7DCAEA3D2C8D}"/>
    <cellStyle name="Calculation 36" xfId="1455" xr:uid="{9D4FC0B7-9492-4533-BAC5-5E2F819813B9}"/>
    <cellStyle name="Calculation 36 10" xfId="17226" xr:uid="{5BAFEE9E-0A12-4B4F-A64E-5D8AE884BCF9}"/>
    <cellStyle name="Calculation 36 11" xfId="19572" xr:uid="{FDAE8ACE-E151-45AF-BFB7-6DF5BFD7F923}"/>
    <cellStyle name="Calculation 36 12" xfId="16858" xr:uid="{1E8ADFF8-424B-4AD3-9958-2FA827EC9198}"/>
    <cellStyle name="Calculation 36 13" xfId="19539" xr:uid="{768E6A00-727C-4411-B778-B4F4123AA3C8}"/>
    <cellStyle name="Calculation 36 14" xfId="18663" xr:uid="{9ED1CA8D-249C-4EDE-B6C6-A795B26B7E85}"/>
    <cellStyle name="Calculation 36 15" xfId="22260" xr:uid="{78F568D6-9DB1-4977-9B6C-D274DDBA4015}"/>
    <cellStyle name="Calculation 36 16" xfId="23853" xr:uid="{29942FCD-CEA3-4E0B-8943-C861D4F1ACEB}"/>
    <cellStyle name="Calculation 36 17" xfId="23683" xr:uid="{F8DE9AC2-8D1D-4802-AE04-334FBE4736FF}"/>
    <cellStyle name="Calculation 36 18" xfId="28556" xr:uid="{303908AA-1145-4126-A2B3-EAF63CB7CBC0}"/>
    <cellStyle name="Calculation 36 19" xfId="27106" xr:uid="{54592580-3A05-4E26-BBC7-611B379FFE28}"/>
    <cellStyle name="Calculation 36 2" xfId="9482" xr:uid="{59764CB0-1E9F-4975-B7E0-E9701D134CD5}"/>
    <cellStyle name="Calculation 36 20" xfId="29338" xr:uid="{BAFC1984-9426-4557-99C7-D89FE38D747D}"/>
    <cellStyle name="Calculation 36 21" xfId="29051" xr:uid="{80E55889-AFE2-4185-9114-8E133606F04D}"/>
    <cellStyle name="Calculation 36 22" xfId="28450" xr:uid="{E227438F-8080-402E-BE9D-19D319AF1987}"/>
    <cellStyle name="Calculation 36 23" xfId="24338" xr:uid="{4482F4DD-B83C-4258-86BB-8F7A6FDBB011}"/>
    <cellStyle name="Calculation 36 24" xfId="26835" xr:uid="{E3BB5029-FF5B-4751-BDCC-D952CA494494}"/>
    <cellStyle name="Calculation 36 25" xfId="29845" xr:uid="{DE4DFFED-C385-4C8E-9C6F-013E6255B832}"/>
    <cellStyle name="Calculation 36 26" xfId="6183" xr:uid="{F18226CA-4ADF-4DD6-9CEE-998D60B4F3B1}"/>
    <cellStyle name="Calculation 36 3" xfId="10077" xr:uid="{3EBE5F04-804B-4DEC-B556-0E7C266DB83D}"/>
    <cellStyle name="Calculation 36 4" xfId="11934" xr:uid="{C6397B9C-14E8-4F98-9BDD-BE5155E1E409}"/>
    <cellStyle name="Calculation 36 5" xfId="14770" xr:uid="{626747D2-6C00-49A7-90FD-3426E34E34B5}"/>
    <cellStyle name="Calculation 36 6" xfId="14136" xr:uid="{F00004AA-C1AC-4877-A26B-A4066CC92563}"/>
    <cellStyle name="Calculation 36 7" xfId="17318" xr:uid="{0B25A35F-6B15-45AB-A3BC-E955989F921B}"/>
    <cellStyle name="Calculation 36 8" xfId="19324" xr:uid="{30888368-B602-4E2D-A884-0BF651663DC0}"/>
    <cellStyle name="Calculation 36 9" xfId="21526" xr:uid="{AC461A38-B523-4FE2-8C9D-4397D8EC019C}"/>
    <cellStyle name="Calculation 37" xfId="1456" xr:uid="{E83D50CF-2866-449F-9273-5EBC63AD22F3}"/>
    <cellStyle name="Calculation 37 10" xfId="16044" xr:uid="{02BB8853-5B9F-41AB-972B-A7E3204440F8}"/>
    <cellStyle name="Calculation 37 11" xfId="21317" xr:uid="{24615044-DBE1-4464-8FE1-A7DCBE449686}"/>
    <cellStyle name="Calculation 37 12" xfId="20578" xr:uid="{D85001C9-DC8C-488D-84A3-736BFB17D691}"/>
    <cellStyle name="Calculation 37 13" xfId="17888" xr:uid="{440E2042-FD94-4E2B-A159-77F36A428B4B}"/>
    <cellStyle name="Calculation 37 14" xfId="22825" xr:uid="{4380A027-13C1-402D-A8C8-6A20B6E30A6C}"/>
    <cellStyle name="Calculation 37 15" xfId="25390" xr:uid="{6D62DE64-06E5-4348-AB8A-8C348000F6C7}"/>
    <cellStyle name="Calculation 37 16" xfId="26758" xr:uid="{7DFE4A3D-C9C7-4953-B378-3AD687C7D04A}"/>
    <cellStyle name="Calculation 37 17" xfId="24377" xr:uid="{22EED4E5-F641-498A-A17C-8ECD60B4A524}"/>
    <cellStyle name="Calculation 37 18" xfId="25643" xr:uid="{15A45D40-2112-4867-9F06-80B944D65402}"/>
    <cellStyle name="Calculation 37 19" xfId="28498" xr:uid="{DF3539C2-1C06-4DC6-BB35-E4E6D70C8AF4}"/>
    <cellStyle name="Calculation 37 2" xfId="9481" xr:uid="{FEF3A0E9-F45D-419B-8E88-A25C230EE34D}"/>
    <cellStyle name="Calculation 37 20" xfId="28380" xr:uid="{01997A28-6591-4C89-B652-C62BE3243155}"/>
    <cellStyle name="Calculation 37 21" xfId="26453" xr:uid="{94EA1DFE-4926-404C-B7F0-BD77A9FBF6A6}"/>
    <cellStyle name="Calculation 37 22" xfId="29318" xr:uid="{6118DE3E-DC21-47BC-BEEC-571B63C84E83}"/>
    <cellStyle name="Calculation 37 23" xfId="29843" xr:uid="{E2D117A5-9543-402F-BA14-BA93EEAF88D3}"/>
    <cellStyle name="Calculation 37 24" xfId="26531" xr:uid="{970C79B4-394C-4506-BDC0-931AD164B4E9}"/>
    <cellStyle name="Calculation 37 25" xfId="29049" xr:uid="{981D2146-773D-4816-8FB2-D89DB3E03847}"/>
    <cellStyle name="Calculation 37 26" xfId="6184" xr:uid="{85D2270B-2CC4-4CE4-98C6-1A841857B9D9}"/>
    <cellStyle name="Calculation 37 3" xfId="10076" xr:uid="{B44D3EEC-A722-4A1C-A501-2B4082424D30}"/>
    <cellStyle name="Calculation 37 4" xfId="7523" xr:uid="{294DB205-1057-49BA-BFF5-A29850835E0E}"/>
    <cellStyle name="Calculation 37 5" xfId="12189" xr:uid="{39CD49A5-C5B4-462C-B3FC-2273BA159FB3}"/>
    <cellStyle name="Calculation 37 6" xfId="12428" xr:uid="{2E3EE19C-3C12-4F87-BF79-5C040BA4B79F}"/>
    <cellStyle name="Calculation 37 7" xfId="13771" xr:uid="{335466AF-A732-448E-89A9-5F6870F7757C}"/>
    <cellStyle name="Calculation 37 8" xfId="18158" xr:uid="{C60CB4C5-6E5C-4F3B-851F-F282203A4EB3}"/>
    <cellStyle name="Calculation 37 9" xfId="19669" xr:uid="{431CCBB8-360B-42A0-AFBE-58361E9B4E69}"/>
    <cellStyle name="Calculation 38" xfId="1457" xr:uid="{68078A78-BCF5-4B73-B47F-6317C8B83BC4}"/>
    <cellStyle name="Calculation 38 10" xfId="17227" xr:uid="{981E7014-7F15-4935-8E27-1A2BFB9B888F}"/>
    <cellStyle name="Calculation 38 11" xfId="20900" xr:uid="{311DD9C2-FE68-4018-8ADC-F7EEA9C80376}"/>
    <cellStyle name="Calculation 38 12" xfId="18866" xr:uid="{098901E1-EAEE-41F6-97AF-9FA19A7AF4DD}"/>
    <cellStyle name="Calculation 38 13" xfId="21249" xr:uid="{0FEA04A3-D70F-408A-AF3D-38BCAEF8D867}"/>
    <cellStyle name="Calculation 38 14" xfId="24631" xr:uid="{5D872A62-A7E9-4687-A01E-9733386ED0C4}"/>
    <cellStyle name="Calculation 38 15" xfId="25807" xr:uid="{7F200882-0B06-4F50-BF66-05A55D342F50}"/>
    <cellStyle name="Calculation 38 16" xfId="26294" xr:uid="{1EAEE74D-32FA-48BB-A068-ACA696249F7B}"/>
    <cellStyle name="Calculation 38 17" xfId="25820" xr:uid="{4BF3D8AF-6B66-467C-A140-B0E4160F3F21}"/>
    <cellStyle name="Calculation 38 18" xfId="28557" xr:uid="{871A5A93-6850-4762-8CAD-3D7854729428}"/>
    <cellStyle name="Calculation 38 19" xfId="26082" xr:uid="{E426D58B-56E9-4654-BD3C-53E9A57F16E2}"/>
    <cellStyle name="Calculation 38 2" xfId="9480" xr:uid="{EFB55C42-CD7A-4221-AE84-2D803E6C4E18}"/>
    <cellStyle name="Calculation 38 20" xfId="26054" xr:uid="{A7694AA3-16F0-41E0-890F-B770283B9F33}"/>
    <cellStyle name="Calculation 38 21" xfId="29857" xr:uid="{D5DA5C60-BF0E-4558-AA78-C24FCEEA4492}"/>
    <cellStyle name="Calculation 38 22" xfId="23755" xr:uid="{11915C51-DE0B-4B2C-A543-C8D7A4A261FB}"/>
    <cellStyle name="Calculation 38 23" xfId="29937" xr:uid="{F7ED61D4-B265-4992-93A3-528C60A70D5D}"/>
    <cellStyle name="Calculation 38 24" xfId="28772" xr:uid="{125EC175-9CAC-43C9-9D03-D1EE2149EA42}"/>
    <cellStyle name="Calculation 38 25" xfId="29941" xr:uid="{A555B780-9D1E-438C-A2B8-6117D6B9045D}"/>
    <cellStyle name="Calculation 38 26" xfId="6185" xr:uid="{F5123AE2-2DE4-4D33-ACF2-1110FFA533AB}"/>
    <cellStyle name="Calculation 38 3" xfId="10075" xr:uid="{22A41456-CBE0-4ADC-888F-905D318D7A40}"/>
    <cellStyle name="Calculation 38 4" xfId="11935" xr:uid="{A7911179-B55C-477F-8193-01CC230936D4}"/>
    <cellStyle name="Calculation 38 5" xfId="14771" xr:uid="{0F232542-24AA-4D24-AFDF-A40CB20AA988}"/>
    <cellStyle name="Calculation 38 6" xfId="14137" xr:uid="{A0666928-B019-4444-8D72-9171B221D81C}"/>
    <cellStyle name="Calculation 38 7" xfId="14516" xr:uid="{64D28EF1-943C-4690-B1C1-3CB229511BC3}"/>
    <cellStyle name="Calculation 38 8" xfId="12626" xr:uid="{5D20353A-AAC4-4226-AA68-61DBDBCC37A3}"/>
    <cellStyle name="Calculation 38 9" xfId="21527" xr:uid="{D61F1F74-8F90-454B-BA9A-4876DE7373E8}"/>
    <cellStyle name="Calculation 39" xfId="1458" xr:uid="{2D3B2BA9-D0AA-45CB-8B35-F7DF4DBF8620}"/>
    <cellStyle name="Calculation 39 10" xfId="12672" xr:uid="{23F62BA8-FEBB-4394-AF72-39DC9FC330DE}"/>
    <cellStyle name="Calculation 39 11" xfId="21318" xr:uid="{59F423E3-2B5A-469B-B3D7-301FDE1F864E}"/>
    <cellStyle name="Calculation 39 12" xfId="20579" xr:uid="{333051CC-9B08-47CB-883C-7171F8DE3055}"/>
    <cellStyle name="Calculation 39 13" xfId="22043" xr:uid="{90D61E7E-ABD8-46C5-8375-1FE609FA2064}"/>
    <cellStyle name="Calculation 39 14" xfId="18770" xr:uid="{7EDC5978-41E0-467E-A3E5-A5DA7F54749B}"/>
    <cellStyle name="Calculation 39 15" xfId="23427" xr:uid="{1BBDC69D-8AD0-47D1-BA76-A0CC32442E1B}"/>
    <cellStyle name="Calculation 39 16" xfId="20341" xr:uid="{025B41D5-D224-458A-9805-3C3542D9BF5A}"/>
    <cellStyle name="Calculation 39 17" xfId="25553" xr:uid="{E6B956E5-1186-4CA4-8FAE-EABADE005C8A}"/>
    <cellStyle name="Calculation 39 18" xfId="27134" xr:uid="{77CFBBF3-7A30-4E58-B764-9D9F5209C916}"/>
    <cellStyle name="Calculation 39 19" xfId="28499" xr:uid="{FF3786FB-7685-4FAF-8D8A-E43D6CC5C4A7}"/>
    <cellStyle name="Calculation 39 2" xfId="9479" xr:uid="{BA6305C9-23F7-44D9-AEF9-A81C1F8D3E47}"/>
    <cellStyle name="Calculation 39 20" xfId="29339" xr:uid="{7E0CC739-AEA4-4669-B38A-DBE2B00F0784}"/>
    <cellStyle name="Calculation 39 21" xfId="27827" xr:uid="{76C4AB4F-AF93-4E05-B380-C60151B7D608}"/>
    <cellStyle name="Calculation 39 22" xfId="29535" xr:uid="{189DCA42-DA98-47A5-8AAF-A573AE38A315}"/>
    <cellStyle name="Calculation 39 23" xfId="27522" xr:uid="{90BF89AF-0181-4ABF-BE80-7FAF3896EF86}"/>
    <cellStyle name="Calculation 39 24" xfId="27700" xr:uid="{310EB438-8E30-48F6-A87A-58745E232CF5}"/>
    <cellStyle name="Calculation 39 25" xfId="26545" xr:uid="{F3E822C9-3FB3-4B65-B19F-1B03FF08E64A}"/>
    <cellStyle name="Calculation 39 26" xfId="6186" xr:uid="{9BC75695-DFCD-430A-8E10-2E854CCD74BA}"/>
    <cellStyle name="Calculation 39 3" xfId="10074" xr:uid="{14079892-061E-42AD-9F33-CDF840862F27}"/>
    <cellStyle name="Calculation 39 4" xfId="7524" xr:uid="{4C21C1FE-95C3-4061-8626-361F7F35A9DF}"/>
    <cellStyle name="Calculation 39 5" xfId="12187" xr:uid="{EB015DD9-69C9-479A-AA1C-E74136C9714C}"/>
    <cellStyle name="Calculation 39 6" xfId="12427" xr:uid="{63756ECF-0A77-41DC-89EC-223007FE8718}"/>
    <cellStyle name="Calculation 39 7" xfId="17319" xr:uid="{718F8DF4-9F1D-46DD-B8E0-08A32C0E99E0}"/>
    <cellStyle name="Calculation 39 8" xfId="18159" xr:uid="{488692AA-4083-4F2C-8648-64C1ED1915C6}"/>
    <cellStyle name="Calculation 39 9" xfId="17704" xr:uid="{A2332EB9-BD75-48C6-8320-EA4C724F2ACE}"/>
    <cellStyle name="Calculation 4" xfId="1459" xr:uid="{80462E29-EDC9-4E64-A786-E3AD2426445C}"/>
    <cellStyle name="Calculation 4 10" xfId="17228" xr:uid="{BB8979E6-4112-42AC-8B9B-657FD2102D0A}"/>
    <cellStyle name="Calculation 4 11" xfId="16981" xr:uid="{B1654203-E0A2-49CC-AC8C-B719C991142D}"/>
    <cellStyle name="Calculation 4 12" xfId="20121" xr:uid="{728060F2-7DA2-45D4-BC15-F80CF1643982}"/>
    <cellStyle name="Calculation 4 13" xfId="21234" xr:uid="{F35C4477-C85F-4EB0-92A9-6C2BCC92646F}"/>
    <cellStyle name="Calculation 4 14" xfId="24632" xr:uid="{6618D75A-7AFA-4DBA-AA1E-65473C084A38}"/>
    <cellStyle name="Calculation 4 15" xfId="24470" xr:uid="{69EA2142-4470-4AFE-B270-66ECF8E3BD2E}"/>
    <cellStyle name="Calculation 4 16" xfId="26295" xr:uid="{56EF4EA9-B587-49C5-84FB-3A5F89B5FF8D}"/>
    <cellStyle name="Calculation 4 17" xfId="25476" xr:uid="{1F695CBC-F903-4C81-982E-C3F103848278}"/>
    <cellStyle name="Calculation 4 18" xfId="28558" xr:uid="{00E92FAF-6E46-47D9-AA8C-9F7FF0EAFD5E}"/>
    <cellStyle name="Calculation 4 19" xfId="27107" xr:uid="{B393EBAA-0DF8-4C10-AACA-9CE1A94528A7}"/>
    <cellStyle name="Calculation 4 2" xfId="9478" xr:uid="{650FE0A6-DC00-41EB-ABDA-6B10764AA61A}"/>
    <cellStyle name="Calculation 4 20" xfId="29740" xr:uid="{AC0026C1-8308-43FA-B9D7-CF70A3149BCD}"/>
    <cellStyle name="Calculation 4 21" xfId="29648" xr:uid="{459C08FA-981E-430F-92E0-A1593F81950F}"/>
    <cellStyle name="Calculation 4 22" xfId="29317" xr:uid="{45BC23ED-22A1-4718-BD38-53FA03AE14C9}"/>
    <cellStyle name="Calculation 4 23" xfId="27712" xr:uid="{546EF21A-B839-4A90-B36B-1D11A0B70597}"/>
    <cellStyle name="Calculation 4 24" xfId="26834" xr:uid="{754B2498-BB5B-4FBA-BB7C-8126AA853C50}"/>
    <cellStyle name="Calculation 4 25" xfId="25981" xr:uid="{3F3630F0-C71F-4BB1-92B5-B79E60A40C00}"/>
    <cellStyle name="Calculation 4 26" xfId="6187" xr:uid="{1316FEE7-94B2-4470-B0F6-E1A4ABB97A89}"/>
    <cellStyle name="Calculation 4 3" xfId="10073" xr:uid="{60EE8DCC-0CE3-4D5D-B0DD-6169C9148DE5}"/>
    <cellStyle name="Calculation 4 4" xfId="11936" xr:uid="{6A8E4D5F-2531-4794-9655-9BB90A2E45E7}"/>
    <cellStyle name="Calculation 4 5" xfId="12185" xr:uid="{7EBADFAE-E1B2-42AB-AD46-40ACCE8C9EFB}"/>
    <cellStyle name="Calculation 4 6" xfId="14138" xr:uid="{0389ABA1-C4A5-4143-B0AD-E191A510B126}"/>
    <cellStyle name="Calculation 4 7" xfId="15658" xr:uid="{AF2EA75A-5F9D-4BCC-B6E9-B45C42C52DF2}"/>
    <cellStyle name="Calculation 4 8" xfId="18677" xr:uid="{B28AFCD9-4BCD-4C64-8E05-F91F2EF11F7C}"/>
    <cellStyle name="Calculation 4 9" xfId="21528" xr:uid="{38022C57-FB41-44F3-BC10-68B2D6678E23}"/>
    <cellStyle name="Calculation 40" xfId="1460" xr:uid="{BB509AD0-3B94-401D-8DE0-C4862F2080D8}"/>
    <cellStyle name="Calculation 40 10" xfId="15678" xr:uid="{EAEE62A0-670D-4C26-856A-976E6ED66CC0}"/>
    <cellStyle name="Calculation 40 11" xfId="21319" xr:uid="{EE720A0E-8F4C-4AFA-A06F-336D7FE9451B}"/>
    <cellStyle name="Calculation 40 12" xfId="20580" xr:uid="{E367FC12-A398-4EDB-BC27-9285573445BA}"/>
    <cellStyle name="Calculation 40 13" xfId="17794" xr:uid="{A87ABD5C-3DDA-4DA9-85BD-5C0E164E59AB}"/>
    <cellStyle name="Calculation 40 14" xfId="24207" xr:uid="{37465808-6319-4D61-B122-3D333E139F45}"/>
    <cellStyle name="Calculation 40 15" xfId="25389" xr:uid="{96B7A0B2-2C78-4D9A-99EC-0A3CFC40CFCB}"/>
    <cellStyle name="Calculation 40 16" xfId="23854" xr:uid="{AA429ECE-CA40-4D78-A0A6-AFBE2DCBA8FF}"/>
    <cellStyle name="Calculation 40 17" xfId="24378" xr:uid="{7D75A089-DDA0-473D-88B0-E97975C97303}"/>
    <cellStyle name="Calculation 40 18" xfId="21906" xr:uid="{5BFBD40B-AD18-499A-9185-BF4CD1526E30}"/>
    <cellStyle name="Calculation 40 19" xfId="28500" xr:uid="{1AAEBE83-0D4C-4206-8CB8-BE170421F730}"/>
    <cellStyle name="Calculation 40 2" xfId="9477" xr:uid="{9171B51A-34C5-43CB-8AB0-299BFCB1DA9C}"/>
    <cellStyle name="Calculation 40 20" xfId="27053" xr:uid="{3AE24EAD-B2B4-4FA4-970C-67EA88A5A58A}"/>
    <cellStyle name="Calculation 40 21" xfId="27656" xr:uid="{5F0BA7F9-0612-48DE-B27A-2D78EDD14B3F}"/>
    <cellStyle name="Calculation 40 22" xfId="28451" xr:uid="{016C2650-6B94-4197-97FD-46AAD0CD06C3}"/>
    <cellStyle name="Calculation 40 23" xfId="29406" xr:uid="{A0280327-44AA-4B7B-A72F-37C165EB8980}"/>
    <cellStyle name="Calculation 40 24" xfId="26908" xr:uid="{E9C994FE-AC82-4B73-95BC-9AC399B178F4}"/>
    <cellStyle name="Calculation 40 25" xfId="28923" xr:uid="{47932ECE-AF95-4069-9E46-57F07A2126F1}"/>
    <cellStyle name="Calculation 40 26" xfId="6188" xr:uid="{7D7458FF-8867-4EA2-B1B5-E6CD3DFFEBE7}"/>
    <cellStyle name="Calculation 40 3" xfId="10072" xr:uid="{32945A11-5B32-4941-A27A-B188FA2D54A7}"/>
    <cellStyle name="Calculation 40 4" xfId="7525" xr:uid="{E92B4EF4-C30C-4D36-BE09-EDAC3F16512F}"/>
    <cellStyle name="Calculation 40 5" xfId="12186" xr:uid="{454D4AF5-6F6C-44E7-8C00-F45EC6A6AA54}"/>
    <cellStyle name="Calculation 40 6" xfId="12426" xr:uid="{AFFC1928-1640-441F-B54D-BB32007A6F32}"/>
    <cellStyle name="Calculation 40 7" xfId="17320" xr:uid="{ABA0E7A1-580B-46DB-AB26-17094DF7C779}"/>
    <cellStyle name="Calculation 40 8" xfId="19321" xr:uid="{D7470393-A502-47A8-BE23-858E74E53F58}"/>
    <cellStyle name="Calculation 40 9" xfId="19655" xr:uid="{1D216D48-B190-4753-8970-1DF5BCCD2C5A}"/>
    <cellStyle name="Calculation 41" xfId="1461" xr:uid="{0CA77E6E-DE5F-43CE-9257-2935F8809056}"/>
    <cellStyle name="Calculation 41 10" xfId="17229" xr:uid="{1973B259-3095-4323-B2F3-0E54FF68A004}"/>
    <cellStyle name="Calculation 41 11" xfId="19573" xr:uid="{38C7C2C4-9D0B-4293-998E-E3ABA3516CB1}"/>
    <cellStyle name="Calculation 41 12" xfId="15377" xr:uid="{78698E4F-9C9E-43ED-8238-C7964B8D38B9}"/>
    <cellStyle name="Calculation 41 13" xfId="17889" xr:uid="{8CCAE2C5-CC6B-4EBF-9B1B-3495EDA4F917}"/>
    <cellStyle name="Calculation 41 14" xfId="24633" xr:uid="{6049CFF2-C620-4605-8CB7-F41812487290}"/>
    <cellStyle name="Calculation 41 15" xfId="21858" xr:uid="{E6D5E063-EAA6-4F1A-A764-43861D474CD5}"/>
    <cellStyle name="Calculation 41 16" xfId="26755" xr:uid="{7BC2100A-01F2-4808-9AB6-D94BCF499BB0}"/>
    <cellStyle name="Calculation 41 17" xfId="26446" xr:uid="{47E76BE2-23DC-4223-8278-A8B4950392EB}"/>
    <cellStyle name="Calculation 41 18" xfId="28559" xr:uid="{37423B32-0BC6-454E-9F48-03D6D918E086}"/>
    <cellStyle name="Calculation 41 19" xfId="23763" xr:uid="{49C17731-DDA5-473B-8174-E07C344DE786}"/>
    <cellStyle name="Calculation 41 2" xfId="9476" xr:uid="{6114CDDC-11AB-40AA-87C1-B51E1914BE76}"/>
    <cellStyle name="Calculation 41 20" xfId="29335" xr:uid="{6391DCA3-5861-4CC1-8A0E-084D08CA5730}"/>
    <cellStyle name="Calculation 41 21" xfId="27739" xr:uid="{9C83B48F-49FF-40E6-A67B-6E166A7A4673}"/>
    <cellStyle name="Calculation 41 22" xfId="28440" xr:uid="{D4CC766C-8C97-478E-9276-1EB7B6EFAD14}"/>
    <cellStyle name="Calculation 41 23" xfId="27766" xr:uid="{735F2657-AFB7-447D-91AA-D302E9B90CAB}"/>
    <cellStyle name="Calculation 41 24" xfId="29025" xr:uid="{0CA807C7-B212-48A3-A4FF-501D3E5B628F}"/>
    <cellStyle name="Calculation 41 25" xfId="29942" xr:uid="{625BA363-1EE6-475E-90F9-FA1B4156B260}"/>
    <cellStyle name="Calculation 41 26" xfId="6189" xr:uid="{E4AFA483-FA23-4EDA-A932-D6BD6E0D66CD}"/>
    <cellStyle name="Calculation 41 3" xfId="10071" xr:uid="{C0683722-612C-404B-B785-3FF65FECD1B3}"/>
    <cellStyle name="Calculation 41 4" xfId="11937" xr:uid="{08D0009F-7EAC-4404-8633-6D86D5D1C8B0}"/>
    <cellStyle name="Calculation 41 5" xfId="14772" xr:uid="{FFB2A538-B616-4551-BCED-A188E29C9BCD}"/>
    <cellStyle name="Calculation 41 6" xfId="14139" xr:uid="{5540B122-A0D8-4B6A-9779-9A7BCB3875E8}"/>
    <cellStyle name="Calculation 41 7" xfId="16807" xr:uid="{8EE41FA7-C2C6-499A-9C50-D3113BF25F95}"/>
    <cellStyle name="Calculation 41 8" xfId="15777" xr:uid="{6B3BE449-ECB5-4B2B-BADC-684026E1B1AA}"/>
    <cellStyle name="Calculation 41 9" xfId="19670" xr:uid="{144342FD-FFC3-4ABA-95B2-57FA0EC40FDF}"/>
    <cellStyle name="Calculation 42" xfId="1462" xr:uid="{5A8FF502-8EEB-4DDC-8E8C-8FE6F7566F01}"/>
    <cellStyle name="Calculation 42 10" xfId="14536" xr:uid="{131C84B2-CBA9-473D-91FD-5354065C886E}"/>
    <cellStyle name="Calculation 42 11" xfId="21320" xr:uid="{D53A3518-9B29-48B0-B162-411BA7E83E17}"/>
    <cellStyle name="Calculation 42 12" xfId="20581" xr:uid="{D27FC796-FE29-45DD-B218-448CC7892989}"/>
    <cellStyle name="Calculation 42 13" xfId="21250" xr:uid="{10805356-06A1-4880-A579-B8E386AE2B24}"/>
    <cellStyle name="Calculation 42 14" xfId="22826" xr:uid="{2705F8A6-C756-4B7E-9C87-AE0E5A5B7BA6}"/>
    <cellStyle name="Calculation 42 15" xfId="22684" xr:uid="{5F23D7F5-FD99-4E53-B57E-5DFF5A05E804}"/>
    <cellStyle name="Calculation 42 16" xfId="26296" xr:uid="{C54D0D53-3E0F-45A8-AC11-53B790F7DC88}"/>
    <cellStyle name="Calculation 42 17" xfId="22646" xr:uid="{E2B50569-F1CA-45BC-A4C1-6184FECB242B}"/>
    <cellStyle name="Calculation 42 18" xfId="27135" xr:uid="{E04A9A7F-9F5F-42AB-8895-79E4049A9F44}"/>
    <cellStyle name="Calculation 42 19" xfId="28501" xr:uid="{EAC2702A-68A2-4CC9-BA79-46C06496ED9A}"/>
    <cellStyle name="Calculation 42 2" xfId="9475" xr:uid="{9D4E92EA-7079-446A-8EA3-841CFB0140DF}"/>
    <cellStyle name="Calculation 42 20" xfId="27059" xr:uid="{CD5C6CFF-7B47-4C4F-A6A8-A2EE19D4C13A}"/>
    <cellStyle name="Calculation 42 21" xfId="27828" xr:uid="{ED931D57-6075-4B32-843E-0A9591CE474B}"/>
    <cellStyle name="Calculation 42 22" xfId="26071" xr:uid="{B67B2453-CAAA-4B45-8E12-D12F1A051618}"/>
    <cellStyle name="Calculation 42 23" xfId="29634" xr:uid="{F1E53DFC-409F-4489-B673-008A95C5A455}"/>
    <cellStyle name="Calculation 42 24" xfId="29363" xr:uid="{A889A392-E559-4A60-AB81-0D4588A77BB2}"/>
    <cellStyle name="Calculation 42 25" xfId="27767" xr:uid="{479AB964-0FE9-4AD0-B033-6DEF59FEDA48}"/>
    <cellStyle name="Calculation 42 26" xfId="6190" xr:uid="{013D5731-603F-4265-95E8-3AE0EE04C944}"/>
    <cellStyle name="Calculation 42 3" xfId="10070" xr:uid="{B1B525FB-40F1-4327-89AD-0F57B62F0C90}"/>
    <cellStyle name="Calculation 42 4" xfId="7526" xr:uid="{C64645FA-FD10-43D5-8E18-DEC77A009C6D}"/>
    <cellStyle name="Calculation 42 5" xfId="12184" xr:uid="{0CB8D84C-6853-4393-A0F0-5C02B2314A64}"/>
    <cellStyle name="Calculation 42 6" xfId="12425" xr:uid="{0DAF80A7-00E6-4071-A03C-FCC4DEDFE823}"/>
    <cellStyle name="Calculation 42 7" xfId="18475" xr:uid="{E8CBFB54-B4A0-4A2A-ACB3-8560391803AD}"/>
    <cellStyle name="Calculation 42 8" xfId="18160" xr:uid="{8696A8D4-54CF-40CB-81F7-5D6526BDEBE6}"/>
    <cellStyle name="Calculation 42 9" xfId="21529" xr:uid="{E941CF4E-DFFF-4B07-82E3-97CB702CBE30}"/>
    <cellStyle name="Calculation 43" xfId="1463" xr:uid="{C642BD63-A6C9-442A-B2C9-0B24CB8E52EE}"/>
    <cellStyle name="Calculation 43 10" xfId="15681" xr:uid="{9BA6AAD5-A60B-4B23-9892-A700D08281FC}"/>
    <cellStyle name="Calculation 43 11" xfId="17774" xr:uid="{94E66028-066B-4E82-8D4E-533C2E4CEA4E}"/>
    <cellStyle name="Calculation 43 12" xfId="21676" xr:uid="{42168AA3-09EB-490F-8CA8-15854C78B4C7}"/>
    <cellStyle name="Calculation 43 13" xfId="22042" xr:uid="{8F1BAE81-FA45-489E-8057-BA999A8DBF32}"/>
    <cellStyle name="Calculation 43 14" xfId="24634" xr:uid="{6E76682E-A60E-454B-9F59-70E2FB33F26D}"/>
    <cellStyle name="Calculation 43 15" xfId="24471" xr:uid="{9DE26D19-2D4D-45AA-B9A0-A49C2A39F3AC}"/>
    <cellStyle name="Calculation 43 16" xfId="23404" xr:uid="{53808BDD-88A8-4515-BB07-387B66900431}"/>
    <cellStyle name="Calculation 43 17" xfId="23613" xr:uid="{32AB62C3-5F6B-4DF3-B77A-7D622132E7ED}"/>
    <cellStyle name="Calculation 43 18" xfId="28560" xr:uid="{0B3C82B4-5C8C-4521-9395-833BD1A41769}"/>
    <cellStyle name="Calculation 43 19" xfId="29307" xr:uid="{ACFD15FF-1C92-4207-BC61-D66959E92AB3}"/>
    <cellStyle name="Calculation 43 2" xfId="9474" xr:uid="{87CF2874-5E96-47A3-A3E7-3E1182E40AA4}"/>
    <cellStyle name="Calculation 43 20" xfId="28394" xr:uid="{0DF233E7-25B7-42EA-9D53-6DD0B8734C07}"/>
    <cellStyle name="Calculation 43 21" xfId="28062" xr:uid="{10302EF7-736D-4BFD-B70B-D0DBA2588087}"/>
    <cellStyle name="Calculation 43 22" xfId="28452" xr:uid="{2E59197B-0F42-4B3F-9C1D-7F97C071D4FF}"/>
    <cellStyle name="Calculation 43 23" xfId="29938" xr:uid="{5F2CE840-6D27-4870-9115-CD315469E014}"/>
    <cellStyle name="Calculation 43 24" xfId="26945" xr:uid="{4AB8FA47-E07A-49C4-BB6B-FD951DB5F0A3}"/>
    <cellStyle name="Calculation 43 25" xfId="29846" xr:uid="{F9C42C12-97B2-40A6-ADEF-4048761329CC}"/>
    <cellStyle name="Calculation 43 26" xfId="6191" xr:uid="{F13D8F85-2C6F-49CE-94F8-2F9D6D0FE797}"/>
    <cellStyle name="Calculation 43 3" xfId="10069" xr:uid="{0BC1CF88-5D00-4C9B-BF40-ED7226275AD6}"/>
    <cellStyle name="Calculation 43 4" xfId="11938" xr:uid="{B70A7A29-46BA-4994-BC0B-08A24688C72E}"/>
    <cellStyle name="Calculation 43 5" xfId="14773" xr:uid="{E004B10E-EC7B-425F-BC33-7E9EEF4D48A3}"/>
    <cellStyle name="Calculation 43 6" xfId="14140" xr:uid="{0326A88C-5089-4BC4-8FC1-267B3E1F81A0}"/>
    <cellStyle name="Calculation 43 7" xfId="12683" xr:uid="{486CE136-3D52-4C34-817E-E295501BDCD6}"/>
    <cellStyle name="Calculation 43 8" xfId="16237" xr:uid="{7F0A8CED-FA48-47FC-A285-D2AE98B19050}"/>
    <cellStyle name="Calculation 43 9" xfId="13908" xr:uid="{B3EDDAA6-93B3-4BBB-8B64-0687CBA776C5}"/>
    <cellStyle name="Calculation 44" xfId="8215" xr:uid="{FF7F9956-F9A6-4447-A3D5-28A342CC8BC8}"/>
    <cellStyle name="Calculation 44 10" xfId="17215" xr:uid="{23B3870B-26E4-4152-AC84-7BF413C03C73}"/>
    <cellStyle name="Calculation 44 11" xfId="21304" xr:uid="{325BEA01-7A9E-4833-83F9-EB12B7020FAB}"/>
    <cellStyle name="Calculation 44 12" xfId="18858" xr:uid="{9EF756D4-6AD1-4BEC-ADB4-920BDB0E81C5}"/>
    <cellStyle name="Calculation 44 13" xfId="20181" xr:uid="{33D42795-42B0-4869-933E-DAC5BD7E7F0C}"/>
    <cellStyle name="Calculation 44 14" xfId="24617" xr:uid="{E52A55AE-7667-422C-B6E4-19C283C1FD91}"/>
    <cellStyle name="Calculation 44 15" xfId="24462" xr:uid="{38151042-16F7-4BFA-8C55-52B5E54831FF}"/>
    <cellStyle name="Calculation 44 16" xfId="26280" xr:uid="{F179D2A0-5519-4D90-9686-8B31883059C9}"/>
    <cellStyle name="Calculation 44 17" xfId="25557" xr:uid="{92953434-538D-43BC-9599-58ADC7A26BFF}"/>
    <cellStyle name="Calculation 44 18" xfId="28541" xr:uid="{833E9848-B124-4647-B15A-B18521A4F342}"/>
    <cellStyle name="Calculation 44 19" xfId="28035" xr:uid="{4452017D-078D-4206-B11C-2EC7EFE0A9A7}"/>
    <cellStyle name="Calculation 44 2" xfId="9512" xr:uid="{E1B988F3-029E-4AAC-AA69-CA2A5DBC6857}"/>
    <cellStyle name="Calculation 44 20" xfId="26811" xr:uid="{88EDF723-5807-4B80-A25D-C904B95DF62F}"/>
    <cellStyle name="Calculation 44 21" xfId="27775" xr:uid="{58F20D05-238C-4A70-AC19-1778D5CEE0BD}"/>
    <cellStyle name="Calculation 44 22" xfId="30279" xr:uid="{09648302-104F-40BA-A8B9-3BE9A73DBB25}"/>
    <cellStyle name="Calculation 44 23" xfId="29630" xr:uid="{7973B053-F62C-4A3C-941A-1B17EA44C42A}"/>
    <cellStyle name="Calculation 44 24" xfId="29364" xr:uid="{E1BDA159-0A7D-4D7B-9774-E2D3F23C21A7}"/>
    <cellStyle name="Calculation 44 25" xfId="28719" xr:uid="{0BE888A7-8992-4655-B237-F3C51D931A51}"/>
    <cellStyle name="Calculation 44 3" xfId="10105" xr:uid="{4E3FF4F8-7CCF-46DE-8978-325F07C26979}"/>
    <cellStyle name="Calculation 44 4" xfId="7506" xr:uid="{DA8181F7-FD83-43C9-8A94-3EB612FEE2A9}"/>
    <cellStyle name="Calculation 44 5" xfId="12237" xr:uid="{45924222-87CD-451A-BB9E-15A19E4F44EC}"/>
    <cellStyle name="Calculation 44 6" xfId="14106" xr:uid="{849364AA-D6D7-42DD-A1D7-13F760E66BD6}"/>
    <cellStyle name="Calculation 44 7" xfId="12676" xr:uid="{B3187F45-21F4-4371-BE24-8A32579C9ABA}"/>
    <cellStyle name="Calculation 44 8" xfId="18144" xr:uid="{069D7869-9646-4193-8AB6-A8385FA355D4}"/>
    <cellStyle name="Calculation 44 9" xfId="21511" xr:uid="{21F335A9-B4EC-445D-936C-D98D32C15014}"/>
    <cellStyle name="Calculation 45" xfId="6153" xr:uid="{F381AF23-027E-48D0-89A8-5294DAE63A05}"/>
    <cellStyle name="Calculation 5" xfId="1464" xr:uid="{0B6C9AC4-FEAC-4EB6-988B-C44C6485101A}"/>
    <cellStyle name="Calculation 5 10" xfId="17230" xr:uid="{44F384D9-F828-4E5B-B298-3C2233C911F7}"/>
    <cellStyle name="Calculation 5 11" xfId="21321" xr:uid="{8A8851E0-B014-4FC6-B3A1-EAF2E91B43E4}"/>
    <cellStyle name="Calculation 5 12" xfId="18867" xr:uid="{CC015428-D2D7-466A-8990-89D7EFC45C9D}"/>
    <cellStyle name="Calculation 5 13" xfId="19540" xr:uid="{419A271D-5505-4428-B29E-83B18B4C2918}"/>
    <cellStyle name="Calculation 5 14" xfId="22312" xr:uid="{F046849F-129B-48C6-8E6D-0F3B0BDB0D8A}"/>
    <cellStyle name="Calculation 5 15" xfId="20354" xr:uid="{9309AB5E-A760-40B9-B043-35D21FF9EC33}"/>
    <cellStyle name="Calculation 5 16" xfId="26297" xr:uid="{1281475D-4A85-43C7-9A35-DF3AA8BF02F7}"/>
    <cellStyle name="Calculation 5 17" xfId="24379" xr:uid="{9B95BA30-ADB5-485C-BC86-2BA645333CCA}"/>
    <cellStyle name="Calculation 5 18" xfId="26806" xr:uid="{E4BF3DDE-B1D9-4FAB-A14A-2F25A4CC1FF7}"/>
    <cellStyle name="Calculation 5 19" xfId="27108" xr:uid="{1BD0A357-27CE-4511-A09F-40B43EFA1659}"/>
    <cellStyle name="Calculation 5 2" xfId="9473" xr:uid="{14817ED6-F5D2-4493-BCD9-C7C5AEE81C14}"/>
    <cellStyle name="Calculation 5 20" xfId="29549" xr:uid="{9292BC97-DAFF-4EC8-9D88-E2B85AE053B0}"/>
    <cellStyle name="Calculation 5 21" xfId="25497" xr:uid="{49921C31-E57A-4DB5-9DB7-B878F764B8C6}"/>
    <cellStyle name="Calculation 5 22" xfId="27084" xr:uid="{A08B26EF-97AC-4F4F-BFA2-27CF0B56E050}"/>
    <cellStyle name="Calculation 5 23" xfId="29844" xr:uid="{F9886BA2-6DE9-48BB-A133-066B70719E80}"/>
    <cellStyle name="Calculation 5 24" xfId="30010" xr:uid="{EAE23429-F46F-417E-8C6B-30A2330A885E}"/>
    <cellStyle name="Calculation 5 25" xfId="29943" xr:uid="{A799BAAB-E4C6-4EA5-B20D-728B33122C5C}"/>
    <cellStyle name="Calculation 5 26" xfId="6192" xr:uid="{481DC2C5-0142-498F-890A-79ADBA4F9A8A}"/>
    <cellStyle name="Calculation 5 3" xfId="10068" xr:uid="{657AD7A3-69DE-4D97-8431-79CF4BB4C8A9}"/>
    <cellStyle name="Calculation 5 4" xfId="7527" xr:uid="{5D9F4CE8-CA8C-4FB8-ACA0-FDAE2B4C151B}"/>
    <cellStyle name="Calculation 5 5" xfId="12182" xr:uid="{913E5B06-1E84-4451-AFC1-72BED45C72DE}"/>
    <cellStyle name="Calculation 5 6" xfId="12424" xr:uid="{7F55D2D0-2582-4E51-B891-B96A730F60D6}"/>
    <cellStyle name="Calculation 5 7" xfId="17321" xr:uid="{ED918C1A-506D-4F68-8FD5-C62255A72FA9}"/>
    <cellStyle name="Calculation 5 8" xfId="18161" xr:uid="{A8D913D7-B419-43B2-8828-F2E937A7093C}"/>
    <cellStyle name="Calculation 5 9" xfId="21530" xr:uid="{2A060D1F-E7C2-4FD4-B45E-F9DF012AFB7D}"/>
    <cellStyle name="Calculation 6" xfId="1465" xr:uid="{6A73FF95-349B-42F5-B5C3-D6E62F1FDDCD}"/>
    <cellStyle name="Calculation 6 10" xfId="13896" xr:uid="{CA187400-9470-4483-AB46-9A18CCA35001}"/>
    <cellStyle name="Calculation 6 11" xfId="19574" xr:uid="{562CB844-0B14-431C-9F63-D3FC5A12FF82}"/>
    <cellStyle name="Calculation 6 12" xfId="20582" xr:uid="{02F5FD1B-C8C9-4A2B-87A2-F84143E4D8FB}"/>
    <cellStyle name="Calculation 6 13" xfId="17890" xr:uid="{E07BDFBE-D864-47DA-A4A7-085D289C64FA}"/>
    <cellStyle name="Calculation 6 14" xfId="24635" xr:uid="{170067A8-DFB9-4029-9879-0B548E7F3DE9}"/>
    <cellStyle name="Calculation 6 15" xfId="24472" xr:uid="{91F68D32-3DC6-45D1-BBE7-EA7907A998D8}"/>
    <cellStyle name="Calculation 6 16" xfId="23855" xr:uid="{6D1BC31E-0AC9-42DE-B5D2-A2DF7E15E77E}"/>
    <cellStyle name="Calculation 6 17" xfId="22664" xr:uid="{4D244902-05E8-4332-B879-BA3001D4E40C}"/>
    <cellStyle name="Calculation 6 18" xfId="28561" xr:uid="{27D21E44-2741-48CD-8D80-FCF0696F4192}"/>
    <cellStyle name="Calculation 6 19" xfId="28502" xr:uid="{A0B4F1CC-C7E6-405E-B9D9-96A2EEAD7909}"/>
    <cellStyle name="Calculation 6 2" xfId="9472" xr:uid="{F665F23E-A271-4ADC-884F-D65BB90B1727}"/>
    <cellStyle name="Calculation 6 20" xfId="29336" xr:uid="{8A911468-5782-4D61-8AD5-C468EE0EC725}"/>
    <cellStyle name="Calculation 6 21" xfId="29858" xr:uid="{3F58B737-6426-4D41-932C-5C355CED0C1B}"/>
    <cellStyle name="Calculation 6 22" xfId="28453" xr:uid="{C0DDEE65-E534-4666-8767-6DA650C851C0}"/>
    <cellStyle name="Calculation 6 23" xfId="25587" xr:uid="{1E39BA33-2408-4EBB-A406-25F778FC9928}"/>
    <cellStyle name="Calculation 6 24" xfId="29222" xr:uid="{9743411D-E80B-4CBF-9067-020D437168B9}"/>
    <cellStyle name="Calculation 6 25" xfId="28058" xr:uid="{3473B3B2-8ECD-411E-8B82-99D72AFCC99B}"/>
    <cellStyle name="Calculation 6 26" xfId="6193" xr:uid="{B53A3DC9-7BCF-4AFE-A2FD-BFA31D16C8F2}"/>
    <cellStyle name="Calculation 6 3" xfId="10067" xr:uid="{4844D51B-232F-4338-976B-10B8967A713D}"/>
    <cellStyle name="Calculation 6 4" xfId="11939" xr:uid="{D441DB2B-E6AB-460B-BFFD-33FB399F8AE8}"/>
    <cellStyle name="Calculation 6 5" xfId="14774" xr:uid="{B0694DAA-9298-4FCA-B53A-053B7166C1DD}"/>
    <cellStyle name="Calculation 6 6" xfId="14141" xr:uid="{6D3DDB42-851D-4972-9391-8B565BC9C8A8}"/>
    <cellStyle name="Calculation 6 7" xfId="13767" xr:uid="{15766D73-7E76-4BA9-A257-1D7E0675C69D}"/>
    <cellStyle name="Calculation 6 8" xfId="15760" xr:uid="{EF37BB52-793F-4A9C-9A3C-AC93FFCCC309}"/>
    <cellStyle name="Calculation 6 9" xfId="19671" xr:uid="{FB720ACA-71D7-4A1A-B028-B07669941BDA}"/>
    <cellStyle name="Calculation 7" xfId="1466" xr:uid="{1009CD59-5AFF-4284-9031-B2B22C544867}"/>
    <cellStyle name="Calculation 7 10" xfId="17231" xr:uid="{14A27B13-098F-4543-AA6B-7C8A18A1EB2F}"/>
    <cellStyle name="Calculation 7 11" xfId="21322" xr:uid="{F866387C-9484-4CF9-8355-495374E9EACD}"/>
    <cellStyle name="Calculation 7 12" xfId="16857" xr:uid="{098B651E-E424-40BC-B3F7-1FD790006B37}"/>
    <cellStyle name="Calculation 7 13" xfId="22563" xr:uid="{D8E953E0-D024-4C75-A4B9-34B9991190D8}"/>
    <cellStyle name="Calculation 7 14" xfId="20379" xr:uid="{9E826F4C-8C69-4AD8-9BCB-0B1936C9D87B}"/>
    <cellStyle name="Calculation 7 15" xfId="25388" xr:uid="{F7C4E24E-D8BB-49AB-A641-B05B6A3BCE25}"/>
    <cellStyle name="Calculation 7 16" xfId="26298" xr:uid="{6D2196F5-F159-43E8-B6D3-257F31370E46}"/>
    <cellStyle name="Calculation 7 17" xfId="25552" xr:uid="{B913954D-10B4-4F71-AD5D-A1B43F076F6F}"/>
    <cellStyle name="Calculation 7 18" xfId="27122" xr:uid="{252E78C1-9EC3-46A8-850C-8DFAD95D7A41}"/>
    <cellStyle name="Calculation 7 19" xfId="28485" xr:uid="{F7A41EA8-80FB-4000-8827-383774F0FABB}"/>
    <cellStyle name="Calculation 7 2" xfId="9471" xr:uid="{7B4BEC51-CD7F-4570-9E48-9B0A27C2FCFB}"/>
    <cellStyle name="Calculation 7 20" xfId="28364" xr:uid="{A8D89901-A0EE-457F-A297-24C1A2075A48}"/>
    <cellStyle name="Calculation 7 21" xfId="22641" xr:uid="{A34A3B06-D2F3-4448-9F0B-FEE2F1CC425C}"/>
    <cellStyle name="Calculation 7 22" xfId="29534" xr:uid="{8E09D71C-43AD-4C1D-AC36-75002C19C640}"/>
    <cellStyle name="Calculation 7 23" xfId="26013" xr:uid="{22230DA4-89D3-443D-B18A-8758E6C9790D}"/>
    <cellStyle name="Calculation 7 24" xfId="28255" xr:uid="{3587E63C-C5D2-41F7-9E1C-713183AAD7D0}"/>
    <cellStyle name="Calculation 7 25" xfId="23642" xr:uid="{EAC11783-5541-4BAA-8E3C-ECA6397EE5C8}"/>
    <cellStyle name="Calculation 7 26" xfId="6194" xr:uid="{2F95AEFA-DB62-4B1A-89C8-ADB99BEBA2B2}"/>
    <cellStyle name="Calculation 7 3" xfId="10066" xr:uid="{2CF43AAF-C91D-49C8-ABF1-617A54779C02}"/>
    <cellStyle name="Calculation 7 4" xfId="7528" xr:uid="{A6F23BDD-CF0B-48D7-BBC7-DC48ECC2674D}"/>
    <cellStyle name="Calculation 7 5" xfId="14758" xr:uid="{2BB2FDFC-AA34-4CAE-B768-3A24C2AE4AE6}"/>
    <cellStyle name="Calculation 7 6" xfId="12423" xr:uid="{4D2F0CD6-3998-4381-8C64-A4A9B006E871}"/>
    <cellStyle name="Calculation 7 7" xfId="18476" xr:uid="{32733DE9-9E8A-46C6-AB9A-4363B92B95C3}"/>
    <cellStyle name="Calculation 7 8" xfId="18162" xr:uid="{B996D9C4-FF21-478D-9DA0-26C7ADDF37E5}"/>
    <cellStyle name="Calculation 7 9" xfId="21531" xr:uid="{DB013739-6505-4F18-9C26-AEC5F51E48F5}"/>
    <cellStyle name="Calculation 8" xfId="1467" xr:uid="{32314511-1123-4531-B600-287FEF6CAEB0}"/>
    <cellStyle name="Calculation 8 10" xfId="13788" xr:uid="{607E9531-5D92-43B6-AD2F-180E4DDFFE9F}"/>
    <cellStyle name="Calculation 8 11" xfId="17019" xr:uid="{6863605F-261D-4BE4-AD88-E611276D9C8A}"/>
    <cellStyle name="Calculation 8 12" xfId="20583" xr:uid="{14BCEA3A-7F37-4CA3-9B64-99B1A19D9EEC}"/>
    <cellStyle name="Calculation 8 13" xfId="22041" xr:uid="{7F8467F5-20A6-4076-8D48-E7176525C8E0}"/>
    <cellStyle name="Calculation 8 14" xfId="24636" xr:uid="{358F7EB8-8076-4F7E-B503-02503413669B}"/>
    <cellStyle name="Calculation 8 15" xfId="21115" xr:uid="{05F452FB-4E71-4B29-A17A-76D54925B541}"/>
    <cellStyle name="Calculation 8 16" xfId="22598" xr:uid="{E2A63FB1-7034-440C-9DC3-6CD21C99AA44}"/>
    <cellStyle name="Calculation 8 17" xfId="24308" xr:uid="{677B6A9D-9305-4DD9-BBB5-91590EF422BE}"/>
    <cellStyle name="Calculation 8 18" xfId="27136" xr:uid="{4CAACA57-56AF-4BDE-ADB2-BB922510BD81}"/>
    <cellStyle name="Calculation 8 19" xfId="27109" xr:uid="{D2DBB266-1FC7-433F-9F77-CD8F72050A1A}"/>
    <cellStyle name="Calculation 8 2" xfId="9470" xr:uid="{E0486C3A-68D2-4AF4-9141-C6B2B61EB8DC}"/>
    <cellStyle name="Calculation 8 20" xfId="26058" xr:uid="{885E5937-05F0-4652-9F77-09E908E660DB}"/>
    <cellStyle name="Calculation 8 21" xfId="29649" xr:uid="{BF7B98ED-24A6-449E-93F0-A9A92E46CE82}"/>
    <cellStyle name="Calculation 8 22" xfId="28454" xr:uid="{2D412A65-589D-4544-AFBB-F7D2A91E9A2A}"/>
    <cellStyle name="Calculation 8 23" xfId="29939" xr:uid="{BA1F9F1F-7BD4-4739-9A6F-EFA59CBB3ADE}"/>
    <cellStyle name="Calculation 8 24" xfId="29092" xr:uid="{9E79823E-7DE7-4768-BD6C-EEA9FB8D1DAE}"/>
    <cellStyle name="Calculation 8 25" xfId="25202" xr:uid="{8BEC299C-B092-4080-8B5A-25FA4787F7EF}"/>
    <cellStyle name="Calculation 8 26" xfId="6195" xr:uid="{F204E508-0FE2-470C-A4E0-F128F0786FA7}"/>
    <cellStyle name="Calculation 8 3" xfId="10065" xr:uid="{C250304D-4729-44E4-9158-A6790C9F09C6}"/>
    <cellStyle name="Calculation 8 4" xfId="11940" xr:uid="{07EACC6E-57E6-4F9F-B681-D3925FECC2CD}"/>
    <cellStyle name="Calculation 8 5" xfId="12183" xr:uid="{4FD8E11A-DD13-46AF-BAC6-D39F53E40BC1}"/>
    <cellStyle name="Calculation 8 6" xfId="14142" xr:uid="{F16905EE-DA2A-41E2-9D54-DB58BB004587}"/>
    <cellStyle name="Calculation 8 7" xfId="18477" xr:uid="{7F8F5F9A-1031-41F1-816D-4B3082984EDB}"/>
    <cellStyle name="Calculation 8 8" xfId="13485" xr:uid="{590EDCA8-9737-47A3-B2D4-E772857F9204}"/>
    <cellStyle name="Calculation 8 9" xfId="17703" xr:uid="{7E3AC2E7-B538-4BFE-BACA-57DACC8D4BCC}"/>
    <cellStyle name="Calculation 9" xfId="1468" xr:uid="{E83A7898-14F4-4314-BB39-2571BF73A6D4}"/>
    <cellStyle name="Calculation 9 10" xfId="17232" xr:uid="{4F8F527C-A9BC-4DDA-8D2D-02A9B16AB0BE}"/>
    <cellStyle name="Calculation 9 11" xfId="22547" xr:uid="{E1445081-2E82-46C0-B25A-5DC04A0361B2}"/>
    <cellStyle name="Calculation 9 12" xfId="18868" xr:uid="{D24A3219-13A8-4493-8325-0DF5A2E53AC1}"/>
    <cellStyle name="Calculation 9 13" xfId="21251" xr:uid="{0B630DB6-6267-40DA-BC8D-E8A4CE0033D0}"/>
    <cellStyle name="Calculation 9 14" xfId="22828" xr:uid="{4E3EE93F-7F35-4703-A582-D5D3DD703736}"/>
    <cellStyle name="Calculation 9 15" xfId="23428" xr:uid="{34204BAF-C003-4BBC-85BF-E6C35EDDA3D0}"/>
    <cellStyle name="Calculation 9 16" xfId="26299" xr:uid="{5ECF66E1-630F-434E-A36E-5D39FBAFC6E7}"/>
    <cellStyle name="Calculation 9 17" xfId="24380" xr:uid="{4288CD6A-F1FE-4B92-BA11-632FD46294FB}"/>
    <cellStyle name="Calculation 9 18" xfId="28562" xr:uid="{2DDC41D9-259E-4EF4-91F4-483D57B7BB1B}"/>
    <cellStyle name="Calculation 9 19" xfId="28503" xr:uid="{ED017B86-7B57-467D-9685-AD11C3B418C8}"/>
    <cellStyle name="Calculation 9 2" xfId="9469" xr:uid="{0A6025E0-9124-4EF9-A1C7-CD3F1B99A548}"/>
    <cellStyle name="Calculation 9 20" xfId="28395" xr:uid="{3D58660B-FA21-4597-B426-75FB85C65B30}"/>
    <cellStyle name="Calculation 9 21" xfId="27830" xr:uid="{E048554B-EF49-448E-AAF2-694C8F1B6679}"/>
    <cellStyle name="Calculation 9 22" xfId="28036" xr:uid="{2B5791E9-46F5-4E99-A897-E2616301BA42}"/>
    <cellStyle name="Calculation 9 23" xfId="27736" xr:uid="{0F5A760F-F12B-4F2E-8E4F-BF8849C2DB39}"/>
    <cellStyle name="Calculation 9 24" xfId="30011" xr:uid="{6573D10D-382D-456D-B94A-99DE517304C5}"/>
    <cellStyle name="Calculation 9 25" xfId="29944" xr:uid="{BE204406-8E12-46C7-A8F6-70A9E77CA388}"/>
    <cellStyle name="Calculation 9 26" xfId="6196" xr:uid="{B6F0CD12-7C27-4637-9593-5BB754117019}"/>
    <cellStyle name="Calculation 9 3" xfId="10102" xr:uid="{2FBA8D94-DAE1-4D4A-A3AB-6B6DC0F5ED05}"/>
    <cellStyle name="Calculation 9 4" xfId="7509" xr:uid="{212F49BD-B109-4358-8D02-B40A7ADB2A99}"/>
    <cellStyle name="Calculation 9 5" xfId="14775" xr:uid="{790BD02D-9049-483E-8637-26A45A552446}"/>
    <cellStyle name="Calculation 9 6" xfId="14125" xr:uid="{D67EDC27-4717-4651-BEAB-9F318E2203E9}"/>
    <cellStyle name="Calculation 9 7" xfId="17322" xr:uid="{B9FB5A0E-CB23-46B5-BE4E-25C58294793B}"/>
    <cellStyle name="Calculation 9 8" xfId="18163" xr:uid="{500A9381-BD85-4C80-8745-A31D851DFFE8}"/>
    <cellStyle name="Calculation 9 9" xfId="21532" xr:uid="{3B285C22-642D-47D1-AC43-BAA0309CC420}"/>
    <cellStyle name="Check Cell" xfId="29" builtinId="23" customBuiltin="1"/>
    <cellStyle name="Check Cell 10" xfId="1469" xr:uid="{04E03182-79D6-4C18-8FCE-DC7B2885730F}"/>
    <cellStyle name="Check Cell 11" xfId="1470" xr:uid="{5737CD3D-54E4-4160-BE11-DC5E6B813113}"/>
    <cellStyle name="Check Cell 12" xfId="1471" xr:uid="{0883A945-10ED-4BA7-AD60-15AEBD1832F5}"/>
    <cellStyle name="Check Cell 13" xfId="1472" xr:uid="{B22FB165-FC86-471F-824F-F15DE0A6C57E}"/>
    <cellStyle name="Check Cell 14" xfId="1473" xr:uid="{1EAF38D2-0AA2-4DFA-8C3A-288A93885D32}"/>
    <cellStyle name="Check Cell 15" xfId="1474" xr:uid="{CB184B10-C89D-41AC-920B-8CEABCC258CE}"/>
    <cellStyle name="Check Cell 16" xfId="1475" xr:uid="{8888A60D-CFFE-490E-A817-6A6DA706D62F}"/>
    <cellStyle name="Check Cell 17" xfId="1476" xr:uid="{09394CE8-A27E-4FAD-BDB4-BED715707F0A}"/>
    <cellStyle name="Check Cell 18" xfId="1477" xr:uid="{3394849B-2AF5-4E4C-9797-B5CF5A1685C2}"/>
    <cellStyle name="Check Cell 19" xfId="1478" xr:uid="{D8C05EB4-A876-4C4C-9A98-223FFE95E05D}"/>
    <cellStyle name="Check Cell 2" xfId="30" xr:uid="{00000000-0005-0000-0000-00001E000000}"/>
    <cellStyle name="Check Cell 20" xfId="1479" xr:uid="{F8BE9843-7B87-4986-8CB6-02E96955BD67}"/>
    <cellStyle name="Check Cell 21" xfId="1480" xr:uid="{4801F538-F525-44F8-A9AD-694E27B946BC}"/>
    <cellStyle name="Check Cell 22" xfId="1481" xr:uid="{3CCF5ABB-9763-4605-BD41-FA125724B07D}"/>
    <cellStyle name="Check Cell 23" xfId="1482" xr:uid="{11D355AD-99B5-44A2-A62A-43AC8D63FDF8}"/>
    <cellStyle name="Check Cell 24" xfId="1483" xr:uid="{DEA20C9A-F9B9-448F-A3DA-1311553CFD0F}"/>
    <cellStyle name="Check Cell 25" xfId="1484" xr:uid="{B5F86A23-1EB7-4FD9-8B08-6E561D1068E7}"/>
    <cellStyle name="Check Cell 26" xfId="1485" xr:uid="{7D45F4A0-6AC7-4E07-85DE-6720CFCFDBF9}"/>
    <cellStyle name="Check Cell 27" xfId="1486" xr:uid="{D149D604-8E8D-4BD6-A76C-9F89E6BB4932}"/>
    <cellStyle name="Check Cell 28" xfId="1487" xr:uid="{A628408B-83D1-445D-B50C-0B9814449390}"/>
    <cellStyle name="Check Cell 29" xfId="1488" xr:uid="{A4B5F954-3DBC-4C0C-80B1-753FC41172F3}"/>
    <cellStyle name="Check Cell 3" xfId="1489" xr:uid="{4A3E265E-4BCC-439D-B507-B71668557DA6}"/>
    <cellStyle name="Check Cell 30" xfId="1490" xr:uid="{1A74E738-E685-4587-B767-745F5E2544DB}"/>
    <cellStyle name="Check Cell 31" xfId="1491" xr:uid="{76272522-0901-4B32-BD34-AF2B5BD9E179}"/>
    <cellStyle name="Check Cell 32" xfId="1492" xr:uid="{F68ABE08-7D9C-46FE-B9ED-7A7257303A82}"/>
    <cellStyle name="Check Cell 33" xfId="1493" xr:uid="{64CBBE42-B708-4BE6-B788-C5C627C77B68}"/>
    <cellStyle name="Check Cell 34" xfId="1494" xr:uid="{163BE02E-262C-4B4E-BB37-1AE0403C11D1}"/>
    <cellStyle name="Check Cell 35" xfId="1495" xr:uid="{0B75E30C-A87B-4A20-987E-C88C13DA5B45}"/>
    <cellStyle name="Check Cell 36" xfId="1496" xr:uid="{6A0C1678-BA49-41D0-B8FA-9C2A68E326BE}"/>
    <cellStyle name="Check Cell 37" xfId="1497" xr:uid="{A56EE7EC-B779-444D-8394-1ABC3909240F}"/>
    <cellStyle name="Check Cell 38" xfId="1498" xr:uid="{9FEB1133-3C4F-4422-9481-9547422711E5}"/>
    <cellStyle name="Check Cell 39" xfId="1499" xr:uid="{763C6A00-CFC2-447C-866F-F00EF4D5ECE3}"/>
    <cellStyle name="Check Cell 4" xfId="1500" xr:uid="{27A3BC99-C0D9-4B9F-94AA-8A6D89162B2E}"/>
    <cellStyle name="Check Cell 40" xfId="1501" xr:uid="{0E8FD0C9-02F3-4BA0-8438-D1ADC462D107}"/>
    <cellStyle name="Check Cell 41" xfId="1502" xr:uid="{1A97A498-3B46-421D-8940-F81B4081085A}"/>
    <cellStyle name="Check Cell 42" xfId="1503" xr:uid="{281F4ADA-DE82-43AD-9897-5900EFE0BFC0}"/>
    <cellStyle name="Check Cell 43" xfId="1504" xr:uid="{1434B90F-C09A-481A-A183-5FD2EA37723F}"/>
    <cellStyle name="Check Cell 44" xfId="8253" xr:uid="{BCF26341-08C5-42E2-BD3A-6C52760D5CB5}"/>
    <cellStyle name="Check Cell 5" xfId="1505" xr:uid="{01789444-9478-4D69-8EA1-C21DE9148D2A}"/>
    <cellStyle name="Check Cell 6" xfId="1506" xr:uid="{E9BFAF11-4CA2-4590-BAC5-E36D5DAD2465}"/>
    <cellStyle name="Check Cell 7" xfId="1507" xr:uid="{F4BCD680-54A7-45FB-82EF-E10B8BB101BF}"/>
    <cellStyle name="Check Cell 8" xfId="1508" xr:uid="{4C38D83A-8472-4822-9365-0A813FA33AE7}"/>
    <cellStyle name="Check Cell 9" xfId="1509" xr:uid="{7A2111AA-4901-4111-89C3-D24F6537693B}"/>
    <cellStyle name="Comma  - Style1" xfId="1510" xr:uid="{987BCE67-3827-4B9B-9EA2-93DC09FAF462}"/>
    <cellStyle name="Comma  - Style2" xfId="1511" xr:uid="{BCD132A7-B45A-41E5-A80D-201BA8EF1E6E}"/>
    <cellStyle name="Comma  - Style3" xfId="1512" xr:uid="{6C8000A3-5160-49EA-BC92-14395BF10D4D}"/>
    <cellStyle name="Comma  - Style4" xfId="1513" xr:uid="{3AD39A21-C3E0-444F-9CC4-07D2D28628D4}"/>
    <cellStyle name="Comma  - Style5" xfId="1514" xr:uid="{625759FC-BB4B-4560-9E5C-C4FE8642DD29}"/>
    <cellStyle name="Comma  - Style6" xfId="1515" xr:uid="{6C90B408-718C-47C3-B4EF-78E6E51CE597}"/>
    <cellStyle name="Comma  - Style7" xfId="1516" xr:uid="{BE3B3F62-90FE-48B4-AC62-1DB08C11238E}"/>
    <cellStyle name="Comma  - Style8" xfId="1517" xr:uid="{D928CEC8-D96D-4758-BE9F-40B82918C271}"/>
    <cellStyle name="Comma [0\_SHEET" xfId="1518" xr:uid="{10F62F37-EF82-48E6-AC99-C4D24ACFA911}"/>
    <cellStyle name="Comma [0]" xfId="31" builtinId="6"/>
    <cellStyle name="Comma [0] 2 2" xfId="32" xr:uid="{00000000-0005-0000-0000-000020000000}"/>
    <cellStyle name="Comma [0] 4" xfId="33" xr:uid="{00000000-0005-0000-0000-000021000000}"/>
    <cellStyle name="Comma [0] 5" xfId="34" xr:uid="{00000000-0005-0000-0000-000022000000}"/>
    <cellStyle name="Comma [1]" xfId="1519" xr:uid="{D1E3CDB4-A363-40ED-8BA2-587E92BE1781}"/>
    <cellStyle name="Comma [1] 2" xfId="1520" xr:uid="{68A0C290-85BA-4BF1-9DE0-B671ED3E24C6}"/>
    <cellStyle name="Comma [1] 2 2" xfId="1521" xr:uid="{36C1E691-983D-4576-994B-C49501AF5950}"/>
    <cellStyle name="Comma [1] 2 2 2" xfId="1522" xr:uid="{BDB72622-0A89-4EBA-99C4-E8794C386887}"/>
    <cellStyle name="Comma [1] 3" xfId="1523" xr:uid="{1EFFF2DD-8473-4D29-B870-F86785D24F46}"/>
    <cellStyle name="Comma [1] 3 2" xfId="1524" xr:uid="{E713F058-A081-4BF5-AB0A-280CE442A250}"/>
    <cellStyle name="Comma [1] 4" xfId="1525" xr:uid="{7D0163DB-8389-4B30-98FC-F47A439D2E92}"/>
    <cellStyle name="Comma [1] 4 2" xfId="1526" xr:uid="{A1C5D68F-2FF8-4ED1-A7ED-93D8B54658B1}"/>
    <cellStyle name="Comma [1] 5" xfId="1527" xr:uid="{01AA7D9E-6BA3-4006-A9C6-FAE0244AF3E8}"/>
    <cellStyle name="Comma [1] 5 2" xfId="1528" xr:uid="{839E4F36-70A8-4A93-B95E-2A1D4D3F54E0}"/>
    <cellStyle name="Comma [1] 6" xfId="1529" xr:uid="{02EF762E-E358-4FB8-8AB9-04F5CD3DE23E}"/>
    <cellStyle name="Comma [1] 7" xfId="1530" xr:uid="{4E48E8BE-6F95-4549-95B8-9202DF1D0E15}"/>
    <cellStyle name="Comma [1] 8" xfId="1531" xr:uid="{2B66B560-656E-464E-9D00-4025B2DA73C3}"/>
    <cellStyle name="Comma 0" xfId="94" xr:uid="{C8DC98E4-B799-46F3-8270-5FA44D85A14B}"/>
    <cellStyle name="Comma 1" xfId="36" xr:uid="{00000000-0005-0000-0000-000023000000}"/>
    <cellStyle name="Comma 10" xfId="1532" xr:uid="{013A19F0-D0A0-4817-B4FE-62DC520CA513}"/>
    <cellStyle name="Comma 10 2" xfId="8312" xr:uid="{A9B740F8-D225-4336-8E80-59AFACC93AFB}"/>
    <cellStyle name="Comma 11" xfId="1533" xr:uid="{B300E8AE-1203-4F10-9DB0-6E43E2699ABE}"/>
    <cellStyle name="Comma 11 2" xfId="8313" xr:uid="{6F3FD41F-3744-4A3B-93A0-C0D0BC8C0626}"/>
    <cellStyle name="Comma 12" xfId="1534" xr:uid="{661FAEC9-4F83-45B6-AA59-B8F7B3C90877}"/>
    <cellStyle name="Comma 12 2" xfId="8314" xr:uid="{60CF5A98-7669-41F8-B04A-AB6CB0B10759}"/>
    <cellStyle name="Comma 13" xfId="1535" xr:uid="{A32D24C8-3F5B-46FC-BA6C-1D819A1CBE8D}"/>
    <cellStyle name="Comma 13 2" xfId="8315" xr:uid="{83DA80D9-9360-4A89-AE50-05650D01E90A}"/>
    <cellStyle name="Comma 14" xfId="1536" xr:uid="{2B48A933-6998-4688-A774-4CBB145E1BC9}"/>
    <cellStyle name="Comma 14 2" xfId="8316" xr:uid="{3FBE454D-F6A9-4FCC-9570-B38C5D31B238}"/>
    <cellStyle name="Comma 15" xfId="5619" xr:uid="{47743672-C4FC-4808-AF75-3E92ED2F6C50}"/>
    <cellStyle name="Comma 15 2" xfId="12094" xr:uid="{305B4E14-593E-4DB3-8B54-5A3D855A6889}"/>
    <cellStyle name="Comma 16" xfId="5631" xr:uid="{90C4871E-EDAC-4F21-8902-3989CC66E33F}"/>
    <cellStyle name="Comma 16 2" xfId="12106" xr:uid="{4C23B94F-B6AD-4767-9764-19FED51E4BAC}"/>
    <cellStyle name="Comma 17" xfId="5617" xr:uid="{4B4B45E8-F7DF-4233-8FFF-B4657B574D3A}"/>
    <cellStyle name="Comma 17 2" xfId="12092" xr:uid="{520C80B4-0212-4B22-8E75-CAAD51E755B4}"/>
    <cellStyle name="Comma 18" xfId="5632" xr:uid="{A4F46973-B6A5-4A42-8BC3-DB67F5B859D7}"/>
    <cellStyle name="Comma 18 2" xfId="12107" xr:uid="{BFCE35CE-8FED-4227-94E0-940B217FDBF9}"/>
    <cellStyle name="Comma 19" xfId="5915" xr:uid="{9BFE7E80-631F-4BA4-BB4D-E157B99733D3}"/>
    <cellStyle name="Comma 19 2" xfId="12365" xr:uid="{EA34201C-FDA7-4A3C-A8BA-60EAC66EC3FC}"/>
    <cellStyle name="Comma 19 3" xfId="6936" xr:uid="{6ED1AF6F-F054-4B40-AB47-B43E18D46010}"/>
    <cellStyle name="Comma 2" xfId="86" xr:uid="{EFEB5460-3A0B-4229-9F10-5864FC80B031}"/>
    <cellStyle name="Comma 2 10 2" xfId="84" xr:uid="{00000000-0005-0000-0000-000024000000}"/>
    <cellStyle name="Comma 2 2" xfId="1538" xr:uid="{300F6D52-D7CC-4730-83A0-A821697AE4BB}"/>
    <cellStyle name="Comma 2 2 2" xfId="1539" xr:uid="{E760F757-162D-47D0-A925-E4AE49DA5CF7}"/>
    <cellStyle name="Comma 2 2 2 2" xfId="8319" xr:uid="{E2EFCFA9-7D30-403E-8593-E06B77146421}"/>
    <cellStyle name="Comma 2 2 3" xfId="5621" xr:uid="{21FD5DA2-FD97-459E-B761-05C8A1368CA1}"/>
    <cellStyle name="Comma 2 2 3 2" xfId="12096" xr:uid="{5CAC13AC-B3E5-465A-A1FB-CF5878DD6BFF}"/>
    <cellStyle name="Comma 2 2 4" xfId="8318" xr:uid="{129D3E48-BB62-4E71-B1D3-FD833DCC97CA}"/>
    <cellStyle name="Comma 2 3" xfId="1540" xr:uid="{0749D630-D79D-4216-91B6-BF699B4C9850}"/>
    <cellStyle name="Comma 2 3 2" xfId="1541" xr:uid="{349465F8-972F-4174-B872-18640B903580}"/>
    <cellStyle name="Comma 2 3 2 2" xfId="8321" xr:uid="{A78BEA79-D02B-438E-AE16-FFD97A4382E0}"/>
    <cellStyle name="Comma 2 3 3" xfId="5622" xr:uid="{F3499CE7-5495-4726-A94B-C4C0FD7DCF35}"/>
    <cellStyle name="Comma 2 3 3 2" xfId="12097" xr:uid="{DBE04265-74D6-4FA2-A414-B889B62A8ECC}"/>
    <cellStyle name="Comma 2 3 4" xfId="8320" xr:uid="{57AB117A-DE1D-496E-890A-6CA1D2DD6A98}"/>
    <cellStyle name="Comma 2 4" xfId="1542" xr:uid="{C8A64CC4-DFEB-4C94-9D52-B29FB91C5C85}"/>
    <cellStyle name="Comma 2 4 2" xfId="5623" xr:uid="{046FDAB5-A8A5-4B2B-AF3B-A5B687FCA20F}"/>
    <cellStyle name="Comma 2 4 2 2" xfId="12098" xr:uid="{9A450D29-48A6-4C81-8C8D-0257F136C91C}"/>
    <cellStyle name="Comma 2 4 3" xfId="8322" xr:uid="{DB4950B2-5547-4BBB-A5B3-C2FC71C27111}"/>
    <cellStyle name="Comma 2 5" xfId="1543" xr:uid="{F7D82472-8DA8-468A-9687-BEB319FE4355}"/>
    <cellStyle name="Comma 2 5 2" xfId="8323" xr:uid="{F67A7538-4E2B-461B-8DCB-03BDB8AB6B18}"/>
    <cellStyle name="Comma 2 6" xfId="5620" xr:uid="{B7226803-B787-408D-B0CB-D84B38E53BCA}"/>
    <cellStyle name="Comma 2 6 2" xfId="12095" xr:uid="{982140EE-41D2-42CB-BAD7-63BB7774047C}"/>
    <cellStyle name="Comma 2 7" xfId="1537" xr:uid="{28F1CA21-D397-455D-A71D-FF5957384FEF}"/>
    <cellStyle name="Comma 2 7 2" xfId="12377" xr:uid="{ED103A73-DB22-4DF4-914F-CBD33D91035D}"/>
    <cellStyle name="Comma 2 8" xfId="8317" xr:uid="{B3723620-2B3B-4470-BED5-02300772F6CD}"/>
    <cellStyle name="Comma 20" xfId="5917" xr:uid="{1B952D88-A76B-4772-946F-B141580B5371}"/>
    <cellStyle name="Comma 20 2" xfId="6938" xr:uid="{936847FF-2E57-4821-89B5-9478CB91E851}"/>
    <cellStyle name="Comma 21" xfId="5919" xr:uid="{AEA2783C-7585-4816-BC22-81812DCFA558}"/>
    <cellStyle name="Comma 21 2" xfId="6940" xr:uid="{F47DB13C-630C-43CA-A31D-3FFF65909CA7}"/>
    <cellStyle name="Comma 22" xfId="5922" xr:uid="{5A4F107F-8FC6-4347-86CF-876EE563B95C}"/>
    <cellStyle name="Comma 22 2" xfId="6943" xr:uid="{72C6F6AF-7337-497C-814E-043A180D9299}"/>
    <cellStyle name="Comma 23" xfId="5925" xr:uid="{6E1CD6AA-D172-4953-981F-00E0D547D389}"/>
    <cellStyle name="Comma 23 2" xfId="6946" xr:uid="{3AA74209-F355-4576-8625-67D7104AB602}"/>
    <cellStyle name="Comma 24" xfId="5928" xr:uid="{A4B490AD-0481-4CD6-9724-590C6B923ABB}"/>
    <cellStyle name="Comma 24 2" xfId="6949" xr:uid="{624D0426-DB72-4322-BB65-0EB52C843D7A}"/>
    <cellStyle name="Comma 25" xfId="5931" xr:uid="{52D4B510-D84B-460D-9653-387730026E84}"/>
    <cellStyle name="Comma 25 2" xfId="6952" xr:uid="{7AE7C962-DED9-49C4-9542-04F31952D546}"/>
    <cellStyle name="Comma 26" xfId="5934" xr:uid="{9FC9C553-CDD3-417C-89D3-D4DCAB35E9FC}"/>
    <cellStyle name="Comma 26 2" xfId="6955" xr:uid="{7DB26179-74CB-4792-9F70-173C0B83F3B9}"/>
    <cellStyle name="Comma 27" xfId="5911" xr:uid="{5DDEE005-4DDC-4C5B-AF61-B90D3512AB98}"/>
    <cellStyle name="Comma 27 2" xfId="6959" xr:uid="{EF6C8A36-E555-41D1-A6C3-F1A168E37BA8}"/>
    <cellStyle name="Comma 28" xfId="6018" xr:uid="{9A9A495C-BBFF-4A45-9DF7-00572ECE4814}"/>
    <cellStyle name="Comma 28 2" xfId="12357" xr:uid="{CC2FB96B-2BFE-4EDB-979D-3A961FE32F24}"/>
    <cellStyle name="Comma 29" xfId="6019" xr:uid="{84404639-232F-4580-88E0-2DA14EF90E71}"/>
    <cellStyle name="Comma 29 2" xfId="12891" xr:uid="{26A671AE-A60D-47CE-8679-A56E2057387B}"/>
    <cellStyle name="Comma 3" xfId="88" xr:uid="{5E37DD62-23F5-476C-B965-7CABF756221A}"/>
    <cellStyle name="Comma 3 2" xfId="37" xr:uid="{00000000-0005-0000-0000-000025000000}"/>
    <cellStyle name="Comma 3 2 2" xfId="5624" xr:uid="{9F1FE43B-B763-4809-BF6C-19180F551D02}"/>
    <cellStyle name="Comma 3 2 2 2" xfId="12099" xr:uid="{F2DD664D-050B-4DCF-99AF-C42FE25EA19B}"/>
    <cellStyle name="Comma 3 2 3" xfId="1545" xr:uid="{A25F7A05-0D1A-4C7C-8BF0-E5384B00B4F8}"/>
    <cellStyle name="Comma 3 2 3 2" xfId="8325" xr:uid="{311C13FE-07B2-47B2-8229-BD8A46AABC83}"/>
    <cellStyle name="Comma 3 3" xfId="1546" xr:uid="{5A5E404A-EC50-464E-AB1F-C5C25B73A4F5}"/>
    <cellStyle name="Comma 3 3 2" xfId="8326" xr:uid="{45A51E88-857E-422A-96C5-76F9A6FEA400}"/>
    <cellStyle name="Comma 3 4" xfId="5908" xr:uid="{C7FD6374-16E6-4000-94F1-3937171EAC0C}"/>
    <cellStyle name="Comma 3 5" xfId="1544" xr:uid="{FD15C78E-5DF0-4C52-9FC0-78C4A70BEEE3}"/>
    <cellStyle name="Comma 3 5 2" xfId="8324" xr:uid="{28D37BC5-FBCB-4A9C-8D33-909928E58A8A}"/>
    <cellStyle name="Comma 30" xfId="6011" xr:uid="{078BE935-DB01-4B10-9195-4D19B01EDC4C}"/>
    <cellStyle name="Comma 30 2" xfId="13806" xr:uid="{78FE3C78-1185-45EE-8E2E-254E1CF329E7}"/>
    <cellStyle name="Comma 31" xfId="5948" xr:uid="{A837DA3B-4A25-477D-A79E-4F66614B3A89}"/>
    <cellStyle name="Comma 31 2" xfId="12889" xr:uid="{734DBEDD-F4E5-4473-A0A5-B8B21F605901}"/>
    <cellStyle name="Comma 32" xfId="6007" xr:uid="{C4A116A5-A684-4744-B688-5D3A78E44B97}"/>
    <cellStyle name="Comma 32 2" xfId="15426" xr:uid="{DB5C690D-39A3-4565-985A-42D4E1F341E9}"/>
    <cellStyle name="Comma 33" xfId="5944" xr:uid="{D71FB446-63C6-4B49-82A2-57C09A07D3D2}"/>
    <cellStyle name="Comma 33 2" xfId="15697" xr:uid="{1EA56140-D79D-4B24-8AAC-53967108DC73}"/>
    <cellStyle name="Comma 34" xfId="6006" xr:uid="{93D6FAF4-A6B8-45AE-BFCA-9789BCE5CB28}"/>
    <cellStyle name="Comma 34 2" xfId="16201" xr:uid="{03D3C52D-753D-49E6-AC14-DAD3E5520B4C}"/>
    <cellStyle name="Comma 35" xfId="6009" xr:uid="{83C6F568-3591-47EC-9358-4593F9AD8367}"/>
    <cellStyle name="Comma 35 2" xfId="17820" xr:uid="{E8E59871-9349-413A-8B1B-54ABDC878FF0}"/>
    <cellStyle name="Comma 36" xfId="18667" xr:uid="{94F76261-C783-483A-AD87-2011F418B902}"/>
    <cellStyle name="Comma 37" xfId="18765" xr:uid="{D0273918-069F-498A-99AD-CBE030B2E348}"/>
    <cellStyle name="Comma 38" xfId="20228" xr:uid="{F0B5E3F0-7F6C-479A-945F-6F67BAAC2A4E}"/>
    <cellStyle name="Comma 39" xfId="21033" xr:uid="{236CB705-E483-4F1D-ADB1-DFE11E2A0F5D}"/>
    <cellStyle name="Comma 4" xfId="91" xr:uid="{B4CE694C-A84C-4E40-A745-9702593986AE}"/>
    <cellStyle name="Comma 4 2" xfId="1548" xr:uid="{CF18C89E-FEC9-492E-B26A-4A4E20E0BA64}"/>
    <cellStyle name="Comma 4 2 2" xfId="8328" xr:uid="{2E154A71-C16E-4202-B64C-BEF47E9C3F9A}"/>
    <cellStyle name="Comma 4 3" xfId="5625" xr:uid="{86AE6720-90D6-4CA2-B8B0-A0B53ED416AC}"/>
    <cellStyle name="Comma 4 3 2" xfId="12100" xr:uid="{59114705-E4D3-4FC9-808A-EE00B2C70FD7}"/>
    <cellStyle name="Comma 4 4" xfId="1547" xr:uid="{C992DE2B-AD3B-4B4A-8FE6-D35017E37291}"/>
    <cellStyle name="Comma 4 4 2" xfId="8327" xr:uid="{4D1C20B0-74B6-40C1-A8C0-FF20FB66FB0C}"/>
    <cellStyle name="Comma 40" xfId="21141" xr:uid="{360A5160-0A45-47A2-9B68-183E0D980EDC}"/>
    <cellStyle name="Comma 41" xfId="21980" xr:uid="{F7BECC0C-AC52-4867-ADA5-98698A043A87}"/>
    <cellStyle name="Comma 42" xfId="22244" xr:uid="{6605AE7B-6A17-439D-9967-20A80861656E}"/>
    <cellStyle name="Comma 43" xfId="22811" xr:uid="{3B0C9581-9163-497F-9C2A-F7F280D98E31}"/>
    <cellStyle name="Comma 44" xfId="23646" xr:uid="{370419E4-3C8E-4D53-9D7D-C0720011BC4E}"/>
    <cellStyle name="Comma 45" xfId="25175" xr:uid="{B94982E9-8185-472B-9BD6-3451BF807C81}"/>
    <cellStyle name="Comma 46" xfId="25894" xr:uid="{8F0712F3-C60D-4348-9609-8459E5EC8CDF}"/>
    <cellStyle name="Comma 47" xfId="21936" xr:uid="{E9B10C36-0DBF-45B8-9CDB-3AAE769E0575}"/>
    <cellStyle name="Comma 48" xfId="25938" xr:uid="{39DC02CB-B2AC-4432-9DA6-DADA3D74357D}"/>
    <cellStyle name="Comma 49" xfId="25992" xr:uid="{9C21F25D-6839-4C18-89E2-3578492A6A2C}"/>
    <cellStyle name="Comma 5" xfId="1549" xr:uid="{AECB83A4-2AEC-4577-9D7A-CF73BF7229B0}"/>
    <cellStyle name="Comma 5 2" xfId="1550" xr:uid="{E4C1BB11-7F4D-4EA9-89F8-60F39E0FD4DA}"/>
    <cellStyle name="Comma 5 2 2" xfId="8330" xr:uid="{6FB8625E-B962-4C84-8881-8D7D4A21A157}"/>
    <cellStyle name="Comma 5 3" xfId="5626" xr:uid="{1BF163C0-7338-4A7D-8414-EB843C0E9315}"/>
    <cellStyle name="Comma 5 3 2" xfId="12101" xr:uid="{887E8C33-4D44-4EA1-8A16-750CA19B7E30}"/>
    <cellStyle name="Comma 5 4" xfId="8329" xr:uid="{DA710A1C-DEB0-4D23-903D-D5F56CB982BF}"/>
    <cellStyle name="Comma 50" xfId="27607" xr:uid="{FC030222-23E9-4771-B433-C1B04F081421}"/>
    <cellStyle name="Comma 51" xfId="27633" xr:uid="{7416CCD2-75D5-4F48-9348-FF36D9161861}"/>
    <cellStyle name="Comma 52" xfId="28234" xr:uid="{26EF67ED-6B14-4B58-964B-4D560AA4BE5D}"/>
    <cellStyle name="Comma 53" xfId="28958" xr:uid="{3F87854E-64FC-4F9A-8BD1-66ACBA962859}"/>
    <cellStyle name="Comma 54" xfId="29508" xr:uid="{A6502D4D-A5FC-404C-A261-70F2915642FF}"/>
    <cellStyle name="Comma 55" xfId="28067" xr:uid="{F0014C16-39D7-484F-A837-6DC5F22724CD}"/>
    <cellStyle name="Comma 56" xfId="29379" xr:uid="{0BDE3DB8-6128-466F-8B7E-D2DDCE91443C}"/>
    <cellStyle name="Comma 57" xfId="30119" xr:uid="{66B8A529-C935-41AA-B228-22B7D8A446CB}"/>
    <cellStyle name="Comma 58" xfId="29498" xr:uid="{2958B1C0-980B-483D-8EF7-DEC27D54F94B}"/>
    <cellStyle name="Comma 59" xfId="29813" xr:uid="{E599BD99-83D0-442C-9C40-1E736ABD5016}"/>
    <cellStyle name="Comma 6" xfId="1551" xr:uid="{952F9F27-DEFC-4DDA-9FDF-F7081313CFC7}"/>
    <cellStyle name="Comma 6 2" xfId="8331" xr:uid="{D9FD4291-B332-4A9C-A376-E1BD0548561E}"/>
    <cellStyle name="Comma 60" xfId="30150" xr:uid="{11EB3888-2874-4FC2-8BC1-8F02BD753F0A}"/>
    <cellStyle name="Comma 61" xfId="30183" xr:uid="{573C446B-AF41-49B0-A17C-19993D16DCC2}"/>
    <cellStyle name="Comma 62" xfId="30596" xr:uid="{165B15B8-5C79-4198-BAAD-563210D4EA29}"/>
    <cellStyle name="Comma 63" xfId="30925" xr:uid="{38373D0D-30AF-4FE5-BD48-38E8DDE91364}"/>
    <cellStyle name="Comma 64" xfId="31212" xr:uid="{3874865C-86D2-43F1-AB6B-2890E357A95E}"/>
    <cellStyle name="Comma 65" xfId="6932" xr:uid="{2DCE53FC-BFBE-41FF-A0A0-5B29B61E69CB}"/>
    <cellStyle name="Comma 66" xfId="31330" xr:uid="{C4483C33-0CF3-4686-8FE3-0BE0535ED1BB}"/>
    <cellStyle name="Comma 7" xfId="1552" xr:uid="{9B36542C-6D99-44DE-99EC-D85EC27DB08F}"/>
    <cellStyle name="Comma 7 2" xfId="8332" xr:uid="{96EABEFB-9522-41CE-998D-B7681651BC86}"/>
    <cellStyle name="Comma 8" xfId="1553" xr:uid="{544336CA-F01A-4559-9752-61A53AB9F449}"/>
    <cellStyle name="Comma 8 2" xfId="8333" xr:uid="{C6B7E6C3-8DC6-41B5-AF5E-290B3408AEF9}"/>
    <cellStyle name="Comma 9" xfId="1554" xr:uid="{6F528E08-79E2-49CB-A293-DFD6BA54D3E2}"/>
    <cellStyle name="Comma 9 2" xfId="8334" xr:uid="{F407F400-57FB-492D-AC70-649E346DA0B3}"/>
    <cellStyle name="Currency [$0]" xfId="1555" xr:uid="{40C9DEDB-59BB-4CDF-8A60-A9B24A7A6E65}"/>
    <cellStyle name="Currency [$0] 10" xfId="1556" xr:uid="{6795050F-201D-4744-A1B9-420D08C0323F}"/>
    <cellStyle name="Currency [$0] 2" xfId="1557" xr:uid="{0A7B8782-5ECD-4EBD-87EB-0E0678A82E2F}"/>
    <cellStyle name="Currency [$0] 2 2" xfId="1558" xr:uid="{C1CF09D6-1613-479B-AA03-362542E0E49F}"/>
    <cellStyle name="Currency [$0] 2 2 2" xfId="1559" xr:uid="{E1F7AA42-4C17-4D86-A52E-B7274A72D8A1}"/>
    <cellStyle name="Currency [$0] 2 2 3" xfId="1560" xr:uid="{49D707D1-6A13-4A52-987A-94CF6F4E4B25}"/>
    <cellStyle name="Currency [$0] 2 3" xfId="1561" xr:uid="{1ED1F5B6-CB44-40EF-B61A-5D7B1C556B32}"/>
    <cellStyle name="Currency [$0] 2 4" xfId="1562" xr:uid="{FA3E5C43-77C2-4196-95D2-BF7EA7C4FCC1}"/>
    <cellStyle name="Currency [$0] 3" xfId="1563" xr:uid="{ABD41751-30DD-4682-97D9-7D601A3BFCB1}"/>
    <cellStyle name="Currency [$0] 3 2" xfId="1564" xr:uid="{25C848C6-FD12-453A-B538-B71DD4605CCF}"/>
    <cellStyle name="Currency [$0] 3 3" xfId="1565" xr:uid="{0670688A-522E-48C2-9FA3-27B452548AB5}"/>
    <cellStyle name="Currency [$0] 4" xfId="1566" xr:uid="{1F2732AB-C913-444E-8D9A-120A63D84D7A}"/>
    <cellStyle name="Currency [$0] 4 2" xfId="1567" xr:uid="{1736A753-D15D-42EE-AF9A-C552EC686C72}"/>
    <cellStyle name="Currency [$0] 4 3" xfId="1568" xr:uid="{1E2D0513-7FE5-4D88-8971-4284B399BFF8}"/>
    <cellStyle name="Currency [$0] 5" xfId="1569" xr:uid="{3E507E7F-F47A-4213-8DF0-09A92A44380B}"/>
    <cellStyle name="Currency [$0] 5 2" xfId="1570" xr:uid="{33AC15D6-546F-4463-94E8-9E055BEDEE9C}"/>
    <cellStyle name="Currency [$0] 5 3" xfId="1571" xr:uid="{EDC239D6-8900-463A-B287-2FE3F6707901}"/>
    <cellStyle name="Currency [$0] 6" xfId="1572" xr:uid="{F8947D1D-A331-407A-BB3A-A9BA4F34999D}"/>
    <cellStyle name="Currency [$0] 6 2" xfId="1573" xr:uid="{7CE5878F-DE01-494F-BF74-E70D02A88026}"/>
    <cellStyle name="Currency [$0] 6 3" xfId="1574" xr:uid="{529C727B-D407-47CC-8EE4-DDA6BE6C8486}"/>
    <cellStyle name="Currency [$0] 7" xfId="1575" xr:uid="{738DE469-5DF0-44F0-A5D9-7F8146C88B59}"/>
    <cellStyle name="Currency [$0] 7 2" xfId="1576" xr:uid="{2931CBE0-90C0-40A4-8584-4070CE6F07F5}"/>
    <cellStyle name="Currency [$0] 7 3" xfId="1577" xr:uid="{C567197E-DDD5-48ED-86D5-0B6C10210C6D}"/>
    <cellStyle name="Currency [$0] 8" xfId="1578" xr:uid="{CB4FC311-C986-4C01-8EEF-A6B20984CC01}"/>
    <cellStyle name="Currency [$0] 8 2" xfId="1579" xr:uid="{F6B63F9C-9A9F-4E1E-9573-78EC2A28670F}"/>
    <cellStyle name="Currency [$0] 8 3" xfId="1580" xr:uid="{44BFCEEB-C1DC-4E70-B710-79DAAF39BFD4}"/>
    <cellStyle name="Currency [$0] 9" xfId="1581" xr:uid="{8278081C-ADF7-4345-A3EE-CC66DD5A68B6}"/>
    <cellStyle name="Currency [£0]" xfId="1582" xr:uid="{393A0F59-AAF3-4920-8052-33E95278E7CE}"/>
    <cellStyle name="Currency [£0] 2" xfId="1583" xr:uid="{4E3FDF55-D250-4F27-8456-E3F02941C8E2}"/>
    <cellStyle name="Currency [£0] 2 2" xfId="1584" xr:uid="{099EEC07-0D0F-4379-A9E4-3C60630539F5}"/>
    <cellStyle name="Currency [£0] 3" xfId="1585" xr:uid="{DB52286C-088A-4E39-957F-106C46954589}"/>
    <cellStyle name="Currency [£0] 4" xfId="1586" xr:uid="{5E43C5F5-52D8-4C5F-92D5-AB1A78C6A865}"/>
    <cellStyle name="Currency [£0] 5" xfId="1587" xr:uid="{2DC4F848-2441-4676-9EE4-E07B28187CBE}"/>
    <cellStyle name="Currency [0]" xfId="38" builtinId="7"/>
    <cellStyle name="Currency [0] 2" xfId="39" xr:uid="{00000000-0005-0000-0000-000027000000}"/>
    <cellStyle name="Currency [0] 2 2" xfId="40" xr:uid="{00000000-0005-0000-0000-000028000000}"/>
    <cellStyle name="Currency [0] 2 3" xfId="5940" xr:uid="{2B827C2B-291D-42C7-938B-21BBDF246498}"/>
    <cellStyle name="Currency [0] 3" xfId="41" xr:uid="{00000000-0005-0000-0000-000029000000}"/>
    <cellStyle name="Currency [0] 3 2" xfId="5941" xr:uid="{24CF7CE1-758B-47D4-881B-9E8105DF351E}"/>
    <cellStyle name="Currency [0] 4" xfId="42" xr:uid="{00000000-0005-0000-0000-00002A000000}"/>
    <cellStyle name="Currency [0] 5" xfId="43" xr:uid="{00000000-0005-0000-0000-00002B000000}"/>
    <cellStyle name="Currency 10" xfId="5629" xr:uid="{90D351C8-A63E-4A2B-9520-774A7157901F}"/>
    <cellStyle name="Currency 11" xfId="5920" xr:uid="{C56C97B9-0127-4C4A-B8B0-5A663F1B72F8}"/>
    <cellStyle name="Currency 11 2" xfId="11613" xr:uid="{35668C10-42CE-4EC2-9A14-79F7368BD2D5}"/>
    <cellStyle name="Currency 11 3" xfId="6941" xr:uid="{0889F6BB-A3C7-40AA-A898-CA8B6B4A1401}"/>
    <cellStyle name="Currency 12" xfId="5923" xr:uid="{43968422-A717-4474-9E88-8B225B6CCF1B}"/>
    <cellStyle name="Currency 12 2" xfId="6944" xr:uid="{C6DF025F-3E11-4443-B54A-A241530566D8}"/>
    <cellStyle name="Currency 13" xfId="5926" xr:uid="{CC27E1A1-ECA5-49A3-9C87-8066F0449947}"/>
    <cellStyle name="Currency 13 2" xfId="6947" xr:uid="{12483225-6CAB-4CC1-87F0-CF42E0F97866}"/>
    <cellStyle name="Currency 14" xfId="5929" xr:uid="{902FF6A8-B722-4639-A541-A3A74C811546}"/>
    <cellStyle name="Currency 14 2" xfId="6950" xr:uid="{F4285AE9-E12F-4861-A5F0-3813ECE76788}"/>
    <cellStyle name="Currency 15" xfId="5932" xr:uid="{76A78E5B-8235-4754-94FC-9CCBA7BE10BE}"/>
    <cellStyle name="Currency 15 2" xfId="6953" xr:uid="{AA21FBE7-10F3-4E08-BD5F-2E7A1E660E80}"/>
    <cellStyle name="Currency 16" xfId="5122" xr:uid="{02EB1B14-EA99-47C6-AA97-65D5DB718D7D}"/>
    <cellStyle name="Currency 16 2" xfId="6960" xr:uid="{F7103829-ACE8-4570-A644-32A109B5D224}"/>
    <cellStyle name="Currency 17" xfId="6012" xr:uid="{0369B5CD-3846-4076-9FA3-156A68FCE89D}"/>
    <cellStyle name="Currency 17 2" xfId="12356" xr:uid="{97AD5002-B1E9-4FDF-B0EA-6FE1C2938C4B}"/>
    <cellStyle name="Currency 18" xfId="6014" xr:uid="{D6092EB9-14C4-4707-B947-C769C82430EC}"/>
    <cellStyle name="Currency 18 2" xfId="13615" xr:uid="{6BAA8E8B-A6F0-4C40-9CBB-41774CC401E5}"/>
    <cellStyle name="Currency 19" xfId="6008" xr:uid="{24DC11BE-98A3-4A6F-9BED-24C923561E47}"/>
    <cellStyle name="Currency 19 2" xfId="14553" xr:uid="{76F686C2-0824-4F72-8735-A6FE79B94BC1}"/>
    <cellStyle name="Currency 2" xfId="44" xr:uid="{00000000-0005-0000-0000-00002C000000}"/>
    <cellStyle name="Currency 2 2" xfId="1589" xr:uid="{D6D7043B-047F-478D-99DA-7965411DB4F5}"/>
    <cellStyle name="Currency 2 2 2" xfId="8366" xr:uid="{615D594E-F5D6-4BCB-A787-2F0DABAF1C0D}"/>
    <cellStyle name="Currency 2 3" xfId="1590" xr:uid="{C47811F3-DDF4-4A79-ACAC-784E3053C519}"/>
    <cellStyle name="Currency 2 4" xfId="5628" xr:uid="{7D84FFA4-1569-417C-AFD3-B1E103CBB6E1}"/>
    <cellStyle name="Currency 2 5" xfId="1588" xr:uid="{36AA47FD-6636-478B-B220-C7C50C988A12}"/>
    <cellStyle name="Currency 20" xfId="6017" xr:uid="{4504DA36-C619-4B98-9FED-D9E9D70DDE06}"/>
    <cellStyle name="Currency 20 2" xfId="12872" xr:uid="{3B535D5B-FFE0-4749-A46E-DEC4F3527429}"/>
    <cellStyle name="Currency 21" xfId="5949" xr:uid="{D5B94673-C44E-477D-8867-6171871A65C9}"/>
    <cellStyle name="Currency 21 2" xfId="16169" xr:uid="{64BE1F1A-2927-4346-BB8A-88527698F9BB}"/>
    <cellStyle name="Currency 22" xfId="5947" xr:uid="{9A1C0349-E39E-4510-AFEF-BD88266AA5C7}"/>
    <cellStyle name="Currency 22 2" xfId="12885" xr:uid="{CD3E7C1D-2AC0-445F-8E3F-301800E0627F}"/>
    <cellStyle name="Currency 23" xfId="6005" xr:uid="{328B897D-775D-4F0F-B46B-9E2EA888C314}"/>
    <cellStyle name="Currency 23 2" xfId="16954" xr:uid="{4A956326-F553-494F-9198-2E75E9116E00}"/>
    <cellStyle name="Currency 24" xfId="6015" xr:uid="{B80A32D3-5BD9-4A71-92D9-CE950A680843}"/>
    <cellStyle name="Currency 24 2" xfId="17065" xr:uid="{6751585A-FF14-4805-A75D-9CE0D8467BED}"/>
    <cellStyle name="Currency 25" xfId="17929" xr:uid="{22D25409-37BC-463E-B5BD-7875AB0395A3}"/>
    <cellStyle name="Currency 26" xfId="19512" xr:uid="{2A006E8D-5D13-4C91-8DB4-8E5DEDC414AD}"/>
    <cellStyle name="Currency 27" xfId="20262" xr:uid="{88A5B19A-B98B-4133-8148-1E41F91534F0}"/>
    <cellStyle name="Currency 28" xfId="20299" xr:uid="{47CB2CF3-B3B2-441F-B8FC-66D6AFE5EC76}"/>
    <cellStyle name="Currency 29" xfId="21883" xr:uid="{210CDA64-AF99-4BF6-9C0C-2687B190413A}"/>
    <cellStyle name="Currency 3" xfId="45" xr:uid="{00000000-0005-0000-0000-00002D000000}"/>
    <cellStyle name="Currency 3 2" xfId="46" xr:uid="{00000000-0005-0000-0000-00002E000000}"/>
    <cellStyle name="Currency 3 2 2" xfId="1592" xr:uid="{9048E832-9134-4854-BF78-7389B26E063D}"/>
    <cellStyle name="Currency 3 3" xfId="1591" xr:uid="{DE887657-8A2A-40C5-AF26-C3CC1B094D0D}"/>
    <cellStyle name="Currency 30" xfId="22697" xr:uid="{B076DBA4-CCDA-495E-B400-406C7264CC6E}"/>
    <cellStyle name="Currency 31" xfId="21131" xr:uid="{0E03BE08-1208-4870-A32E-FF90A6221A4E}"/>
    <cellStyle name="Currency 32" xfId="23544" xr:uid="{A8EE451B-CCE8-4253-937A-18277D2D962D}"/>
    <cellStyle name="Currency 33" xfId="24341" xr:uid="{D45B1CA9-98A8-494A-8E4E-9E461F567D6B}"/>
    <cellStyle name="Currency 34" xfId="24449" xr:uid="{D759B0B1-0D62-4454-8A90-EBD0059FC203}"/>
    <cellStyle name="Currency 35" xfId="25248" xr:uid="{2EC7EF76-63A0-4E3C-B33A-047C39EFBE54}"/>
    <cellStyle name="Currency 36" xfId="24447" xr:uid="{EDACA4D6-6D7C-48C4-9520-594234D0A186}"/>
    <cellStyle name="Currency 37" xfId="26550" xr:uid="{4E7319BD-8302-4F58-8C58-213E10236142}"/>
    <cellStyle name="Currency 38" xfId="26916" xr:uid="{80B82547-9960-4CFB-8A8F-C0B706E26A77}"/>
    <cellStyle name="Currency 39" xfId="27013" xr:uid="{B04BC388-8CD2-47D1-A863-7169AEAB36D4}"/>
    <cellStyle name="Currency 4" xfId="81" xr:uid="{00000000-0005-0000-0000-00002F000000}"/>
    <cellStyle name="Currency 4 2" xfId="1594" xr:uid="{A9CF7C5B-86CC-4F86-BF41-0730736ED0C6}"/>
    <cellStyle name="Currency 4 3" xfId="1593" xr:uid="{EA5A6220-5AF0-4664-B317-80EBA4242439}"/>
    <cellStyle name="Currency 40" xfId="28139" xr:uid="{1CA5A8A0-128B-4194-B63E-2B375AEC264D}"/>
    <cellStyle name="Currency 41" xfId="28880" xr:uid="{D9E09287-E65D-417C-ACC3-C8F87FEF054E}"/>
    <cellStyle name="Currency 42" xfId="29439" xr:uid="{3E83E362-F41F-4B28-B0C1-522FAB41CE25}"/>
    <cellStyle name="Currency 43" xfId="26527" xr:uid="{FFA4CCC7-B725-4618-A8B8-DF3010EFA82E}"/>
    <cellStyle name="Currency 44" xfId="29673" xr:uid="{D1AE6774-FF67-43D1-B8DD-0B3C1585CA46}"/>
    <cellStyle name="Currency 45" xfId="29501" xr:uid="{E5214FF0-F782-42C4-AF41-F0D5BFE9F47A}"/>
    <cellStyle name="Currency 46" xfId="29741" xr:uid="{14D31931-DC9C-471B-B9B4-AFD6C828D348}"/>
    <cellStyle name="Currency 47" xfId="29875" xr:uid="{D7A96A9C-DC54-4568-80E6-0E9734FBBFB1}"/>
    <cellStyle name="Currency 48" xfId="27710" xr:uid="{1F05F14A-4BCF-4A5D-B12B-7E7203822360}"/>
    <cellStyle name="Currency 49" xfId="30430" xr:uid="{E0C689CE-56B8-4FA2-B0F6-8BC2C8AA173A}"/>
    <cellStyle name="Currency 5" xfId="83" xr:uid="{00000000-0005-0000-0000-000030000000}"/>
    <cellStyle name="Currency 5 2" xfId="1596" xr:uid="{BED02BA3-3382-46D4-8FC9-AA7929C1B017}"/>
    <cellStyle name="Currency 5 3" xfId="1595" xr:uid="{E392A85D-989F-46BD-B8FB-6ACD90940C8C}"/>
    <cellStyle name="Currency 50" xfId="30554" xr:uid="{7A7BFEBE-79D7-45A9-B4AF-16AC09E01848}"/>
    <cellStyle name="Currency 51" xfId="30908" xr:uid="{ABE6D9FE-AC29-4277-BBF5-1528752C28B0}"/>
    <cellStyle name="Currency 52" xfId="31056" xr:uid="{8F5DAED2-19EF-4AF9-B8A6-66541393C3C6}"/>
    <cellStyle name="Currency 53" xfId="30146" xr:uid="{3CF98709-E2A2-45C2-B4F2-48F808097287}"/>
    <cellStyle name="Currency 54" xfId="6784" xr:uid="{BE092F88-3429-468C-B69D-F865D1B95F51}"/>
    <cellStyle name="Currency 55" xfId="6022" xr:uid="{382ACB66-9113-409C-99CB-7ACDDC2FC5CA}"/>
    <cellStyle name="Currency 6" xfId="89" xr:uid="{4112EEC0-0225-4D45-81E0-576260329C64}"/>
    <cellStyle name="Currency 6 2" xfId="1597" xr:uid="{4332F8BD-64C1-4C8E-BBFB-6FC325DE8187}"/>
    <cellStyle name="Currency 7" xfId="92" xr:uid="{5E25E3A2-79C4-4256-8F0B-08D4AFACA64E}"/>
    <cellStyle name="Currency 7 2" xfId="5627" xr:uid="{9699758C-26B4-4BA7-81C7-D0E6EDD453B9}"/>
    <cellStyle name="Currency 8" xfId="5630" xr:uid="{45FCA2B4-9246-464F-8337-C55607F63CE4}"/>
    <cellStyle name="Currency 9" xfId="5618" xr:uid="{AF5370CA-5E7D-4DA0-81EE-19EC830C53C7}"/>
    <cellStyle name="Data Entry" xfId="1598" xr:uid="{E32404E9-E57C-4335-8D34-3C516E61F724}"/>
    <cellStyle name="Data Entry 10" xfId="1599" xr:uid="{94729684-264D-41E0-8FE7-9272F5784DF6}"/>
    <cellStyle name="Data Entry 2" xfId="1600" xr:uid="{4DD9811D-3CF8-4868-9BAB-E4032EA23B45}"/>
    <cellStyle name="Data Entry 2 2" xfId="1601" xr:uid="{AEDD8F60-679C-443F-99E8-40CE9A747CBC}"/>
    <cellStyle name="Data Entry 2 2 2" xfId="1602" xr:uid="{2C1035C3-515F-44A1-91DE-D9B6B1954612}"/>
    <cellStyle name="Data Entry 2 2 3" xfId="1603" xr:uid="{C08CD548-56D9-4761-A014-454D66549CA8}"/>
    <cellStyle name="Data Entry 2 3" xfId="1604" xr:uid="{95E362FD-BCBB-43FA-8F88-6A3484915FB3}"/>
    <cellStyle name="Data Entry 2 4" xfId="1605" xr:uid="{105F07BC-21AE-48A8-A84D-F127864924F3}"/>
    <cellStyle name="Data Entry 3" xfId="1606" xr:uid="{88C5C77F-87C0-4FB9-A13B-A528F3027C6D}"/>
    <cellStyle name="Data Entry 3 2" xfId="1607" xr:uid="{40E90032-76FA-4D58-BD4D-11F691E10C6A}"/>
    <cellStyle name="Data Entry 3 3" xfId="1608" xr:uid="{83ECC80A-F2AA-403C-BC5B-107D914FBDB7}"/>
    <cellStyle name="Data Entry 4" xfId="1609" xr:uid="{81F5FAC5-C9E2-42D8-B9F5-F3C439501E3B}"/>
    <cellStyle name="Data Entry 4 2" xfId="1610" xr:uid="{79242B73-2AAD-4A62-9DCF-A0997D748DAE}"/>
    <cellStyle name="Data Entry 4 3" xfId="1611" xr:uid="{0DF2627B-94CB-4D40-A681-E54E2AB23C3C}"/>
    <cellStyle name="Data Entry 5" xfId="1612" xr:uid="{D1B37EC4-7CCF-4F33-84EF-A25817A0F9D3}"/>
    <cellStyle name="Data Entry 5 2" xfId="1613" xr:uid="{6DF3E190-968B-4D9E-859C-ECD24999DFB9}"/>
    <cellStyle name="Data Entry 5 3" xfId="1614" xr:uid="{0120BF70-8A30-4A77-A406-695B3EFA9084}"/>
    <cellStyle name="Data Entry 6" xfId="1615" xr:uid="{959885FF-ABB8-4B88-A012-BC0F9E99A600}"/>
    <cellStyle name="Data Entry 6 2" xfId="1616" xr:uid="{8C9D62E5-66A2-43F9-BC67-AA8B8CD3F321}"/>
    <cellStyle name="Data Entry 6 3" xfId="1617" xr:uid="{616A7A08-8D3A-4EE1-8268-876DF13A248D}"/>
    <cellStyle name="Data Entry 7" xfId="1618" xr:uid="{606315CD-974F-4D60-ABCC-4793957BF5AE}"/>
    <cellStyle name="Data Entry 7 2" xfId="1619" xr:uid="{BD479105-D6C7-4D5E-93D2-967E607CA9B5}"/>
    <cellStyle name="Data Entry 7 3" xfId="1620" xr:uid="{A003789A-3CBC-4454-861E-F08EC1035392}"/>
    <cellStyle name="Data Entry 8" xfId="1621" xr:uid="{A9E0BD30-6050-436D-9705-E96E815BB4AD}"/>
    <cellStyle name="Data Entry 8 2" xfId="1622" xr:uid="{0F9E9F65-FB98-43BD-B405-87ABE5BAE283}"/>
    <cellStyle name="Data Entry 8 3" xfId="1623" xr:uid="{BF4CC57F-2C43-4C9A-8F7C-F793ED384A78}"/>
    <cellStyle name="Data Entry 9" xfId="1624" xr:uid="{E7E1A087-CECA-4E6F-A950-D606DDB3FA58}"/>
    <cellStyle name="Date" xfId="1625" xr:uid="{118BE629-6E75-4101-B083-C17621F92807}"/>
    <cellStyle name="Date 2" xfId="1626" xr:uid="{17D57E58-8839-4A29-9BD2-1CF187FB1047}"/>
    <cellStyle name="Date 2 2" xfId="1627" xr:uid="{4405AD1D-6DCA-44F3-9879-159C9D22FDAF}"/>
    <cellStyle name="Date 3" xfId="1628" xr:uid="{686D8588-0460-417B-BFF9-9F0495676B2F}"/>
    <cellStyle name="Date 4" xfId="1629" xr:uid="{BA2F588C-9CA4-45AE-88A2-CD9FC8882548}"/>
    <cellStyle name="Date 5" xfId="1630" xr:uid="{A5705C03-F1BE-4F73-A6C4-DA0C6993EFCE}"/>
    <cellStyle name="DateTime" xfId="1631" xr:uid="{2CEA4D8F-9CBD-433C-9CAF-C212EFCFF384}"/>
    <cellStyle name="DateTime 10" xfId="1632" xr:uid="{A7DBF143-17D5-47AE-879A-029D3B138024}"/>
    <cellStyle name="DateTime 10 2" xfId="8404" xr:uid="{803BE121-4A1F-47EC-A9B2-7EBBF7D40354}"/>
    <cellStyle name="DateTime 11" xfId="8403" xr:uid="{A5D0F1B9-6F03-48CC-9565-9A79A0CF63DF}"/>
    <cellStyle name="DateTime 2" xfId="1633" xr:uid="{70803BDD-22E8-4607-AB52-FEB24CA11BD2}"/>
    <cellStyle name="DateTime 2 2" xfId="1634" xr:uid="{48ED93D6-7393-4037-8E8F-7D479CBC0192}"/>
    <cellStyle name="DateTime 2 2 2" xfId="1635" xr:uid="{A247EA98-12A0-4982-8130-256795A5A19F}"/>
    <cellStyle name="DateTime 2 2 2 2" xfId="8407" xr:uid="{AED44D33-1B8C-4BDA-9D85-DE3BD9BD553B}"/>
    <cellStyle name="DateTime 2 2 3" xfId="1636" xr:uid="{5976915E-EC5E-4BFF-B11B-B4D331AD81BE}"/>
    <cellStyle name="DateTime 2 2 3 2" xfId="8408" xr:uid="{396E50F0-5C55-4166-BD02-04E9B7BAE565}"/>
    <cellStyle name="DateTime 2 2 4" xfId="8406" xr:uid="{CC5451A6-B6B9-4D86-93AA-230C9C4B9905}"/>
    <cellStyle name="DateTime 2 3" xfId="1637" xr:uid="{020EB88E-BB46-49CC-9DAB-A9510F4C6E69}"/>
    <cellStyle name="DateTime 2 3 2" xfId="8409" xr:uid="{0C9F6067-0D72-459B-9801-134B0D543E75}"/>
    <cellStyle name="DateTime 2 4" xfId="1638" xr:uid="{83B52436-49A5-44E1-B260-0296D567DA6E}"/>
    <cellStyle name="DateTime 2 4 2" xfId="8410" xr:uid="{33B170F1-1D76-4ACB-A966-75F5A6E4D70A}"/>
    <cellStyle name="DateTime 2 5" xfId="8405" xr:uid="{6DCE1FA9-0203-4AF1-AC11-590B4D5F8972}"/>
    <cellStyle name="DateTime 3" xfId="1639" xr:uid="{1048CAB7-C7AF-4D0A-A874-4C6E05D8D6D8}"/>
    <cellStyle name="DateTime 3 2" xfId="1640" xr:uid="{F4AF4F07-3BBD-45C3-95E9-A596A2B2E1C7}"/>
    <cellStyle name="DateTime 3 2 2" xfId="8412" xr:uid="{8A3AD3CE-3922-47F2-9C57-FAED0C38C9A1}"/>
    <cellStyle name="DateTime 3 3" xfId="1641" xr:uid="{566950D9-7870-4F92-8318-91BCBC8C6AF3}"/>
    <cellStyle name="DateTime 3 3 2" xfId="8413" xr:uid="{56AF53D5-DD4D-42C1-823D-2A1DF3D077F1}"/>
    <cellStyle name="DateTime 3 4" xfId="8411" xr:uid="{8FFA0408-B166-465E-B67E-47DC70115E75}"/>
    <cellStyle name="DateTime 4" xfId="1642" xr:uid="{7D4803DC-27AD-474D-BED7-C6C12956ADF3}"/>
    <cellStyle name="DateTime 4 2" xfId="1643" xr:uid="{3BDA41E6-7407-45CF-86DA-FB44979B62E0}"/>
    <cellStyle name="DateTime 4 2 2" xfId="8415" xr:uid="{1A2ECF54-7C4F-4AF6-9AE4-CFEC1DADB969}"/>
    <cellStyle name="DateTime 4 3" xfId="1644" xr:uid="{1185F09F-C0CD-41F8-8EDF-12FB7507D61D}"/>
    <cellStyle name="DateTime 4 3 2" xfId="8416" xr:uid="{C28CCF19-4EC4-4464-B2E7-349A4686563C}"/>
    <cellStyle name="DateTime 4 4" xfId="8414" xr:uid="{3DE3F6D0-2CE5-4587-9896-925BACBFB137}"/>
    <cellStyle name="DateTime 5" xfId="1645" xr:uid="{8D58D4E1-C7C3-4D12-A289-06D940D29C28}"/>
    <cellStyle name="DateTime 5 2" xfId="1646" xr:uid="{FE5AAE98-6B63-4168-A546-AD50CED732CB}"/>
    <cellStyle name="DateTime 5 2 2" xfId="8418" xr:uid="{9AA9C15B-9577-40FD-AA6E-F60709C37E47}"/>
    <cellStyle name="DateTime 5 3" xfId="1647" xr:uid="{BA103DD3-765E-4CB9-BC63-ED249426EAAE}"/>
    <cellStyle name="DateTime 5 3 2" xfId="8419" xr:uid="{29398235-703F-4FC2-8CE2-2834CB4595CD}"/>
    <cellStyle name="DateTime 5 4" xfId="8417" xr:uid="{C2AF5DF8-F68D-49E2-AE6F-69584D1E8332}"/>
    <cellStyle name="DateTime 6" xfId="1648" xr:uid="{A0939336-AFC0-4BD2-9EB1-B4F081753DBD}"/>
    <cellStyle name="DateTime 6 2" xfId="1649" xr:uid="{E31B1785-CC7B-47D7-8CF3-AEF8B487A19E}"/>
    <cellStyle name="DateTime 6 2 2" xfId="8421" xr:uid="{2702DCD0-7667-494F-9E55-24077E88FB22}"/>
    <cellStyle name="DateTime 6 3" xfId="1650" xr:uid="{F0FDDB06-BE41-420F-B1D2-EB145B4FEDC3}"/>
    <cellStyle name="DateTime 6 3 2" xfId="8422" xr:uid="{EF47B3E1-97A2-4215-A585-E8DA5EE3541E}"/>
    <cellStyle name="DateTime 6 4" xfId="8420" xr:uid="{FDD934DE-DCA3-4BCB-AF1B-7C8A6857D7BF}"/>
    <cellStyle name="DateTime 7" xfId="1651" xr:uid="{3303AC86-46A0-4381-9D01-A38625D6AC35}"/>
    <cellStyle name="DateTime 7 2" xfId="1652" xr:uid="{D5DEAE24-4FD7-4B2F-A228-1BA6E11F3112}"/>
    <cellStyle name="DateTime 7 2 2" xfId="8424" xr:uid="{5BED6BEA-C9E9-4793-A557-11B0EECB0FA0}"/>
    <cellStyle name="DateTime 7 3" xfId="1653" xr:uid="{6C788AA8-F4C2-4318-8086-550FE30FC760}"/>
    <cellStyle name="DateTime 7 3 2" xfId="8425" xr:uid="{82521BDE-A967-4AD9-BB04-68E13C876362}"/>
    <cellStyle name="DateTime 7 4" xfId="8423" xr:uid="{3F027987-3253-4485-AEFA-DD8930EB16ED}"/>
    <cellStyle name="DateTime 8" xfId="1654" xr:uid="{B95DB3E0-FDD6-4D5B-995E-92809DA036E3}"/>
    <cellStyle name="DateTime 8 2" xfId="1655" xr:uid="{512CD3D8-55A8-4D58-86B9-4D0E5B48FA7E}"/>
    <cellStyle name="DateTime 8 2 2" xfId="8427" xr:uid="{6A6F3C39-352F-4F78-9C23-6ADC35E8F169}"/>
    <cellStyle name="DateTime 8 3" xfId="1656" xr:uid="{4B67C6DD-F135-46D1-965E-EFCF3070B156}"/>
    <cellStyle name="DateTime 8 3 2" xfId="8428" xr:uid="{68ACB73E-5BC2-4A3D-8E49-A0D77D8FF9F2}"/>
    <cellStyle name="DateTime 8 4" xfId="8426" xr:uid="{B2317114-E4C2-4602-9024-960315C744B2}"/>
    <cellStyle name="DateTime 9" xfId="1657" xr:uid="{8D829DCC-70DB-4E6C-99B1-4175E18C4C86}"/>
    <cellStyle name="DateTime 9 2" xfId="8429" xr:uid="{DC7E706F-17BE-4D54-9F82-706AADB557D4}"/>
    <cellStyle name="DON'S STYLE" xfId="1658" xr:uid="{8B64DAFA-14E5-453F-BC02-4B0E9A9A8EB6}"/>
    <cellStyle name="DON'S STYLE 2" xfId="1659" xr:uid="{7FBA517C-EBB2-47FD-A4B0-570EA8560396}"/>
    <cellStyle name="DON'S STYLE 2 2" xfId="1660" xr:uid="{B1F46709-6814-4062-8520-55863B58FCD7}"/>
    <cellStyle name="DON'S STYLE 2 2 2" xfId="1661" xr:uid="{C815C14A-5FAC-417E-8721-39B70B32EA41}"/>
    <cellStyle name="DON'S STYLE 3" xfId="1662" xr:uid="{37031745-6E26-4B37-B42F-E429B0122DDE}"/>
    <cellStyle name="DON'S STYLE 3 2" xfId="1663" xr:uid="{9A8E6C16-E651-4AC9-A52A-4E2A4E78DC67}"/>
    <cellStyle name="DON'S STYLE 4" xfId="1664" xr:uid="{FC7941DA-7801-40ED-A21A-A0F151DDC410}"/>
    <cellStyle name="DON'S STYLE 4 2" xfId="1665" xr:uid="{FE6A3A4A-9ECB-4C52-A65F-33E38D8A48FB}"/>
    <cellStyle name="DON'S STYLE 5" xfId="1666" xr:uid="{5EF396CB-993A-4B3B-840C-45D299561EC4}"/>
    <cellStyle name="DON'S STYLE 5 2" xfId="1667" xr:uid="{43D5A8F9-E049-4611-A9B7-024402890BF7}"/>
    <cellStyle name="DON'S STYLE 6" xfId="1668" xr:uid="{0AC7471D-A534-4D1D-8453-4EA49148D4A4}"/>
    <cellStyle name="DON'S STYLE 7" xfId="1669" xr:uid="{E4E9488E-EA31-4255-BE7D-5F441E3D4995}"/>
    <cellStyle name="DON'S STYLE 8" xfId="1670" xr:uid="{552102B7-F004-4E8B-951A-63D9E952BD1E}"/>
    <cellStyle name="Explanatory Text" xfId="47" builtinId="53" customBuiltin="1"/>
    <cellStyle name="Explanatory Text 10" xfId="1671" xr:uid="{40B6C9B1-3195-4FCE-B594-2ACE5E419657}"/>
    <cellStyle name="Explanatory Text 11" xfId="1672" xr:uid="{228529D8-55FA-4D1D-90E3-C42F92C913F0}"/>
    <cellStyle name="Explanatory Text 12" xfId="1673" xr:uid="{BC5EA3F5-EB43-41A3-B57B-933F24857488}"/>
    <cellStyle name="Explanatory Text 13" xfId="1674" xr:uid="{4B7C2B7B-0690-4AB7-BFD4-8E6A35AF8258}"/>
    <cellStyle name="Explanatory Text 14" xfId="1675" xr:uid="{5615774B-98AA-4E6E-87F7-96D0AD144DB0}"/>
    <cellStyle name="Explanatory Text 15" xfId="1676" xr:uid="{2EEC94FE-6F48-4EE1-8B59-BFDB43836F7C}"/>
    <cellStyle name="Explanatory Text 16" xfId="1677" xr:uid="{2FE08C35-5CBA-465D-95C7-C7D2F91C97BF}"/>
    <cellStyle name="Explanatory Text 17" xfId="1678" xr:uid="{1A9996DB-754C-4C68-9C0E-AF2F4E2D7167}"/>
    <cellStyle name="Explanatory Text 18" xfId="1679" xr:uid="{106A4717-231D-42B1-B6F5-BC61E754A96E}"/>
    <cellStyle name="Explanatory Text 19" xfId="1680" xr:uid="{8F5CB844-0A0F-43CA-B032-A9530C14E802}"/>
    <cellStyle name="Explanatory Text 2" xfId="48" xr:uid="{00000000-0005-0000-0000-000032000000}"/>
    <cellStyle name="Explanatory Text 20" xfId="1681" xr:uid="{DD43165C-36B1-4E47-B682-38E8974869B5}"/>
    <cellStyle name="Explanatory Text 21" xfId="1682" xr:uid="{12A584F9-A527-4636-BDA8-D4FC1395D442}"/>
    <cellStyle name="Explanatory Text 22" xfId="1683" xr:uid="{902A6761-0FDA-476F-BFC5-3C0EFA71458D}"/>
    <cellStyle name="Explanatory Text 23" xfId="1684" xr:uid="{F27F1A6A-1749-40F8-87F8-36216B034851}"/>
    <cellStyle name="Explanatory Text 24" xfId="1685" xr:uid="{E8768B36-AF9D-4AE7-B365-4FA7D232D45E}"/>
    <cellStyle name="Explanatory Text 25" xfId="1686" xr:uid="{6953758C-CB32-4C16-96BF-94B0A0DDABB5}"/>
    <cellStyle name="Explanatory Text 26" xfId="1687" xr:uid="{8388A58B-C8C9-4A5D-B898-5C9A7C67BA7C}"/>
    <cellStyle name="Explanatory Text 27" xfId="1688" xr:uid="{4C97D39A-C4C2-49D9-8A8C-7099E1414E8E}"/>
    <cellStyle name="Explanatory Text 28" xfId="1689" xr:uid="{49A3C7DE-3B65-4887-97D4-16DBB7DB4F95}"/>
    <cellStyle name="Explanatory Text 29" xfId="1690" xr:uid="{2449C5B7-22E7-4039-B262-CB53F5D141BA}"/>
    <cellStyle name="Explanatory Text 3" xfId="1691" xr:uid="{643F1D0C-2E53-4929-A077-80BE76341C3E}"/>
    <cellStyle name="Explanatory Text 30" xfId="1692" xr:uid="{37A88F63-0EEE-458B-8ABE-A2E52AD6458F}"/>
    <cellStyle name="Explanatory Text 31" xfId="1693" xr:uid="{F00538FD-CBF1-4B74-AA2F-158B6110C580}"/>
    <cellStyle name="Explanatory Text 32" xfId="1694" xr:uid="{56D314B1-FD64-40D4-B125-CA647D418091}"/>
    <cellStyle name="Explanatory Text 33" xfId="1695" xr:uid="{73950028-CD82-482A-AFEF-190D6E7ED19D}"/>
    <cellStyle name="Explanatory Text 34" xfId="1696" xr:uid="{639D1CF5-194E-4BD2-8DE4-C55A520E1BD7}"/>
    <cellStyle name="Explanatory Text 35" xfId="1697" xr:uid="{EDB05F06-9897-4F47-8B35-F3296E3EF47A}"/>
    <cellStyle name="Explanatory Text 36" xfId="1698" xr:uid="{E8A7751E-4CE2-4932-8F9B-A033A223870E}"/>
    <cellStyle name="Explanatory Text 37" xfId="1699" xr:uid="{23323B04-5175-437F-8DC5-8C0359D66209}"/>
    <cellStyle name="Explanatory Text 38" xfId="1700" xr:uid="{DA6DBD8D-09DB-49F0-AE0E-0520D1EF6CB9}"/>
    <cellStyle name="Explanatory Text 39" xfId="1701" xr:uid="{E231A619-6FAA-422D-BA60-873A76D7AF51}"/>
    <cellStyle name="Explanatory Text 4" xfId="1702" xr:uid="{4283C3A1-2A76-4DD8-812F-FCCD25823EB7}"/>
    <cellStyle name="Explanatory Text 40" xfId="1703" xr:uid="{A3044466-01FF-4014-82AB-075F9A16228F}"/>
    <cellStyle name="Explanatory Text 41" xfId="1704" xr:uid="{DE35E797-5BF0-4EC0-86A3-475969478133}"/>
    <cellStyle name="Explanatory Text 42" xfId="1705" xr:uid="{C7973D4B-C296-4198-964C-8ACAFD9FE56F}"/>
    <cellStyle name="Explanatory Text 43" xfId="1706" xr:uid="{F3D52228-AD90-4F79-A51A-01CE9A35AE05}"/>
    <cellStyle name="Explanatory Text 44" xfId="8442" xr:uid="{B9DCDE1C-6072-498F-91BF-9F93A1B98970}"/>
    <cellStyle name="Explanatory Text 5" xfId="1707" xr:uid="{967CD4FF-0668-493D-8338-22B59FE46031}"/>
    <cellStyle name="Explanatory Text 6" xfId="1708" xr:uid="{D40548E8-55A7-4902-898D-5709F591F148}"/>
    <cellStyle name="Explanatory Text 7" xfId="1709" xr:uid="{8DFBCDD6-06CF-42AC-BE67-0CDEA4582872}"/>
    <cellStyle name="Explanatory Text 8" xfId="1710" xr:uid="{BAEA830E-0F5E-415C-80E0-BC6855CC0FFE}"/>
    <cellStyle name="Explanatory Text 9" xfId="1711" xr:uid="{06581C87-4428-493B-B5DE-6780ADD994E3}"/>
    <cellStyle name="F2" xfId="1712" xr:uid="{E0D0C1F6-C522-4701-8EF9-0F9780D4DA60}"/>
    <cellStyle name="F2 2" xfId="1713" xr:uid="{D9A5A723-C0B5-4DD9-8717-721EE516D826}"/>
    <cellStyle name="F2 2 2" xfId="1714" xr:uid="{05B34E67-336E-4237-B544-E519E9B4AFB8}"/>
    <cellStyle name="F2 3" xfId="1715" xr:uid="{B4EA1922-53A0-4CF7-A45E-6577A0DAF227}"/>
    <cellStyle name="F2 4" xfId="1716" xr:uid="{E2EC923F-3CCF-4095-B4F8-B2EB1CED0E54}"/>
    <cellStyle name="F2 5" xfId="1717" xr:uid="{B9D4C03A-1263-4280-BD6A-91E1485362C7}"/>
    <cellStyle name="F3" xfId="1718" xr:uid="{AE19251D-4D1D-49C0-B0A9-375AA5F7A150}"/>
    <cellStyle name="F3 2" xfId="1719" xr:uid="{1BBF259A-2855-4B5E-B0AA-A719441004D2}"/>
    <cellStyle name="F3 2 2" xfId="1720" xr:uid="{7F630AD6-AF4E-4AD3-8E9C-E3E8B23D5500}"/>
    <cellStyle name="F3 3" xfId="1721" xr:uid="{59DE8E10-8A6F-45B4-AB3A-F7CC6BF3A6F4}"/>
    <cellStyle name="F3 4" xfId="1722" xr:uid="{C8DE79B9-788A-4C88-B55B-D6EFAA9983C6}"/>
    <cellStyle name="F3 5" xfId="1723" xr:uid="{547CDD7F-0452-4767-BE56-1C8634AB72DE}"/>
    <cellStyle name="F4" xfId="1724" xr:uid="{D924844F-E222-42B8-BA1D-7BD0D84787AF}"/>
    <cellStyle name="F4 2" xfId="1725" xr:uid="{6806EBCD-FEB9-4A20-9D78-D8A0BE989380}"/>
    <cellStyle name="F4 2 2" xfId="1726" xr:uid="{0D85A0FB-2D8C-416B-9173-844BD1DA6ECC}"/>
    <cellStyle name="F4 3" xfId="1727" xr:uid="{010C74B1-0CF9-47A6-9BF9-ADEA46238F65}"/>
    <cellStyle name="F4 4" xfId="1728" xr:uid="{EA392444-3386-49A7-94DB-CDD1673EDA18}"/>
    <cellStyle name="F4 5" xfId="1729" xr:uid="{126AEB03-E3D8-40B7-9085-5525490CCE97}"/>
    <cellStyle name="F5" xfId="1730" xr:uid="{3591B7A6-04CA-4F80-AF74-84BE96E81082}"/>
    <cellStyle name="F5 2" xfId="1731" xr:uid="{1232A5C1-CCDA-443F-AA6C-71244C8D71C2}"/>
    <cellStyle name="F5 2 2" xfId="1732" xr:uid="{94B6E84C-2DA4-4ED7-9363-C625DAF78CD0}"/>
    <cellStyle name="F5 3" xfId="1733" xr:uid="{8A6BF042-616A-46E2-AA28-F08DF3DA1BCE}"/>
    <cellStyle name="F5 4" xfId="1734" xr:uid="{1E73F859-7904-473A-B695-01D72445B581}"/>
    <cellStyle name="F5 5" xfId="1735" xr:uid="{CC8F8BC6-49DA-46A5-8581-51F319FEBB91}"/>
    <cellStyle name="F6" xfId="1736" xr:uid="{C63CD9B5-1F44-4B7A-A1D0-2B1C5FE56209}"/>
    <cellStyle name="F6 2" xfId="1737" xr:uid="{33B48C6B-7FD8-4E41-B645-8EBA44F24BFE}"/>
    <cellStyle name="F6 2 2" xfId="1738" xr:uid="{3F0D144A-C633-4E83-ABD2-2DCB8C34637E}"/>
    <cellStyle name="F6 3" xfId="1739" xr:uid="{2D1336D4-C630-4D11-85F5-F83D57C152A3}"/>
    <cellStyle name="F6 4" xfId="1740" xr:uid="{08C2810A-0602-4568-A1E2-8CB77F22E85D}"/>
    <cellStyle name="F6 5" xfId="1741" xr:uid="{E86C1CD6-0DB7-45B8-B86E-B03C14460518}"/>
    <cellStyle name="F7" xfId="1742" xr:uid="{9349F9FE-F518-4FFC-BCB7-0306F8E78857}"/>
    <cellStyle name="F7 2" xfId="1743" xr:uid="{A0B0E7F4-3172-4850-B287-D349E5588470}"/>
    <cellStyle name="F7 2 2" xfId="1744" xr:uid="{736D95F5-89D7-41B4-8CE0-17D7D8490DD6}"/>
    <cellStyle name="F7 3" xfId="1745" xr:uid="{3E730CE1-A8FC-4F65-925A-E58A03491F9D}"/>
    <cellStyle name="F7 4" xfId="1746" xr:uid="{51B044FD-A934-41CA-8A0A-92A8A2E8D49A}"/>
    <cellStyle name="F7 5" xfId="1747" xr:uid="{90B5E377-ACCF-456B-B8A1-184E2BED01B7}"/>
    <cellStyle name="F8" xfId="1748" xr:uid="{E79C2BB9-703C-4839-8BE6-6906064605CB}"/>
    <cellStyle name="F8 2" xfId="1749" xr:uid="{A04D4A71-6465-496E-9F1E-B49520EE29B3}"/>
    <cellStyle name="F8 2 2" xfId="1750" xr:uid="{D9310248-1ABE-4B45-AB3B-2E2055755570}"/>
    <cellStyle name="F8 3" xfId="1751" xr:uid="{2020CC25-7CD1-455E-B725-9422F04CF895}"/>
    <cellStyle name="F8 4" xfId="1752" xr:uid="{67890D80-9F9A-4C14-A017-DCFE2FD4E9B7}"/>
    <cellStyle name="F8 5" xfId="1753" xr:uid="{F3A0695D-006A-430E-84B4-D3CA86D8ED28}"/>
    <cellStyle name="Fixed" xfId="1754" xr:uid="{6EDB2564-DE9F-468C-AC0D-4FBEBADBAE02}"/>
    <cellStyle name="Fixed 2" xfId="1755" xr:uid="{A32A34CC-1D4B-43DE-8059-61CD1EBD015A}"/>
    <cellStyle name="Fixed 2 2" xfId="1756" xr:uid="{0E6EBECF-9C13-4A4C-9BA3-78CCD9AED1D2}"/>
    <cellStyle name="Fixed 3" xfId="1757" xr:uid="{FF65110C-B25E-482C-8656-3492FD65A80E}"/>
    <cellStyle name="Fixed 4" xfId="1758" xr:uid="{FB206BAB-6E66-4077-80E0-BB7BA5D997E8}"/>
    <cellStyle name="Fixed 5" xfId="1759" xr:uid="{9A060A48-A70E-4FBC-B70D-A1FA106D31D4}"/>
    <cellStyle name="fred" xfId="1760" xr:uid="{4203A7D6-C997-4C64-A9C5-22784C5C5278}"/>
    <cellStyle name="fred 2" xfId="1761" xr:uid="{4C9D9A5E-F13D-4D77-8EE8-81C2CAD2F6FF}"/>
    <cellStyle name="fred 2 2" xfId="1762" xr:uid="{45F8C8B5-08F2-4AE4-9862-68073AB55DCB}"/>
    <cellStyle name="fred 3" xfId="1763" xr:uid="{B58771A9-85C9-408D-A081-0D73AF9EE14E}"/>
    <cellStyle name="fred 4" xfId="1764" xr:uid="{26FFED09-BFC1-42E6-82C9-E6847198CA0B}"/>
    <cellStyle name="fred 5" xfId="1765" xr:uid="{4589B58D-5B20-47EC-A71A-A10EEC6AA7D4}"/>
    <cellStyle name="Fred%" xfId="1766" xr:uid="{66992F5D-34CD-4371-A8BE-79149FEAA998}"/>
    <cellStyle name="Fred% 10" xfId="1767" xr:uid="{2515BB8E-584A-49B5-9D89-5219F50E294D}"/>
    <cellStyle name="Fred% 2" xfId="1768" xr:uid="{AD07B086-BE95-4586-B6BE-A2AE44EAA2F3}"/>
    <cellStyle name="Fred% 2 2" xfId="1769" xr:uid="{45F579EC-055B-4025-AEBF-FF2F6CC49602}"/>
    <cellStyle name="Fred% 2 2 2" xfId="1770" xr:uid="{7FD40C39-0C93-45DB-A558-7E53B516D06D}"/>
    <cellStyle name="Fred% 2 2 3" xfId="1771" xr:uid="{334E2324-3FE3-4AE5-88F8-ADDC84254D94}"/>
    <cellStyle name="Fred% 2 3" xfId="1772" xr:uid="{C5272ED7-724D-4433-B02C-CE33C6014102}"/>
    <cellStyle name="Fred% 2 4" xfId="1773" xr:uid="{E6DA3A98-2023-418B-B4E5-647900B0E2E9}"/>
    <cellStyle name="Fred% 3" xfId="1774" xr:uid="{FFB9A996-6F12-4276-9E70-8E8AD4007E85}"/>
    <cellStyle name="Fred% 3 2" xfId="1775" xr:uid="{8B1398F4-C005-4D8E-9C07-B39E3027B072}"/>
    <cellStyle name="Fred% 3 3" xfId="1776" xr:uid="{C5ECDD76-E7AE-463C-8B76-889C1CA55C8F}"/>
    <cellStyle name="Fred% 4" xfId="1777" xr:uid="{F1AFAB6D-E330-435E-820C-37A2FF42CA01}"/>
    <cellStyle name="Fred% 4 2" xfId="1778" xr:uid="{B65C6C9D-9AD6-4620-9ED0-EDFC814B4415}"/>
    <cellStyle name="Fred% 4 3" xfId="1779" xr:uid="{FA22998B-9EB5-4591-812D-C740E3EDE0E1}"/>
    <cellStyle name="Fred% 5" xfId="1780" xr:uid="{703AFF51-D347-4FC7-B29B-843E05F8FA31}"/>
    <cellStyle name="Fred% 5 2" xfId="1781" xr:uid="{7A05D09F-17A5-469C-89AF-E5D262FCA369}"/>
    <cellStyle name="Fred% 5 3" xfId="1782" xr:uid="{572D04FA-6423-4D22-B5C0-5204893F9B03}"/>
    <cellStyle name="Fred% 6" xfId="1783" xr:uid="{0BCE0716-5DB0-497A-AF43-B17E0889005B}"/>
    <cellStyle name="Fred% 6 2" xfId="1784" xr:uid="{9F7A2092-8554-424F-97FC-79E70B1BAEBA}"/>
    <cellStyle name="Fred% 6 3" xfId="1785" xr:uid="{8D887AA6-D976-4D4C-91BF-1FD3D455F21D}"/>
    <cellStyle name="Fred% 7" xfId="1786" xr:uid="{78913D1B-AC09-49CD-8EEB-D05715B9D15E}"/>
    <cellStyle name="Fred% 7 2" xfId="1787" xr:uid="{677F9280-388E-4570-9FA2-DF0B4E48317B}"/>
    <cellStyle name="Fred% 7 3" xfId="1788" xr:uid="{D4D6500D-58AC-45B9-90D0-2A8B7AA79B86}"/>
    <cellStyle name="Fred% 8" xfId="1789" xr:uid="{601F75EB-CF19-4A3E-9C5C-7B81F81F6526}"/>
    <cellStyle name="Fred% 8 2" xfId="1790" xr:uid="{119F73F2-314E-4C69-B572-4B6F61DBD17F}"/>
    <cellStyle name="Fred% 8 3" xfId="1791" xr:uid="{F9BB5535-ACEA-453B-AC66-77712096E285}"/>
    <cellStyle name="Fred% 9" xfId="1792" xr:uid="{6BBD0B7D-7598-468D-8EED-091E5B7A9420}"/>
    <cellStyle name="Glossary" xfId="78" xr:uid="{00000000-0005-0000-0000-000033000000}"/>
    <cellStyle name="Good" xfId="49" builtinId="26" customBuiltin="1"/>
    <cellStyle name="Good 10" xfId="1793" xr:uid="{B2645591-D4F2-4B14-9FEB-CB6FF0E6EF3F}"/>
    <cellStyle name="Good 11" xfId="1794" xr:uid="{0B4C6396-39FB-4DCA-AB30-3DA29C0A101D}"/>
    <cellStyle name="Good 12" xfId="1795" xr:uid="{8BA7998A-34BD-4B45-AAAA-2A1D96605E3C}"/>
    <cellStyle name="Good 13" xfId="1796" xr:uid="{0529C0FB-6209-4A37-9174-CC9E951231BC}"/>
    <cellStyle name="Good 14" xfId="1797" xr:uid="{07C027B0-F76E-4856-A9BD-E354995386D2}"/>
    <cellStyle name="Good 15" xfId="1798" xr:uid="{DF509AC2-9A46-4340-B883-AE92F73B90EA}"/>
    <cellStyle name="Good 16" xfId="1799" xr:uid="{06262733-AC01-4627-BD1E-B9121082A46D}"/>
    <cellStyle name="Good 17" xfId="1800" xr:uid="{0864EE46-8030-49CE-B532-B90ADEEB4A92}"/>
    <cellStyle name="Good 18" xfId="1801" xr:uid="{40D44E80-97F2-4C0D-86AA-07772B7A2C87}"/>
    <cellStyle name="Good 19" xfId="1802" xr:uid="{18BCDDB7-8FEB-4CF0-A9E7-72C63B576CDF}"/>
    <cellStyle name="Good 2" xfId="50" xr:uid="{00000000-0005-0000-0000-000035000000}"/>
    <cellStyle name="Good 20" xfId="1803" xr:uid="{056AD832-7B05-45E6-BB17-157A10168C8B}"/>
    <cellStyle name="Good 21" xfId="1804" xr:uid="{834A2F8D-AA4F-4E70-AF22-A04C197CE0B0}"/>
    <cellStyle name="Good 22" xfId="1805" xr:uid="{8E177A77-1096-42EF-AD60-461B18A333BC}"/>
    <cellStyle name="Good 23" xfId="1806" xr:uid="{A7A226C4-0164-41DB-8392-779EBA378BE4}"/>
    <cellStyle name="Good 24" xfId="1807" xr:uid="{F1EB8F2C-CE4A-4F9E-89FE-BBD3ED9FFAEC}"/>
    <cellStyle name="Good 25" xfId="1808" xr:uid="{F2A7CDB0-6258-41D1-A2B9-4D05AD7D3816}"/>
    <cellStyle name="Good 26" xfId="1809" xr:uid="{36FC7418-1B6E-4AE5-B202-28EA2ED9E163}"/>
    <cellStyle name="Good 27" xfId="1810" xr:uid="{3F6167C4-2B72-4B44-9E94-3C688057BC81}"/>
    <cellStyle name="Good 28" xfId="1811" xr:uid="{A00F19CC-80DA-4F6A-AFDC-0A6937835AF1}"/>
    <cellStyle name="Good 29" xfId="1812" xr:uid="{4A0E251D-0EE9-4E46-9045-F911F66844DE}"/>
    <cellStyle name="Good 3" xfId="1813" xr:uid="{FEB2E763-7862-480A-9827-21A1041B3153}"/>
    <cellStyle name="Good 30" xfId="1814" xr:uid="{F6A5AB05-34A4-45E3-93E0-914FC1689C30}"/>
    <cellStyle name="Good 31" xfId="1815" xr:uid="{9F7F6D1C-97E5-4CC2-BD65-6D7EAC58384A}"/>
    <cellStyle name="Good 32" xfId="1816" xr:uid="{2247DF60-F204-4972-9D84-09C5F98229A1}"/>
    <cellStyle name="Good 33" xfId="1817" xr:uid="{6B62F1D7-DFBE-4515-9EBC-12551E44423A}"/>
    <cellStyle name="Good 34" xfId="1818" xr:uid="{A6F9F453-3E46-4AE4-A4AA-D1270EE8E0CE}"/>
    <cellStyle name="Good 35" xfId="1819" xr:uid="{DA0BA596-9698-40EA-80F8-A046E1E43DC5}"/>
    <cellStyle name="Good 36" xfId="1820" xr:uid="{F615E74F-F107-4FC5-8F3D-D091B6160057}"/>
    <cellStyle name="Good 37" xfId="1821" xr:uid="{2EB9EF70-7626-4FA2-875A-D4923A588054}"/>
    <cellStyle name="Good 38" xfId="1822" xr:uid="{B7A7A05E-9025-4AE2-BD5F-CB25FECDE675}"/>
    <cellStyle name="Good 39" xfId="1823" xr:uid="{5B769CCE-9E1F-4836-AFAD-408F105EBDE2}"/>
    <cellStyle name="Good 4" xfId="1824" xr:uid="{94580AFC-F518-45C1-AB7E-8B714E2AE3AE}"/>
    <cellStyle name="Good 40" xfId="1825" xr:uid="{767FC1A9-A545-4140-90C6-861190D935F9}"/>
    <cellStyle name="Good 41" xfId="1826" xr:uid="{989146A4-0622-48FE-A071-153C524B4804}"/>
    <cellStyle name="Good 42" xfId="1827" xr:uid="{E05EFD70-BFF6-48BD-92F6-132B4B3F4BF9}"/>
    <cellStyle name="Good 43" xfId="1828" xr:uid="{BA69B6BE-8B11-4333-BAC4-0104F8D62B5C}"/>
    <cellStyle name="Good 44" xfId="8553" xr:uid="{6AA49C30-E273-440E-81AA-0EEFFF855119}"/>
    <cellStyle name="Good 5" xfId="1829" xr:uid="{0FEA557B-2096-4CFA-9547-EDAA78612E86}"/>
    <cellStyle name="Good 6" xfId="1830" xr:uid="{44619484-1D1F-4C0A-AA68-95D6B3FCD72D}"/>
    <cellStyle name="Good 7" xfId="1831" xr:uid="{FDDBA69E-F930-4024-88F2-C145D8D658FB}"/>
    <cellStyle name="Good 8" xfId="1832" xr:uid="{B01EA172-3A72-4E9C-A3F8-09874DD971A8}"/>
    <cellStyle name="Good 9" xfId="1833" xr:uid="{FF694AF8-F68C-4E67-9A12-B2ABC0A3A452}"/>
    <cellStyle name="Grey" xfId="1834" xr:uid="{B83AB862-1A4F-48C4-AB7D-B4FF6EA82124}"/>
    <cellStyle name="Grey 2" xfId="1835" xr:uid="{7230D83A-7E08-450D-A530-A7A8181DC678}"/>
    <cellStyle name="Header1" xfId="1836" xr:uid="{4E7951F8-6B30-4060-9223-8F822610171D}"/>
    <cellStyle name="Header1 2" xfId="5950" xr:uid="{9A4E7D1E-84B8-44D5-B922-A0CCA050E1AB}"/>
    <cellStyle name="Header1 2 2" xfId="34671" xr:uid="{47CD36FD-F9D9-4C60-BC28-4E3FC58BF963}"/>
    <cellStyle name="Header1 3" xfId="6729" xr:uid="{15502E1C-1DF9-41EB-84A7-CF28A7F974C7}"/>
    <cellStyle name="Header2" xfId="1837" xr:uid="{96BCB74A-6CC5-4632-90DD-645EEAF27025}"/>
    <cellStyle name="Header2 10" xfId="15069" xr:uid="{772DF119-8FB1-4C4B-8DE5-1E1FF038CC99}"/>
    <cellStyle name="Header2 11" xfId="16969" xr:uid="{9C29EC9A-440F-4692-82D0-C18E8773C75F}"/>
    <cellStyle name="Header2 12" xfId="17837" xr:uid="{C809DA8F-85C4-42FA-AE0A-DA66665F6773}"/>
    <cellStyle name="Header2 13" xfId="12490" xr:uid="{E6172B82-3566-48C8-9660-B893954AE732}"/>
    <cellStyle name="Header2 14" xfId="21052" xr:uid="{0E5D9311-088D-48AB-8109-3AE80D4489F6}"/>
    <cellStyle name="Header2 15" xfId="19367" xr:uid="{C00533DD-5941-4EF4-B264-0E6DA198C7F2}"/>
    <cellStyle name="Header2 16" xfId="21138" xr:uid="{FD210B0F-215D-42EE-B539-016B20349AC3}"/>
    <cellStyle name="Header2 17" xfId="23559" xr:uid="{D1A4E0C8-5D8F-49F3-9EC1-7EAE993303CB}"/>
    <cellStyle name="Header2 18" xfId="24356" xr:uid="{A4A6F4D7-567C-42EA-9DAC-0B8D9DFCD0A0}"/>
    <cellStyle name="Header2 19" xfId="25934" xr:uid="{405198B9-222A-4077-9091-75FAFC47EFB5}"/>
    <cellStyle name="Header2 2" xfId="1838" xr:uid="{ABA4FAE5-2092-453E-808A-D2155A35EF1F}"/>
    <cellStyle name="Header2 2 10" xfId="16396" xr:uid="{0F1F0CB0-1079-46DC-B28E-10FBBAABB055}"/>
    <cellStyle name="Header2 2 11" xfId="19800" xr:uid="{2FE4A971-B1F5-48FE-84B2-E93825FDDFD6}"/>
    <cellStyle name="Header2 2 12" xfId="22721" xr:uid="{453DF9AF-FD35-4357-899B-250B28332C27}"/>
    <cellStyle name="Header2 2 13" xfId="23562" xr:uid="{2423446E-A5CD-4BA7-B624-A98355578137}"/>
    <cellStyle name="Header2 2 14" xfId="24360" xr:uid="{87CA5847-21B8-4A81-A28A-DF67359821CD}"/>
    <cellStyle name="Header2 2 15" xfId="17675" xr:uid="{DF4718B7-8227-4554-BFA2-0CE0BA00A51A}"/>
    <cellStyle name="Header2 2 16" xfId="22904" xr:uid="{B5D9D29A-231D-42A0-A3E1-3AF693C47F3E}"/>
    <cellStyle name="Header2 2 17" xfId="24932" xr:uid="{CE3009FA-A508-4C79-A979-93D5D62E6A15}"/>
    <cellStyle name="Header2 2 18" xfId="27432" xr:uid="{8D23CD99-DC39-4A85-B512-D31E3A5CF0B6}"/>
    <cellStyle name="Header2 2 19" xfId="28158" xr:uid="{04A19BB6-AB9C-46D1-B8FC-52EA8105D43C}"/>
    <cellStyle name="Header2 2 2" xfId="1839" xr:uid="{5A607FD2-1E04-48BC-8061-5AC0E0A3D55C}"/>
    <cellStyle name="Header2 2 2 10" xfId="17980" xr:uid="{D3476431-ED09-4BC2-8466-459321C6DB24}"/>
    <cellStyle name="Header2 2 2 11" xfId="21635" xr:uid="{69619314-42E7-4C92-9F2F-6C39BEDD3C5D}"/>
    <cellStyle name="Header2 2 2 12" xfId="21481" xr:uid="{3886E86B-31D4-4C37-AE53-983A9C8CE50E}"/>
    <cellStyle name="Header2 2 2 13" xfId="19105" xr:uid="{0536199F-1D48-4796-AAA7-2F509685BB26}"/>
    <cellStyle name="Header2 2 2 14" xfId="18153" xr:uid="{B52B7DA8-D909-4154-91A9-11A5B71AEF2E}"/>
    <cellStyle name="Header2 2 2 15" xfId="24802" xr:uid="{7FDAF83D-AC2A-4011-942E-3B4189CAEF3C}"/>
    <cellStyle name="Header2 2 2 16" xfId="19317" xr:uid="{07D5BB21-FB93-4279-B055-2872DFA5D779}"/>
    <cellStyle name="Header2 2 2 17" xfId="27610" xr:uid="{4332F63F-DE27-4603-B3E8-BD53C918B7E2}"/>
    <cellStyle name="Header2 2 2 18" xfId="22566" xr:uid="{41F46327-5888-40C6-9974-24125D1B99E1}"/>
    <cellStyle name="Header2 2 2 19" xfId="25419" xr:uid="{0FC9AE8B-764E-4F50-9CB4-D8A99F905CE3}"/>
    <cellStyle name="Header2 2 2 2" xfId="8596" xr:uid="{56168366-81D3-41A9-8B56-6EDB58670C84}"/>
    <cellStyle name="Header2 2 2 20" xfId="27244" xr:uid="{833F7462-4B2A-4559-86E4-DF1FB0AFF3C0}"/>
    <cellStyle name="Header2 2 2 21" xfId="27202" xr:uid="{220C63AE-46EF-4970-A0DF-C0C571BAA431}"/>
    <cellStyle name="Header2 2 2 22" xfId="25640" xr:uid="{5B6B16D9-2274-4FB7-8C9C-D2CA55DE0831}"/>
    <cellStyle name="Header2 2 2 23" xfId="25520" xr:uid="{4B4D6C70-DA03-4DED-BEB2-6BE0700F9FB1}"/>
    <cellStyle name="Header2 2 2 24" xfId="29685" xr:uid="{63A3424D-90D9-4360-AD58-A60D4D20C198}"/>
    <cellStyle name="Header2 2 2 25" xfId="25837" xr:uid="{F6398EB9-E1C9-44C1-AB6E-A5663B0745C9}"/>
    <cellStyle name="Header2 2 2 26" xfId="28351" xr:uid="{3366A219-F87D-461A-9362-3CAB2D55AA6C}"/>
    <cellStyle name="Header2 2 2 27" xfId="25978" xr:uid="{BB7F9C89-07AB-4000-8958-168831A9C67D}"/>
    <cellStyle name="Header2 2 2 3" xfId="12125" xr:uid="{8F513D9A-3551-4F51-89C9-BD2563D29978}"/>
    <cellStyle name="Header2 2 2 4" xfId="9644" xr:uid="{09F94DEE-0708-4EF9-92B2-0924DCC978AE}"/>
    <cellStyle name="Header2 2 2 5" xfId="15696" xr:uid="{8375AEAF-FF85-49DF-B5C6-75885F4E5AA7}"/>
    <cellStyle name="Header2 2 2 6" xfId="10533" xr:uid="{9378D22C-9B20-424A-A47C-E0F11D23411E}"/>
    <cellStyle name="Header2 2 2 7" xfId="7392" xr:uid="{DD67A35F-B792-4F1C-A6B3-7B7ED3279772}"/>
    <cellStyle name="Header2 2 2 8" xfId="18766" xr:uid="{AA2568EF-6F7A-4DC8-87BB-D53D5A4752B6}"/>
    <cellStyle name="Header2 2 2 9" xfId="13981" xr:uid="{6ADDC64A-1B55-4CDE-8224-C7750EA7E5BD}"/>
    <cellStyle name="Header2 2 20" xfId="28898" xr:uid="{B985A468-675B-44AB-B58E-6D5E588A8EDB}"/>
    <cellStyle name="Header2 2 21" xfId="23773" xr:uid="{87C99476-B53F-40D3-AEB1-FE226D229CB9}"/>
    <cellStyle name="Header2 2 22" xfId="26131" xr:uid="{C28C0D03-33B2-4045-8A1E-45B1DD023DA7}"/>
    <cellStyle name="Header2 2 23" xfId="28534" xr:uid="{3D566C86-9A14-466D-A68D-B9BAD5FEEE30}"/>
    <cellStyle name="Header2 2 24" xfId="29744" xr:uid="{8680E680-07F4-4A6A-8FEE-92BC1CD95705}"/>
    <cellStyle name="Header2 2 25" xfId="30569" xr:uid="{50D529F5-79C1-4EC9-A431-DFF16843685E}"/>
    <cellStyle name="Header2 2 26" xfId="30921" xr:uid="{D28241B0-105F-4939-B352-B7D423567959}"/>
    <cellStyle name="Header2 2 27" xfId="27038" xr:uid="{27A6AC79-168F-4270-990D-ECE67D0F561C}"/>
    <cellStyle name="Header2 2 28" xfId="29852" xr:uid="{FFED23D5-3DD9-499D-B28F-7CAE414A3FB6}"/>
    <cellStyle name="Header2 2 3" xfId="8595" xr:uid="{DB81CAF8-35D7-4354-8B0B-5C615D0380AD}"/>
    <cellStyle name="Header2 2 4" xfId="9139" xr:uid="{1AE8D74C-D7B6-4E04-8296-31EDD4B9CF34}"/>
    <cellStyle name="Header2 2 5" xfId="14572" xr:uid="{FCD11F94-8D4A-41E9-B000-8B863C954A73}"/>
    <cellStyle name="Header2 2 6" xfId="13610" xr:uid="{D7AD31DF-AA12-4501-A92D-5A2F15924607}"/>
    <cellStyle name="Header2 2 7" xfId="16973" xr:uid="{F84A456C-9E0A-4994-9DDE-067654847800}"/>
    <cellStyle name="Header2 2 8" xfId="7391" xr:uid="{6AB5BCD1-BC63-40B3-ADDF-C835EA3E5BB7}"/>
    <cellStyle name="Header2 2 9" xfId="19520" xr:uid="{42500C15-E619-4170-82D7-4E60C2BDBC97}"/>
    <cellStyle name="Header2 20" xfId="24801" xr:uid="{EC51DD60-67BC-4420-9C73-4ADBCB66DBF4}"/>
    <cellStyle name="Header2 21" xfId="26936" xr:uid="{B8F32918-7B7C-4C85-884A-4DAB5F952026}"/>
    <cellStyle name="Header2 22" xfId="27611" xr:uid="{71D9F624-84BB-4D50-ABAA-B2E259C65E13}"/>
    <cellStyle name="Header2 23" xfId="28155" xr:uid="{5EFC17FB-5CD1-424F-9A28-5847EBAA154D}"/>
    <cellStyle name="Header2 24" xfId="28894" xr:uid="{3459413B-A565-47C4-96D4-43A650E42028}"/>
    <cellStyle name="Header2 25" xfId="27243" xr:uid="{B4F2AB8E-C2EA-4A4C-97F3-CCC78576FB1E}"/>
    <cellStyle name="Header2 26" xfId="27201" xr:uid="{2668A58E-468E-4E24-A1C4-7ABBD6C4A9FB}"/>
    <cellStyle name="Header2 27" xfId="26089" xr:uid="{CD78363C-EED4-4FD4-955A-CD0A535B0FA6}"/>
    <cellStyle name="Header2 28" xfId="25454" xr:uid="{0F624BB1-09A2-46C7-8598-D4A86E65A233}"/>
    <cellStyle name="Header2 29" xfId="30567" xr:uid="{22FEC57F-10BE-40F4-BED9-471FD7422EB7}"/>
    <cellStyle name="Header2 3" xfId="1840" xr:uid="{EBD29605-C93E-420D-83D2-59EA473C650E}"/>
    <cellStyle name="Header2 3 10" xfId="16397" xr:uid="{A98BEBA2-E3EB-4100-A927-7CCF80206CA5}"/>
    <cellStyle name="Header2 3 11" xfId="19801" xr:uid="{26C28DF1-996B-4359-B5E5-552C0965BB55}"/>
    <cellStyle name="Header2 3 12" xfId="21638" xr:uid="{192434C2-4FF0-42D4-ACAF-07A1A5E8AA8A}"/>
    <cellStyle name="Header2 3 13" xfId="20886" xr:uid="{9E997373-FB7E-4C56-B8DB-6A2F4678A999}"/>
    <cellStyle name="Header2 3 14" xfId="13904" xr:uid="{C34D6B4F-EFBA-42EB-9934-AB0750365801}"/>
    <cellStyle name="Header2 3 15" xfId="23272" xr:uid="{CDE34DBB-91EC-4B7A-8A69-A102052ADBA2}"/>
    <cellStyle name="Header2 3 16" xfId="24193" xr:uid="{80C1639D-0E4C-445E-8601-F5C42BAE415B}"/>
    <cellStyle name="Header2 3 17" xfId="21136" xr:uid="{34DF8693-C6FC-47BB-8376-7EBC6D71942F}"/>
    <cellStyle name="Header2 3 18" xfId="27433" xr:uid="{E460D1AA-1E74-446B-BD76-350559EEE3B2}"/>
    <cellStyle name="Header2 3 19" xfId="17883" xr:uid="{4FFE6E61-A51A-4D63-901D-06F1349A05B7}"/>
    <cellStyle name="Header2 3 2" xfId="1841" xr:uid="{399A8E06-66CA-46D3-92CF-5D0255A222B7}"/>
    <cellStyle name="Header2 3 2 10" xfId="15726" xr:uid="{58894F41-5CBF-4009-99F8-7D4324F13E9B}"/>
    <cellStyle name="Header2 3 2 11" xfId="21650" xr:uid="{D1B068AB-81D8-4011-9FED-C257879C1565}"/>
    <cellStyle name="Header2 3 2 12" xfId="21482" xr:uid="{D3EEE07E-764C-4F36-9B68-157AE1729F81}"/>
    <cellStyle name="Header2 3 2 13" xfId="19106" xr:uid="{48D68F71-E02C-4FB7-A82B-C8FA9953139E}"/>
    <cellStyle name="Header2 3 2 14" xfId="25923" xr:uid="{81839EDB-E91D-417F-9652-F3863F78FBCD}"/>
    <cellStyle name="Header2 3 2 15" xfId="24803" xr:uid="{16D12DE6-B787-4D2C-BF8E-D15711AF2A97}"/>
    <cellStyle name="Header2 3 2 16" xfId="26924" xr:uid="{9CD34606-C710-4237-8D64-DF6A82BFEA3A}"/>
    <cellStyle name="Header2 3 2 17" xfId="25782" xr:uid="{59639174-6781-40A3-8859-7536BD761386}"/>
    <cellStyle name="Header2 3 2 18" xfId="21239" xr:uid="{E70ED3BB-0831-4CCD-BECF-789B3314FD25}"/>
    <cellStyle name="Header2 3 2 19" xfId="24228" xr:uid="{51666EA7-470A-4E15-89C7-767C202824AB}"/>
    <cellStyle name="Header2 3 2 2" xfId="8598" xr:uid="{C0F64975-E30C-4933-AD96-0FCD5D220230}"/>
    <cellStyle name="Header2 3 2 20" xfId="27245" xr:uid="{3E5C990D-4688-4A3A-9015-AF7EE7FC56AA}"/>
    <cellStyle name="Header2 3 2 21" xfId="27203" xr:uid="{FF271245-31C2-4820-8E52-1A271F182028}"/>
    <cellStyle name="Header2 3 2 22" xfId="27123" xr:uid="{0BAE5A82-7369-4879-BAD5-DE82FB528052}"/>
    <cellStyle name="Header2 3 2 23" xfId="23672" xr:uid="{25E776D9-80E2-4870-8628-A3F0A2B224FE}"/>
    <cellStyle name="Header2 3 2 24" xfId="22618" xr:uid="{21444D79-4BEC-4AA6-8691-33D921AEC0C1}"/>
    <cellStyle name="Header2 3 2 25" xfId="27773" xr:uid="{5F60C700-2CC8-44CA-BA5D-CA513D61E160}"/>
    <cellStyle name="Header2 3 2 26" xfId="26049" xr:uid="{18B8E975-C165-447A-B420-E89E9CC12B26}"/>
    <cellStyle name="Header2 3 2 27" xfId="31217" xr:uid="{FD7ABC09-FDA4-48FC-96C5-ECC4141FEAFD}"/>
    <cellStyle name="Header2 3 2 3" xfId="12124" xr:uid="{A48E3A00-A29A-465A-88B0-BBD98B1DBFE8}"/>
    <cellStyle name="Header2 3 2 4" xfId="9642" xr:uid="{2F211060-BF27-4D79-AFAF-38100A99A53D}"/>
    <cellStyle name="Header2 3 2 5" xfId="15439" xr:uid="{05E77072-E452-40BB-B4B9-28CD2FBCE03D}"/>
    <cellStyle name="Header2 3 2 6" xfId="12946" xr:uid="{FA5A3F06-5F9B-48F9-A3A4-53CE6935647F}"/>
    <cellStyle name="Header2 3 2 7" xfId="17826" xr:uid="{CB8374B6-0A77-4C90-A05A-3358C759E138}"/>
    <cellStyle name="Header2 3 2 8" xfId="19295" xr:uid="{E1180ABC-040F-471A-A2FC-A385991770CE}"/>
    <cellStyle name="Header2 3 2 9" xfId="21040" xr:uid="{2AECA4D7-8195-4996-B5CE-5738767D8CB9}"/>
    <cellStyle name="Header2 3 20" xfId="26647" xr:uid="{344F89A5-3BBF-4DAD-BB49-C9E86EBA5FC3}"/>
    <cellStyle name="Header2 3 21" xfId="25081" xr:uid="{75E64A1D-064D-4C49-B574-10D82A7623CA}"/>
    <cellStyle name="Header2 3 22" xfId="25658" xr:uid="{46DD187E-7CA5-4275-A3FA-06C41F4693B6}"/>
    <cellStyle name="Header2 3 23" xfId="28535" xr:uid="{9191F073-6799-4C47-A187-24C178343121}"/>
    <cellStyle name="Header2 3 24" xfId="25155" xr:uid="{6E245A88-608B-4F08-8BC0-F4DD8541417D}"/>
    <cellStyle name="Header2 3 25" xfId="29689" xr:uid="{9795AE9D-E141-42E6-A644-660106779EE7}"/>
    <cellStyle name="Header2 3 26" xfId="29643" xr:uid="{13B96486-CD90-4478-B4B8-638FABB2408F}"/>
    <cellStyle name="Header2 3 27" xfId="27033" xr:uid="{19FA4A9C-A878-414A-B9AB-6D04D8546701}"/>
    <cellStyle name="Header2 3 28" xfId="30033" xr:uid="{B0291352-C6C7-4848-B85F-0088BDDA54B2}"/>
    <cellStyle name="Header2 3 3" xfId="8597" xr:uid="{15D5F49B-0970-427D-8DAE-90C37EE23CAD}"/>
    <cellStyle name="Header2 3 4" xfId="9138" xr:uid="{E4A71403-D439-4965-90AA-7160EFF439C9}"/>
    <cellStyle name="Header2 3 5" xfId="9643" xr:uid="{237976E1-A223-4ABB-9EEE-EC61A3C8A44B}"/>
    <cellStyle name="Header2 3 6" xfId="15296" xr:uid="{C9C05151-F7C6-4EAC-A9FC-D23DD5B71EBC}"/>
    <cellStyle name="Header2 3 7" xfId="14948" xr:uid="{65501BD3-229C-4842-8368-01859A05EDD2}"/>
    <cellStyle name="Header2 3 8" xfId="11813" xr:uid="{A276767E-A30E-4310-BD3C-15C5E08913D8}"/>
    <cellStyle name="Header2 3 9" xfId="19517" xr:uid="{7E55E452-D6DE-4A5B-8139-46FE40C04615}"/>
    <cellStyle name="Header2 30" xfId="30918" xr:uid="{4C219973-55B8-4B84-ACDA-1DAE263ACF3C}"/>
    <cellStyle name="Header2 31" xfId="28350" xr:uid="{D2CAA356-8CFA-44FC-8F95-1E3089B7F358}"/>
    <cellStyle name="Header2 32" xfId="31221" xr:uid="{8BD71456-C5DE-46A3-B00F-1D454965A17A}"/>
    <cellStyle name="Header2 4" xfId="1842" xr:uid="{DC258DF7-8FE8-426C-B619-5D47660628D1}"/>
    <cellStyle name="Header2 4 10" xfId="20302" xr:uid="{A5B7192B-2C60-46C6-BD76-35D9FB64CE03}"/>
    <cellStyle name="Header2 4 11" xfId="19802" xr:uid="{D50DE948-6434-4D6F-9EED-424DA926FEA8}"/>
    <cellStyle name="Header2 4 12" xfId="21135" xr:uid="{D48383D5-11B7-4B68-AD51-251F1AFE7421}"/>
    <cellStyle name="Header2 4 13" xfId="23552" xr:uid="{5033F8A7-F858-40F2-88E5-21C48278E420}"/>
    <cellStyle name="Header2 4 14" xfId="24349" xr:uid="{BEB18CB3-1494-4602-8BC6-EB5B2566BC79}"/>
    <cellStyle name="Header2 4 15" xfId="23695" xr:uid="{3F637FDA-60BC-41F1-A080-F3F063E7FFC2}"/>
    <cellStyle name="Header2 4 16" xfId="24194" xr:uid="{5CC1B6FF-5765-448B-9850-CE3F61FB9F35}"/>
    <cellStyle name="Header2 4 17" xfId="25991" xr:uid="{8D447372-2B11-4EA9-9D8C-4FE8F8BA8365}"/>
    <cellStyle name="Header2 4 18" xfId="21759" xr:uid="{322A4429-844B-4AB8-82CB-E00FC4B58214}"/>
    <cellStyle name="Header2 4 19" xfId="28147" xr:uid="{FE28861F-A309-4B7C-9F69-8C0CBC6B7423}"/>
    <cellStyle name="Header2 4 2" xfId="1843" xr:uid="{533A986D-1D89-4A78-807A-B3F940C36A9D}"/>
    <cellStyle name="Header2 4 2 10" xfId="17981" xr:uid="{6B3DADAF-0CE2-421A-A370-F4BD99F32A93}"/>
    <cellStyle name="Header2 4 2 11" xfId="22243" xr:uid="{5B8373AF-52DD-4246-A2ED-BAB02FB5555D}"/>
    <cellStyle name="Header2 4 2 12" xfId="22813" xr:uid="{7EA050AB-0B54-4E70-91EA-9C0547232117}"/>
    <cellStyle name="Header2 4 2 13" xfId="23648" xr:uid="{8A37C7B4-E3FC-4C6D-9B61-DAEC57C63725}"/>
    <cellStyle name="Header2 4 2 14" xfId="25920" xr:uid="{0B8967DC-342A-4CD3-91A7-5F5DF04E0012}"/>
    <cellStyle name="Header2 4 2 15" xfId="24804" xr:uid="{777C1EBA-CCF0-4185-9124-548E93F8FFA7}"/>
    <cellStyle name="Header2 4 2 16" xfId="26921" xr:uid="{E00D82C4-C67E-444A-A7C0-6FDF98A3234E}"/>
    <cellStyle name="Header2 4 2 17" xfId="24581" xr:uid="{38569212-BBD6-4ADC-9183-F271E9F4BB3A}"/>
    <cellStyle name="Header2 4 2 18" xfId="27635" xr:uid="{B0ECEEEB-F569-4688-B05F-3C7149F1DCBB}"/>
    <cellStyle name="Header2 4 2 19" xfId="28236" xr:uid="{6EF94C89-DFCC-4977-A896-9C805638061A}"/>
    <cellStyle name="Header2 4 2 2" xfId="8600" xr:uid="{640A8ED3-FDC9-43AB-AFC5-6ADA31C0BD03}"/>
    <cellStyle name="Header2 4 2 20" xfId="27993" xr:uid="{56AA6CC6-7AD3-4FA7-9820-55E3B9A31D2A}"/>
    <cellStyle name="Header2 4 2 21" xfId="27188" xr:uid="{1F648F3D-9764-4C6A-A0C3-6A438DD200F1}"/>
    <cellStyle name="Header2 4 2 22" xfId="26090" xr:uid="{A9234E2E-A2B7-4CF1-BBC3-CDC8A417B49E}"/>
    <cellStyle name="Header2 4 2 23" xfId="23571" xr:uid="{2F8B0F09-D65C-4D92-A7D6-6CE3629420D5}"/>
    <cellStyle name="Header2 4 2 24" xfId="30182" xr:uid="{3E89434A-D04A-4C58-8D47-598093A5D772}"/>
    <cellStyle name="Header2 4 2 25" xfId="30598" xr:uid="{A80688BB-33F6-450B-AA5D-CD6147E1D078}"/>
    <cellStyle name="Header2 4 2 26" xfId="29563" xr:uid="{2740FA21-2033-4A4E-A194-495990BCE432}"/>
    <cellStyle name="Header2 4 2 27" xfId="31216" xr:uid="{F93180DC-8AEB-4D0C-9F82-5226FF6AA036}"/>
    <cellStyle name="Header2 4 2 3" xfId="9136" xr:uid="{8FF7C9B2-842E-4431-B3D2-35E1ED03923B}"/>
    <cellStyle name="Header2 4 2 4" xfId="13808" xr:uid="{CD21C61E-C8BA-4CA4-B5D3-C3153A5690EE}"/>
    <cellStyle name="Header2 4 2 5" xfId="13521" xr:uid="{668C0D6A-BC68-4F51-95BE-2500F232825F}"/>
    <cellStyle name="Header2 4 2 6" xfId="16203" xr:uid="{871A0A83-A2A3-41D6-B9CF-AFE2B40FA2D6}"/>
    <cellStyle name="Header2 4 2 7" xfId="17824" xr:uid="{21FCCC1C-55B6-49F3-AFC1-3B3A55D82F3E}"/>
    <cellStyle name="Header2 4 2 8" xfId="19296" xr:uid="{3B408470-7046-4CB4-8D2F-237E7D83BAF5}"/>
    <cellStyle name="Header2 4 2 9" xfId="21037" xr:uid="{C3430F7C-736E-4509-90EC-79502FAAA29E}"/>
    <cellStyle name="Header2 4 20" xfId="28888" xr:uid="{8A1AEFC2-C28F-41B9-BF30-9B95144E7CA9}"/>
    <cellStyle name="Header2 4 21" xfId="25668" xr:uid="{7FEE8FE6-C858-4CD4-8D2E-40811EF15B83}"/>
    <cellStyle name="Header2 4 22" xfId="26132" xr:uid="{56E6F2B9-6672-4EFE-87CD-EFF223B35358}"/>
    <cellStyle name="Header2 4 23" xfId="28536" xr:uid="{03333A5F-7A2D-475E-BA82-B0844BC76E41}"/>
    <cellStyle name="Header2 4 24" xfId="21931" xr:uid="{2DB953BC-3DF2-468B-A120-42068EC550D2}"/>
    <cellStyle name="Header2 4 25" xfId="30561" xr:uid="{AAFD49E9-B659-4C60-BE73-69DF8DD9303B}"/>
    <cellStyle name="Header2 4 26" xfId="30915" xr:uid="{12381BCF-4932-484D-86DF-EA7816825253}"/>
    <cellStyle name="Header2 4 27" xfId="28352" xr:uid="{D65B305E-E01C-4E50-981F-D061435EDE79}"/>
    <cellStyle name="Header2 4 28" xfId="30927" xr:uid="{BA8EDACC-E9F5-40BB-AB64-8796307B62D5}"/>
    <cellStyle name="Header2 4 3" xfId="8599" xr:uid="{BFAC72A8-B0E8-4876-913D-F2E45D377EBB}"/>
    <cellStyle name="Header2 4 4" xfId="9137" xr:uid="{9002D100-9319-499C-AAD6-E10C2B0CFFE2}"/>
    <cellStyle name="Header2 4 5" xfId="14561" xr:uid="{81FBE243-3BBB-4475-AFA4-911376464662}"/>
    <cellStyle name="Header2 4 6" xfId="13609" xr:uid="{02EB63DF-D0BA-43FD-91B7-FC129AC515A4}"/>
    <cellStyle name="Header2 4 7" xfId="16962" xr:uid="{347018E9-F889-4746-9BD8-DFE253F3E0C3}"/>
    <cellStyle name="Header2 4 8" xfId="17068" xr:uid="{F3890E0A-11BE-4848-A18E-6F8E612779A0}"/>
    <cellStyle name="Header2 4 9" xfId="19516" xr:uid="{37D2559A-1645-49EA-B52A-FE9652E4EE87}"/>
    <cellStyle name="Header2 5" xfId="1844" xr:uid="{735FB917-DFA4-4610-B619-D867CE6FCEC9}"/>
    <cellStyle name="Header2 5 10" xfId="20821" xr:uid="{6D7BDA94-A5CD-4A3A-99E8-CAAEAF6441B9}"/>
    <cellStyle name="Header2 5 11" xfId="15722" xr:uid="{9220B638-2764-46DC-B57D-5C60BC7E15A5}"/>
    <cellStyle name="Header2 5 12" xfId="21876" xr:uid="{C3853DE0-89DC-4365-8EE0-5B76EA148D09}"/>
    <cellStyle name="Header2 5 13" xfId="23549" xr:uid="{BF387418-4532-422E-BDCF-2BCD296C12A7}"/>
    <cellStyle name="Header2 5 14" xfId="24346" xr:uid="{C9D6B2F1-B889-4C89-9668-6AA25CC14D94}"/>
    <cellStyle name="Header2 5 15" xfId="23519" xr:uid="{3C5F00BB-509D-4D5E-95C7-E9E04757F67F}"/>
    <cellStyle name="Header2 5 16" xfId="22353" xr:uid="{5880FECB-3F7E-4E64-9E5C-FAD4BA0EB02D}"/>
    <cellStyle name="Header2 5 17" xfId="26730" xr:uid="{E99FEF9D-9B48-463C-91E4-6CCC62AE2567}"/>
    <cellStyle name="Header2 5 18" xfId="24211" xr:uid="{F488F6C9-4F6D-4D69-B7BA-C842EC691EB0}"/>
    <cellStyle name="Header2 5 19" xfId="28144" xr:uid="{E424D3E1-3A9D-4105-84FF-5D810843CFA8}"/>
    <cellStyle name="Header2 5 2" xfId="1845" xr:uid="{7DAE2FE1-8C5E-4131-AB29-572C0331A116}"/>
    <cellStyle name="Header2 5 2 10" xfId="19803" xr:uid="{1C2C332D-F7F7-461B-907C-7BD721FEE71B}"/>
    <cellStyle name="Header2 5 2 11" xfId="21993" xr:uid="{86B190F7-EC1E-489A-9524-E3C9AB1CC94C}"/>
    <cellStyle name="Header2 5 2 12" xfId="23330" xr:uid="{6287E893-98FB-4CE1-B37A-45AD2E545785}"/>
    <cellStyle name="Header2 5 2 13" xfId="24133" xr:uid="{548AB501-F4ED-4550-9D92-4F40BDFFFF80}"/>
    <cellStyle name="Header2 5 2 14" xfId="25919" xr:uid="{D477311F-26F4-4218-8A18-603387E80AE5}"/>
    <cellStyle name="Header2 5 2 15" xfId="24805" xr:uid="{9590FEB4-BF6E-4E08-93A1-4315F2D58F62}"/>
    <cellStyle name="Header2 5 2 16" xfId="26920" xr:uid="{7CA2291A-1D6F-4528-BC4B-C85226CD241F}"/>
    <cellStyle name="Header2 5 2 17" xfId="27623" xr:uid="{29DDA179-3A1B-4D08-83B2-B1C9D4FB04D6}"/>
    <cellStyle name="Header2 5 2 18" xfId="27974" xr:uid="{5AF50FCF-D860-43B8-82E2-B8869D652C3D}"/>
    <cellStyle name="Header2 5 2 19" xfId="28699" xr:uid="{2C2A94D6-3432-4123-9573-D0285E4B75F5}"/>
    <cellStyle name="Header2 5 2 2" xfId="8602" xr:uid="{C439017B-8EF0-41AE-8C0F-17CAAB3331A8}"/>
    <cellStyle name="Header2 5 2 20" xfId="26797" xr:uid="{74F6C156-12B0-4754-AE69-84E3EEAA6CED}"/>
    <cellStyle name="Header2 5 2 21" xfId="23775" xr:uid="{32435243-2B64-44A0-911D-ADC898EB4530}"/>
    <cellStyle name="Header2 5 2 22" xfId="28026" xr:uid="{5D833743-ED15-4A56-8C9A-BB17483C46D1}"/>
    <cellStyle name="Header2 5 2 23" xfId="25453" xr:uid="{27F64AF9-EA3A-4E99-A9B7-46D9F3E5B929}"/>
    <cellStyle name="Header2 5 2 24" xfId="25087" xr:uid="{827CA92F-CAD0-4B89-A1CC-6B146C315408}"/>
    <cellStyle name="Header2 5 2 25" xfId="30782" xr:uid="{0EDC1009-7A98-458D-8956-49E4B6C24B04}"/>
    <cellStyle name="Header2 5 2 26" xfId="28353" xr:uid="{0992F1A0-93A2-4552-B788-A227DCE2766B}"/>
    <cellStyle name="Header2 5 2 27" xfId="31215" xr:uid="{BCBAE3D7-F608-4B4A-94BF-86C0DD877A81}"/>
    <cellStyle name="Header2 5 2 3" xfId="9134" xr:uid="{78883AAB-1603-4023-AD52-69A61FE6B276}"/>
    <cellStyle name="Header2 5 2 4" xfId="14333" xr:uid="{2D03F3EA-A3D6-4098-951E-30A0F2827303}"/>
    <cellStyle name="Header2 5 2 5" xfId="15048" xr:uid="{4BE9FF11-A219-4863-AB48-BD90BAE8F7AB}"/>
    <cellStyle name="Header2 5 2 6" xfId="16733" xr:uid="{80432799-1528-4EBC-8F7A-1B60D1B1E84A}"/>
    <cellStyle name="Header2 5 2 7" xfId="17823" xr:uid="{8A8B7F98-955F-4ECF-AFAD-7821B3C8B86A}"/>
    <cellStyle name="Header2 5 2 8" xfId="12504" xr:uid="{18944FF0-D80B-47BE-853E-505F58E0A682}"/>
    <cellStyle name="Header2 5 2 9" xfId="21036" xr:uid="{C5A3929B-51BA-4EC7-A603-4162C4354ABB}"/>
    <cellStyle name="Header2 5 20" xfId="28885" xr:uid="{06FD041C-B9C7-40CF-BE95-949C736BA153}"/>
    <cellStyle name="Header2 5 21" xfId="27246" xr:uid="{9A8AD9F7-28C9-4BF1-ACF8-C3BA6ECC4981}"/>
    <cellStyle name="Header2 5 22" xfId="27204" xr:uid="{9C565303-525F-45EB-AA39-ABC7216AB63D}"/>
    <cellStyle name="Header2 5 23" xfId="27124" xr:uid="{C2C4F3E5-17E8-4411-86C5-84725DE92472}"/>
    <cellStyle name="Header2 5 24" xfId="24428" xr:uid="{2A1DF0F1-82FE-4C41-9EF8-B14D8ECB5D88}"/>
    <cellStyle name="Header2 5 25" xfId="30559" xr:uid="{14BA251D-CF45-4C92-BCC0-592C641E7BE2}"/>
    <cellStyle name="Header2 5 26" xfId="30913" xr:uid="{C2DAE22B-25B3-43E8-9F11-9BB205C521A2}"/>
    <cellStyle name="Header2 5 27" xfId="28044" xr:uid="{782994DB-084F-4BF5-8129-3B90DCD1D2E9}"/>
    <cellStyle name="Header2 5 28" xfId="31117" xr:uid="{632A2411-DD55-40F3-B62C-10B2BE075DA5}"/>
    <cellStyle name="Header2 5 3" xfId="8601" xr:uid="{527E631F-7228-4AAF-9D7F-CB07BA6AA6C0}"/>
    <cellStyle name="Header2 5 4" xfId="9135" xr:uid="{C56C5601-EA00-43D5-8731-06FAD16F0A68}"/>
    <cellStyle name="Header2 5 5" xfId="14558" xr:uid="{DF3239A2-3144-4AFB-A330-B6C62821BA1C}"/>
    <cellStyle name="Header2 5 6" xfId="15031" xr:uid="{5F64213D-8BFC-4672-A45E-FD500246B906}"/>
    <cellStyle name="Header2 5 7" xfId="16959" xr:uid="{29B1E99A-22AB-4D96-9B16-9F2E491CBAC6}"/>
    <cellStyle name="Header2 5 8" xfId="17602" xr:uid="{704CAFE0-C06E-4F88-AD2F-E9651E1AB7E4}"/>
    <cellStyle name="Header2 5 9" xfId="16643" xr:uid="{9FB4E8A4-F560-4E5F-9861-D9072E5FF1A0}"/>
    <cellStyle name="Header2 6" xfId="1846" xr:uid="{60BEA7F1-38C9-423A-9D4B-E4C276C165B8}"/>
    <cellStyle name="Header2 6 10" xfId="13919" xr:uid="{3B2F9C17-0578-4F0E-B038-710CD99CD687}"/>
    <cellStyle name="Header2 6 11" xfId="21133" xr:uid="{FC4A7E8E-DFD3-45DE-B819-FD81FC591C7C}"/>
    <cellStyle name="Header2 6 12" xfId="23548" xr:uid="{FC250A0C-E582-4054-BD6F-2745FFD5385E}"/>
    <cellStyle name="Header2 6 13" xfId="24345" xr:uid="{B5D6DABF-AE13-4222-9878-27F01836F536}"/>
    <cellStyle name="Header2 6 14" xfId="25253" xr:uid="{4D84CDA5-3998-43EE-B14A-343B2F223F5F}"/>
    <cellStyle name="Header2 6 15" xfId="22905" xr:uid="{2E0FEA77-B6F1-412C-BDE4-D797260535E6}"/>
    <cellStyle name="Header2 6 16" xfId="26731" xr:uid="{4A7B5855-8CEA-4DAC-8838-360AD2454E21}"/>
    <cellStyle name="Header2 6 17" xfId="27434" xr:uid="{7A491E91-D30A-468A-BC18-36985CCBA60E}"/>
    <cellStyle name="Header2 6 18" xfId="28143" xr:uid="{7B9EE35C-7FC5-44C4-8743-E595FB17168A}"/>
    <cellStyle name="Header2 6 19" xfId="28884" xr:uid="{DDB569D1-7F9B-4CDE-8534-684F8D2248E1}"/>
    <cellStyle name="Header2 6 2" xfId="8603" xr:uid="{B9A19220-35D2-470D-BC5E-3A54CD3B1741}"/>
    <cellStyle name="Header2 6 20" xfId="27247" xr:uid="{8EB68C3B-AF10-4A5E-A900-E3084B1B32C6}"/>
    <cellStyle name="Header2 6 21" xfId="27205" xr:uid="{82FFDA36-DD82-40DE-8AB2-B04DB48F6DBD}"/>
    <cellStyle name="Header2 6 22" xfId="28537" xr:uid="{06C2033D-DB14-4AA8-9B86-FF0C10CE8EEC}"/>
    <cellStyle name="Header2 6 23" xfId="25519" xr:uid="{6D00DC30-FF46-44DD-AFA1-45C2141A0EDC}"/>
    <cellStyle name="Header2 6 24" xfId="30558" xr:uid="{6A2ECE78-9BB7-4EB9-B56E-4A56531DDBC6}"/>
    <cellStyle name="Header2 6 25" xfId="30912" xr:uid="{DD977323-2CDE-403D-AD4D-40948D2C63CD}"/>
    <cellStyle name="Header2 6 26" xfId="28354" xr:uid="{D63F044B-C2E2-4EA5-B2B9-5F1642BB166A}"/>
    <cellStyle name="Header2 6 27" xfId="31118" xr:uid="{365CB05A-2C62-403E-890B-5C3A9D262A5C}"/>
    <cellStyle name="Header2 6 3" xfId="9133" xr:uid="{6825DFFC-8466-4A21-B6F3-B09938C66202}"/>
    <cellStyle name="Header2 6 4" xfId="14557" xr:uid="{E749C22A-0D0C-4635-9915-3637273B51F1}"/>
    <cellStyle name="Header2 6 5" xfId="15032" xr:uid="{2B358294-2E78-420D-A5EF-30892CE9229C}"/>
    <cellStyle name="Header2 6 6" xfId="16958" xr:uid="{983D2D23-853F-46A7-BCB6-D4B857E64F6C}"/>
    <cellStyle name="Header2 6 7" xfId="17603" xr:uid="{A1D5F6BC-56DF-4A12-A30B-191743BEDBA6}"/>
    <cellStyle name="Header2 6 8" xfId="16644" xr:uid="{2A04BCC0-0A40-47ED-9E91-02887E7EB755}"/>
    <cellStyle name="Header2 6 9" xfId="20822" xr:uid="{048F5093-7142-4F7C-91D4-7790CB8DC6A3}"/>
    <cellStyle name="Header2 7" xfId="8594" xr:uid="{43B04861-D337-4D0E-8E35-86891256889E}"/>
    <cellStyle name="Header2 8" xfId="12126" xr:uid="{7491DEFE-8C0D-49CD-AFFB-8C03FE1B72DA}"/>
    <cellStyle name="Header2 9" xfId="14568" xr:uid="{B4284882-22B9-45CB-9308-E183B9AF71A8}"/>
    <cellStyle name="heading" xfId="1847" xr:uid="{3CC14F5A-B2C6-4637-8676-7C09BE80CD15}"/>
    <cellStyle name="Heading 1" xfId="51" builtinId="16" customBuiltin="1"/>
    <cellStyle name="Heading 1 10" xfId="1849" xr:uid="{378DBC49-697D-4F45-8640-EF6F2A17EE1D}"/>
    <cellStyle name="Heading 1 11" xfId="1850" xr:uid="{4BBB3F24-B173-439D-A7EC-865002079426}"/>
    <cellStyle name="Heading 1 12" xfId="1851" xr:uid="{A59703DA-70C5-4CB5-AD4A-9480A0495770}"/>
    <cellStyle name="Heading 1 13" xfId="1852" xr:uid="{B4F6157B-DE7B-4330-BD64-B38FD5CF286D}"/>
    <cellStyle name="Heading 1 14" xfId="1853" xr:uid="{B81F7FBF-DB98-49FA-9235-E6ACA43DE52F}"/>
    <cellStyle name="Heading 1 15" xfId="1854" xr:uid="{D369ED97-F06F-4834-8CBD-C4E889A8C0B9}"/>
    <cellStyle name="Heading 1 16" xfId="1855" xr:uid="{F726C5FD-B82E-479B-91EE-4FE941204884}"/>
    <cellStyle name="Heading 1 17" xfId="1856" xr:uid="{843D9EEA-2CF7-4200-ABBB-A7156DE066B0}"/>
    <cellStyle name="Heading 1 18" xfId="1857" xr:uid="{3CB3BB91-37C9-4C07-92E4-DE6792BE8C0E}"/>
    <cellStyle name="Heading 1 19" xfId="1858" xr:uid="{79F002E1-FD50-4256-A6C7-13A2EEC473D9}"/>
    <cellStyle name="Heading 1 2" xfId="52" xr:uid="{00000000-0005-0000-0000-000037000000}"/>
    <cellStyle name="Heading 1 2 2" xfId="1860" xr:uid="{CE1EE838-A515-433A-B217-92D5C95C14C2}"/>
    <cellStyle name="Heading 1 2 3" xfId="1859" xr:uid="{F8E42061-277C-4952-A224-D1B80186B6DB}"/>
    <cellStyle name="Heading 1 20" xfId="1861" xr:uid="{1690A0E3-879F-484E-8750-76093115568D}"/>
    <cellStyle name="Heading 1 21" xfId="1862" xr:uid="{7A955474-D0D6-4FC4-BF6D-0B243E6DD400}"/>
    <cellStyle name="Heading 1 22" xfId="1863" xr:uid="{1C69E8C0-C790-4B9F-824D-79495C59D048}"/>
    <cellStyle name="Heading 1 23" xfId="1864" xr:uid="{1E26E12F-6FAD-4404-8868-04BFA87F5B78}"/>
    <cellStyle name="Heading 1 24" xfId="1865" xr:uid="{66263383-E12D-4CA8-AD50-F2F02D5D92F5}"/>
    <cellStyle name="Heading 1 25" xfId="1866" xr:uid="{1B2F9AE6-D36A-41EC-B2DE-38CEBAE22C4B}"/>
    <cellStyle name="Heading 1 26" xfId="1867" xr:uid="{C724E0A5-6361-4A7E-80FA-789A3E2114EF}"/>
    <cellStyle name="Heading 1 27" xfId="1868" xr:uid="{ED4351F1-9154-4661-A1E4-8669C12E4E99}"/>
    <cellStyle name="Heading 1 28" xfId="1869" xr:uid="{4A849C49-D0B2-4C50-84C3-B5F0687F7C6C}"/>
    <cellStyle name="Heading 1 29" xfId="1870" xr:uid="{479C6B2E-7A59-4906-B008-D98E7BC449B8}"/>
    <cellStyle name="Heading 1 3" xfId="1871" xr:uid="{34194C2D-8082-47DC-9787-1A813910B7DA}"/>
    <cellStyle name="Heading 1 30" xfId="1872" xr:uid="{235BB708-FD0B-4815-8A40-02C32CB18725}"/>
    <cellStyle name="Heading 1 31" xfId="1873" xr:uid="{A23EE1A8-2323-4CF6-BABF-06D5C3995FEC}"/>
    <cellStyle name="Heading 1 32" xfId="1874" xr:uid="{24AC2984-8222-46EE-A6BB-743251E2AC2A}"/>
    <cellStyle name="Heading 1 33" xfId="1875" xr:uid="{B90AB2C9-7D3F-4CB6-9429-FD0185E8D3A7}"/>
    <cellStyle name="Heading 1 34" xfId="1876" xr:uid="{353C5A8B-5085-4015-B3AD-036E743601E0}"/>
    <cellStyle name="Heading 1 35" xfId="1877" xr:uid="{169A076A-0F83-40CC-9122-F9EBF0EF6D71}"/>
    <cellStyle name="Heading 1 36" xfId="1878" xr:uid="{D8AF7B0C-A8EB-4727-89DD-8788C1DFBBE6}"/>
    <cellStyle name="Heading 1 37" xfId="1879" xr:uid="{5C941C36-4737-4884-B6AA-AA058851F463}"/>
    <cellStyle name="Heading 1 38" xfId="1880" xr:uid="{D28E5D05-5BB2-4759-80BC-EFC1B4D9915E}"/>
    <cellStyle name="Heading 1 39" xfId="1881" xr:uid="{1110ADAE-3B9B-42D1-A8A1-EE040612B7ED}"/>
    <cellStyle name="Heading 1 4" xfId="1882" xr:uid="{250A0332-B4C0-4F32-AB9E-E417B3EF0A2E}"/>
    <cellStyle name="Heading 1 40" xfId="1883" xr:uid="{17DADE84-19BF-40BC-90D1-783A9DE1E19C}"/>
    <cellStyle name="Heading 1 41" xfId="1884" xr:uid="{87B0FCF6-71CC-4E5C-820B-996635E51C53}"/>
    <cellStyle name="Heading 1 42" xfId="1885" xr:uid="{A69A0C0C-3EB9-4F8E-B848-5348C7E314D2}"/>
    <cellStyle name="Heading 1 43" xfId="1886" xr:uid="{E4B8B11D-EEA4-4483-A051-E266CA540737}"/>
    <cellStyle name="Heading 1 44" xfId="1887" xr:uid="{6D2C981F-E994-4501-A397-9F16E1770F01}"/>
    <cellStyle name="Heading 1 45" xfId="5936" xr:uid="{369D9621-6D95-467C-B77B-BF94AC7E5457}"/>
    <cellStyle name="Heading 1 45 2" xfId="8605" xr:uid="{862E70F2-2E0F-40EF-BE7C-AE55E1603D6D}"/>
    <cellStyle name="Heading 1 46" xfId="1848" xr:uid="{3C8026BC-BEA3-47D0-B2DE-099A0DA00EF8}"/>
    <cellStyle name="Heading 1 46 2" xfId="6961" xr:uid="{FBD5B60E-24FD-4172-87E4-E2D43309E681}"/>
    <cellStyle name="Heading 1 5" xfId="1888" xr:uid="{7B2478FA-E4FD-46FF-BF1B-66D4179009A2}"/>
    <cellStyle name="Heading 1 6" xfId="1889" xr:uid="{EC0DEAA2-E3FF-4E87-81BA-E1D426CE218A}"/>
    <cellStyle name="Heading 1 7" xfId="1890" xr:uid="{5E24E77A-7ECD-4EF1-8B32-3D6F982D26DA}"/>
    <cellStyle name="Heading 1 8" xfId="1891" xr:uid="{76F72F1C-8F1F-492E-A236-184D78B66F70}"/>
    <cellStyle name="Heading 1 9" xfId="1892" xr:uid="{A2AC12F7-2C5F-4363-8425-3D89387E2816}"/>
    <cellStyle name="Heading 2" xfId="53" builtinId="17" customBuiltin="1"/>
    <cellStyle name="Heading 2 10" xfId="1894" xr:uid="{3B931650-E903-4079-A353-B6D186AF0A1D}"/>
    <cellStyle name="Heading 2 11" xfId="1895" xr:uid="{98B818CD-52A1-4E54-B577-9A8731BD2B78}"/>
    <cellStyle name="Heading 2 12" xfId="1896" xr:uid="{2BB0E541-6A44-4E9F-B8C4-A913B8A9E58D}"/>
    <cellStyle name="Heading 2 13" xfId="1897" xr:uid="{A531BA82-65EB-477B-8447-871B7600BF84}"/>
    <cellStyle name="Heading 2 14" xfId="1898" xr:uid="{17993A06-AB9C-43AC-BB09-44B8735F9FFB}"/>
    <cellStyle name="Heading 2 15" xfId="1899" xr:uid="{5214EADC-28C9-42E7-B009-96846CD0E2C9}"/>
    <cellStyle name="Heading 2 16" xfId="1900" xr:uid="{085C64F5-113C-4978-9983-1734EEF86791}"/>
    <cellStyle name="Heading 2 17" xfId="1901" xr:uid="{0DF3DDA8-D32A-4DD0-B1B6-B626A9A67FB4}"/>
    <cellStyle name="Heading 2 18" xfId="1902" xr:uid="{B686D0F6-A3B3-47BB-B5A6-70374F8407F1}"/>
    <cellStyle name="Heading 2 19" xfId="1903" xr:uid="{BD30D474-B144-4E9A-A79C-61FFCD046250}"/>
    <cellStyle name="Heading 2 2" xfId="54" xr:uid="{00000000-0005-0000-0000-000039000000}"/>
    <cellStyle name="Heading 2 2 2" xfId="1905" xr:uid="{9FCFBF2A-D12A-4EAC-B580-A31D1CB64823}"/>
    <cellStyle name="Heading 2 2 3" xfId="1904" xr:uid="{6CC34CE7-16F2-437B-B845-8F75E536C16E}"/>
    <cellStyle name="Heading 2 20" xfId="1906" xr:uid="{AFD7A240-292E-4D65-AF7E-1F310C7DF759}"/>
    <cellStyle name="Heading 2 21" xfId="1907" xr:uid="{843F3D77-E92C-4703-8BC4-F46A0B768E42}"/>
    <cellStyle name="Heading 2 22" xfId="1908" xr:uid="{5F426B4F-3D3D-4112-81AC-1FC10A170979}"/>
    <cellStyle name="Heading 2 23" xfId="1909" xr:uid="{C559ED2E-0CBB-4E66-A18F-4832E650BD31}"/>
    <cellStyle name="Heading 2 24" xfId="1910" xr:uid="{EEF3AF78-A8CC-493B-BA77-B5C147E8E3C3}"/>
    <cellStyle name="Heading 2 25" xfId="1911" xr:uid="{9C3A37C6-F891-4E2E-BB3D-BB1A0E64B1A0}"/>
    <cellStyle name="Heading 2 26" xfId="1912" xr:uid="{02E750D1-3F12-4B9F-8780-4732CC3D2903}"/>
    <cellStyle name="Heading 2 27" xfId="1913" xr:uid="{CDBE977D-9A7F-49D8-A4AB-A871BAF6807C}"/>
    <cellStyle name="Heading 2 28" xfId="1914" xr:uid="{5C50FB41-907E-4867-BDC6-BC3BF09E7F93}"/>
    <cellStyle name="Heading 2 29" xfId="1915" xr:uid="{A3F198D2-8599-4F1E-A6D2-65EB39443A97}"/>
    <cellStyle name="Heading 2 3" xfId="1916" xr:uid="{94F3E263-489B-4E36-8F65-2D047C4F7EA9}"/>
    <cellStyle name="Heading 2 30" xfId="1917" xr:uid="{82EBC66E-3406-4F80-8115-97564BB5904D}"/>
    <cellStyle name="Heading 2 31" xfId="1918" xr:uid="{7CFF557A-3A1C-4B92-AE6A-874515314022}"/>
    <cellStyle name="Heading 2 32" xfId="1919" xr:uid="{53806B4E-D158-44CC-A264-4CE0B7C4918C}"/>
    <cellStyle name="Heading 2 33" xfId="1920" xr:uid="{7ECF0B4D-47AA-4DF0-A51F-F259AA5F4B6B}"/>
    <cellStyle name="Heading 2 34" xfId="1921" xr:uid="{5B49201F-0DD4-4B4C-83FC-7274AE65A57C}"/>
    <cellStyle name="Heading 2 35" xfId="1922" xr:uid="{452056DE-B1C4-4A95-85AB-53AFC4899ED3}"/>
    <cellStyle name="Heading 2 36" xfId="1923" xr:uid="{B6A5E37C-53D4-465A-9F0A-27390E624A4F}"/>
    <cellStyle name="Heading 2 37" xfId="1924" xr:uid="{8557FDF8-B743-4FB4-9354-81D95AA33EA3}"/>
    <cellStyle name="Heading 2 38" xfId="1925" xr:uid="{C185450C-FB7F-4B4A-BB3E-53BBB9AEFD1C}"/>
    <cellStyle name="Heading 2 39" xfId="1926" xr:uid="{DA5A8D5F-9B43-4C91-8974-3B17F8F182E4}"/>
    <cellStyle name="Heading 2 4" xfId="1927" xr:uid="{9DE52DED-0292-4488-8B58-631231297B92}"/>
    <cellStyle name="Heading 2 40" xfId="1928" xr:uid="{C49DB4B4-10F5-4195-9B43-8003D542B9CA}"/>
    <cellStyle name="Heading 2 41" xfId="1929" xr:uid="{94F30C24-0D15-4EC8-9BF2-6B1AA4591ECD}"/>
    <cellStyle name="Heading 2 42" xfId="1930" xr:uid="{CD990806-B1F5-4201-B399-ED44E4EC31AD}"/>
    <cellStyle name="Heading 2 43" xfId="1931" xr:uid="{C807F237-2F34-4712-8EC6-DDBFF43DA342}"/>
    <cellStyle name="Heading 2 44" xfId="1932" xr:uid="{225E78A5-7DBA-44CE-8FAA-65107FB7909C}"/>
    <cellStyle name="Heading 2 45" xfId="5937" xr:uid="{399C7686-78F3-4570-9E92-4B6B3C9F8DD8}"/>
    <cellStyle name="Heading 2 45 2" xfId="8647" xr:uid="{29109D65-7DAD-465B-A14A-5D8D040AEBE6}"/>
    <cellStyle name="Heading 2 46" xfId="1893" xr:uid="{373C2704-8134-4F74-AC9C-B79AA61ADC99}"/>
    <cellStyle name="Heading 2 46 2" xfId="6962" xr:uid="{EBAD62EF-FA38-40D5-80AF-13C6A8FF914D}"/>
    <cellStyle name="Heading 2 5" xfId="1933" xr:uid="{6CB35728-1F8F-454C-9226-C5772BD47E71}"/>
    <cellStyle name="Heading 2 6" xfId="1934" xr:uid="{725F7B28-202D-48D0-A32C-97B7C4351AC8}"/>
    <cellStyle name="Heading 2 7" xfId="1935" xr:uid="{8E2BFEA3-11DA-4D22-A7F8-AB7B831E1F64}"/>
    <cellStyle name="Heading 2 8" xfId="1936" xr:uid="{6D2891EC-632C-4461-A7C1-B697BD1C6E5F}"/>
    <cellStyle name="Heading 2 9" xfId="1937" xr:uid="{1339E77D-C44B-4E7B-9483-1E15FC3CD465}"/>
    <cellStyle name="Heading 3" xfId="55" builtinId="18" customBuiltin="1"/>
    <cellStyle name="Heading 3 10" xfId="1938" xr:uid="{58585A01-351A-4CBB-B54C-EEE09D0F7249}"/>
    <cellStyle name="Heading 3 10 2" xfId="9065" xr:uid="{CD7B3505-3457-4453-9DB6-31C97C9CB566}"/>
    <cellStyle name="Heading 3 10 2 2" xfId="33066" xr:uid="{423F2E5F-931A-4CB5-9D2D-2FE213B89077}"/>
    <cellStyle name="Heading 3 10 3" xfId="6727" xr:uid="{F74DE104-5E75-4F61-B11C-B5B032461F02}"/>
    <cellStyle name="Heading 3 11" xfId="1939" xr:uid="{F6DD9E8F-5FC6-4766-9CBB-82AF414058B7}"/>
    <cellStyle name="Heading 3 11 2" xfId="9064" xr:uid="{79C454B5-2992-418A-9895-255F0072F220}"/>
    <cellStyle name="Heading 3 11 2 2" xfId="33065" xr:uid="{5ED82204-C5BC-414D-AB6F-9E3643DC7E4C}"/>
    <cellStyle name="Heading 3 11 3" xfId="6726" xr:uid="{FA489064-7D53-4DF5-B28E-575858C4DAB6}"/>
    <cellStyle name="Heading 3 12" xfId="1940" xr:uid="{405A6DE7-9194-4068-B13E-BA76031F209E}"/>
    <cellStyle name="Heading 3 12 2" xfId="9063" xr:uid="{D8B9540E-4E37-4A74-B5B9-65841B5EA646}"/>
    <cellStyle name="Heading 3 12 2 2" xfId="33064" xr:uid="{9A0F17F1-EC28-4B9E-94E6-B3D64787ECB7}"/>
    <cellStyle name="Heading 3 12 3" xfId="6725" xr:uid="{F7318290-A369-44F9-BEA3-AFE27F500757}"/>
    <cellStyle name="Heading 3 13" xfId="1941" xr:uid="{ECCCEB99-34D8-4812-B0A1-ACFB694296FC}"/>
    <cellStyle name="Heading 3 13 2" xfId="9062" xr:uid="{19B3D092-1F27-41D6-8A5F-909C5C1559C2}"/>
    <cellStyle name="Heading 3 13 2 2" xfId="33063" xr:uid="{4DBBB827-E066-4C81-B40B-6EE91F604F57}"/>
    <cellStyle name="Heading 3 13 3" xfId="6724" xr:uid="{9EE3C1BF-AC30-4FFC-B84E-F53B37DC3305}"/>
    <cellStyle name="Heading 3 14" xfId="1942" xr:uid="{BDE5BA47-FFBD-4D60-B9A1-5B985E817265}"/>
    <cellStyle name="Heading 3 14 2" xfId="9061" xr:uid="{1DB04752-014A-48B7-B413-43E5801AF297}"/>
    <cellStyle name="Heading 3 14 2 2" xfId="33062" xr:uid="{EB67B335-95A8-45CE-9D12-9A2DD8E07C17}"/>
    <cellStyle name="Heading 3 14 3" xfId="6723" xr:uid="{70BC8510-218B-465A-94A9-9985BFCB917A}"/>
    <cellStyle name="Heading 3 15" xfId="1943" xr:uid="{AF2EC8E0-92EC-4340-AEFC-5752E2386218}"/>
    <cellStyle name="Heading 3 15 2" xfId="9060" xr:uid="{E8118BB5-8615-4210-B30D-FF087CDE8919}"/>
    <cellStyle name="Heading 3 15 2 2" xfId="33061" xr:uid="{63EAB89C-B664-45F7-B27A-C00F823B2477}"/>
    <cellStyle name="Heading 3 15 3" xfId="6722" xr:uid="{1A786439-5E71-48E5-88F5-7C4AF84C789B}"/>
    <cellStyle name="Heading 3 16" xfId="1944" xr:uid="{1B798C7F-BE09-41A3-A442-9BE4607A62C7}"/>
    <cellStyle name="Heading 3 16 2" xfId="9059" xr:uid="{54EECDC5-1978-4C04-945D-CE61E574D01B}"/>
    <cellStyle name="Heading 3 16 2 2" xfId="33060" xr:uid="{E5B77329-DD52-4C6C-B4E3-46D246CF5ECB}"/>
    <cellStyle name="Heading 3 16 3" xfId="6721" xr:uid="{BD3124E8-65B0-4267-9D85-6F79DB420AF0}"/>
    <cellStyle name="Heading 3 17" xfId="1945" xr:uid="{C03CF5C2-3456-4E91-B904-ADDEF58C7880}"/>
    <cellStyle name="Heading 3 17 2" xfId="9058" xr:uid="{4A13C67D-E667-4415-B33C-E572D10E6ED6}"/>
    <cellStyle name="Heading 3 17 2 2" xfId="33059" xr:uid="{C68374B1-7C64-4574-8F3A-29FD4C570A9D}"/>
    <cellStyle name="Heading 3 17 3" xfId="6720" xr:uid="{A6C614D6-35B1-49B3-8E26-C1B22B346741}"/>
    <cellStyle name="Heading 3 18" xfId="1946" xr:uid="{A3F3759A-51D8-4D3E-ACDC-8471108DBD4B}"/>
    <cellStyle name="Heading 3 18 2" xfId="9057" xr:uid="{05C53639-E3F8-4B55-AE2C-43022D205D5A}"/>
    <cellStyle name="Heading 3 18 2 2" xfId="33058" xr:uid="{4F426F36-8A5A-4B26-B71D-5CF1E7BBE86E}"/>
    <cellStyle name="Heading 3 18 3" xfId="6719" xr:uid="{168A4F3A-B536-4ED3-BB6D-F8AC66798034}"/>
    <cellStyle name="Heading 3 19" xfId="1947" xr:uid="{55B043E6-BE93-4D1D-AA8F-0DB8B1B36F99}"/>
    <cellStyle name="Heading 3 19 2" xfId="9056" xr:uid="{9D03A1D9-4B72-4449-B383-C32F6DD22B8D}"/>
    <cellStyle name="Heading 3 19 2 2" xfId="33057" xr:uid="{2A16C43B-6598-4B1F-A41A-07084F031797}"/>
    <cellStyle name="Heading 3 19 3" xfId="6718" xr:uid="{9B7BCA34-4080-4FB1-A352-1D1F3149AA15}"/>
    <cellStyle name="Heading 3 2" xfId="56" xr:uid="{00000000-0005-0000-0000-00003B000000}"/>
    <cellStyle name="Heading 3 2 2" xfId="9055" xr:uid="{57D04FEE-B879-48B1-8975-24D4A992BF89}"/>
    <cellStyle name="Heading 3 2 2 2" xfId="33056" xr:uid="{D0C6A6B2-BA3D-48A1-8CF3-C3C746E898FF}"/>
    <cellStyle name="Heading 3 2 3" xfId="6717" xr:uid="{5D6BF06A-C732-40AD-B5E4-9B7D44B066E2}"/>
    <cellStyle name="Heading 3 20" xfId="1948" xr:uid="{60FAE1D5-2F43-404F-828E-848DA93AE04E}"/>
    <cellStyle name="Heading 3 20 2" xfId="9054" xr:uid="{4EE041AE-C892-4576-84CA-4696CAA1CE62}"/>
    <cellStyle name="Heading 3 20 2 2" xfId="33055" xr:uid="{3615AE31-46A5-4552-8CB0-05CCF2481784}"/>
    <cellStyle name="Heading 3 20 3" xfId="6716" xr:uid="{08687039-9E7F-4CA1-B6B5-017DAD7EDA24}"/>
    <cellStyle name="Heading 3 21" xfId="1949" xr:uid="{C6A36484-282E-4144-8E1A-E9B391A6614F}"/>
    <cellStyle name="Heading 3 21 2" xfId="9053" xr:uid="{3A69F1EE-38CF-4A55-BCFD-0A594D64C642}"/>
    <cellStyle name="Heading 3 21 2 2" xfId="33054" xr:uid="{D9FB4C20-CFF0-4571-9C6D-D3F9983C783F}"/>
    <cellStyle name="Heading 3 21 3" xfId="6715" xr:uid="{28FDC070-EC60-4DCC-8420-E65BF127324A}"/>
    <cellStyle name="Heading 3 22" xfId="1950" xr:uid="{A818AAB4-8976-4515-8E9D-86C106F9D6C2}"/>
    <cellStyle name="Heading 3 22 2" xfId="9052" xr:uid="{059BDB69-FEB7-4CFD-BF41-182D8A8F101A}"/>
    <cellStyle name="Heading 3 22 2 2" xfId="33053" xr:uid="{4F21B7E1-B2AD-42B3-8A56-536EAB19D5D1}"/>
    <cellStyle name="Heading 3 22 3" xfId="6714" xr:uid="{33D952D0-8320-4CB3-87DC-7250546FCCC6}"/>
    <cellStyle name="Heading 3 23" xfId="1951" xr:uid="{4D4F759E-90DA-409F-A626-DE590F060DA0}"/>
    <cellStyle name="Heading 3 23 2" xfId="9051" xr:uid="{7645E883-DFBD-400D-89BC-83161F7988D3}"/>
    <cellStyle name="Heading 3 23 2 2" xfId="33052" xr:uid="{D5ABE01F-C280-4D46-A800-4464354C69B8}"/>
    <cellStyle name="Heading 3 23 3" xfId="6713" xr:uid="{2E53028D-1552-4B77-B56F-086CE4135F2C}"/>
    <cellStyle name="Heading 3 24" xfId="1952" xr:uid="{06182323-582A-409C-A09D-31161C43BF1C}"/>
    <cellStyle name="Heading 3 24 2" xfId="9050" xr:uid="{61D39301-3AA8-4EFA-9541-96AFA74FD0A7}"/>
    <cellStyle name="Heading 3 24 2 2" xfId="33051" xr:uid="{D4717EB5-3960-469E-B690-51C8F94762F4}"/>
    <cellStyle name="Heading 3 24 3" xfId="6712" xr:uid="{A08B89DE-26FF-43B1-A247-37B05CA2CCBE}"/>
    <cellStyle name="Heading 3 25" xfId="1953" xr:uid="{7FEA95F2-B32A-43F9-83B5-76141CD2B99D}"/>
    <cellStyle name="Heading 3 25 2" xfId="9049" xr:uid="{F07C39C7-829A-4BBA-8AD4-BF0AE9B0717A}"/>
    <cellStyle name="Heading 3 25 2 2" xfId="33050" xr:uid="{ED048991-C4DD-4FE3-814F-DB3EBA485A5B}"/>
    <cellStyle name="Heading 3 25 3" xfId="6711" xr:uid="{845BCDFA-831C-48C3-B186-7176485BE1AA}"/>
    <cellStyle name="Heading 3 26" xfId="1954" xr:uid="{F9BE2731-AA71-4BD4-A6C8-458B850E7499}"/>
    <cellStyle name="Heading 3 26 2" xfId="9048" xr:uid="{56F5CF21-D13D-447E-9AEF-4058093BA175}"/>
    <cellStyle name="Heading 3 26 2 2" xfId="33049" xr:uid="{12572A05-962B-4571-BF19-52E43C642449}"/>
    <cellStyle name="Heading 3 26 3" xfId="6710" xr:uid="{A3F610F9-AAC8-40D4-B441-AF513ED1692B}"/>
    <cellStyle name="Heading 3 27" xfId="1955" xr:uid="{D39CA024-B7F4-483A-BA26-8D5841456FF1}"/>
    <cellStyle name="Heading 3 27 2" xfId="9047" xr:uid="{E974BF5A-C66F-48D5-B002-36FD91BF120F}"/>
    <cellStyle name="Heading 3 27 2 2" xfId="33048" xr:uid="{1FA92CCD-614F-4CA6-A8F5-6D6505FBC76C}"/>
    <cellStyle name="Heading 3 27 3" xfId="6709" xr:uid="{E50A3DE1-C425-455B-B96F-5AC78AA56C64}"/>
    <cellStyle name="Heading 3 28" xfId="1956" xr:uid="{9631F8F2-2FB0-481E-B22B-6CD7587BAFFD}"/>
    <cellStyle name="Heading 3 28 2" xfId="9046" xr:uid="{715D1C4A-EA5F-445A-A850-5502520114E2}"/>
    <cellStyle name="Heading 3 28 2 2" xfId="33047" xr:uid="{95544957-2E03-4857-88F0-F4B98EEC3272}"/>
    <cellStyle name="Heading 3 28 3" xfId="6708" xr:uid="{BA31C3A7-5673-4F07-A60A-2CE562D2F1FC}"/>
    <cellStyle name="Heading 3 29" xfId="1957" xr:uid="{0D6DC976-85C6-4E34-94BE-C6E59ECA18CC}"/>
    <cellStyle name="Heading 3 29 2" xfId="9045" xr:uid="{D3D9208B-5EB2-46DB-B063-E37D98AD2716}"/>
    <cellStyle name="Heading 3 29 2 2" xfId="33046" xr:uid="{82835110-9376-4AC5-9B3A-308B1B38992B}"/>
    <cellStyle name="Heading 3 29 3" xfId="6707" xr:uid="{85E506AC-282B-4128-BB1A-52084015F69B}"/>
    <cellStyle name="Heading 3 3" xfId="1958" xr:uid="{A043294C-B5D2-4C44-A30D-6B838E83F431}"/>
    <cellStyle name="Heading 3 3 2" xfId="9044" xr:uid="{C868379B-CC7E-4905-92C9-98F3DF407F55}"/>
    <cellStyle name="Heading 3 3 2 2" xfId="33045" xr:uid="{1267F1F6-74F3-40E1-B8A0-525A34E3E63A}"/>
    <cellStyle name="Heading 3 3 3" xfId="6706" xr:uid="{0CC6BE55-7B5C-4DB9-85D3-0D30D6FEAA49}"/>
    <cellStyle name="Heading 3 30" xfId="1959" xr:uid="{C76A4882-694B-4EDA-BD08-E0A0AD2B1D2F}"/>
    <cellStyle name="Heading 3 30 2" xfId="9043" xr:uid="{E0F6C9AE-2DDA-4B35-93B6-4ED355E1BA3D}"/>
    <cellStyle name="Heading 3 30 2 2" xfId="33044" xr:uid="{B8A089D3-7C89-4B1B-A874-DF6A0110567B}"/>
    <cellStyle name="Heading 3 30 3" xfId="6705" xr:uid="{3CFD16BE-B8D6-44FB-930E-F6ED9418632C}"/>
    <cellStyle name="Heading 3 31" xfId="1960" xr:uid="{3D55BFDA-D368-455C-9964-E9CBE3DE1C39}"/>
    <cellStyle name="Heading 3 31 2" xfId="9042" xr:uid="{7FC3A093-EAC8-473A-988A-CE568829132A}"/>
    <cellStyle name="Heading 3 31 2 2" xfId="33043" xr:uid="{6D1787F1-1FD7-43EB-9AD9-B77EFF368D07}"/>
    <cellStyle name="Heading 3 31 3" xfId="6704" xr:uid="{B77EDA88-3B39-4F3B-A7F6-F5470718DD39}"/>
    <cellStyle name="Heading 3 32" xfId="1961" xr:uid="{A4EC3AAC-35E0-44D5-8AEA-59B74B156FA3}"/>
    <cellStyle name="Heading 3 32 2" xfId="9041" xr:uid="{75E38E15-DCFE-4E11-BFE0-0A445541537E}"/>
    <cellStyle name="Heading 3 32 2 2" xfId="33042" xr:uid="{FCC8C63C-6E3E-4C7C-A867-F4F2F97B0E21}"/>
    <cellStyle name="Heading 3 32 3" xfId="6703" xr:uid="{DAC018D4-EC47-41E1-8980-540F29A12118}"/>
    <cellStyle name="Heading 3 33" xfId="1962" xr:uid="{EF9BFEC2-E4E2-4CAE-A28B-8894E1257A2C}"/>
    <cellStyle name="Heading 3 33 2" xfId="9040" xr:uid="{113FE213-AD5A-413E-B119-D2A89F0467B8}"/>
    <cellStyle name="Heading 3 33 2 2" xfId="33041" xr:uid="{9AF8838A-B24F-42B2-8B21-8FDA953352E0}"/>
    <cellStyle name="Heading 3 33 3" xfId="6702" xr:uid="{4CA8CE12-CBED-4EA6-8167-BAE96ED1950E}"/>
    <cellStyle name="Heading 3 34" xfId="1963" xr:uid="{AF741912-87FC-436E-A952-ED3FB4CB18FA}"/>
    <cellStyle name="Heading 3 34 2" xfId="9039" xr:uid="{8CB2EC38-D0AC-4422-90E6-8E3ECC5A9B20}"/>
    <cellStyle name="Heading 3 34 2 2" xfId="33040" xr:uid="{B6F8D0E0-2E88-4B7F-B552-E62D11B5D8B2}"/>
    <cellStyle name="Heading 3 34 3" xfId="6701" xr:uid="{2FFD937D-AF5C-415D-85F5-7B97B60B4B53}"/>
    <cellStyle name="Heading 3 35" xfId="1964" xr:uid="{AF969888-E1E3-4128-BAD3-6E870F5984F6}"/>
    <cellStyle name="Heading 3 35 2" xfId="9038" xr:uid="{37307D76-FF50-4E89-A6CE-9CAC29B60ACA}"/>
    <cellStyle name="Heading 3 35 2 2" xfId="33039" xr:uid="{F889E967-8E75-4DCF-9683-7DFFD78AE260}"/>
    <cellStyle name="Heading 3 35 3" xfId="6700" xr:uid="{F9BFBB60-5DD0-4679-BB22-BC490918EA1B}"/>
    <cellStyle name="Heading 3 36" xfId="1965" xr:uid="{504DC83D-763C-4E5C-8AE9-51C98CBF8889}"/>
    <cellStyle name="Heading 3 36 2" xfId="9037" xr:uid="{A9D52B8C-5EA7-472B-AD9B-603E9C28BA21}"/>
    <cellStyle name="Heading 3 36 2 2" xfId="33038" xr:uid="{EFC85ED0-2675-4B79-9673-CB6D773842A8}"/>
    <cellStyle name="Heading 3 36 3" xfId="6699" xr:uid="{CA1C826E-E396-444D-B8C3-38D37BBF5C20}"/>
    <cellStyle name="Heading 3 37" xfId="1966" xr:uid="{E813F894-7832-4EB5-8485-D9E3D397136D}"/>
    <cellStyle name="Heading 3 37 2" xfId="9036" xr:uid="{45538D02-894E-4178-997E-BA4201D0B5BA}"/>
    <cellStyle name="Heading 3 37 2 2" xfId="33037" xr:uid="{37A166FE-19B9-4E86-AB35-4A545DC43457}"/>
    <cellStyle name="Heading 3 37 3" xfId="6698" xr:uid="{809E767F-4543-4667-A463-F24B58E3DE7C}"/>
    <cellStyle name="Heading 3 38" xfId="1967" xr:uid="{C4A168A0-BC1D-4F6E-B865-72551160612F}"/>
    <cellStyle name="Heading 3 38 2" xfId="9035" xr:uid="{31405160-766A-46FC-BF87-E906592B8CC0}"/>
    <cellStyle name="Heading 3 38 2 2" xfId="33036" xr:uid="{EE9ED7CA-1B48-4186-AC5F-690C642B4952}"/>
    <cellStyle name="Heading 3 38 3" xfId="6697" xr:uid="{768DD2C7-0A5A-458B-B792-B4E637515E73}"/>
    <cellStyle name="Heading 3 39" xfId="1968" xr:uid="{761EAF44-1965-4355-A82B-3B7717A24E97}"/>
    <cellStyle name="Heading 3 39 2" xfId="9034" xr:uid="{4A00D800-E471-457B-91BB-AF4AF4303812}"/>
    <cellStyle name="Heading 3 39 2 2" xfId="33035" xr:uid="{E77FE275-0E97-4D9C-8755-83DED1F14638}"/>
    <cellStyle name="Heading 3 39 3" xfId="6696" xr:uid="{047514A6-DDCC-4231-98FE-C06CD741B604}"/>
    <cellStyle name="Heading 3 4" xfId="1969" xr:uid="{5F49182C-9055-478E-BFEE-72802C508CE1}"/>
    <cellStyle name="Heading 3 4 2" xfId="9033" xr:uid="{BD8901A2-F866-45F1-8029-E4DB59AD8FD9}"/>
    <cellStyle name="Heading 3 4 2 2" xfId="33034" xr:uid="{239A6A9A-A021-48B7-BC14-63F823CB19FC}"/>
    <cellStyle name="Heading 3 4 3" xfId="6695" xr:uid="{125A9D8C-08A0-4EE8-B228-C061258A105D}"/>
    <cellStyle name="Heading 3 40" xfId="1970" xr:uid="{8B449D82-5B59-43D6-81DF-D46CA27DCC26}"/>
    <cellStyle name="Heading 3 40 2" xfId="9032" xr:uid="{8F7C432B-51A7-4468-8E85-0118282BE84D}"/>
    <cellStyle name="Heading 3 40 2 2" xfId="33033" xr:uid="{3D2B85BB-F3DC-46EF-9CD7-C1258D671E8D}"/>
    <cellStyle name="Heading 3 40 3" xfId="6694" xr:uid="{B2569F5A-8E91-4417-8BB8-CE08396EC35C}"/>
    <cellStyle name="Heading 3 41" xfId="1971" xr:uid="{3B2AA9BD-9166-4F66-826A-DE5135AB477A}"/>
    <cellStyle name="Heading 3 41 2" xfId="9031" xr:uid="{BDD282E0-A7DE-487F-8C96-1E605F9D747D}"/>
    <cellStyle name="Heading 3 41 2 2" xfId="33032" xr:uid="{68E05AC7-154A-400D-B371-2A90059A59DF}"/>
    <cellStyle name="Heading 3 41 3" xfId="6693" xr:uid="{421DB0F0-E573-490B-95AD-F138126BA409}"/>
    <cellStyle name="Heading 3 42" xfId="1972" xr:uid="{3D1E636A-DC5A-49A0-A3C0-BDB39AEE3442}"/>
    <cellStyle name="Heading 3 42 2" xfId="9030" xr:uid="{86962B42-09F9-4754-A243-0C26560C219D}"/>
    <cellStyle name="Heading 3 42 2 2" xfId="33031" xr:uid="{1AD3B962-5C87-46C3-814E-C40F6B0658E3}"/>
    <cellStyle name="Heading 3 42 3" xfId="6692" xr:uid="{D26BD3F8-7AA1-48EE-8AB1-8FE4D7EA71F1}"/>
    <cellStyle name="Heading 3 43" xfId="1973" xr:uid="{95B994FD-5A10-450E-B9E2-11A05E55CE63}"/>
    <cellStyle name="Heading 3 43 2" xfId="9029" xr:uid="{7E670F11-F4D2-42DF-8A17-28C283875574}"/>
    <cellStyle name="Heading 3 43 2 2" xfId="33030" xr:uid="{A7FAB62B-C370-496A-94D4-6E1BFD7C044D}"/>
    <cellStyle name="Heading 3 43 3" xfId="6691" xr:uid="{76E8F65A-D6F5-4A27-9B7F-9FAD5A31EBD9}"/>
    <cellStyle name="Heading 3 44" xfId="8689" xr:uid="{74271B66-8433-4D81-8EC4-4AD549A8FCC6}"/>
    <cellStyle name="Heading 3 44 2" xfId="9066" xr:uid="{14895327-213F-4BF6-B458-10488F5AB531}"/>
    <cellStyle name="Heading 3 44 2 2" xfId="33067" xr:uid="{7C4ADB7A-6927-4936-B714-808AD15A30BA}"/>
    <cellStyle name="Heading 3 44 3" xfId="32819" xr:uid="{370FDB7E-27EF-4D86-81F8-96E2F90D2601}"/>
    <cellStyle name="Heading 3 45" xfId="6728" xr:uid="{CD5EB1FF-7165-4311-8CEB-DAD8E4A2F2E8}"/>
    <cellStyle name="Heading 3 5" xfId="1974" xr:uid="{4B688264-D27E-41AE-92FF-0561025CA8CD}"/>
    <cellStyle name="Heading 3 5 2" xfId="9028" xr:uid="{34ACD7A6-7A59-4E20-BEF1-6243C0A9762C}"/>
    <cellStyle name="Heading 3 5 2 2" xfId="33029" xr:uid="{75CCE901-ADFB-4156-98D1-42CFBC1E9923}"/>
    <cellStyle name="Heading 3 5 3" xfId="6690" xr:uid="{4C20A1C0-53CC-4118-85FD-0B069ADA0B43}"/>
    <cellStyle name="Heading 3 6" xfId="1975" xr:uid="{C30A712E-FC80-4FB4-A9BD-DA1A48807B3E}"/>
    <cellStyle name="Heading 3 6 2" xfId="9027" xr:uid="{39731099-7F78-4D13-9D68-057FCB246318}"/>
    <cellStyle name="Heading 3 6 2 2" xfId="33028" xr:uid="{208226B7-FACD-4A65-9ECB-E30663F23809}"/>
    <cellStyle name="Heading 3 6 3" xfId="6689" xr:uid="{AB78AB57-10EC-4A70-A859-A4D0D2248C39}"/>
    <cellStyle name="Heading 3 7" xfId="1976" xr:uid="{88B22FE7-E766-41C0-8756-1113A94D3B61}"/>
    <cellStyle name="Heading 3 7 2" xfId="9026" xr:uid="{569041E0-231F-4D51-BA4F-F1FF2125A984}"/>
    <cellStyle name="Heading 3 7 2 2" xfId="33027" xr:uid="{A478773C-2980-4A6E-A70C-A6B2901F9BA7}"/>
    <cellStyle name="Heading 3 7 3" xfId="6688" xr:uid="{D103E21E-CF0E-4357-9A8A-BF25A6244635}"/>
    <cellStyle name="Heading 3 8" xfId="1977" xr:uid="{D497A69C-2366-4999-8CB0-7EE14C0C3527}"/>
    <cellStyle name="Heading 3 8 2" xfId="9025" xr:uid="{7A1E7185-6168-42A3-8CD0-DE4602EB21CC}"/>
    <cellStyle name="Heading 3 8 2 2" xfId="33026" xr:uid="{683158B9-0985-4BF2-8107-1C3FD6D637CD}"/>
    <cellStyle name="Heading 3 8 3" xfId="6687" xr:uid="{3656DF8F-6FE6-4F80-98C3-738B3F84C7FB}"/>
    <cellStyle name="Heading 3 9" xfId="1978" xr:uid="{9A4D26A9-E49F-483D-BAB4-0D6DB4FF6271}"/>
    <cellStyle name="Heading 3 9 2" xfId="9024" xr:uid="{DB4D0AFA-DE1E-490C-8113-1AD894AEA3C1}"/>
    <cellStyle name="Heading 3 9 2 2" xfId="33025" xr:uid="{2E38FA0F-1B18-4A87-8F77-D04121E94964}"/>
    <cellStyle name="Heading 3 9 3" xfId="6686" xr:uid="{96DFBA64-1973-41E8-A9C7-E8F06D071F7C}"/>
    <cellStyle name="Heading 4" xfId="57" builtinId="19" customBuiltin="1"/>
    <cellStyle name="Heading 4 10" xfId="1979" xr:uid="{9B233C0C-E03D-4BCF-9AA2-0D78AFF1BA66}"/>
    <cellStyle name="Heading 4 11" xfId="1980" xr:uid="{BA7F7E93-E047-4594-AD65-572A5D8A494B}"/>
    <cellStyle name="Heading 4 12" xfId="1981" xr:uid="{08D78BD7-776E-4867-A8EF-1DAD743EC9A4}"/>
    <cellStyle name="Heading 4 13" xfId="1982" xr:uid="{5B22CD2B-65BE-4AE5-9F7B-CC2FB5C80EB6}"/>
    <cellStyle name="Heading 4 14" xfId="1983" xr:uid="{95DC3FA4-6E8E-4DC0-A1BB-DFFDA0517A12}"/>
    <cellStyle name="Heading 4 15" xfId="1984" xr:uid="{FF34B6AD-AE00-4174-9530-B9A77AD63842}"/>
    <cellStyle name="Heading 4 16" xfId="1985" xr:uid="{6F66DD5D-CE9C-4BCF-8B5D-6E841F974FB9}"/>
    <cellStyle name="Heading 4 17" xfId="1986" xr:uid="{B0C0CE8F-DD84-4E86-BF80-F15114EB634B}"/>
    <cellStyle name="Heading 4 18" xfId="1987" xr:uid="{C73D011C-AAB8-4C91-BB44-7A7354F31BF9}"/>
    <cellStyle name="Heading 4 19" xfId="1988" xr:uid="{13845480-1537-4A99-BA9E-4A2187112A3C}"/>
    <cellStyle name="Heading 4 2" xfId="58" xr:uid="{00000000-0005-0000-0000-00003D000000}"/>
    <cellStyle name="Heading 4 20" xfId="1989" xr:uid="{930482AB-FCC4-4EFE-81DE-F7C76AD10906}"/>
    <cellStyle name="Heading 4 21" xfId="1990" xr:uid="{D58DED16-6DE5-4952-AAB9-1655CFA55D79}"/>
    <cellStyle name="Heading 4 22" xfId="1991" xr:uid="{BE550BE2-AE7B-4E9A-92C4-77C17EC69194}"/>
    <cellStyle name="Heading 4 23" xfId="1992" xr:uid="{C057C5DE-0575-4E3E-B787-6560F14BA5DB}"/>
    <cellStyle name="Heading 4 24" xfId="1993" xr:uid="{9DE2A32A-F053-4E3A-A152-F504014EE96B}"/>
    <cellStyle name="Heading 4 25" xfId="1994" xr:uid="{8519EA18-87CD-470C-986C-1F7FC8259B48}"/>
    <cellStyle name="Heading 4 26" xfId="1995" xr:uid="{D4760CFB-0E6E-43CA-8DB0-40B060800D86}"/>
    <cellStyle name="Heading 4 27" xfId="1996" xr:uid="{721CFA2C-47D7-4188-BE59-C7C996F679D4}"/>
    <cellStyle name="Heading 4 28" xfId="1997" xr:uid="{2F7D3D7C-166F-4D08-A608-BF9E16E81B09}"/>
    <cellStyle name="Heading 4 29" xfId="1998" xr:uid="{4C78E819-B8BA-4454-8713-A68BEBEEBD4C}"/>
    <cellStyle name="Heading 4 3" xfId="1999" xr:uid="{AD111CC0-F087-4980-940B-1BF0B221CC20}"/>
    <cellStyle name="Heading 4 30" xfId="2000" xr:uid="{5562BE42-617B-4205-A1DB-42BA7D04C939}"/>
    <cellStyle name="Heading 4 31" xfId="2001" xr:uid="{1D06CCCA-30AD-48C3-804D-05D23A61D106}"/>
    <cellStyle name="Heading 4 32" xfId="2002" xr:uid="{4D1785F6-D33D-4518-BD39-FC21E23E7C83}"/>
    <cellStyle name="Heading 4 33" xfId="2003" xr:uid="{86387C04-448B-4776-B650-86E38007E47B}"/>
    <cellStyle name="Heading 4 34" xfId="2004" xr:uid="{1046EB6B-C50D-409C-9337-B5E1D61ED177}"/>
    <cellStyle name="Heading 4 35" xfId="2005" xr:uid="{656C2A7B-C276-4D33-B696-1D5DECA94DC3}"/>
    <cellStyle name="Heading 4 36" xfId="2006" xr:uid="{B485EA69-A5B8-43DB-9CF7-297FA8C9221A}"/>
    <cellStyle name="Heading 4 37" xfId="2007" xr:uid="{5C614D5F-845E-46D6-BB58-E9323CB40A1B}"/>
    <cellStyle name="Heading 4 38" xfId="2008" xr:uid="{2B6DFB76-8BAB-41CA-9D26-E6E791E683C1}"/>
    <cellStyle name="Heading 4 39" xfId="2009" xr:uid="{70897B85-0959-4421-B132-695EB16DAB56}"/>
    <cellStyle name="Heading 4 4" xfId="2010" xr:uid="{933A206C-DBD2-4D07-A631-553E5DB69EC5}"/>
    <cellStyle name="Heading 4 40" xfId="2011" xr:uid="{5EFDB304-1FDB-4E10-8F9E-C7C2117134A2}"/>
    <cellStyle name="Heading 4 41" xfId="2012" xr:uid="{384FE0CB-9AA5-4E1B-AD1D-0B3CFE769F83}"/>
    <cellStyle name="Heading 4 42" xfId="2013" xr:uid="{319EA0E7-D37F-4E99-850C-8752F0842C82}"/>
    <cellStyle name="Heading 4 43" xfId="2014" xr:uid="{A05A9145-E6A8-4FFC-A35C-2F866659522E}"/>
    <cellStyle name="Heading 4 44" xfId="8727" xr:uid="{853F6EC4-E1BD-4412-AE8A-B455A18D121A}"/>
    <cellStyle name="Heading 4 5" xfId="2015" xr:uid="{76F9789C-8238-4D39-84D4-382D336DF825}"/>
    <cellStyle name="Heading 4 6" xfId="2016" xr:uid="{3827362E-AFC1-484C-A922-65C7FB21F2AC}"/>
    <cellStyle name="Heading 4 7" xfId="2017" xr:uid="{A83FA0B3-7EC4-4935-9324-FEB2BACBB20B}"/>
    <cellStyle name="Heading 4 8" xfId="2018" xr:uid="{FB7AD8DE-601B-47ED-9A8D-0BC25F32617C}"/>
    <cellStyle name="Heading 4 9" xfId="2019" xr:uid="{81245AA6-96A3-4F12-9177-090E3E2544E9}"/>
    <cellStyle name="heading 5" xfId="2020" xr:uid="{3838F94D-0234-4216-8715-9BEAC436FFE3}"/>
    <cellStyle name="heading 5 2" xfId="2021" xr:uid="{335D1FFA-1CF3-455C-A321-C4CE245593C4}"/>
    <cellStyle name="heading 6" xfId="2022" xr:uid="{22FB4AD6-F2EC-485F-ADD7-4DEAD2A2AEE6}"/>
    <cellStyle name="heading 7" xfId="2023" xr:uid="{65026AE3-D460-40BD-9F5E-C33F52758CEE}"/>
    <cellStyle name="heading 8" xfId="2024" xr:uid="{B0BC2A6D-EF96-479C-A439-AF6A27FBD277}"/>
    <cellStyle name="Heading1" xfId="2025" xr:uid="{72839509-F52B-4801-AEB2-AE35CB14483C}"/>
    <cellStyle name="Heading1 2" xfId="2026" xr:uid="{9E1EE886-96C6-4A5D-8758-69EC4495AD7C}"/>
    <cellStyle name="Heading1 2 2" xfId="2027" xr:uid="{47E57221-2861-4E28-8BAF-6104D03E593D}"/>
    <cellStyle name="Heading1 3" xfId="2028" xr:uid="{99560A2C-DE95-422D-9EA1-5BAD68B5A8BF}"/>
    <cellStyle name="Heading1 4" xfId="2029" xr:uid="{E1C2EE84-0CA9-42F8-9543-C54733937249}"/>
    <cellStyle name="Heading1 5" xfId="2030" xr:uid="{16072EAE-C4F6-4E13-81B7-7060F515C780}"/>
    <cellStyle name="Heading2" xfId="2031" xr:uid="{7F087C60-1A2B-44CF-A5E6-9853C97565FC}"/>
    <cellStyle name="Heading2 2" xfId="2032" xr:uid="{3B4EDDA1-7E4E-47A1-84C1-FA7A8C094A57}"/>
    <cellStyle name="Heading2 2 2" xfId="2033" xr:uid="{5F531D19-A376-4EB6-ADD4-3959181BB3DF}"/>
    <cellStyle name="Heading2 3" xfId="2034" xr:uid="{19AB84B9-06D3-4C4A-AFD5-95D9497092FD}"/>
    <cellStyle name="Heading2 4" xfId="2035" xr:uid="{6521123A-D7EA-4052-8B69-2E43FB6AA283}"/>
    <cellStyle name="Heading2 5" xfId="2036" xr:uid="{B3DD22C4-D170-47AB-B445-1021B6534C9E}"/>
    <cellStyle name="Hyperlink 2" xfId="2037" xr:uid="{00F8FDAD-708B-4D0E-AF3A-E227C4A86663}"/>
    <cellStyle name="Hyperlink 3" xfId="2038" xr:uid="{B2AEFF24-FB29-4202-92BD-DFF12D1D8DE7}"/>
    <cellStyle name="Hyperlink 4" xfId="5909" xr:uid="{4A6604E5-DD08-405D-A0F2-67229FFFE0DE}"/>
    <cellStyle name="Hyperlink 4 2" xfId="12378" xr:uid="{86375090-082E-4CE7-893F-569394D91CCC}"/>
    <cellStyle name="Input" xfId="59" builtinId="20" customBuiltin="1"/>
    <cellStyle name="Input [yellow]" xfId="2040" xr:uid="{8B23BDEB-73E7-40E8-B7E1-2741383EB029}"/>
    <cellStyle name="Input [yellow] 10" xfId="13274" xr:uid="{EC02FA7C-B4E9-48BD-8ACF-388421FEB029}"/>
    <cellStyle name="Input [yellow] 10 2" xfId="35598" xr:uid="{83AE941A-E4B5-47CE-80A0-C364FBFBE810}"/>
    <cellStyle name="Input [yellow] 11" xfId="23183" xr:uid="{6485B7C4-432F-478F-A74A-48E684D3E2AD}"/>
    <cellStyle name="Input [yellow] 11 2" xfId="42777" xr:uid="{56255DF1-D153-46C8-819D-08DD00D56163}"/>
    <cellStyle name="Input [yellow] 12" xfId="17150" xr:uid="{2C4A9D54-FE84-4233-8935-68FFBAC11A00}"/>
    <cellStyle name="Input [yellow] 13" xfId="22956" xr:uid="{83F6C399-65C7-4712-B7D3-42945CBFEB9A}"/>
    <cellStyle name="Input [yellow] 13 2" xfId="42646" xr:uid="{AD380B98-4885-4685-BEBA-3C2AC48208CB}"/>
    <cellStyle name="Input [yellow] 14" xfId="20518" xr:uid="{A312E96D-7FB4-405A-A694-1C2FF262202B}"/>
    <cellStyle name="Input [yellow] 14 2" xfId="40898" xr:uid="{9721B9ED-55E2-4433-88E0-058A83FB31C7}"/>
    <cellStyle name="Input [yellow] 15" xfId="18784" xr:uid="{EBA71B91-89E7-4D90-B769-07235608170F}"/>
    <cellStyle name="Input [yellow] 15 2" xfId="39648" xr:uid="{B24176E1-E5D5-4508-8BAA-EA47C5BF260D}"/>
    <cellStyle name="Input [yellow] 16" xfId="23235" xr:uid="{0B1E1822-5D5B-4DBB-8719-3DB03A4A453B}"/>
    <cellStyle name="Input [yellow] 17" xfId="23759" xr:uid="{2DB1E5F0-49D2-477C-A427-C4EBD543AE70}"/>
    <cellStyle name="Input [yellow] 17 2" xfId="43170" xr:uid="{C9C85E92-F133-444F-A057-5FA43429C554}"/>
    <cellStyle name="Input [yellow] 18" xfId="23434" xr:uid="{1FF07A96-A8C9-46AC-A3E3-2A020AB36A72}"/>
    <cellStyle name="Input [yellow] 18 2" xfId="42942" xr:uid="{AFBC1590-AB6A-4776-951B-5D4B0A77DF7D}"/>
    <cellStyle name="Input [yellow] 19" xfId="24048" xr:uid="{1ABA1077-C948-4E18-9E9B-7D922095CCAD}"/>
    <cellStyle name="Input [yellow] 19 2" xfId="43425" xr:uid="{46D60EBA-180A-4ED0-B6D6-0AE3606E0453}"/>
    <cellStyle name="Input [yellow] 2" xfId="2041" xr:uid="{59B83550-C708-4207-9820-30ABBA83B856}"/>
    <cellStyle name="Input [yellow] 2 10" xfId="19100" xr:uid="{8BC335EB-DCBB-432E-A3B8-DA9CDAEE1471}"/>
    <cellStyle name="Input [yellow] 2 11" xfId="24900" xr:uid="{CA90B293-2E98-46DE-84D0-FAE3C32C8E8E}"/>
    <cellStyle name="Input [yellow] 2 11 2" xfId="43988" xr:uid="{BC1528C4-5014-4B32-9C60-1C042433FF37}"/>
    <cellStyle name="Input [yellow] 2 12" xfId="23244" xr:uid="{2CBA5A2B-C6E2-43D8-BED8-48CD50F9CD7B}"/>
    <cellStyle name="Input [yellow] 2 12 2" xfId="42820" xr:uid="{47D630EB-71B5-4F1D-B721-22E0E99FD58C}"/>
    <cellStyle name="Input [yellow] 2 13" xfId="22977" xr:uid="{F5407041-91E0-4279-B28F-13AFE8523580}"/>
    <cellStyle name="Input [yellow] 2 13 2" xfId="42649" xr:uid="{2BA5CE4A-2280-4EEF-8DBD-C22C875C7B0A}"/>
    <cellStyle name="Input [yellow] 2 14" xfId="20502" xr:uid="{8A6CC060-3B37-43ED-847C-849D2AAB6E56}"/>
    <cellStyle name="Input [yellow] 2 15" xfId="27077" xr:uid="{1A193783-6C4D-44F1-A4F8-3903CC01097B}"/>
    <cellStyle name="Input [yellow] 2 15 2" xfId="45470" xr:uid="{AD25CAC3-BFCA-463E-8AAD-9B87C545B408}"/>
    <cellStyle name="Input [yellow] 2 16" xfId="16938" xr:uid="{5D30FE6B-B339-415A-9824-5F1B5B3CB924}"/>
    <cellStyle name="Input [yellow] 2 16 2" xfId="38309" xr:uid="{ECCFB2B6-26D4-4C93-8361-ADABFDA89368}"/>
    <cellStyle name="Input [yellow] 2 17" xfId="20929" xr:uid="{55FF9C3E-51E5-4CFC-9A5D-784EE4E007F6}"/>
    <cellStyle name="Input [yellow] 2 17 2" xfId="41230" xr:uid="{9A2484EC-A94C-45BB-92DB-7B2E5B54D4CC}"/>
    <cellStyle name="Input [yellow] 2 18" xfId="6683" xr:uid="{541B9D36-AE8B-4C35-80B1-E2ED4E5307D8}"/>
    <cellStyle name="Input [yellow] 2 2" xfId="2042" xr:uid="{A9C1DB87-E439-4644-A0FD-98F287931B40}"/>
    <cellStyle name="Input [yellow] 2 2 10" xfId="22377" xr:uid="{4093F5A3-C54E-4482-A2FD-C52F92A11A19}"/>
    <cellStyle name="Input [yellow] 2 2 10 2" xfId="42218" xr:uid="{29B821CC-A8D4-4A42-A9F8-8D330EC32EF2}"/>
    <cellStyle name="Input [yellow] 2 2 11" xfId="16146" xr:uid="{9BCF3279-E57A-482A-BF2C-7E7F8F8E3FAE}"/>
    <cellStyle name="Input [yellow] 2 2 11 2" xfId="37711" xr:uid="{CF3267CD-E94A-43AB-A405-5F75C503B992}"/>
    <cellStyle name="Input [yellow] 2 2 12" xfId="20414" xr:uid="{3FC30F9E-E117-4980-9E79-01CAC1FD2347}"/>
    <cellStyle name="Input [yellow] 2 2 12 2" xfId="40824" xr:uid="{6EE22BAF-F437-4803-9522-B12AEE8CED8A}"/>
    <cellStyle name="Input [yellow] 2 2 13" xfId="26367" xr:uid="{5928F0D2-62B6-4B13-910D-17ED4F7BA5AE}"/>
    <cellStyle name="Input [yellow] 2 2 14" xfId="28438" xr:uid="{B0A155D4-6F44-4BAF-9830-EFA6CB1951F9}"/>
    <cellStyle name="Input [yellow] 2 2 14 2" xfId="46283" xr:uid="{6613C73B-47F2-4C50-A8D4-8B734ECEE4CD}"/>
    <cellStyle name="Input [yellow] 2 2 15" xfId="26397" xr:uid="{D0211A2D-EB0D-4FF2-997A-F229AB585BF7}"/>
    <cellStyle name="Input [yellow] 2 2 15 2" xfId="45062" xr:uid="{F96E4E55-4D7D-4243-82E5-317D4E7D1382}"/>
    <cellStyle name="Input [yellow] 2 2 16" xfId="18570" xr:uid="{D2AB0263-927D-426B-950B-34DA7CA56798}"/>
    <cellStyle name="Input [yellow] 2 2 16 2" xfId="39514" xr:uid="{896A3B34-136D-4CC6-8E3C-BC76DBC602BE}"/>
    <cellStyle name="Input [yellow] 2 2 17" xfId="6682" xr:uid="{DAEF06C2-17EA-498B-9A56-074A8C359AC3}"/>
    <cellStyle name="Input [yellow] 2 2 2" xfId="8786" xr:uid="{17575A76-1E5B-4FC5-94E0-47AF300990C1}"/>
    <cellStyle name="Input [yellow] 2 2 3" xfId="8399" xr:uid="{2D5ECB32-F61B-45F8-9D74-8BE067201BA1}"/>
    <cellStyle name="Input [yellow] 2 2 3 2" xfId="32614" xr:uid="{5C3CDCDB-1A03-424D-9D32-C72DAD9C5995}"/>
    <cellStyle name="Input [yellow] 2 2 4" xfId="13206" xr:uid="{A44C7D0E-9B44-4A29-BB61-CE804B3CAF6A}"/>
    <cellStyle name="Input [yellow] 2 2 4 2" xfId="35554" xr:uid="{2C6F1E31-5028-41E6-BDB4-8AE435135666}"/>
    <cellStyle name="Input [yellow] 2 2 5" xfId="13238" xr:uid="{66E82BC4-70A6-4FB1-9413-65B8F1008AA2}"/>
    <cellStyle name="Input [yellow] 2 2 5 2" xfId="35584" xr:uid="{3013A33E-D433-4E72-8F76-B14D90138CE1}"/>
    <cellStyle name="Input [yellow] 2 2 6" xfId="9803" xr:uid="{E7E984A5-8012-4623-B03A-28EA1CF55F1C}"/>
    <cellStyle name="Input [yellow] 2 2 6 2" xfId="33572" xr:uid="{1EE5F228-21F2-44F8-8A77-835C27B6A19C}"/>
    <cellStyle name="Input [yellow] 2 2 7" xfId="10178" xr:uid="{085BB933-4A8C-40A7-B0A8-66B0F0C843A5}"/>
    <cellStyle name="Input [yellow] 2 2 7 2" xfId="33833" xr:uid="{4777E08B-7B2C-4344-A39D-B837ED0E66D0}"/>
    <cellStyle name="Input [yellow] 2 2 8" xfId="23197" xr:uid="{0E25B998-B769-4211-B497-CA74F171C783}"/>
    <cellStyle name="Input [yellow] 2 2 8 2" xfId="42791" xr:uid="{17C694E8-BE3A-420F-90D5-672EBE49F076}"/>
    <cellStyle name="Input [yellow] 2 2 9" xfId="13799" xr:uid="{DEA45505-EDF2-49B4-A651-A6B84C4FA545}"/>
    <cellStyle name="Input [yellow] 2 3" xfId="8785" xr:uid="{3ACB9D30-A5B9-49E5-B2C1-BDA09C29107D}"/>
    <cellStyle name="Input [yellow] 2 4" xfId="8398" xr:uid="{52E99A61-49FD-48F0-B1DF-2FE5A08E4D38}"/>
    <cellStyle name="Input [yellow] 2 4 2" xfId="32613" xr:uid="{C39DCD5B-5764-4267-BDDB-8E0E5BC470E3}"/>
    <cellStyle name="Input [yellow] 2 5" xfId="10250" xr:uid="{836F8FC0-D68B-4C1C-8B03-53C3BFF391E1}"/>
    <cellStyle name="Input [yellow] 2 5 2" xfId="33885" xr:uid="{B1B0E7B8-1732-4FF6-BF28-43A8F1D30FFA}"/>
    <cellStyle name="Input [yellow] 2 6" xfId="10215" xr:uid="{C322191C-F41D-4DE7-A872-7FCB81E050D3}"/>
    <cellStyle name="Input [yellow] 2 6 2" xfId="33850" xr:uid="{D6BBA4A1-70B5-47C4-8143-3A245208CFE4}"/>
    <cellStyle name="Input [yellow] 2 7" xfId="17598" xr:uid="{8EB056A8-3CF9-4A51-B4C1-9691D7509DA6}"/>
    <cellStyle name="Input [yellow] 2 7 2" xfId="38844" xr:uid="{7D8A3466-4F97-4CA6-A073-3026B88BF6F7}"/>
    <cellStyle name="Input [yellow] 2 8" xfId="18448" xr:uid="{B7C53822-8E4E-436D-AF6E-AF8B1E28390A}"/>
    <cellStyle name="Input [yellow] 2 8 2" xfId="39456" xr:uid="{4520641B-DB39-4C7D-9A15-AF0BAA8594EA}"/>
    <cellStyle name="Input [yellow] 2 9" xfId="20491" xr:uid="{A265205A-15B8-4BA1-8BF1-3F4F74756A73}"/>
    <cellStyle name="Input [yellow] 2 9 2" xfId="40881" xr:uid="{D989DDA3-1D36-40ED-98C4-12C4BF920A5C}"/>
    <cellStyle name="Input [yellow] 20" xfId="6684" xr:uid="{E30A3353-BEF3-4B45-A8FA-D04987908281}"/>
    <cellStyle name="Input [yellow] 3" xfId="2043" xr:uid="{092059C3-6CAC-4CE1-B1E7-CA2EA5CC958B}"/>
    <cellStyle name="Input [yellow] 3 10" xfId="19099" xr:uid="{478EE422-64EE-4CB0-BB29-927F4941D53A}"/>
    <cellStyle name="Input [yellow] 3 11" xfId="24901" xr:uid="{4D8FAAFF-D9D6-4728-93D5-5386A24A4996}"/>
    <cellStyle name="Input [yellow] 3 11 2" xfId="43989" xr:uid="{85AFC383-AD7E-4A05-859E-B3EF84BF5AE3}"/>
    <cellStyle name="Input [yellow] 3 12" xfId="23243" xr:uid="{9BE422A0-560C-4498-93CC-3112583CAE37}"/>
    <cellStyle name="Input [yellow] 3 12 2" xfId="42819" xr:uid="{965832D9-98D1-4D54-ADBF-BB6AF46E778C}"/>
    <cellStyle name="Input [yellow] 3 13" xfId="21783" xr:uid="{4FE7A5F7-B76C-41CE-9869-26BAD9741462}"/>
    <cellStyle name="Input [yellow] 3 13 2" xfId="41781" xr:uid="{F10C8A49-A71C-4B46-A489-FFCFD930B69B}"/>
    <cellStyle name="Input [yellow] 3 14" xfId="16130" xr:uid="{C40A5772-E952-437B-B257-43C35143B010}"/>
    <cellStyle name="Input [yellow] 3 15" xfId="26060" xr:uid="{6E7FB602-609C-4AC0-B749-17FD6809C63C}"/>
    <cellStyle name="Input [yellow] 3 15 2" xfId="44825" xr:uid="{25B8EAEA-26C1-44CC-955C-92DB3E608545}"/>
    <cellStyle name="Input [yellow] 3 16" xfId="21969" xr:uid="{30111F4E-F7AA-4D8E-A45F-261185774515}"/>
    <cellStyle name="Input [yellow] 3 16 2" xfId="41876" xr:uid="{D1BC9ED5-5D5F-466F-B867-18BC9C3C447D}"/>
    <cellStyle name="Input [yellow] 3 17" xfId="18716" xr:uid="{209D89B3-F702-4CEA-A0C3-29D718EAFBB3}"/>
    <cellStyle name="Input [yellow] 3 17 2" xfId="39592" xr:uid="{7E6073EE-EB74-48A8-98FB-1B03B69847CD}"/>
    <cellStyle name="Input [yellow] 3 18" xfId="6681" xr:uid="{E02289B6-67E2-42C6-8FFD-E0FE2CAC738A}"/>
    <cellStyle name="Input [yellow] 3 2" xfId="2044" xr:uid="{E916BBD7-A517-4199-947D-3DA90720B839}"/>
    <cellStyle name="Input [yellow] 3 2 10" xfId="22957" xr:uid="{B2226919-0589-4286-A81A-0A3BF5018908}"/>
    <cellStyle name="Input [yellow] 3 2 10 2" xfId="42647" xr:uid="{5A7177C3-7940-438B-9852-C4D953D3D97A}"/>
    <cellStyle name="Input [yellow] 3 2 11" xfId="20517" xr:uid="{3F63D6B3-D612-47D0-A06E-68D2ED5BF088}"/>
    <cellStyle name="Input [yellow] 3 2 11 2" xfId="40897" xr:uid="{2365EA29-4EF1-4336-825D-59BBFB9346A8}"/>
    <cellStyle name="Input [yellow] 3 2 12" xfId="22387" xr:uid="{87E3B28C-774C-42A9-A674-29C22BE72AFB}"/>
    <cellStyle name="Input [yellow] 3 2 12 2" xfId="42219" xr:uid="{0A206920-FAF9-41FB-83FE-17F667D7E031}"/>
    <cellStyle name="Input [yellow] 3 2 13" xfId="26728" xr:uid="{4BE28808-8FE8-4A49-ADC5-2C358DAA14E1}"/>
    <cellStyle name="Input [yellow] 3 2 14" xfId="26068" xr:uid="{AF1E4164-5E87-46B0-B86B-28EEF7A7A566}"/>
    <cellStyle name="Input [yellow] 3 2 14 2" xfId="44833" xr:uid="{2332B92F-6EB4-457C-B304-32E1C69204CB}"/>
    <cellStyle name="Input [yellow] 3 2 15" xfId="24485" xr:uid="{FCACA1C2-4D97-433E-BCEA-FF268FD879F1}"/>
    <cellStyle name="Input [yellow] 3 2 15 2" xfId="43670" xr:uid="{06275570-3702-4507-8BC8-E62BA2EF746A}"/>
    <cellStyle name="Input [yellow] 3 2 16" xfId="22170" xr:uid="{2DC61648-E63B-4CB7-8254-DAD149CAB9A0}"/>
    <cellStyle name="Input [yellow] 3 2 16 2" xfId="42049" xr:uid="{E973BADD-6AD2-4FB8-82DC-7E33DD984BA7}"/>
    <cellStyle name="Input [yellow] 3 2 17" xfId="6680" xr:uid="{02DF93BB-C7CB-4883-AC3F-F56E5A70A94F}"/>
    <cellStyle name="Input [yellow] 3 2 2" xfId="8788" xr:uid="{57BB8A31-5F35-4167-B1CB-843984FDFBFA}"/>
    <cellStyle name="Input [yellow] 3 2 3" xfId="8401" xr:uid="{C254B088-AB7C-407C-B9F6-D5FB39C6056E}"/>
    <cellStyle name="Input [yellow] 3 2 3 2" xfId="32616" xr:uid="{F109433C-E5F6-4F8A-9D31-04F1F377305C}"/>
    <cellStyle name="Input [yellow] 3 2 4" xfId="13207" xr:uid="{73F0C1F6-03D5-4BE7-A136-4967A3AF589C}"/>
    <cellStyle name="Input [yellow] 3 2 4 2" xfId="35555" xr:uid="{3AC5A0A4-EE90-4D54-850C-35AE6EF9552E}"/>
    <cellStyle name="Input [yellow] 3 2 5" xfId="10193" xr:uid="{03F21EFD-0A25-4DA3-8E90-F2BAC0BB2DC4}"/>
    <cellStyle name="Input [yellow] 3 2 5 2" xfId="33847" xr:uid="{F6BC25AA-BAB6-488B-8836-63C4FD6D5903}"/>
    <cellStyle name="Input [yellow] 3 2 6" xfId="17597" xr:uid="{7D5AB443-E0F7-4876-B071-5C410950F66F}"/>
    <cellStyle name="Input [yellow] 3 2 6 2" xfId="38843" xr:uid="{BCD980FD-6AE8-480C-A37A-9C9CE5757560}"/>
    <cellStyle name="Input [yellow] 3 2 7" xfId="18444" xr:uid="{72449C32-0BB3-4B5F-9118-DA953EBE2D63}"/>
    <cellStyle name="Input [yellow] 3 2 7 2" xfId="39455" xr:uid="{0D5498E4-B0D2-4DF4-BAAF-3E689BF8C797}"/>
    <cellStyle name="Input [yellow] 3 2 8" xfId="18824" xr:uid="{30279EF3-C1ED-444C-A73F-9258733801B3}"/>
    <cellStyle name="Input [yellow] 3 2 8 2" xfId="39675" xr:uid="{D1D9968B-D514-481D-8835-82E414BBCE34}"/>
    <cellStyle name="Input [yellow] 3 2 9" xfId="17149" xr:uid="{1CB8B10B-5BC5-467C-BF9B-3DDCCE3119AD}"/>
    <cellStyle name="Input [yellow] 3 3" xfId="8787" xr:uid="{86B5BD8D-AEBB-4BBA-A973-49E0A8BEA216}"/>
    <cellStyle name="Input [yellow] 3 4" xfId="8400" xr:uid="{2A798C3D-7282-4517-845A-14449F8318E1}"/>
    <cellStyle name="Input [yellow] 3 4 2" xfId="32615" xr:uid="{BFCF45B8-E293-455D-9783-7076F63D125E}"/>
    <cellStyle name="Input [yellow] 3 5" xfId="10249" xr:uid="{B64E6FBC-694F-4958-A71B-EBA624A9E74B}"/>
    <cellStyle name="Input [yellow] 3 5 2" xfId="33884" xr:uid="{2EA87964-A510-4836-92C4-F3DE1A7338E5}"/>
    <cellStyle name="Input [yellow] 3 6" xfId="10214" xr:uid="{A72C2DCB-D835-455E-A736-34E5410EE77F}"/>
    <cellStyle name="Input [yellow] 3 6 2" xfId="33849" xr:uid="{03F123DA-E9B3-4840-BFC1-F2AB6BDD58F7}"/>
    <cellStyle name="Input [yellow] 3 7" xfId="9804" xr:uid="{3298FBB7-294E-4F9E-A595-4FC10CFA553F}"/>
    <cellStyle name="Input [yellow] 3 7 2" xfId="33573" xr:uid="{8F3C572E-A9FB-49D5-897C-A6A466084108}"/>
    <cellStyle name="Input [yellow] 3 8" xfId="16187" xr:uid="{B0479F9D-D278-4CF3-8AC2-AE41372C20FC}"/>
    <cellStyle name="Input [yellow] 3 8 2" xfId="37746" xr:uid="{B996D7D5-8D7F-42F2-82AE-D4A66FD8B56C}"/>
    <cellStyle name="Input [yellow] 3 9" xfId="20457" xr:uid="{E661AB34-644F-42AE-B0CB-5986D1C3EB3B}"/>
    <cellStyle name="Input [yellow] 3 9 2" xfId="40852" xr:uid="{94093ECE-4BCF-43F2-BC0D-9068D76723FC}"/>
    <cellStyle name="Input [yellow] 4" xfId="2045" xr:uid="{3BF2DC50-32DC-48AF-B545-D5D945C3E159}"/>
    <cellStyle name="Input [yellow] 4 10" xfId="24902" xr:uid="{0E7614F3-260E-48B0-B9A9-8021E9CDBE15}"/>
    <cellStyle name="Input [yellow] 4 10 2" xfId="43990" xr:uid="{011672A6-D383-4F09-9767-56D788FE58CD}"/>
    <cellStyle name="Input [yellow] 4 11" xfId="23242" xr:uid="{137AD034-39C6-46E1-964A-68CBC09834B4}"/>
    <cellStyle name="Input [yellow] 4 11 2" xfId="42818" xr:uid="{8098C586-83B8-4872-8D3F-BA6E939C26FF}"/>
    <cellStyle name="Input [yellow] 4 12" xfId="22978" xr:uid="{412DF1E2-6C1B-4BBA-B528-D737A3C63556}"/>
    <cellStyle name="Input [yellow] 4 12 2" xfId="42650" xr:uid="{6E0B3F39-DA67-4D28-9269-2762A8F6A397}"/>
    <cellStyle name="Input [yellow] 4 13" xfId="23245" xr:uid="{DC3F17BD-DED6-4C89-B834-FBDDE9913BA9}"/>
    <cellStyle name="Input [yellow] 4 14" xfId="28439" xr:uid="{FF041ECA-E1BB-4671-9486-E1583175B112}"/>
    <cellStyle name="Input [yellow] 4 14 2" xfId="46284" xr:uid="{7A5D0255-6083-4B42-A119-865018020C60}"/>
    <cellStyle name="Input [yellow] 4 15" xfId="25402" xr:uid="{67E32816-C661-4D42-AC88-F25C9D14CFE4}"/>
    <cellStyle name="Input [yellow] 4 15 2" xfId="44295" xr:uid="{4AA2BCF1-F517-47C2-9F6F-4F79A5898640}"/>
    <cellStyle name="Input [yellow] 4 16" xfId="16166" xr:uid="{ECBEB919-97C9-4FB6-8391-6800ECBE83CB}"/>
    <cellStyle name="Input [yellow] 4 16 2" xfId="37728" xr:uid="{8FF29D0C-096D-4B01-8B3A-426763D9C620}"/>
    <cellStyle name="Input [yellow] 4 17" xfId="6679" xr:uid="{92F26633-1719-45F0-AFAF-8EA5F5DE3B3B}"/>
    <cellStyle name="Input [yellow] 4 2" xfId="8789" xr:uid="{0C85FDC4-97A4-4F65-AC82-E36A76C37627}"/>
    <cellStyle name="Input [yellow] 4 3" xfId="8402" xr:uid="{966E7108-FABB-4886-83A2-99874FCC3BD9}"/>
    <cellStyle name="Input [yellow] 4 3 2" xfId="32617" xr:uid="{12AF070A-C2BB-49EF-88F1-793BD355C223}"/>
    <cellStyle name="Input [yellow] 4 4" xfId="10248" xr:uid="{96BF0446-2663-49AC-BAD5-4D16EA97C3A1}"/>
    <cellStyle name="Input [yellow] 4 4 2" xfId="33883" xr:uid="{5EDCF668-D373-40BD-9338-6C27FC61B42B}"/>
    <cellStyle name="Input [yellow] 4 5" xfId="16729" xr:uid="{D8459531-D1BF-405A-9744-55D23B9BDAF6}"/>
    <cellStyle name="Input [yellow] 4 5 2" xfId="38216" xr:uid="{1FD64DAD-EC8D-44A1-87BF-F7182F36B969}"/>
    <cellStyle name="Input [yellow] 4 6" xfId="9805" xr:uid="{17ED483A-F0AE-4299-A480-44AB00D9FB88}"/>
    <cellStyle name="Input [yellow] 4 6 2" xfId="33574" xr:uid="{88859345-EC15-4C26-80D3-CA6B5C1EE50F}"/>
    <cellStyle name="Input [yellow] 4 7" xfId="15959" xr:uid="{2CE1D176-5639-4BC5-B57F-928186346883}"/>
    <cellStyle name="Input [yellow] 4 7 2" xfId="37550" xr:uid="{ACD5A75A-A8CA-4374-B694-D734734C8877}"/>
    <cellStyle name="Input [yellow] 4 8" xfId="23198" xr:uid="{94CB6659-D552-41E3-8BF9-BAC9B11F3568}"/>
    <cellStyle name="Input [yellow] 4 8 2" xfId="42792" xr:uid="{3FDA2538-FAE2-4E57-A626-EC005C3CA362}"/>
    <cellStyle name="Input [yellow] 4 9" xfId="17142" xr:uid="{D1912041-4DB3-4DFD-8550-6763468B61AB}"/>
    <cellStyle name="Input [yellow] 5" xfId="8784" xr:uid="{6BA1B5EE-FD9E-4CBA-AA1B-D1D75B40D09D}"/>
    <cellStyle name="Input [yellow] 6" xfId="8397" xr:uid="{8FF70B09-AC55-4A4D-91FB-9035B6B58938}"/>
    <cellStyle name="Input [yellow] 6 2" xfId="32612" xr:uid="{F37D9737-5FE8-488C-BE7D-955AE215756F}"/>
    <cellStyle name="Input [yellow] 7" xfId="13205" xr:uid="{BDAD0525-4EF2-4C3D-97D2-D20BE09D2A9B}"/>
    <cellStyle name="Input [yellow] 7 2" xfId="35553" xr:uid="{055C5764-3FCA-4241-8FE4-16DB6B035A2E}"/>
    <cellStyle name="Input [yellow] 8" xfId="10251" xr:uid="{6CA02881-F64B-4BE2-87B6-98AE81F48C60}"/>
    <cellStyle name="Input [yellow] 8 2" xfId="33886" xr:uid="{4EE3F5D4-B3CD-4998-9FBD-7A31B865F3AC}"/>
    <cellStyle name="Input [yellow] 9" xfId="9765" xr:uid="{10D63840-B47D-407B-A2CD-125751D1D71E}"/>
    <cellStyle name="Input [yellow] 9 2" xfId="33571" xr:uid="{E2C82200-EA75-40D0-992B-DA1C9A6F6AEA}"/>
    <cellStyle name="Input 10" xfId="2046" xr:uid="{97548330-4EB7-48EE-812F-357CC28B6604}"/>
    <cellStyle name="Input 10 10" xfId="16384" xr:uid="{944E88CC-9B44-4FB6-B3B1-8617F73EAF82}"/>
    <cellStyle name="Input 10 11" xfId="18060" xr:uid="{7D5FBF1A-FA91-4666-9706-98EC70C5CF0C}"/>
    <cellStyle name="Input 10 12" xfId="16337" xr:uid="{C056B2DE-517B-4B8D-A6F0-4DEBFD077642}"/>
    <cellStyle name="Input 10 13" xfId="19098" xr:uid="{33387BF2-6541-4AA3-B02A-A6EC7DB73604}"/>
    <cellStyle name="Input 10 14" xfId="18661" xr:uid="{869B44AA-3D52-450B-BBA5-4CDA39AFAF54}"/>
    <cellStyle name="Input 10 15" xfId="22979" xr:uid="{D7CCD9D0-809E-4CAB-B51C-28A9D53F0E88}"/>
    <cellStyle name="Input 10 16" xfId="23234" xr:uid="{9DB2B940-2D2B-4A6D-9C22-1F87E37118F5}"/>
    <cellStyle name="Input 10 17" xfId="27426" xr:uid="{14981499-0576-4643-A464-C214D6621F54}"/>
    <cellStyle name="Input 10 18" xfId="21024" xr:uid="{0341039A-A005-4F83-BE25-585BB7612078}"/>
    <cellStyle name="Input 10 19" xfId="25670" xr:uid="{8BF7EB49-4211-4871-899D-51C7AD0DA51F}"/>
    <cellStyle name="Input 10 2" xfId="8958" xr:uid="{ECCD4534-BA2D-44DA-84EC-F0C1E7210E4B}"/>
    <cellStyle name="Input 10 20" xfId="29680" xr:uid="{6CE9094E-4ED7-44E7-BA74-CC0D8D965084}"/>
    <cellStyle name="Input 10 21" xfId="23435" xr:uid="{35C7F580-B6A7-476E-B8CB-86CADE07AA20}"/>
    <cellStyle name="Input 10 22" xfId="18542" xr:uid="{7CF43231-E866-41B6-BC09-8821341F7AF6}"/>
    <cellStyle name="Input 10 23" xfId="24868" xr:uid="{54204E1D-4BDD-419D-A160-229E600AEB59}"/>
    <cellStyle name="Input 10 24" xfId="28504" xr:uid="{FF2AE0E3-821F-4929-9A03-077CC7014F44}"/>
    <cellStyle name="Input 10 25" xfId="23120" xr:uid="{860B7197-5C42-4821-9340-5673AF228C7A}"/>
    <cellStyle name="Input 10 26" xfId="6198" xr:uid="{3EFA01BA-3F16-48BD-AEE1-C1F855D7C8DD}"/>
    <cellStyle name="Input 10 3" xfId="8996" xr:uid="{01505DF0-1A0B-4A1B-A129-EA3DE27F2D3A}"/>
    <cellStyle name="Input 10 4" xfId="9679" xr:uid="{A8F301A1-5BA1-45F9-BA28-64F4518D002E}"/>
    <cellStyle name="Input 10 5" xfId="13239" xr:uid="{150901D5-8BA8-4E31-AD4E-1B7C5D1451C0}"/>
    <cellStyle name="Input 10 6" xfId="13519" xr:uid="{82933D51-F480-4C2D-860E-AF7E0E74B5E8}"/>
    <cellStyle name="Input 10 7" xfId="18447" xr:uid="{B8308550-DFF2-49F1-892F-A274EF1DB18C}"/>
    <cellStyle name="Input 10 8" xfId="19293" xr:uid="{E09E80C0-78D9-4AA3-817A-DAD84E5C154F}"/>
    <cellStyle name="Input 10 9" xfId="18042" xr:uid="{D7DA5CAF-5A8D-446F-9D78-78FA89A96596}"/>
    <cellStyle name="Input 11" xfId="2047" xr:uid="{FEE07853-DD53-4C3B-BCE5-03AADEA67931}"/>
    <cellStyle name="Input 11 10" xfId="13979" xr:uid="{AD31E25C-3B10-40E1-8B7D-89AFF69891B8}"/>
    <cellStyle name="Input 11 11" xfId="19972" xr:uid="{65041722-CD67-4A7A-976F-58A489007BA9}"/>
    <cellStyle name="Input 11 12" xfId="18367" xr:uid="{CEAC2AB4-7FF5-4F1E-B1F9-4499F02C0A0D}"/>
    <cellStyle name="Input 11 13" xfId="16066" xr:uid="{3AEB6B28-D3F5-466E-92BF-7241F59CF851}"/>
    <cellStyle name="Input 11 14" xfId="24903" xr:uid="{40DB1C35-508A-43B0-8EBD-1F922F126946}"/>
    <cellStyle name="Input 11 15" xfId="22980" xr:uid="{CF774031-E415-47FB-A431-48EF8D790DB7}"/>
    <cellStyle name="Input 11 16" xfId="20511" xr:uid="{62BCD4D9-B8E0-4239-AFE2-5C9585A36CA8}"/>
    <cellStyle name="Input 11 17" xfId="22397" xr:uid="{5527FF33-92B4-4437-9861-0F8FD28D5280}"/>
    <cellStyle name="Input 11 18" xfId="27326" xr:uid="{114392DD-0CED-4B9B-86CD-0F4B0D7D13DE}"/>
    <cellStyle name="Input 11 19" xfId="27249" xr:uid="{188B215D-F587-4DA7-A87B-C9A3A97B76C2}"/>
    <cellStyle name="Input 11 2" xfId="8957" xr:uid="{748B1B5F-B962-44B8-A329-1C6A657200C9}"/>
    <cellStyle name="Input 11 20" xfId="29059" xr:uid="{AEFA8048-290E-4E85-B30D-5C25B916BAB2}"/>
    <cellStyle name="Input 11 21" xfId="22264" xr:uid="{E12B24FC-6D38-4718-B293-407562E420C8}"/>
    <cellStyle name="Input 11 22" xfId="18715" xr:uid="{7C82C2A7-ECAC-44A9-A270-DBB25F253529}"/>
    <cellStyle name="Input 11 23" xfId="22370" xr:uid="{A545D645-BC72-4B36-96A7-F52FCF229B68}"/>
    <cellStyle name="Input 11 24" xfId="27110" xr:uid="{2BDB327B-6E9E-403D-8E44-F4E7CE424DF6}"/>
    <cellStyle name="Input 11 25" xfId="15402" xr:uid="{C7499F6C-E6BE-4E84-A93B-4139ADFF262B}"/>
    <cellStyle name="Input 11 26" xfId="6199" xr:uid="{0A85B303-4F84-4A20-AFE0-10F598381394}"/>
    <cellStyle name="Input 11 3" xfId="8995" xr:uid="{325D2E4F-D521-4F35-91D0-322A5C73A0A9}"/>
    <cellStyle name="Input 11 4" xfId="9680" xr:uid="{A2840D48-94D0-4F0E-B2AF-E4300B130853}"/>
    <cellStyle name="Input 11 5" xfId="10213" xr:uid="{6403A60F-8ED5-47B1-A5FD-9CEE4525CAC0}"/>
    <cellStyle name="Input 11 6" xfId="9766" xr:uid="{03223FDC-60C2-4209-AA90-ADE40D408B1A}"/>
    <cellStyle name="Input 11 7" xfId="13275" xr:uid="{206A9743-1EEC-4E3F-9BDA-1645EA9F6FA4}"/>
    <cellStyle name="Input 11 8" xfId="9764" xr:uid="{7A222F2A-5956-4817-AA51-37382970E0A3}"/>
    <cellStyle name="Input 11 9" xfId="19937" xr:uid="{D30DA6E2-891D-4373-97BB-F54799E65729}"/>
    <cellStyle name="Input 12" xfId="2048" xr:uid="{2BBD8153-6A93-4BC3-946A-8A844FB44D74}"/>
    <cellStyle name="Input 12 10" xfId="16383" xr:uid="{2B2C2796-7793-4C78-BAFA-E83C6E004BD9}"/>
    <cellStyle name="Input 12 11" xfId="13931" xr:uid="{1BA03B65-8608-441E-B855-B3D1673BD7C7}"/>
    <cellStyle name="Input 12 12" xfId="17913" xr:uid="{4CB7349E-AF4C-49B2-8437-FD81D9F250B1}"/>
    <cellStyle name="Input 12 13" xfId="19097" xr:uid="{09C34B6C-174F-42BB-87FB-8DE30FE71C94}"/>
    <cellStyle name="Input 12 14" xfId="22958" xr:uid="{0CA70230-E08A-42DD-82D5-13D04F71CB51}"/>
    <cellStyle name="Input 12 15" xfId="20415" xr:uid="{C7862CC1-55A4-4EA7-84CD-CED00A94726D}"/>
    <cellStyle name="Input 12 16" xfId="26727" xr:uid="{582DEDB4-8808-40E9-9E2E-C3B27AC97C82}"/>
    <cellStyle name="Input 12 17" xfId="27425" xr:uid="{4E030BAA-4D39-427D-B681-D2F8E8B9384B}"/>
    <cellStyle name="Input 12 18" xfId="26188" xr:uid="{608E5B3A-90EF-46FA-BC7D-34435388EBC2}"/>
    <cellStyle name="Input 12 19" xfId="26151" xr:uid="{F2425476-14E6-4104-A250-914FF6F31E2C}"/>
    <cellStyle name="Input 12 2" xfId="8956" xr:uid="{02A2BCF0-0A8A-4426-B60B-8CBEA3786112}"/>
    <cellStyle name="Input 12 20" xfId="29677" xr:uid="{BB17CAAF-989F-4F7B-A416-7504B199033F}"/>
    <cellStyle name="Input 12 21" xfId="25374" xr:uid="{A3861A0A-1465-47B2-AF22-7FEA6A20E9EA}"/>
    <cellStyle name="Input 12 22" xfId="22169" xr:uid="{C3941A93-6F00-431F-9117-B41171B1D361}"/>
    <cellStyle name="Input 12 23" xfId="24869" xr:uid="{A37D6FA6-2394-4641-BFB0-F52D50374FED}"/>
    <cellStyle name="Input 12 24" xfId="28505" xr:uid="{46B4974E-55CA-49DA-ACCE-85703A84F76E}"/>
    <cellStyle name="Input 12 25" xfId="23121" xr:uid="{A8089609-427D-4E75-968F-9DA1AAABC1B8}"/>
    <cellStyle name="Input 12 26" xfId="6200" xr:uid="{CA8AF6DA-DEB2-4F51-BD49-005B6498216A}"/>
    <cellStyle name="Input 12 3" xfId="8994" xr:uid="{0CD1F824-028E-4109-9597-6C9AC5ED3F37}"/>
    <cellStyle name="Input 12 4" xfId="9681" xr:uid="{EF92C50E-FEC5-4A3F-BCC6-0A9CB05A3182}"/>
    <cellStyle name="Input 12 5" xfId="13240" xr:uid="{5FD3ABCE-47C0-401F-8488-1319DEABAC8D}"/>
    <cellStyle name="Input 12 6" xfId="15442" xr:uid="{A16C9641-2561-436D-ADFB-71AFCDB3DAA1}"/>
    <cellStyle name="Input 12 7" xfId="18446" xr:uid="{6B046847-1318-4E66-BF72-BB6988707A8D}"/>
    <cellStyle name="Input 12 8" xfId="15445" xr:uid="{951D55FB-8AD9-4FD0-A0E5-8B00709B0E49}"/>
    <cellStyle name="Input 12 9" xfId="17684" xr:uid="{5680C99B-E8F7-4812-91A5-67003776B94E}"/>
    <cellStyle name="Input 13" xfId="2049" xr:uid="{D0DEB0C7-A9CA-47A5-8269-B1D16172A2F0}"/>
    <cellStyle name="Input 13 10" xfId="15848" xr:uid="{633C490C-9B04-4E92-A394-D3FF0203801F}"/>
    <cellStyle name="Input 13 11" xfId="19973" xr:uid="{D232FF4E-2F13-455B-A81C-B9EAF72A0E97}"/>
    <cellStyle name="Input 13 12" xfId="13968" xr:uid="{146A9B33-1487-4658-B265-CE4B371699CD}"/>
    <cellStyle name="Input 13 13" xfId="17148" xr:uid="{EDA83534-2231-4203-AC75-2B4CC1F04AD6}"/>
    <cellStyle name="Input 13 14" xfId="24904" xr:uid="{84C24F91-4E52-441C-AD80-7C33E4F42889}"/>
    <cellStyle name="Input 13 15" xfId="22981" xr:uid="{BD55C099-5D3C-4062-B152-AF4504AC21F6}"/>
    <cellStyle name="Input 13 16" xfId="23233" xr:uid="{0E6A8C72-5F8D-4829-9C04-D29A2BEA37D0}"/>
    <cellStyle name="Input 13 17" xfId="22999" xr:uid="{9D5B2B23-A29F-4E03-BB94-E3C69D5D2E24}"/>
    <cellStyle name="Input 13 18" xfId="27327" xr:uid="{95DE57C6-BBCB-4EB1-A60B-93D74258C625}"/>
    <cellStyle name="Input 13 19" xfId="26153" xr:uid="{BBB02939-A84B-46D8-ABCE-B4D70427DFFC}"/>
    <cellStyle name="Input 13 2" xfId="8955" xr:uid="{ACE701D9-0E20-44B5-A5F6-CA62BE7FEEA9}"/>
    <cellStyle name="Input 13 20" xfId="29531" xr:uid="{1F796FB8-10A1-410A-BE2E-A8DF12D14D25}"/>
    <cellStyle name="Input 13 21" xfId="24486" xr:uid="{7F34D44C-D051-4178-A483-09066C0A5301}"/>
    <cellStyle name="Input 13 22" xfId="20927" xr:uid="{722276E0-D4EB-4F27-9824-C8B571B10863}"/>
    <cellStyle name="Input 13 23" xfId="22940" xr:uid="{ACDD2561-38D4-4D90-8F97-D81810D0D880}"/>
    <cellStyle name="Input 13 24" xfId="25622" xr:uid="{B9C7574B-7C52-439C-BF87-B72FF0AD6C07}"/>
    <cellStyle name="Input 13 25" xfId="20455" xr:uid="{2B02E8DA-3318-4DE1-9B0F-BEC0F1D9D43D}"/>
    <cellStyle name="Input 13 26" xfId="6201" xr:uid="{D596A52E-71F5-4207-943F-BF5A94C31C52}"/>
    <cellStyle name="Input 13 3" xfId="8993" xr:uid="{266789FB-D886-4446-AC3B-3B2555BF1345}"/>
    <cellStyle name="Input 13 4" xfId="9682" xr:uid="{A5F5EDC4-63C9-44A1-BCCC-1DDBF225DF65}"/>
    <cellStyle name="Input 13 5" xfId="10212" xr:uid="{5B9E647D-CEC2-4DE7-86A9-55C6CF1BDC5D}"/>
    <cellStyle name="Input 13 6" xfId="9767" xr:uid="{E0CA0253-67A6-4210-9CF0-CFC73B18E40B}"/>
    <cellStyle name="Input 13 7" xfId="10177" xr:uid="{EFBE1209-26EC-46CE-A9E7-1F58A71DFDFC}"/>
    <cellStyle name="Input 13 8" xfId="9827" xr:uid="{7F709E07-032D-49A6-843C-B246A879024B}"/>
    <cellStyle name="Input 13 9" xfId="19938" xr:uid="{28FFBC5E-8766-4C84-8435-90D5485F423D}"/>
    <cellStyle name="Input 14" xfId="2050" xr:uid="{B364DF64-1785-444A-A239-B57901573A3C}"/>
    <cellStyle name="Input 14 10" xfId="16382" xr:uid="{EE43EE35-FE7D-4B33-8662-2E3A62F5B0E9}"/>
    <cellStyle name="Input 14 11" xfId="18061" xr:uid="{B54CA32D-3A95-45F1-8CF7-30677B1CEE13}"/>
    <cellStyle name="Input 14 12" xfId="18366" xr:uid="{4D30D159-3352-4C8D-B76C-DCCF16034A08}"/>
    <cellStyle name="Input 14 13" xfId="19096" xr:uid="{C7B2A2D8-CD35-4DBF-B199-F77ABA82F122}"/>
    <cellStyle name="Input 14 14" xfId="22959" xr:uid="{72BEF78B-A91F-4C13-AB1A-96FEB397E49E}"/>
    <cellStyle name="Input 14 15" xfId="22389" xr:uid="{4D7FE46C-8B10-4802-B412-EDA92F5D3823}"/>
    <cellStyle name="Input 14 16" xfId="18833" xr:uid="{8CBB0DD1-6165-4816-9BFF-F10C97F75EF6}"/>
    <cellStyle name="Input 14 17" xfId="27424" xr:uid="{CC662E39-13F9-472D-B28A-B3A929C930E9}"/>
    <cellStyle name="Input 14 18" xfId="23799" xr:uid="{2EB3B26F-7C82-4B41-9B7B-774BA7776ECA}"/>
    <cellStyle name="Input 14 19" xfId="27250" xr:uid="{875DD502-1699-4467-AF5A-7F14042CE232}"/>
    <cellStyle name="Input 14 2" xfId="8954" xr:uid="{2521C605-A9A3-459B-B8C2-C7922D82677C}"/>
    <cellStyle name="Input 14 20" xfId="29676" xr:uid="{1012BE9C-F558-4735-8D5A-A60231B19996}"/>
    <cellStyle name="Input 14 21" xfId="24459" xr:uid="{9B7D6667-60E4-4EA6-A95C-DCA970DCE333}"/>
    <cellStyle name="Input 14 22" xfId="20312" xr:uid="{37FF9906-6F99-40C9-939D-627FFD4385E1}"/>
    <cellStyle name="Input 14 23" xfId="24870" xr:uid="{CF9FCBE9-3917-406A-A045-224240F890F0}"/>
    <cellStyle name="Input 14 24" xfId="29500" xr:uid="{C383D990-B401-4C76-9D8E-B6086F12E01C}"/>
    <cellStyle name="Input 14 25" xfId="23122" xr:uid="{01A97078-3F65-424C-9C4F-5AB2A03F99FB}"/>
    <cellStyle name="Input 14 26" xfId="6202" xr:uid="{7DF3DDF7-30C1-4ADF-BCC3-06EE1A97399A}"/>
    <cellStyle name="Input 14 3" xfId="8992" xr:uid="{6AE9B415-75D1-4DBB-8769-C7E9707EA1CE}"/>
    <cellStyle name="Input 14 4" xfId="9683" xr:uid="{DB003F4C-285F-4DCB-8FFD-1889A4A4D849}"/>
    <cellStyle name="Input 14 5" xfId="13241" xr:uid="{6AAB9906-9002-4B00-9831-B43A73C11DB4}"/>
    <cellStyle name="Input 14 6" xfId="15180" xr:uid="{EB8BF2EE-7E93-4AE8-BCC2-1B8C50117D50}"/>
    <cellStyle name="Input 14 7" xfId="18445" xr:uid="{EC30600A-0C87-460A-9978-EAA121BD4968}"/>
    <cellStyle name="Input 14 8" xfId="19292" xr:uid="{E412DEE3-ADA0-4A27-847D-34603CA78984}"/>
    <cellStyle name="Input 14 9" xfId="18043" xr:uid="{2EA19DB4-E927-4D0D-94AF-C6717CC5FFE0}"/>
    <cellStyle name="Input 15" xfId="2051" xr:uid="{06E4FFC5-7C52-4CE2-A434-849385CD044D}"/>
    <cellStyle name="Input 15 10" xfId="12590" xr:uid="{FC59A83C-7959-4F73-B701-A558CC0F0AFB}"/>
    <cellStyle name="Input 15 11" xfId="19974" xr:uid="{D9AA06C4-9477-4286-88FA-C94E930E9FD2}"/>
    <cellStyle name="Input 15 12" xfId="18650" xr:uid="{1E714526-1F4C-4D49-A79F-FE90D992721F}"/>
    <cellStyle name="Input 15 13" xfId="14548" xr:uid="{EF64241D-DA61-4BC2-8B5E-9793A5C2933D}"/>
    <cellStyle name="Input 15 14" xfId="20409" xr:uid="{99E6524B-9E8F-43FC-A406-5979C81FB0C6}"/>
    <cellStyle name="Input 15 15" xfId="22982" xr:uid="{527160DF-0788-4255-A42C-1D4C747C6BE4}"/>
    <cellStyle name="Input 15 16" xfId="26726" xr:uid="{43E79BE8-C4B5-43D2-A75A-74E8A1C62800}"/>
    <cellStyle name="Input 15 17" xfId="18790" xr:uid="{19BFB9BA-FE94-435B-8EA9-45EDEADAA36E}"/>
    <cellStyle name="Input 15 18" xfId="27328" xr:uid="{B280CF28-199A-460A-9B14-93D3C99DB0A3}"/>
    <cellStyle name="Input 15 19" xfId="21028" xr:uid="{21791C14-3A57-4377-AD05-F314F7B12D01}"/>
    <cellStyle name="Input 15 2" xfId="8953" xr:uid="{EE2E041A-DB50-4AFD-B668-C3CDD348967A}"/>
    <cellStyle name="Input 15 20" xfId="29532" xr:uid="{F8C63A60-0ECD-4E86-B508-7328C3FA208D}"/>
    <cellStyle name="Input 15 21" xfId="22688" xr:uid="{6CF55036-56A7-4DBD-93B1-4FFC183501D5}"/>
    <cellStyle name="Input 15 22" xfId="18714" xr:uid="{D202924F-BC13-4A55-9794-1667B1101CFD}"/>
    <cellStyle name="Input 15 23" xfId="24838" xr:uid="{BAE3EB2F-9FB6-46D9-B280-C49F274718A6}"/>
    <cellStyle name="Input 15 24" xfId="28506" xr:uid="{8724AF07-E770-4B9F-8439-EA9E9C55536D}"/>
    <cellStyle name="Input 15 25" xfId="18807" xr:uid="{B8E01CD7-608F-478F-A3D6-D6502F3F82B0}"/>
    <cellStyle name="Input 15 26" xfId="6203" xr:uid="{E74A7059-8A57-4D60-9BC9-BBB02CDA87A4}"/>
    <cellStyle name="Input 15 3" xfId="8991" xr:uid="{9E821A57-C7D4-466B-B1F6-2596C57610B8}"/>
    <cellStyle name="Input 15 4" xfId="9684" xr:uid="{3474EE09-561A-4CE4-8C7A-97F2BC2F6519}"/>
    <cellStyle name="Input 15 5" xfId="10211" xr:uid="{CC21833E-BB79-4FDD-906E-7427B1FAED1C}"/>
    <cellStyle name="Input 15 6" xfId="9768" xr:uid="{E8E2695B-CF8B-4820-B7FB-35F3ED024A89}"/>
    <cellStyle name="Input 15 7" xfId="10176" xr:uid="{40B17FE4-06DC-4C62-BBF3-0F09BAA0AC3D}"/>
    <cellStyle name="Input 15 8" xfId="9828" xr:uid="{17D59A88-E831-4E22-B62E-39FDDE2504EB}"/>
    <cellStyle name="Input 15 9" xfId="19939" xr:uid="{5F070A48-6E77-44A6-9476-7D2090A4D181}"/>
    <cellStyle name="Input 16" xfId="2052" xr:uid="{3E11C204-2931-422F-A834-4756E2998B3D}"/>
    <cellStyle name="Input 16 10" xfId="16381" xr:uid="{1F6A70FE-9717-48D3-9490-2524F2B221BA}"/>
    <cellStyle name="Input 16 11" xfId="15220" xr:uid="{185F2E5B-50D9-42C4-AD70-4E931D438ABC}"/>
    <cellStyle name="Input 16 12" xfId="16336" xr:uid="{8144450C-E44D-4F58-B161-3B22E45B5CBF}"/>
    <cellStyle name="Input 16 13" xfId="19095" xr:uid="{75005327-18F4-419A-A5C8-3BBD2B32834E}"/>
    <cellStyle name="Input 16 14" xfId="22960" xr:uid="{B91C9C28-4109-4777-8248-4D0B7EF12329}"/>
    <cellStyle name="Input 16 15" xfId="18788" xr:uid="{0EDB5027-4C45-4EFC-B7E0-609EE69E5405}"/>
    <cellStyle name="Input 16 16" xfId="23232" xr:uid="{0F9BA452-452B-4DAD-9C87-9F6C8D6721BD}"/>
    <cellStyle name="Input 16 17" xfId="23001" xr:uid="{3878DCEB-D1BD-4AC3-BE95-2A0289E311D9}"/>
    <cellStyle name="Input 16 18" xfId="26189" xr:uid="{87D0DF63-3265-47FC-AE7E-7A0D3269CE3F}"/>
    <cellStyle name="Input 16 19" xfId="27251" xr:uid="{31039CAC-FBEF-4C20-A0C0-265DB50B8FAC}"/>
    <cellStyle name="Input 16 2" xfId="8952" xr:uid="{D529C257-0679-451A-9958-EE4518B7227F}"/>
    <cellStyle name="Input 16 20" xfId="27272" xr:uid="{BC10D3E5-B1C8-40FC-B30A-4E508FA5D5E5}"/>
    <cellStyle name="Input 16 21" xfId="20357" xr:uid="{56F746B4-3B08-4537-81D3-0C594410B855}"/>
    <cellStyle name="Input 16 22" xfId="30447" xr:uid="{5FEB1CEF-C066-4D65-AF00-CAAD363921E6}"/>
    <cellStyle name="Input 16 23" xfId="20405" xr:uid="{4077E449-1A7C-4126-90C6-B92854D88C5F}"/>
    <cellStyle name="Input 16 24" xfId="23764" xr:uid="{D8FB64A4-C35B-4255-8C76-5CA98EF48E75}"/>
    <cellStyle name="Input 16 25" xfId="23110" xr:uid="{0FB35612-65B2-4D13-B354-66AD9D032F94}"/>
    <cellStyle name="Input 16 26" xfId="6204" xr:uid="{2F4B027C-92F3-4630-8284-8897D784DEFA}"/>
    <cellStyle name="Input 16 3" xfId="8990" xr:uid="{E402732F-D7C9-4977-B9DA-F02118A72312}"/>
    <cellStyle name="Input 16 4" xfId="9685" xr:uid="{191B140D-4F47-4509-9A92-9FFA7E84F3ED}"/>
    <cellStyle name="Input 16 5" xfId="13242" xr:uid="{B531D1FF-634B-4A6D-8F4C-B51D37971ADD}"/>
    <cellStyle name="Input 16 6" xfId="15443" xr:uid="{B08453AF-2398-4D4F-B7E0-800356FCD04D}"/>
    <cellStyle name="Input 16 7" xfId="13276" xr:uid="{37E2B917-3579-4018-A392-BDDE25383DEB}"/>
    <cellStyle name="Input 16 8" xfId="9829" xr:uid="{1A332C14-871A-4D10-874E-0B191423B776}"/>
    <cellStyle name="Input 16 9" xfId="13930" xr:uid="{E5DBDF44-555B-45D0-9AAD-D02FE0643DE6}"/>
    <cellStyle name="Input 17" xfId="2053" xr:uid="{07918DC0-7741-49AA-AE54-29B1C2E635EF}"/>
    <cellStyle name="Input 17 10" xfId="15847" xr:uid="{C65D8E23-F553-4716-B3B7-DE1702EFD1A5}"/>
    <cellStyle name="Input 17 11" xfId="12833" xr:uid="{05C6CE70-9B3E-495C-87E3-914E237FCC17}"/>
    <cellStyle name="Input 17 12" xfId="21996" xr:uid="{3B18358C-7BFC-4CFA-A525-064055FD16D4}"/>
    <cellStyle name="Input 17 13" xfId="17147" xr:uid="{A430D366-C6F6-4EED-9D59-A0AFEF4BA6ED}"/>
    <cellStyle name="Input 17 14" xfId="15410" xr:uid="{058C54A0-2050-4083-BA77-6941EF074F25}"/>
    <cellStyle name="Input 17 15" xfId="22983" xr:uid="{D1481006-3057-4221-992D-35085AE58CD4}"/>
    <cellStyle name="Input 17 16" xfId="20510" xr:uid="{802B570D-81B1-48D7-A789-6A4BE6B379CC}"/>
    <cellStyle name="Input 17 17" xfId="20420" xr:uid="{2F4AAB79-E6E2-47F9-9802-DD6AC476555A}"/>
    <cellStyle name="Input 17 18" xfId="27329" xr:uid="{02E4EF2B-CC43-4124-B537-60F3AD55E6DB}"/>
    <cellStyle name="Input 17 19" xfId="26154" xr:uid="{494FD468-2286-4031-924B-7D135180EAC0}"/>
    <cellStyle name="Input 17 2" xfId="8951" xr:uid="{69757221-18F2-42E0-B895-330FC566615E}"/>
    <cellStyle name="Input 17 20" xfId="23785" xr:uid="{08CF22B4-89EE-4B21-A115-045648ED318A}"/>
    <cellStyle name="Input 17 21" xfId="25373" xr:uid="{FCC49002-C3CE-44D5-B2D6-0A9CC0F02EDC}"/>
    <cellStyle name="Input 17 22" xfId="18690" xr:uid="{FE00C560-4B41-4E2D-B991-FAAA54FF9004}"/>
    <cellStyle name="Input 17 23" xfId="24871" xr:uid="{25F4F87A-491D-4475-B686-20BD55FE0B6E}"/>
    <cellStyle name="Input 17 24" xfId="27111" xr:uid="{08957929-5C58-4A12-8317-ECF87E5479A3}"/>
    <cellStyle name="Input 17 25" xfId="23123" xr:uid="{E6DE2F7D-9B95-4F6F-8CD1-F58EC8722F61}"/>
    <cellStyle name="Input 17 26" xfId="6205" xr:uid="{B19A9BB5-C83A-42F1-995B-365B07FF0056}"/>
    <cellStyle name="Input 17 3" xfId="9023" xr:uid="{DC8C20AE-FA78-4065-9095-1C3E168D8037}"/>
    <cellStyle name="Input 17 4" xfId="9686" xr:uid="{1F5C417E-400F-48F6-BD8D-F931ED8CA271}"/>
    <cellStyle name="Input 17 5" xfId="10210" xr:uid="{1810C251-B065-491D-B21B-5DA82DBF60DA}"/>
    <cellStyle name="Input 17 6" xfId="9769" xr:uid="{271FED0B-28A6-4497-A448-0B78A239368C}"/>
    <cellStyle name="Input 17 7" xfId="10174" xr:uid="{44AA01D3-90A9-4918-9BCF-95C85D0AC3E6}"/>
    <cellStyle name="Input 17 8" xfId="19291" xr:uid="{75DA1531-63B0-4519-A639-56B123F7064A}"/>
    <cellStyle name="Input 17 9" xfId="19953" xr:uid="{193CA4CB-09DA-4FF9-8218-D15FDE12E9B1}"/>
    <cellStyle name="Input 18" xfId="2054" xr:uid="{2EE45FEF-FCC1-45BB-B893-17B0CD44D539}"/>
    <cellStyle name="Input 18 10" xfId="16380" xr:uid="{7B9AB551-F010-4ACB-84F9-673FE4A37C4D}"/>
    <cellStyle name="Input 18 11" xfId="19975" xr:uid="{F1C6938C-7D71-4B59-9649-DB72A385A077}"/>
    <cellStyle name="Input 18 12" xfId="18365" xr:uid="{F7E04EC6-779E-4AE1-BC0E-7FEF1E48505B}"/>
    <cellStyle name="Input 18 13" xfId="19094" xr:uid="{88CADDF4-A995-4059-B533-AC658F48F2AC}"/>
    <cellStyle name="Input 18 14" xfId="22961" xr:uid="{38BF3407-9C57-41A2-86D9-74F2ED5B40A6}"/>
    <cellStyle name="Input 18 15" xfId="20252" xr:uid="{836B5CBB-1072-4C8C-BB32-51F71332FB48}"/>
    <cellStyle name="Input 18 16" xfId="26725" xr:uid="{541EC428-944C-47F2-B2FF-610127ADEB70}"/>
    <cellStyle name="Input 18 17" xfId="23002" xr:uid="{3BE42B47-13CE-4FD7-9F97-3314765729CC}"/>
    <cellStyle name="Input 18 18" xfId="21137" xr:uid="{CDE757AB-CE7E-40F9-B9AA-0BE9A720A24A}"/>
    <cellStyle name="Input 18 19" xfId="27252" xr:uid="{2EFE68C7-3B79-48AD-A4D9-D3D184F258A0}"/>
    <cellStyle name="Input 18 2" xfId="8950" xr:uid="{6796AB60-36C8-4892-988D-37782D27DC85}"/>
    <cellStyle name="Input 18 20" xfId="27273" xr:uid="{0D19B412-C9F0-459A-AA0F-C58A69116AFF}"/>
    <cellStyle name="Input 18 21" xfId="26398" xr:uid="{5700D130-A1B0-4813-B736-0FAEF14119B4}"/>
    <cellStyle name="Input 18 22" xfId="18577" xr:uid="{8D2FC13E-3581-467E-810F-52DBBA7D7674}"/>
    <cellStyle name="Input 18 23" xfId="22941" xr:uid="{17F014C2-71B5-460A-892E-E185D18705F9}"/>
    <cellStyle name="Input 18 24" xfId="28507" xr:uid="{EE4CF53D-C244-4963-97EA-66B64468CCE2}"/>
    <cellStyle name="Input 18 25" xfId="20456" xr:uid="{62413222-A25C-4AFF-A04B-EE68F8AF3280}"/>
    <cellStyle name="Input 18 26" xfId="6206" xr:uid="{953BD2A4-F3DA-4F62-BEB1-2E8FF2D5277C}"/>
    <cellStyle name="Input 18 3" xfId="8989" xr:uid="{341714C0-EA7D-4EAC-8B53-646196F7C503}"/>
    <cellStyle name="Input 18 4" xfId="9688" xr:uid="{71EE5D61-AB9D-4004-B935-B522CC5ABDF9}"/>
    <cellStyle name="Input 18 5" xfId="13243" xr:uid="{34755152-5B19-49EE-88E9-6547C380B399}"/>
    <cellStyle name="Input 18 6" xfId="9770" xr:uid="{A894D094-4400-4115-B278-F5B774E5275B}"/>
    <cellStyle name="Input 18 7" xfId="13277" xr:uid="{2696E88A-257D-441A-9F21-915235FC4938}"/>
    <cellStyle name="Input 18 8" xfId="9830" xr:uid="{69E522C6-52B6-4AB6-992C-E8A992578E64}"/>
    <cellStyle name="Input 18 9" xfId="12836" xr:uid="{B3C20A2E-774C-4815-9F4D-FDDACF3A67EB}"/>
    <cellStyle name="Input 19" xfId="2055" xr:uid="{EB8F1CD5-DC08-4E20-9C5A-5408E0D04952}"/>
    <cellStyle name="Input 19 10" xfId="13978" xr:uid="{EB8B8693-8FA1-4094-8A6E-0B4ADCF228FA}"/>
    <cellStyle name="Input 19 11" xfId="18062" xr:uid="{5A7F7D96-B1B7-492D-B7B8-C34FBB3DD5EC}"/>
    <cellStyle name="Input 19 12" xfId="20230" xr:uid="{A5334CA6-D2A4-4F94-AF5B-7AF651D1001F}"/>
    <cellStyle name="Input 19 13" xfId="18520" xr:uid="{06416AFC-82FC-46A8-996E-658D63DCE001}"/>
    <cellStyle name="Input 19 14" xfId="22378" xr:uid="{AA2BC5EA-57B3-4C5A-A8AA-F65E4664197B}"/>
    <cellStyle name="Input 19 15" xfId="22984" xr:uid="{4749666B-86C6-4819-8800-8C2591EE8271}"/>
    <cellStyle name="Input 19 16" xfId="23231" xr:uid="{77B2BB55-F86E-4E58-A493-B5D2CB472755}"/>
    <cellStyle name="Input 19 17" xfId="22399" xr:uid="{C64B7B95-BAA7-4897-866A-C3BC8305FE94}"/>
    <cellStyle name="Input 19 18" xfId="27330" xr:uid="{F54277F4-D68A-4118-BE4C-542D2D48C9C6}"/>
    <cellStyle name="Input 19 19" xfId="25671" xr:uid="{10906661-D4D7-4516-90A2-1826E89E1878}"/>
    <cellStyle name="Input 19 2" xfId="8949" xr:uid="{12EEFDC0-F4A9-4E75-9CDA-E8F800989265}"/>
    <cellStyle name="Input 19 20" xfId="26161" xr:uid="{28F9D1EF-A273-42F1-BB32-76B7E93ADFA3}"/>
    <cellStyle name="Input 19 21" xfId="28153" xr:uid="{B73AD405-40E9-4430-9496-E22C60D0AC65}"/>
    <cellStyle name="Input 19 22" xfId="21151" xr:uid="{B3CFEE7F-ED1D-42A8-AB33-D564512420F8}"/>
    <cellStyle name="Input 19 23" xfId="24872" xr:uid="{F23DB702-4809-4618-B86C-1AE251617163}"/>
    <cellStyle name="Input 19 24" xfId="21907" xr:uid="{772D4622-CAC4-423C-889B-79036DA8B075}"/>
    <cellStyle name="Input 19 25" xfId="23124" xr:uid="{12FD606E-9BAF-48AA-A596-1DB379D47A1A}"/>
    <cellStyle name="Input 19 26" xfId="6207" xr:uid="{298C2320-06F0-49AA-BDBE-26E77CA825AC}"/>
    <cellStyle name="Input 19 3" xfId="8988" xr:uid="{360F6E42-D66F-447C-B8F7-3459CCD69821}"/>
    <cellStyle name="Input 19 4" xfId="9689" xr:uid="{1409DCB6-6968-42F8-89FE-9E47827EE48A}"/>
    <cellStyle name="Input 19 5" xfId="10209" xr:uid="{690E4F2C-F870-471D-BB28-5EAA2F1E7B42}"/>
    <cellStyle name="Input 19 6" xfId="9771" xr:uid="{C1C84A02-E16C-4FF6-A652-759000AE0E78}"/>
    <cellStyle name="Input 19 7" xfId="13265" xr:uid="{0EBFF07B-9771-4A61-8FCB-4F447AB86825}"/>
    <cellStyle name="Input 19 8" xfId="13517" xr:uid="{A9D1F897-EE87-4FF9-9198-94BC0C9B5CE1}"/>
    <cellStyle name="Input 19 9" xfId="19879" xr:uid="{726DBB4B-35DD-44BB-9C73-C4F0DD8F4C8C}"/>
    <cellStyle name="Input 2" xfId="60" xr:uid="{00000000-0005-0000-0000-00003F000000}"/>
    <cellStyle name="Input 2 10" xfId="19954" xr:uid="{E9D40573-F26D-483E-A78C-65272F85DCA1}"/>
    <cellStyle name="Input 2 11" xfId="16379" xr:uid="{156C07E7-A815-4650-9F8D-DCD29B8D26B2}"/>
    <cellStyle name="Input 2 12" xfId="19976" xr:uid="{4377C921-9476-4D2F-A6E0-94914DC63013}"/>
    <cellStyle name="Input 2 13" xfId="15826" xr:uid="{5141DAF6-AAE7-493A-B218-FB82201D680D}"/>
    <cellStyle name="Input 2 14" xfId="19093" xr:uid="{3D4C11ED-F877-4F91-A574-345A9B697FA0}"/>
    <cellStyle name="Input 2 15" xfId="22962" xr:uid="{707355C4-D14D-4E25-B485-DA91210287A7}"/>
    <cellStyle name="Input 2 16" xfId="22390" xr:uid="{73F0B960-8501-4BE8-923A-4AC3E8C29660}"/>
    <cellStyle name="Input 2 17" xfId="20509" xr:uid="{7E8CF3E0-AF93-4809-B156-9D357B1D04F9}"/>
    <cellStyle name="Input 2 18" xfId="23003" xr:uid="{D3FF8019-B0B3-42DB-868F-FA8B73E929B4}"/>
    <cellStyle name="Input 2 19" xfId="26190" xr:uid="{BB1C1CF4-32E9-43C6-B347-00E02B32CF7B}"/>
    <cellStyle name="Input 2 2" xfId="2057" xr:uid="{00C91811-C941-4D8E-861D-A1215BACCFE1}"/>
    <cellStyle name="Input 2 2 10" xfId="15846" xr:uid="{0366CFCA-0419-4E45-8099-7C15536B404A}"/>
    <cellStyle name="Input 2 2 11" xfId="17683" xr:uid="{2C9EA6E6-DAAA-4FA2-A9BB-ED460115B1D3}"/>
    <cellStyle name="Input 2 2 12" xfId="21997" xr:uid="{16586864-E9B7-43A4-A11F-6440A40EE7E2}"/>
    <cellStyle name="Input 2 2 13" xfId="13800" xr:uid="{E61B3426-D167-4B0F-AECF-50642158FA68}"/>
    <cellStyle name="Input 2 2 14" xfId="22363" xr:uid="{EC40F52A-719C-4EC7-AD17-5E4010C2F158}"/>
    <cellStyle name="Input 2 2 15" xfId="22985" xr:uid="{61E32FF9-E6B8-4436-9078-A3FFE8B11199}"/>
    <cellStyle name="Input 2 2 16" xfId="26721" xr:uid="{6A83C622-BC94-4811-A9A2-B47960F1541D}"/>
    <cellStyle name="Input 2 2 17" xfId="22381" xr:uid="{291733D4-4E66-4AC9-9729-BB2D04EE4631}"/>
    <cellStyle name="Input 2 2 18" xfId="27331" xr:uid="{B763968C-1192-4C0F-9CA0-ABDE1FD387B1}"/>
    <cellStyle name="Input 2 2 19" xfId="26155" xr:uid="{405E2ED7-281A-47CD-A2F8-D166C1FDC593}"/>
    <cellStyle name="Input 2 2 2" xfId="8947" xr:uid="{BE90B680-D00D-4DBF-9A5D-2578F1078D06}"/>
    <cellStyle name="Input 2 2 20" xfId="29533" xr:uid="{2717002C-FF73-4273-BD11-371717843971}"/>
    <cellStyle name="Input 2 2 21" xfId="22283" xr:uid="{3FEC693B-6BF9-4E86-B26F-C65593C68879}"/>
    <cellStyle name="Input 2 2 22" xfId="24052" xr:uid="{76292EE3-B93A-43BF-BCCC-024AA7904B38}"/>
    <cellStyle name="Input 2 2 23" xfId="29507" xr:uid="{B0C4B302-5AF1-4E2B-8084-2786CB05A67F}"/>
    <cellStyle name="Input 2 2 24" xfId="27112" xr:uid="{7E099BE0-64A3-4526-BAD5-1A8B2A548A69}"/>
    <cellStyle name="Input 2 2 25" xfId="23125" xr:uid="{5A15FA82-0DB7-42C6-B5C0-00A2228F001D}"/>
    <cellStyle name="Input 2 2 26" xfId="6209" xr:uid="{114865C8-61E4-4AD4-B0AB-05B1E930C5B0}"/>
    <cellStyle name="Input 2 2 3" xfId="8986" xr:uid="{3DE6D3C0-87FD-4AAE-B242-548719E3DC8B}"/>
    <cellStyle name="Input 2 2 4" xfId="9691" xr:uid="{97A49264-9A88-4D42-BF87-C1EA393D0DE7}"/>
    <cellStyle name="Input 2 2 5" xfId="10208" xr:uid="{A207A5A4-5187-4BF4-8C88-E7AAA31388FE}"/>
    <cellStyle name="Input 2 2 6" xfId="9773" xr:uid="{FA69CDFB-01AF-4540-96EC-CF433884F935}"/>
    <cellStyle name="Input 2 2 7" xfId="20280" xr:uid="{93A2A2FB-1B76-4446-AC9A-8A24F31546FA}"/>
    <cellStyle name="Input 2 2 8" xfId="15446" xr:uid="{BFE552F9-EC07-4C5B-B44D-ADF5B0783033}"/>
    <cellStyle name="Input 2 2 9" xfId="18050" xr:uid="{F2A585B9-F697-44C0-B132-2C4131DC0393}"/>
    <cellStyle name="Input 2 20" xfId="27253" xr:uid="{F24834A3-E8E6-4481-BEE4-A2558BF2C78E}"/>
    <cellStyle name="Input 2 21" xfId="29687" xr:uid="{FFC100D0-7884-4950-A2A7-6810802A9766}"/>
    <cellStyle name="Input 2 22" xfId="23436" xr:uid="{05F35A38-C837-488A-B395-937A35CFC6C0}"/>
    <cellStyle name="Input 2 23" xfId="22145" xr:uid="{6B442BE3-D56B-4648-8CD8-D2FBD951189D}"/>
    <cellStyle name="Input 2 24" xfId="22371" xr:uid="{143006CE-D90F-4DB6-A5A3-CDDEA5C0568C}"/>
    <cellStyle name="Input 2 25" xfId="28508" xr:uid="{4D51F293-8673-4DD0-B309-36A8E7327F01}"/>
    <cellStyle name="Input 2 26" xfId="20127" xr:uid="{A18B7CBE-0A8B-4290-A1F2-3BF7248208EB}"/>
    <cellStyle name="Input 2 27" xfId="6208" xr:uid="{7956D4D1-3FD4-42D3-B023-9BE0F2403B78}"/>
    <cellStyle name="Input 2 3" xfId="2056" xr:uid="{3B288B68-4834-4E08-BADE-7A11CCA82112}"/>
    <cellStyle name="Input 2 3 2" xfId="8948" xr:uid="{7CD910F5-BD58-447B-8700-8BF23D2AE813}"/>
    <cellStyle name="Input 2 4" xfId="8987" xr:uid="{8E8BC887-CBE6-4BC1-A2F4-7865E95732E5}"/>
    <cellStyle name="Input 2 5" xfId="9690" xr:uid="{AE87C851-0113-43E8-B675-8D541B144AF2}"/>
    <cellStyle name="Input 2 6" xfId="13244" xr:uid="{9A24CA07-4F11-436E-814B-CE5325F8306D}"/>
    <cellStyle name="Input 2 7" xfId="9772" xr:uid="{AB8145D1-1FD1-4641-A3BF-C01FD3EB560D}"/>
    <cellStyle name="Input 2 8" xfId="10173" xr:uid="{E1F09B94-D652-4CD8-84BE-E53B5FAC5E21}"/>
    <cellStyle name="Input 2 9" xfId="19287" xr:uid="{2944FBEA-A9B3-43B0-9F80-9045EAE2774A}"/>
    <cellStyle name="Input 20" xfId="2058" xr:uid="{C349D6EE-28A8-4A83-995C-0A7C93C155D9}"/>
    <cellStyle name="Input 20 10" xfId="16378" xr:uid="{E97EE2E6-1CD5-4683-BBD0-151752FF0D97}"/>
    <cellStyle name="Input 20 11" xfId="18063" xr:uid="{BEFB7F17-B083-4907-8BBA-8DC4808D6E1F}"/>
    <cellStyle name="Input 20 12" xfId="16335" xr:uid="{5CD09CCA-C462-4130-B94B-45E43062CF0F}"/>
    <cellStyle name="Input 20 13" xfId="19092" xr:uid="{170AE48B-A960-4234-B2B4-4B58C9FD3F58}"/>
    <cellStyle name="Input 20 14" xfId="20410" xr:uid="{DADFC057-5F9E-45D0-B022-A95EE1D0D8EE}"/>
    <cellStyle name="Input 20 15" xfId="20416" xr:uid="{2C16DCB5-A1A0-48B2-8CF2-96E959154A09}"/>
    <cellStyle name="Input 20 16" xfId="23230" xr:uid="{98937C03-A974-4D5E-A3C2-4BBD314D1F7F}"/>
    <cellStyle name="Input 20 17" xfId="16920" xr:uid="{63F7EDBB-26E8-4FA7-A420-FECF3E623462}"/>
    <cellStyle name="Input 20 18" xfId="23409" xr:uid="{5F5291A0-B18F-4644-AF83-061A21E109CE}"/>
    <cellStyle name="Input 20 19" xfId="27254" xr:uid="{775994CA-1C52-4399-854E-761D8ECB58AE}"/>
    <cellStyle name="Input 20 2" xfId="8946" xr:uid="{1DA7F821-D9A1-4516-AA99-438FFB60753D}"/>
    <cellStyle name="Input 20 20" xfId="27274" xr:uid="{D5AAF585-F081-4A30-BF80-641DF7D77C71}"/>
    <cellStyle name="Input 20 21" xfId="28900" xr:uid="{BE15AF3F-40CA-4C9B-BCA6-6B3B6DA2C137}"/>
    <cellStyle name="Input 20 22" xfId="28930" xr:uid="{C5375551-DA10-46F0-BD76-15B3C343282D}"/>
    <cellStyle name="Input 20 23" xfId="24841" xr:uid="{883CDF4F-A4F3-492C-BE9F-23854872DFC5}"/>
    <cellStyle name="Input 20 24" xfId="30916" xr:uid="{8FCBA9E9-DFDC-43CC-B05F-48EA74439FEE}"/>
    <cellStyle name="Input 20 25" xfId="23119" xr:uid="{CD74AB44-6AD9-443D-9074-543010A7EEB7}"/>
    <cellStyle name="Input 20 26" xfId="6210" xr:uid="{4FA05A8E-BDEA-4E57-B7B5-A76EF6623A97}"/>
    <cellStyle name="Input 20 3" xfId="8985" xr:uid="{D3014605-E54E-4981-A81D-5AAD075693EF}"/>
    <cellStyle name="Input 20 4" xfId="9692" xr:uid="{DAC3264B-2A92-48B8-A416-DF6FB4BDA7B9}"/>
    <cellStyle name="Input 20 5" xfId="13245" xr:uid="{8FD70877-9AF4-4D30-861B-47BB6505BB11}"/>
    <cellStyle name="Input 20 6" xfId="9774" xr:uid="{5E1F9359-B52B-442C-BEE9-5A52A58DD4FD}"/>
    <cellStyle name="Input 20 7" xfId="13278" xr:uid="{EC56930D-79FA-4269-A9B7-FF8E34F6D783}"/>
    <cellStyle name="Input 20 8" xfId="19290" xr:uid="{4175E822-BD65-495A-8D45-A04AF10EAFC3}"/>
    <cellStyle name="Input 20 9" xfId="19955" xr:uid="{65E0415C-5BD0-4C05-B7DE-01E41684264E}"/>
    <cellStyle name="Input 21" xfId="2059" xr:uid="{2193DB97-FB5C-4922-8AB2-163AE1B7B2E2}"/>
    <cellStyle name="Input 21 10" xfId="13481" xr:uid="{627463AB-EBDD-4A43-B884-A5CB887F6849}"/>
    <cellStyle name="Input 21 11" xfId="19978" xr:uid="{D7923638-F566-4BE6-8DD6-E2D24FADEAC3}"/>
    <cellStyle name="Input 21 12" xfId="12601" xr:uid="{56AC1D9B-817A-4AB5-9B58-8E722D61BE7A}"/>
    <cellStyle name="Input 21 13" xfId="17146" xr:uid="{5EC56098-C955-46AB-ABA5-FD34C676CDE6}"/>
    <cellStyle name="Input 21 14" xfId="22963" xr:uid="{E282C37E-1042-47A4-978F-89FC8FFEA365}"/>
    <cellStyle name="Input 21 15" xfId="22986" xr:uid="{9CC69471-37D4-41CD-8E0E-B99F139BAB82}"/>
    <cellStyle name="Input 21 16" xfId="26724" xr:uid="{4FBA98AB-B36E-456E-A6CF-9A04272527B9}"/>
    <cellStyle name="Input 21 17" xfId="23004" xr:uid="{E2C31E7A-C657-41AE-A94B-32EC7CD92B07}"/>
    <cellStyle name="Input 21 18" xfId="27345" xr:uid="{D3B52010-4696-464F-9E93-7547F22C9B64}"/>
    <cellStyle name="Input 21 19" xfId="26152" xr:uid="{FDE8E4A1-1AF6-4F7B-8438-04289C1C3181}"/>
    <cellStyle name="Input 21 2" xfId="8945" xr:uid="{3414FCE7-73D8-4DBC-8E00-70FB686795BD}"/>
    <cellStyle name="Input 21 20" xfId="26184" xr:uid="{E7A5A651-E77F-4B36-B0FD-9014F76DF096}"/>
    <cellStyle name="Input 21 21" xfId="24843" xr:uid="{27F36ACC-E593-4A85-A6A1-E52626CC3832}"/>
    <cellStyle name="Input 21 22" xfId="20140" xr:uid="{768F698C-8368-4D01-B306-BF89CA3A0F2C}"/>
    <cellStyle name="Input 21 23" xfId="22942" xr:uid="{70060780-6DA3-4067-A72D-A6EA1251070D}"/>
    <cellStyle name="Input 21 24" xfId="30739" xr:uid="{A63FD415-3322-42B2-AF15-CE0A36CBA27C}"/>
    <cellStyle name="Input 21 25" xfId="23126" xr:uid="{1979814C-CA14-4105-9978-DF357B9590B4}"/>
    <cellStyle name="Input 21 26" xfId="6211" xr:uid="{1D770946-421D-4E21-BB1A-0CCF3EED013A}"/>
    <cellStyle name="Input 21 3" xfId="8984" xr:uid="{342B8D46-74BA-41DC-B721-D6B5D7574B0B}"/>
    <cellStyle name="Input 21 4" xfId="9693" xr:uid="{83BAF1F0-A207-4E99-97FA-CC692AAA5538}"/>
    <cellStyle name="Input 21 5" xfId="10207" xr:uid="{536336DF-6C79-4623-A94C-996BED1032C1}"/>
    <cellStyle name="Input 21 6" xfId="9775" xr:uid="{C6E6CE63-48F0-4F58-A409-207FB23507D2}"/>
    <cellStyle name="Input 21 7" xfId="10172" xr:uid="{E78BA711-8ED5-4684-A017-2AA4F35452F8}"/>
    <cellStyle name="Input 21 8" xfId="9831" xr:uid="{F9DA0D7F-FB93-412A-9197-59CBD6B032CE}"/>
    <cellStyle name="Input 21 9" xfId="15749" xr:uid="{F2514B8A-54F9-42BD-9B0A-6C07C8EB0C84}"/>
    <cellStyle name="Input 22" xfId="2060" xr:uid="{525FDF0A-570D-4DC7-973C-526CCE5EAC11}"/>
    <cellStyle name="Input 22 10" xfId="16377" xr:uid="{D7D1D182-4F72-4E94-ADA1-2362132A68BD}"/>
    <cellStyle name="Input 22 11" xfId="15156" xr:uid="{BC3C7A7F-E8F0-454C-8C7D-5400E68D8621}"/>
    <cellStyle name="Input 22 12" xfId="18364" xr:uid="{229D783C-C985-4A29-AA1C-FA6B7FD7035E}"/>
    <cellStyle name="Input 22 13" xfId="19091" xr:uid="{9019F9BF-37AC-43BD-ABB4-9A5CBD9B688A}"/>
    <cellStyle name="Input 22 14" xfId="22379" xr:uid="{2FE78260-8ED5-4D0F-8FA8-9A93D76CB147}"/>
    <cellStyle name="Input 22 15" xfId="27624" xr:uid="{5700D44E-2670-492F-8EFB-501064FC642C}"/>
    <cellStyle name="Input 22 16" xfId="18832" xr:uid="{A1A8EC5E-E023-4917-AEC4-229F1658F7C2}"/>
    <cellStyle name="Input 22 17" xfId="22400" xr:uid="{458CCEA0-6676-4AE9-9E9F-E8C39F2B55FA}"/>
    <cellStyle name="Input 22 18" xfId="22610" xr:uid="{79CF62FF-A0FC-4A2B-B115-E9A24295339B}"/>
    <cellStyle name="Input 22 19" xfId="26156" xr:uid="{40030EC8-E7F9-4D82-BAA9-A4137BB22F81}"/>
    <cellStyle name="Input 22 2" xfId="8944" xr:uid="{360C9C44-FC3D-4BDB-A986-5657163C0023}"/>
    <cellStyle name="Input 22 20" xfId="27320" xr:uid="{E49510D0-8B56-41F5-BA24-CFB2D4DA6DF8}"/>
    <cellStyle name="Input 22 21" xfId="20401" xr:uid="{35EE75FA-B213-4940-9AC2-A23E290B155D}"/>
    <cellStyle name="Input 22 22" xfId="21152" xr:uid="{8E9754D7-213B-4BE4-8CA3-36F1B310337F}"/>
    <cellStyle name="Input 22 23" xfId="18783" xr:uid="{A93385D3-D91D-4611-A779-142C5344766E}"/>
    <cellStyle name="Input 22 24" xfId="30597" xr:uid="{9A53F1EC-70B9-4B64-9C43-7B3C94CD0B51}"/>
    <cellStyle name="Input 22 25" xfId="21778" xr:uid="{C71E74C4-350F-4B00-8857-F3BEC3A6CE31}"/>
    <cellStyle name="Input 22 26" xfId="6212" xr:uid="{320923D9-51DC-4BD2-AB96-AAF7FCD2E6AE}"/>
    <cellStyle name="Input 22 3" xfId="8983" xr:uid="{9D54EE63-8D01-4B11-9316-C11E585B2A1B}"/>
    <cellStyle name="Input 22 4" xfId="9695" xr:uid="{8ECAF6B4-9058-4DBC-9469-BC1DE8787597}"/>
    <cellStyle name="Input 22 5" xfId="13246" xr:uid="{D7F53122-E49A-448B-9FE7-7C22504A38FA}"/>
    <cellStyle name="Input 22 6" xfId="9776" xr:uid="{7E1DDF25-0067-4738-881F-46435B26A862}"/>
    <cellStyle name="Input 22 7" xfId="13279" xr:uid="{A1943BA4-DB2D-4E5E-AA45-E143CC60CD64}"/>
    <cellStyle name="Input 22 8" xfId="19289" xr:uid="{A4A9B407-C5A5-4CC7-B9BD-98C05B330683}"/>
    <cellStyle name="Input 22 9" xfId="19956" xr:uid="{2F2A223D-5E3E-4A89-BB18-F911187B9340}"/>
    <cellStyle name="Input 23" xfId="2061" xr:uid="{F750F06B-E8C5-4789-A086-CA5ADAA31A27}"/>
    <cellStyle name="Input 23 10" xfId="15845" xr:uid="{4800B94F-7560-49EF-B42D-8C4B1E984E97}"/>
    <cellStyle name="Input 23 11" xfId="19979" xr:uid="{8F9A86A6-457A-4B69-A551-C117C1DBA7D8}"/>
    <cellStyle name="Input 23 12" xfId="16334" xr:uid="{9F0EE6F4-35B0-4073-8561-E82CF4814A4D}"/>
    <cellStyle name="Input 23 13" xfId="18521" xr:uid="{91D6789E-8156-4EED-B722-7E1F67081FFB}"/>
    <cellStyle name="Input 23 14" xfId="22964" xr:uid="{DFA84F19-C2D0-4D82-9E23-7D47AB075FF2}"/>
    <cellStyle name="Input 23 15" xfId="22391" xr:uid="{F07CA512-3F81-452F-B326-512A19990710}"/>
    <cellStyle name="Input 23 16" xfId="26723" xr:uid="{52C1103C-A968-40F7-8AE9-3FCF2D79DE50}"/>
    <cellStyle name="Input 23 17" xfId="23005" xr:uid="{9FDE2F8D-F69B-484B-8B5A-53D5908F7B97}"/>
    <cellStyle name="Input 23 18" xfId="27271" xr:uid="{671A09B9-BD35-4D8B-8774-D8EFF6F25826}"/>
    <cellStyle name="Input 23 19" xfId="27255" xr:uid="{4DD257BD-173E-4B47-94D2-1B097CE1490D}"/>
    <cellStyle name="Input 23 2" xfId="8943" xr:uid="{98A54710-5AC8-4E69-870C-93BA4B14AC8D}"/>
    <cellStyle name="Input 23 20" xfId="23797" xr:uid="{A91D1691-7A2E-4702-BD5E-BA8898C8E9BA}"/>
    <cellStyle name="Input 23 21" xfId="24844" xr:uid="{B2559B58-2A4E-4DD6-86AE-E2C4AE30D6AE}"/>
    <cellStyle name="Input 23 22" xfId="22144" xr:uid="{C7FDB32E-4459-481F-A483-75E3A11F4995}"/>
    <cellStyle name="Input 23 23" xfId="22943" xr:uid="{1EC0FE1F-158C-4341-966A-BC8BBEEB892C}"/>
    <cellStyle name="Input 23 24" xfId="28509" xr:uid="{D5414B39-83B7-48A8-A7E1-E4B2B095F5A0}"/>
    <cellStyle name="Input 23 25" xfId="29275" xr:uid="{88F7AEB4-ECB5-406B-B23E-355ACFD8E682}"/>
    <cellStyle name="Input 23 26" xfId="6213" xr:uid="{F48B5D03-33FA-4BDE-9768-71248CE9B8DA}"/>
    <cellStyle name="Input 23 3" xfId="8982" xr:uid="{0E5FA547-1C7F-4FCB-A1B0-0FE5B1797FBF}"/>
    <cellStyle name="Input 23 4" xfId="9696" xr:uid="{561D8819-7CF5-4E21-BFE2-06D1C2565368}"/>
    <cellStyle name="Input 23 5" xfId="10206" xr:uid="{5893614E-4E17-4CD9-BC9F-1B7D03B0A494}"/>
    <cellStyle name="Input 23 6" xfId="9777" xr:uid="{72142069-B2CD-48C0-97B7-57F278FD59EA}"/>
    <cellStyle name="Input 23 7" xfId="10171" xr:uid="{5D342FA9-3F98-425E-8CFE-591947B940BB}"/>
    <cellStyle name="Input 23 8" xfId="12791" xr:uid="{C778035B-0F45-404F-8834-B774D2FD16A3}"/>
    <cellStyle name="Input 23 9" xfId="19957" xr:uid="{EB54705F-1817-41DA-A099-A0868BA71302}"/>
    <cellStyle name="Input 24" xfId="2062" xr:uid="{F66E1118-4CB0-42DF-A97B-D896713227C4}"/>
    <cellStyle name="Input 24 10" xfId="16376" xr:uid="{045AFAE4-6A68-4BEB-8FA5-12D01FCED783}"/>
    <cellStyle name="Input 24 11" xfId="18064" xr:uid="{B22966E2-F350-4AF6-BDC5-FCBA42E9C3E6}"/>
    <cellStyle name="Input 24 12" xfId="18363" xr:uid="{6E4FEB0A-142A-497D-B18A-DCC52D83B60A}"/>
    <cellStyle name="Input 24 13" xfId="19090" xr:uid="{741E6180-1FF1-493A-B907-4D61421990CF}"/>
    <cellStyle name="Input 24 14" xfId="18785" xr:uid="{8742E8B6-C2D3-4315-AF62-BAD5C51FA283}"/>
    <cellStyle name="Input 24 15" xfId="22987" xr:uid="{BEC3F871-AA90-49BF-BCB7-21D57F98AFC0}"/>
    <cellStyle name="Input 24 16" xfId="23229" xr:uid="{6EFBC393-05BA-448C-BDAF-CBF21254BBAA}"/>
    <cellStyle name="Input 24 17" xfId="21782" xr:uid="{4393E50E-EF0E-4306-8FB9-5627C5625B2B}"/>
    <cellStyle name="Input 24 18" xfId="27346" xr:uid="{8E578BAC-66CC-40EA-A39D-B37CEA1962CE}"/>
    <cellStyle name="Input 24 19" xfId="25672" xr:uid="{AD10519F-48C5-440A-844B-CDE40ADBF0E5}"/>
    <cellStyle name="Input 24 2" xfId="8942" xr:uid="{11F49861-79A0-40DB-8548-BF32364F73B6}"/>
    <cellStyle name="Input 24 20" xfId="27321" xr:uid="{598BAC07-9FFA-433D-9301-0949EE0E33F5}"/>
    <cellStyle name="Input 24 21" xfId="22928" xr:uid="{5EB4B6E2-967F-48CC-87D8-2D90149AD100}"/>
    <cellStyle name="Input 24 22" xfId="20912" xr:uid="{3735885F-5081-413C-8775-92B6057C5EE5}"/>
    <cellStyle name="Input 24 23" xfId="24874" xr:uid="{C418A2CA-9334-41E2-AE0F-2C4C1CEA46A8}"/>
    <cellStyle name="Input 24 24" xfId="28033" xr:uid="{DC266853-4720-44D6-AA04-027CCFDA71E7}"/>
    <cellStyle name="Input 24 25" xfId="29259" xr:uid="{408E958C-A2AC-43D9-A731-31C4CFB258E8}"/>
    <cellStyle name="Input 24 26" xfId="6214" xr:uid="{6925D554-1C8D-4977-94ED-31A600E71FE6}"/>
    <cellStyle name="Input 24 3" xfId="8981" xr:uid="{364EC527-5D22-4F52-B9F4-DBBC47A1748E}"/>
    <cellStyle name="Input 24 4" xfId="9697" xr:uid="{9BC60122-8DEC-4665-A12F-B242C02A42D8}"/>
    <cellStyle name="Input 24 5" xfId="13247" xr:uid="{FE6263F5-3CB1-40E7-A1FF-6B59654B9F7F}"/>
    <cellStyle name="Input 24 6" xfId="9778" xr:uid="{B194488D-4CA3-4468-80F1-83C43779AD19}"/>
    <cellStyle name="Input 24 7" xfId="10170" xr:uid="{84B97B76-E515-4F6F-A182-B4CA1C860FA0}"/>
    <cellStyle name="Input 24 8" xfId="19288" xr:uid="{4E035EE2-AD97-4156-A102-0EC619896D8B}"/>
    <cellStyle name="Input 24 9" xfId="18052" xr:uid="{1CD76700-5009-4895-B546-C76237F735BD}"/>
    <cellStyle name="Input 25" xfId="2063" xr:uid="{0773B536-20C1-4DA1-BCF8-3677CB2073D9}"/>
    <cellStyle name="Input 25 10" xfId="12591" xr:uid="{F61A0EFB-11A9-44B9-8014-94B28B72DF85}"/>
    <cellStyle name="Input 25 11" xfId="19980" xr:uid="{4CC3B296-7B0F-449F-B9F1-FCD97949082C}"/>
    <cellStyle name="Input 25 12" xfId="15825" xr:uid="{5BA6082C-0F08-4B6F-B7F3-E57166478750}"/>
    <cellStyle name="Input 25 13" xfId="16068" xr:uid="{18724B9E-B0A3-427A-816F-D2F7479C7223}"/>
    <cellStyle name="Input 25 14" xfId="22965" xr:uid="{42D65BBA-31B6-4FEF-8CC7-22E4200D1BBF}"/>
    <cellStyle name="Input 25 15" xfId="16921" xr:uid="{3730EFD8-EB57-4275-89D1-02459D01FA51}"/>
    <cellStyle name="Input 25 16" xfId="26722" xr:uid="{BC0FF18A-CA98-47D3-A260-07A2F26D1025}"/>
    <cellStyle name="Input 25 17" xfId="23006" xr:uid="{4A36DC82-C0E0-4AD5-ADE8-59DDD229E5D5}"/>
    <cellStyle name="Input 25 18" xfId="26198" xr:uid="{8D453660-C61A-4035-B63A-99CB429F6AEA}"/>
    <cellStyle name="Input 25 19" xfId="25669" xr:uid="{A3F9FAE6-D78D-47AA-A138-391E1D059EC0}"/>
    <cellStyle name="Input 25 2" xfId="8941" xr:uid="{1E4DB65F-6CF8-491A-92F6-80A3DBF94578}"/>
    <cellStyle name="Input 25 20" xfId="26185" xr:uid="{DE86ACA1-BE44-4018-836F-CD9307EACD5F}"/>
    <cellStyle name="Input 25 21" xfId="24845" xr:uid="{B052925E-271C-4BF6-BF12-CC6B93F2D084}"/>
    <cellStyle name="Input 25 22" xfId="17840" xr:uid="{4C5A6DD2-04F5-4380-BC70-B0D07E6CE998}"/>
    <cellStyle name="Input 25 23" xfId="22944" xr:uid="{5C56EDAB-0536-4C14-A965-353318644241}"/>
    <cellStyle name="Input 25 24" xfId="28510" xr:uid="{1ACA663C-0BC0-4CDC-B73A-7C9785574FD9}"/>
    <cellStyle name="Input 25 25" xfId="30941" xr:uid="{CD38E3E0-43C0-47BA-8FFF-68038772B913}"/>
    <cellStyle name="Input 25 26" xfId="6215" xr:uid="{EEC74F72-0BE8-483D-B677-30868EF70FA3}"/>
    <cellStyle name="Input 25 3" xfId="8980" xr:uid="{0587B673-D9D2-4A37-84D5-B2E40F3FCBEF}"/>
    <cellStyle name="Input 25 4" xfId="16193" xr:uid="{FB063749-5E78-42CA-9E5F-814D6E5368FE}"/>
    <cellStyle name="Input 25 5" xfId="10205" xr:uid="{46E258A6-D963-442F-97D9-CC5731CE28D3}"/>
    <cellStyle name="Input 25 6" xfId="9779" xr:uid="{EE4DB2D7-C9EC-485E-8E20-5482E658C898}"/>
    <cellStyle name="Input 25 7" xfId="13281" xr:uid="{E5E5C5A0-6951-4338-8FED-42DE51311318}"/>
    <cellStyle name="Input 25 8" xfId="9809" xr:uid="{ADAF226F-E275-4E60-A5FF-649EF29A86A2}"/>
    <cellStyle name="Input 25 9" xfId="19958" xr:uid="{95CDA516-E6AD-45CD-BBBD-4BF9777BD131}"/>
    <cellStyle name="Input 26" xfId="2064" xr:uid="{3D87C7A6-82BF-49EF-9D6E-13A337EBA31D}"/>
    <cellStyle name="Input 26 10" xfId="16375" xr:uid="{765C1153-8A4D-4492-9DFE-C295E215E673}"/>
    <cellStyle name="Input 26 11" xfId="15217" xr:uid="{AC2966EC-D48F-440F-8B06-E47420EA8B42}"/>
    <cellStyle name="Input 26 12" xfId="18362" xr:uid="{3AB98982-FF7F-4997-913D-13A3ADA05C57}"/>
    <cellStyle name="Input 26 13" xfId="19072" xr:uid="{B6E200BF-A091-4EC7-A95C-89071985C777}"/>
    <cellStyle name="Input 26 14" xfId="22380" xr:uid="{B13379D6-D038-4976-BAC5-8C4B2FEA6192}"/>
    <cellStyle name="Input 26 15" xfId="22988" xr:uid="{9A65E813-A4CB-4F5F-9C63-AE75519B2FB5}"/>
    <cellStyle name="Input 26 16" xfId="20508" xr:uid="{A69D4B99-A45D-44B1-912F-FD6DF09B6DED}"/>
    <cellStyle name="Input 26 17" xfId="20421" xr:uid="{CBF0C024-EC91-4017-A47B-C13D3FAF3B55}"/>
    <cellStyle name="Input 26 18" xfId="27347" xr:uid="{578CFAE0-F80A-4430-A9E8-446EAB368282}"/>
    <cellStyle name="Input 26 19" xfId="27256" xr:uid="{5A02D304-0B6C-4484-AD8F-48DDF742448B}"/>
    <cellStyle name="Input 26 2" xfId="8940" xr:uid="{FA6E4690-6A1F-45D3-A133-384B084E07BB}"/>
    <cellStyle name="Input 26 20" xfId="29524" xr:uid="{4F85DE63-5374-43B6-A32B-125674B3B8D5}"/>
    <cellStyle name="Input 26 21" xfId="22919" xr:uid="{5774A51C-21F5-49CA-ACC8-E167B6F94BB9}"/>
    <cellStyle name="Input 26 22" xfId="27958" xr:uid="{BD55F579-82F5-4125-83FD-95FDE7183B77}"/>
    <cellStyle name="Input 26 23" xfId="24876" xr:uid="{62E32B1E-2B81-442D-9899-6CE84856B8C7}"/>
    <cellStyle name="Input 26 24" xfId="30738" xr:uid="{D3DA0BA5-E58B-40FD-9863-E9B6F42D0FDF}"/>
    <cellStyle name="Input 26 25" xfId="29111" xr:uid="{BBD922DF-9C46-416A-802D-97CD095F8C82}"/>
    <cellStyle name="Input 26 26" xfId="6216" xr:uid="{0DF88438-0277-4E80-9F69-018125402410}"/>
    <cellStyle name="Input 26 3" xfId="8979" xr:uid="{074E0FC5-D1B9-424A-9EF2-0E5E5A24E5D8}"/>
    <cellStyle name="Input 26 4" xfId="9698" xr:uid="{31D79953-02BC-4069-A54C-649695F6EB23}"/>
    <cellStyle name="Input 26 5" xfId="13231" xr:uid="{28E5C85A-A36B-4E51-AB6E-4289F01F2AF8}"/>
    <cellStyle name="Input 26 6" xfId="9780" xr:uid="{D405523D-7FA0-4247-AF6F-38A55423D28C}"/>
    <cellStyle name="Input 26 7" xfId="10169" xr:uid="{0BE80919-C9A2-4703-A5CB-F57D2BA744A7}"/>
    <cellStyle name="Input 26 8" xfId="15447" xr:uid="{CAAD3F4A-95F3-4784-883D-9ABBE6726551}"/>
    <cellStyle name="Input 26 9" xfId="15157" xr:uid="{30B1F54F-DF74-4EF2-AED0-82A903AECCE6}"/>
    <cellStyle name="Input 27" xfId="2065" xr:uid="{70CDCFBA-CF17-419B-9D2C-51B71FEF9B64}"/>
    <cellStyle name="Input 27 10" xfId="15844" xr:uid="{B9E538E8-32C1-452C-AA42-5D27A3844C98}"/>
    <cellStyle name="Input 27 11" xfId="19981" xr:uid="{74A58405-FEB1-4B1E-AE0E-588B7F37BAD4}"/>
    <cellStyle name="Input 27 12" xfId="16333" xr:uid="{14274F7D-66C8-49FB-A446-9880F53B1FB0}"/>
    <cellStyle name="Input 27 13" xfId="19089" xr:uid="{C663527F-F3D0-44CF-844A-6F3A9519C4BB}"/>
    <cellStyle name="Input 27 14" xfId="22966" xr:uid="{291D650B-9F11-45EC-9D1D-399E969C8684}"/>
    <cellStyle name="Input 27 15" xfId="22392" xr:uid="{005A741C-F7DA-40AB-A972-74502307D35F}"/>
    <cellStyle name="Input 27 16" xfId="23228" xr:uid="{FCA8EB1C-4A8F-479A-8ED4-4E91E0598365}"/>
    <cellStyle name="Input 27 17" xfId="23007" xr:uid="{466242A5-DBDE-4380-9DE9-4160A0AD96DF}"/>
    <cellStyle name="Input 27 18" xfId="26199" xr:uid="{E73EC0BF-373F-4A3E-ABAD-E93D07D739DE}"/>
    <cellStyle name="Input 27 19" xfId="27257" xr:uid="{BCA2BB57-0B74-4FDA-8248-CDD171F00A39}"/>
    <cellStyle name="Input 27 2" xfId="8939" xr:uid="{D257E152-64FB-40C1-898F-EEA8309DA7E0}"/>
    <cellStyle name="Input 27 20" xfId="27269" xr:uid="{A6DFD38F-2B79-4B80-8BA4-CA2D956E0962}"/>
    <cellStyle name="Input 27 21" xfId="30442" xr:uid="{18D913FF-7D42-4C73-B896-7B6D80B832D9}"/>
    <cellStyle name="Input 27 22" xfId="21153" xr:uid="{FECB3621-32B2-4C9C-9CB2-2E1F66026D25}"/>
    <cellStyle name="Input 27 23" xfId="20406" xr:uid="{7FB5ACF3-AC67-454F-8A9D-160DA4884C79}"/>
    <cellStyle name="Input 27 24" xfId="26084" xr:uid="{A898EF57-FE8D-4AFE-8664-B64548797902}"/>
    <cellStyle name="Input 27 25" xfId="30942" xr:uid="{669238EB-4895-45A4-A77B-A0AAE0BF5F43}"/>
    <cellStyle name="Input 27 26" xfId="6217" xr:uid="{F10089EF-2FFE-4DCD-BC2A-B6C27360DA93}"/>
    <cellStyle name="Input 27 3" xfId="8978" xr:uid="{B0A78878-821D-4803-9A0B-F7C28F575454}"/>
    <cellStyle name="Input 27 4" xfId="9699" xr:uid="{7647C286-9AC4-409D-8F02-4C1E9E041C1E}"/>
    <cellStyle name="Input 27 5" xfId="13248" xr:uid="{62A47A14-A370-4A3A-A49F-5875B011AF14}"/>
    <cellStyle name="Input 27 6" xfId="9782" xr:uid="{1781046C-E1ED-4133-9F6B-D643CB91CB79}"/>
    <cellStyle name="Input 27 7" xfId="13282" xr:uid="{E8CB2114-E561-4B12-AF26-A916DE6B5FA3}"/>
    <cellStyle name="Input 27 8" xfId="9833" xr:uid="{7F6626ED-6F84-419E-B6C9-4437D24FDA26}"/>
    <cellStyle name="Input 27 9" xfId="19959" xr:uid="{E3CBAF27-04CA-40C4-978A-3718FC251510}"/>
    <cellStyle name="Input 28" xfId="2066" xr:uid="{B8035FD6-B95C-438E-9B01-4890D1796902}"/>
    <cellStyle name="Input 28 10" xfId="12592" xr:uid="{B1CEFC3E-D55D-477F-9936-AB0D35CA8B3C}"/>
    <cellStyle name="Input 28 11" xfId="18065" xr:uid="{F1226CBC-894E-4D93-A7DE-E87F34DAE964}"/>
    <cellStyle name="Input 28 12" xfId="18361" xr:uid="{2C80353C-84B7-4490-948E-79A393C16550}"/>
    <cellStyle name="Input 28 13" xfId="25933" xr:uid="{71148C65-13DA-456A-BEC0-EBB866804D25}"/>
    <cellStyle name="Input 28 14" xfId="20411" xr:uid="{DB5455CD-23C3-4838-815E-A53874D36C3B}"/>
    <cellStyle name="Input 28 15" xfId="22989" xr:uid="{1F475ECB-EF0A-4F0F-BF81-B97070462302}"/>
    <cellStyle name="Input 28 16" xfId="18541" xr:uid="{8F2AC34E-AD56-4610-BC25-3B0A7B9C4246}"/>
    <cellStyle name="Input 28 17" xfId="22401" xr:uid="{13617107-1D42-465C-8DBE-62F3F272E13A}"/>
    <cellStyle name="Input 28 18" xfId="27348" xr:uid="{DF067B42-6BE0-45DA-A634-60CCEEF489AF}"/>
    <cellStyle name="Input 28 19" xfId="23410" xr:uid="{F01338F0-5797-4851-962E-9B52D14E5D86}"/>
    <cellStyle name="Input 28 2" xfId="8938" xr:uid="{E275F33B-198E-4D8F-B718-CD7717E5DB08}"/>
    <cellStyle name="Input 28 20" xfId="27322" xr:uid="{ABC14CC9-2E71-49C3-8E6A-FEAB4817409F}"/>
    <cellStyle name="Input 28 21" xfId="30445" xr:uid="{C5656EC3-4069-420A-B326-0301293EC0DB}"/>
    <cellStyle name="Input 28 22" xfId="22143" xr:uid="{5418EDC6-F7C2-4DD1-9D76-6666F9E03487}"/>
    <cellStyle name="Input 28 23" xfId="24877" xr:uid="{1CA9C4AD-71F9-46D4-A088-F2A6DE07C2CC}"/>
    <cellStyle name="Input 28 24" xfId="27113" xr:uid="{8A24332D-CDE9-4791-86CB-978983EC0CED}"/>
    <cellStyle name="Input 28 25" xfId="31220" xr:uid="{43FB4C64-A6A1-45A6-B81F-AE362882A40F}"/>
    <cellStyle name="Input 28 26" xfId="6218" xr:uid="{6D7270E8-10F6-4DA4-9FE4-EE4F75468E65}"/>
    <cellStyle name="Input 28 3" xfId="8977" xr:uid="{B23DF5B0-EF1F-40B2-88A7-A7B1C043240A}"/>
    <cellStyle name="Input 28 4" xfId="9781" xr:uid="{AB00A0C3-D256-4578-869D-E52AAF95CC8F}"/>
    <cellStyle name="Input 28 5" xfId="10204" xr:uid="{1C8935F0-347F-41CB-944B-827024C3930A}"/>
    <cellStyle name="Input 28 6" xfId="17836" xr:uid="{CDE9A13C-43F9-4876-939C-8931968CE2E2}"/>
    <cellStyle name="Input 28 7" xfId="10168" xr:uid="{C47615DD-A478-4B09-859E-F1881CDAAD93}"/>
    <cellStyle name="Input 28 8" xfId="21051" xr:uid="{40EAE096-5B0B-453B-8AE4-434EE962F9ED}"/>
    <cellStyle name="Input 28 9" xfId="18053" xr:uid="{60B4336F-CAB9-4571-8AB4-63718389C94E}"/>
    <cellStyle name="Input 29" xfId="2067" xr:uid="{1DADC177-32A5-4394-8A60-0EDB1AC55E33}"/>
    <cellStyle name="Input 29 10" xfId="22720" xr:uid="{FF3D80FC-038A-4E4E-95AB-761A0445FCC6}"/>
    <cellStyle name="Input 29 11" xfId="23561" xr:uid="{9151444A-58F0-4067-B755-FE3569347677}"/>
    <cellStyle name="Input 29 12" xfId="24359" xr:uid="{2810E90E-48C9-456E-A59D-EEE69AD50194}"/>
    <cellStyle name="Input 29 13" xfId="17145" xr:uid="{2B29D2A2-ADB6-45E6-89A5-3196D8F08DE0}"/>
    <cellStyle name="Input 29 14" xfId="22967" xr:uid="{42DEE256-1AB9-4702-AE2F-0EB3C5171077}"/>
    <cellStyle name="Input 29 15" xfId="20417" xr:uid="{ACED2813-449B-4A03-B4C3-4702F3125719}"/>
    <cellStyle name="Input 29 16" xfId="28157" xr:uid="{607E8F80-EC7D-4A1F-A21D-29F71B69E9F2}"/>
    <cellStyle name="Input 29 17" xfId="28897" xr:uid="{9FFBDA8C-EC43-4B43-8ACF-D9D4A76671A3}"/>
    <cellStyle name="Input 29 18" xfId="27349" xr:uid="{B3F386CA-9B84-4E9F-A043-26FB66E2856F}"/>
    <cellStyle name="Input 29 19" xfId="27258" xr:uid="{B1923283-09A4-440C-8AFC-C7F368832884}"/>
    <cellStyle name="Input 29 2" xfId="8937" xr:uid="{16F3E198-5034-42CB-A70D-87805F9BFAEF}"/>
    <cellStyle name="Input 29 20" xfId="22612" xr:uid="{3CC9E24A-A0CB-48DF-94FE-5E57EE41E545}"/>
    <cellStyle name="Input 29 21" xfId="22364" xr:uid="{A2714D08-7CCB-4DFF-9A2D-6802E48B115E}"/>
    <cellStyle name="Input 29 22" xfId="30568" xr:uid="{BE9451BE-10B6-4D3F-A752-855BB5A87DB6}"/>
    <cellStyle name="Input 29 23" xfId="30920" xr:uid="{5EF60E24-CE1D-48B8-B4F7-494A859CBD9F}"/>
    <cellStyle name="Input 29 24" xfId="25084" xr:uid="{212F2A1C-8F89-480B-B14F-B6258DB9EA4D}"/>
    <cellStyle name="Input 29 25" xfId="23127" xr:uid="{6FE2281A-CE73-43F7-B818-F8B351637F62}"/>
    <cellStyle name="Input 29 26" xfId="6219" xr:uid="{6AD84049-CF06-4C65-BC1F-DE137E8BDFA7}"/>
    <cellStyle name="Input 29 3" xfId="14571" xr:uid="{78B44FBA-FF8C-440B-9713-486A99698F04}"/>
    <cellStyle name="Input 29 4" xfId="9700" xr:uid="{2093FF59-E757-475C-91B7-78413E3FD205}"/>
    <cellStyle name="Input 29 5" xfId="16972" xr:uid="{4D0B4A39-2FE2-47C9-990C-81088766185A}"/>
    <cellStyle name="Input 29 6" xfId="9783" xr:uid="{4FE0CABF-775C-4693-8833-FC500D088857}"/>
    <cellStyle name="Input 29 7" xfId="13322" xr:uid="{5D03E0F7-A7F7-4667-B18C-782B0265615C}"/>
    <cellStyle name="Input 29 8" xfId="9834" xr:uid="{4032F6CB-E249-478D-AF27-9B4B71EB6224}"/>
    <cellStyle name="Input 29 9" xfId="19960" xr:uid="{B80CC6EA-2A2A-4DC3-AF39-092FA6D77F22}"/>
    <cellStyle name="Input 3" xfId="2068" xr:uid="{74F9472F-CE76-4C26-8B2D-282059692678}"/>
    <cellStyle name="Input 3 10" xfId="12835" xr:uid="{D0EFE5AB-023D-4943-AD42-A0EC877C46FE}"/>
    <cellStyle name="Input 3 11" xfId="16373" xr:uid="{20E99428-8460-460E-90C2-5BAD66548645}"/>
    <cellStyle name="Input 3 12" xfId="19982" xr:uid="{97E19E8E-E07F-4B0F-AFFD-CFE5D9E22B1E}"/>
    <cellStyle name="Input 3 13" xfId="13967" xr:uid="{CE89E64B-B2C7-48A1-B03B-066C17651777}"/>
    <cellStyle name="Input 3 14" xfId="19088" xr:uid="{47B5AFF4-ADA3-4BDC-B937-67A3F592836B}"/>
    <cellStyle name="Input 3 15" xfId="18544" xr:uid="{0C2E139D-E300-4857-AE88-24755D9EBD64}"/>
    <cellStyle name="Input 3 16" xfId="22990" xr:uid="{A7F6515A-A2DC-4B1A-862B-FCE9C8661969}"/>
    <cellStyle name="Input 3 17" xfId="23227" xr:uid="{C1B66543-0BEB-4848-8DD9-A39184BBC6D9}"/>
    <cellStyle name="Input 3 18" xfId="23008" xr:uid="{39F581C8-F53C-43A0-8A0F-3F48AA27F33C}"/>
    <cellStyle name="Input 3 19" xfId="22242" xr:uid="{6291C289-1ED3-4A6C-986A-DD39CF7FBCC8}"/>
    <cellStyle name="Input 3 2" xfId="2069" xr:uid="{3B7F8C0D-6F6A-4209-956C-60D2706A7C1D}"/>
    <cellStyle name="Input 3 2 10" xfId="15843" xr:uid="{DEE8A9FC-C633-42C8-828A-BDFE47FBD500}"/>
    <cellStyle name="Input 3 2 11" xfId="12639" xr:uid="{546F37E2-066C-492F-A5EE-20813F5E6B1C}"/>
    <cellStyle name="Input 3 2 12" xfId="18360" xr:uid="{2049C62E-9C5D-48FF-95F9-A8520536D1AB}"/>
    <cellStyle name="Input 3 2 13" xfId="14549" xr:uid="{5D9FD1E4-D1F9-446F-87C7-6C2EC5BB6FA2}"/>
    <cellStyle name="Input 3 2 14" xfId="22968" xr:uid="{6B8A7449-C62F-45E1-BFF6-10FAC1A84AAD}"/>
    <cellStyle name="Input 3 2 15" xfId="22393" xr:uid="{C9536848-CFAF-4415-812D-FA169F00A595}"/>
    <cellStyle name="Input 3 2 16" xfId="20507" xr:uid="{F06D828F-9FCE-44C8-8763-E5B543142BA0}"/>
    <cellStyle name="Input 3 2 17" xfId="22402" xr:uid="{3EB06A53-9636-4D05-B575-F90382655D00}"/>
    <cellStyle name="Input 3 2 18" xfId="27350" xr:uid="{BB469EAC-7BA1-4460-92DF-1001C642EDCA}"/>
    <cellStyle name="Input 3 2 19" xfId="25673" xr:uid="{BEE3B316-D969-4BDA-A79E-92087580E088}"/>
    <cellStyle name="Input 3 2 2" xfId="8935" xr:uid="{CCCC0D1E-04BA-4070-BB5F-797BD410A84C}"/>
    <cellStyle name="Input 3 2 20" xfId="27324" xr:uid="{93AE3AF1-FA91-49D2-BD7C-E6AF4DD08281}"/>
    <cellStyle name="Input 3 2 21" xfId="24846" xr:uid="{4D0B8328-2401-42ED-B1FC-50F87290A1AB}"/>
    <cellStyle name="Input 3 2 22" xfId="18689" xr:uid="{BFF99B2C-F37F-430B-858F-F78C27E4A85D}"/>
    <cellStyle name="Input 3 2 23" xfId="24878" xr:uid="{03C51C82-1B2A-4DEB-A6A8-A30C41361529}"/>
    <cellStyle name="Input 3 2 24" xfId="28512" xr:uid="{C9B18CCA-8219-4592-A18A-294B28A6FA72}"/>
    <cellStyle name="Input 3 2 25" xfId="16144" xr:uid="{23ECD85F-836F-4114-B2E6-8695699E6AD0}"/>
    <cellStyle name="Input 3 2 26" xfId="6221" xr:uid="{08D02575-43B4-4DB4-A6CB-69429BF56C35}"/>
    <cellStyle name="Input 3 2 3" xfId="8975" xr:uid="{1399F35C-DE7B-4175-8289-09C2CA35403C}"/>
    <cellStyle name="Input 3 2 4" xfId="9702" xr:uid="{E9C1AE93-0A51-4433-9D51-95BDEA5B90E0}"/>
    <cellStyle name="Input 3 2 5" xfId="10203" xr:uid="{E91084DB-89E9-47F5-B56D-6FBE458C54D3}"/>
    <cellStyle name="Input 3 2 6" xfId="9785" xr:uid="{98AD72C6-B781-4691-8C84-1154A1CC2737}"/>
    <cellStyle name="Input 3 2 7" xfId="10124" xr:uid="{B4EA5202-E87B-4DE3-AEE0-BA39F0D04545}"/>
    <cellStyle name="Input 3 2 8" xfId="9835" xr:uid="{8C96B560-9ED6-463F-A5B8-F414C41F701D}"/>
    <cellStyle name="Input 3 2 9" xfId="19961" xr:uid="{BF5507F9-5DD6-4B2F-AC30-2E9AA0E8C660}"/>
    <cellStyle name="Input 3 20" xfId="27259" xr:uid="{B8A79E66-A8D0-4F0F-977B-C043F801FC50}"/>
    <cellStyle name="Input 3 21" xfId="26186" xr:uid="{F89409EA-7B75-4B70-8CA5-C0247FF20F3B}"/>
    <cellStyle name="Input 3 22" xfId="24458" xr:uid="{568FF0F0-4F4C-418A-8A14-66F57AC1BF9C}"/>
    <cellStyle name="Input 3 23" xfId="28798" xr:uid="{BC357886-692A-4DE5-ABC8-9EEB9BB0A055}"/>
    <cellStyle name="Input 3 24" xfId="22945" xr:uid="{D72E37A2-52A6-4562-B964-92E78A86B6AC}"/>
    <cellStyle name="Input 3 25" xfId="28511" xr:uid="{E15E9807-E032-4E7A-B2EF-582745DDE988}"/>
    <cellStyle name="Input 3 26" xfId="30943" xr:uid="{D7F40449-9B99-4A69-861A-C9CA75D354DE}"/>
    <cellStyle name="Input 3 27" xfId="6220" xr:uid="{7FB2C831-9693-49E1-A02A-F573373E60F7}"/>
    <cellStyle name="Input 3 3" xfId="8936" xr:uid="{74747136-E070-449C-96F2-E22DDC2F0653}"/>
    <cellStyle name="Input 3 4" xfId="8976" xr:uid="{B1B59B33-44D8-4345-8B48-9860C0166014}"/>
    <cellStyle name="Input 3 5" xfId="9701" xr:uid="{936D3574-DD64-4D86-BEF0-DACF34D6FA14}"/>
    <cellStyle name="Input 3 6" xfId="13249" xr:uid="{C9F4E167-1866-4578-934E-1093822DD36D}"/>
    <cellStyle name="Input 3 7" xfId="9784" xr:uid="{7DD59FE8-6D07-4254-9BFD-481204FBD2A3}"/>
    <cellStyle name="Input 3 8" xfId="10125" xr:uid="{61019C18-85FD-4488-BED7-700655233CD5}"/>
    <cellStyle name="Input 3 9" xfId="13516" xr:uid="{AD5AD6ED-CD20-406A-83EC-38DE28B4F083}"/>
    <cellStyle name="Input 30" xfId="2070" xr:uid="{3E34C029-3DE2-4601-831A-4A9DEBA93C06}"/>
    <cellStyle name="Input 30 10" xfId="16372" xr:uid="{35AFAF7E-EEAD-4A63-A9E6-2C7ACE18E2AC}"/>
    <cellStyle name="Input 30 11" xfId="19983" xr:uid="{7D6E15E3-D3EE-49D1-AE0D-C0E718F06ABD}"/>
    <cellStyle name="Input 30 12" xfId="16332" xr:uid="{936B32AC-EB0B-4553-AB26-B63C428CF8E8}"/>
    <cellStyle name="Input 30 13" xfId="17144" xr:uid="{D1BC05FC-5776-491F-B07B-8D1D88149755}"/>
    <cellStyle name="Input 30 14" xfId="22382" xr:uid="{C1D6AF65-31AB-4E96-99CA-D59686BC0CD3}"/>
    <cellStyle name="Input 30 15" xfId="22991" xr:uid="{0537227A-90FA-4277-845D-E7A52FBD23D9}"/>
    <cellStyle name="Input 30 16" xfId="26567" xr:uid="{FE3D405A-CA45-4A99-8FA3-0E7899315205}"/>
    <cellStyle name="Input 30 17" xfId="23009" xr:uid="{9E973317-46BD-4F92-AC83-829FDCE1B840}"/>
    <cellStyle name="Input 30 18" xfId="26200" xr:uid="{B29EDC09-000B-4C4D-B74F-97C36233E504}"/>
    <cellStyle name="Input 30 19" xfId="27260" xr:uid="{8551C318-94C2-49BC-BC93-E598AFA797DA}"/>
    <cellStyle name="Input 30 2" xfId="8934" xr:uid="{19BFB809-36D7-48AC-A6C7-8E0A90607BAD}"/>
    <cellStyle name="Input 30 20" xfId="23798" xr:uid="{1090D452-8E3C-4720-A134-AA2211B00893}"/>
    <cellStyle name="Input 30 21" xfId="30437" xr:uid="{F304837D-8630-46D2-91D1-EF87941C39EA}"/>
    <cellStyle name="Input 30 22" xfId="27605" xr:uid="{9FC00050-014C-47FD-9286-59C32B91FAC0}"/>
    <cellStyle name="Input 30 23" xfId="22373" xr:uid="{73A25193-32B3-459D-BA72-B1279ECA7A87}"/>
    <cellStyle name="Input 30 24" xfId="26085" xr:uid="{4983FAE7-55A2-4196-A6DE-EDE623F62678}"/>
    <cellStyle name="Input 30 25" xfId="30940" xr:uid="{568CB592-3C04-4B75-92D3-329CF9C59D63}"/>
    <cellStyle name="Input 30 26" xfId="6222" xr:uid="{1B32BF18-F4EA-42D0-8B45-A5249D5B69D9}"/>
    <cellStyle name="Input 30 3" xfId="8974" xr:uid="{04940F7D-30C6-4BDC-A167-114B579A2E27}"/>
    <cellStyle name="Input 30 4" xfId="9703" xr:uid="{41093D86-C46F-4774-B4E7-ECA65FB62CED}"/>
    <cellStyle name="Input 30 5" xfId="13250" xr:uid="{D36F2CCE-CD09-46C8-A1CC-E36F4CC56488}"/>
    <cellStyle name="Input 30 6" xfId="9786" xr:uid="{339EA513-0167-42E0-855D-10CF3F243F4A}"/>
    <cellStyle name="Input 30 7" xfId="13324" xr:uid="{C44305CC-89A8-4F3B-940B-5ACA4DC0A295}"/>
    <cellStyle name="Input 30 8" xfId="12790" xr:uid="{59EAB892-7F31-41FD-8235-E454994129A0}"/>
    <cellStyle name="Input 30 9" xfId="18054" xr:uid="{B529B1D4-4DA5-4964-B579-9E17B789B728}"/>
    <cellStyle name="Input 31" xfId="2071" xr:uid="{155B2449-3F35-40F6-AD77-01F036502DD8}"/>
    <cellStyle name="Input 31 10" xfId="12821" xr:uid="{94AC11FE-DADA-43CC-9BC5-D78F711EFE11}"/>
    <cellStyle name="Input 31 11" xfId="18066" xr:uid="{89348ACE-D005-496D-91FF-B9F37B417E2C}"/>
    <cellStyle name="Input 31 12" xfId="18341" xr:uid="{026FBD06-AA90-4F62-9B44-94A01135A81E}"/>
    <cellStyle name="Input 31 13" xfId="16069" xr:uid="{2EFDF612-6BE1-468E-90E7-17CEC219B4EF}"/>
    <cellStyle name="Input 31 14" xfId="22969" xr:uid="{9D0B093E-EB4D-4435-B0BA-50554E2C614A}"/>
    <cellStyle name="Input 31 15" xfId="18789" xr:uid="{A4C0D175-CA58-4E1B-B61A-189E1E162CB3}"/>
    <cellStyle name="Input 31 16" xfId="18823" xr:uid="{06F0EEF2-22EE-481A-BB80-D45CEE29C2FB}"/>
    <cellStyle name="Input 31 17" xfId="20422" xr:uid="{38653F71-6432-4772-B83E-FBF296EA80B8}"/>
    <cellStyle name="Input 31 18" xfId="27351" xr:uid="{7786A31E-9388-4B13-A664-761311C5ABA9}"/>
    <cellStyle name="Input 31 19" xfId="26157" xr:uid="{4FB2C878-BA3A-439E-8939-E3C55CEC1E94}"/>
    <cellStyle name="Input 31 2" xfId="8933" xr:uid="{0CCDBD1E-3EA1-4D42-956E-207134435C15}"/>
    <cellStyle name="Input 31 20" xfId="26187" xr:uid="{9B8023C5-8B2F-44D6-BD2C-DCF817BFA6E2}"/>
    <cellStyle name="Input 31 21" xfId="30151" xr:uid="{8CE6B43D-0D3F-4381-A09D-93186782152F}"/>
    <cellStyle name="Input 31 22" xfId="18694" xr:uid="{197D902D-5627-432D-B9BA-F9BFA4750E9E}"/>
    <cellStyle name="Input 31 23" xfId="24879" xr:uid="{C6146D81-62AD-46EF-84F1-4CD4EEBB832B}"/>
    <cellStyle name="Input 31 24" xfId="28513" xr:uid="{F0E948AD-778F-4FA9-86C4-483DD2020132}"/>
    <cellStyle name="Input 31 25" xfId="20458" xr:uid="{C3BD2903-4FC2-4B15-98DA-02E3F65C2B45}"/>
    <cellStyle name="Input 31 26" xfId="6223" xr:uid="{53653FC9-4EEC-4C12-AFD3-1D6E927CAE5B}"/>
    <cellStyle name="Input 31 3" xfId="8973" xr:uid="{FF20265B-2B00-4C2A-BE18-30E933A90466}"/>
    <cellStyle name="Input 31 4" xfId="9704" xr:uid="{2ECE0746-5346-4F84-846A-1BB1958EC4BC}"/>
    <cellStyle name="Input 31 5" xfId="13251" xr:uid="{7710D0D3-1F37-4E75-84F2-4CE9B536C8DA}"/>
    <cellStyle name="Input 31 6" xfId="9818" xr:uid="{EEAE022E-5315-41C8-8447-61D53D1F08B0}"/>
    <cellStyle name="Input 31 7" xfId="10123" xr:uid="{D4E1434C-93C0-4AA0-A2CA-D3A40B985FFB}"/>
    <cellStyle name="Input 31 8" xfId="9836" xr:uid="{6E5CE842-C1B2-4D27-83E7-DCA364DCE02A}"/>
    <cellStyle name="Input 31 9" xfId="19962" xr:uid="{9A2A986B-9BA4-4F9C-89FB-63DB7BDCDCF8}"/>
    <cellStyle name="Input 32" xfId="2072" xr:uid="{94CA8D71-956E-4FC6-B620-681561F07B38}"/>
    <cellStyle name="Input 32 10" xfId="13977" xr:uid="{1543E1C7-4487-42B5-A8B7-C4DE3A17C0FB}"/>
    <cellStyle name="Input 32 11" xfId="19984" xr:uid="{D5BE0EC3-8160-443F-876E-DAD39F7382E3}"/>
    <cellStyle name="Input 32 12" xfId="18359" xr:uid="{2025B4FC-8B23-45BC-AED3-CBB31B55994E}"/>
    <cellStyle name="Input 32 13" xfId="19087" xr:uid="{F195FDAA-9AC0-46A8-8476-27042B578423}"/>
    <cellStyle name="Input 32 14" xfId="20412" xr:uid="{76103EDB-C5CD-47C0-ADA8-A9A785B568F9}"/>
    <cellStyle name="Input 32 15" xfId="22992" xr:uid="{F4A88560-A82F-45EF-89C5-D0CBA22926E2}"/>
    <cellStyle name="Input 32 16" xfId="23226" xr:uid="{3119535C-2DDC-433F-A9E7-6DE510E46D11}"/>
    <cellStyle name="Input 32 17" xfId="23010" xr:uid="{F7F8CC78-5ABA-4C71-AB7A-562B125F54A1}"/>
    <cellStyle name="Input 32 18" xfId="21023" xr:uid="{303A97EF-46C4-4462-9847-7EF455FBCFE4}"/>
    <cellStyle name="Input 32 19" xfId="27261" xr:uid="{B341FAA3-2E83-4398-B2A3-39DF58090EBA}"/>
    <cellStyle name="Input 32 2" xfId="8932" xr:uid="{696AE012-EE04-44B5-B1A1-6021F433091F}"/>
    <cellStyle name="Input 32 20" xfId="27325" xr:uid="{9EA06E4A-886C-4CB7-BEE0-ACC10C4543B8}"/>
    <cellStyle name="Input 32 21" xfId="30435" xr:uid="{179C69B5-3124-4841-85A9-5DF28D97E7CD}"/>
    <cellStyle name="Input 32 22" xfId="28799" xr:uid="{738F4A78-CDCC-46F0-BC2F-40E594459156}"/>
    <cellStyle name="Input 32 23" xfId="22946" xr:uid="{43493023-FE27-4C6B-85E0-76517D3550DF}"/>
    <cellStyle name="Input 32 24" xfId="30737" xr:uid="{B5A75E37-3CDB-4BB8-9563-DD06482774E2}"/>
    <cellStyle name="Input 32 25" xfId="18808" xr:uid="{D92D4D6C-8C91-46A2-99A9-2BDFE4791B82}"/>
    <cellStyle name="Input 32 26" xfId="6224" xr:uid="{5C66F138-F5DD-4CA2-8936-7C2BB967D84E}"/>
    <cellStyle name="Input 32 3" xfId="8972" xr:uid="{11709DE5-9C4B-4F8E-B6B7-6B974A78938E}"/>
    <cellStyle name="Input 32 4" xfId="9705" xr:uid="{8DC1668C-14E5-4BF6-85ED-0C3FD1F39432}"/>
    <cellStyle name="Input 32 5" xfId="10201" xr:uid="{EADDD14B-87B8-48E3-AD2D-1651E9C2DD70}"/>
    <cellStyle name="Input 32 6" xfId="9787" xr:uid="{2818DB3F-F34B-4013-89E1-CB5992FBFEA1}"/>
    <cellStyle name="Input 32 7" xfId="13325" xr:uid="{9E1F148C-5C2F-4E12-8B47-B0533DC82A34}"/>
    <cellStyle name="Input 32 8" xfId="15448" xr:uid="{8C4110C7-2AB4-4163-B550-C72EEF106A91}"/>
    <cellStyle name="Input 32 9" xfId="15750" xr:uid="{7A782EC9-4BE8-4D09-9A16-52A7E5886F43}"/>
    <cellStyle name="Input 33" xfId="2073" xr:uid="{9ECB9514-DD90-41C4-9C79-35899B2EC115}"/>
    <cellStyle name="Input 33 10" xfId="16370" xr:uid="{685CB842-4137-4675-A4DB-3F39C1E73569}"/>
    <cellStyle name="Input 33 11" xfId="12832" xr:uid="{FE619F8C-99C0-4C12-8BFB-9527EB901DAE}"/>
    <cellStyle name="Input 33 12" xfId="15824" xr:uid="{6B9D1760-0C8F-470B-BE88-6245161CA9F1}"/>
    <cellStyle name="Input 33 13" xfId="17143" xr:uid="{31AFAA8A-276E-499A-956D-2BC3D7D5E9FB}"/>
    <cellStyle name="Input 33 14" xfId="22970" xr:uid="{E7F445B5-5474-4B84-8C16-913AA8F23904}"/>
    <cellStyle name="Input 33 15" xfId="22394" xr:uid="{955F4558-C0C2-4BED-B43E-2F9FA5676E63}"/>
    <cellStyle name="Input 33 16" xfId="20124" xr:uid="{D46ED381-418C-4F9C-BB63-D0A5330E7037}"/>
    <cellStyle name="Input 33 17" xfId="22403" xr:uid="{88999C61-CFE6-45C2-9C6F-170FC97270B2}"/>
    <cellStyle name="Input 33 18" xfId="27352" xr:uid="{59989849-CE40-43E2-A155-722B6D266121}"/>
    <cellStyle name="Input 33 19" xfId="23782" xr:uid="{28A577AF-696C-4DA5-9C72-5A30C4E09C10}"/>
    <cellStyle name="Input 33 2" xfId="12366" xr:uid="{8C5C79B9-9638-43C8-BC8C-460465D49B61}"/>
    <cellStyle name="Input 33 20" xfId="22609" xr:uid="{1FD5D515-83FD-4561-AC2E-25F849BCDA8E}"/>
    <cellStyle name="Input 33 21" xfId="30322" xr:uid="{1DB08507-A93C-4171-93E6-2ED184D12566}"/>
    <cellStyle name="Input 33 22" xfId="21744" xr:uid="{FB50CAF5-8527-4B7C-9541-27CB9623FE42}"/>
    <cellStyle name="Input 33 23" xfId="22930" xr:uid="{B14C08C1-FA7E-43A8-A242-2BD728BEDE14}"/>
    <cellStyle name="Input 33 24" xfId="30740" xr:uid="{645125B1-8331-4898-BD69-A482E01C3A01}"/>
    <cellStyle name="Input 33 25" xfId="30944" xr:uid="{54AA3241-C9CF-4056-8242-4F6C44D3EF82}"/>
    <cellStyle name="Input 33 26" xfId="6225" xr:uid="{83AE3468-4491-4777-9ABD-3A137920AC25}"/>
    <cellStyle name="Input 33 3" xfId="8971" xr:uid="{B1CB858A-6060-4BB3-BBFF-D78A2441BC3C}"/>
    <cellStyle name="Input 33 4" xfId="9706" xr:uid="{0BACD0A3-F5DE-446C-8CDB-DF12956FEA55}"/>
    <cellStyle name="Input 33 5" xfId="13252" xr:uid="{2DEE5632-A20E-42C7-9676-B74850E59A29}"/>
    <cellStyle name="Input 33 6" xfId="9788" xr:uid="{652D57D2-EACA-448E-8572-EC8FAD709D1E}"/>
    <cellStyle name="Input 33 7" xfId="10122" xr:uid="{0F668EA7-3195-46D1-B798-DE5D502494D5}"/>
    <cellStyle name="Input 33 8" xfId="9837" xr:uid="{59ACF537-E8D3-4DC5-BDAB-B67D2A84A3F5}"/>
    <cellStyle name="Input 33 9" xfId="19963" xr:uid="{A3E92173-ACB7-4D00-8D86-0D7F4978A1E8}"/>
    <cellStyle name="Input 34" xfId="2074" xr:uid="{DCB76DB6-07DB-4902-B183-E64A0572E7D7}"/>
    <cellStyle name="Input 34 10" xfId="15842" xr:uid="{2C9751AC-8300-4FAF-8E60-27FB6524086A}"/>
    <cellStyle name="Input 34 11" xfId="19985" xr:uid="{9D6DE7CD-FCFF-4C26-9501-8CA990656B8E}"/>
    <cellStyle name="Input 34 12" xfId="18358" xr:uid="{ECB83970-39D3-4094-BE35-56D2CE7E2B68}"/>
    <cellStyle name="Input 34 13" xfId="19086" xr:uid="{8DB227EA-466D-4FEC-ABC5-E3DC0A151D22}"/>
    <cellStyle name="Input 34 14" xfId="22383" xr:uid="{24D21856-CBDF-4293-898B-A151E9CF2921}"/>
    <cellStyle name="Input 34 15" xfId="22993" xr:uid="{9BD064D4-431C-47D8-83C1-0C082959A454}"/>
    <cellStyle name="Input 34 16" xfId="23225" xr:uid="{E15526B1-2FFD-4E8C-B16F-F8E946CE6D76}"/>
    <cellStyle name="Input 34 17" xfId="23011" xr:uid="{6EAB27A2-AAD6-41F0-A265-D095704BBC88}"/>
    <cellStyle name="Input 34 18" xfId="26201" xr:uid="{18B8736D-FD4E-4A9F-ADBC-C05B238334C2}"/>
    <cellStyle name="Input 34 19" xfId="27262" xr:uid="{1C2FA23E-41A2-4872-A613-E64614FD3432}"/>
    <cellStyle name="Input 34 2" xfId="8931" xr:uid="{EB8A593F-68C7-43C9-AFDB-893502B97FDC}"/>
    <cellStyle name="Input 34 20" xfId="27360" xr:uid="{666DB0B4-423E-4967-898C-0EA668FCF783}"/>
    <cellStyle name="Input 34 21" xfId="30434" xr:uid="{11C5E186-6E17-426B-AD4D-CB037D5FFA8F}"/>
    <cellStyle name="Input 34 22" xfId="27011" xr:uid="{813137BA-4574-45D5-A086-590DBD6B6032}"/>
    <cellStyle name="Input 34 23" xfId="24880" xr:uid="{5987D00F-CD02-4C08-9483-EEB0261A2640}"/>
    <cellStyle name="Input 34 24" xfId="30736" xr:uid="{7D1B5C8A-CB6B-4D96-ADBD-9DDE30E53497}"/>
    <cellStyle name="Input 34 25" xfId="29277" xr:uid="{26F2276A-9FA6-48A0-AB1D-3F7F3AC9D8AE}"/>
    <cellStyle name="Input 34 26" xfId="6226" xr:uid="{1882B66D-B88D-4A8F-A7E6-68A16C1E8FBB}"/>
    <cellStyle name="Input 34 3" xfId="8970" xr:uid="{E6CCD7CA-DCB6-423E-838F-5D9C01D81AD8}"/>
    <cellStyle name="Input 34 4" xfId="9707" xr:uid="{412825AF-492E-4091-A913-658B17C0505D}"/>
    <cellStyle name="Input 34 5" xfId="10200" xr:uid="{9DD5913A-4EE3-497A-989D-51B05133DBD8}"/>
    <cellStyle name="Input 34 6" xfId="9789" xr:uid="{E59DCDD3-9843-40F9-AAA1-501C79719F0C}"/>
    <cellStyle name="Input 34 7" xfId="13326" xr:uid="{9B680378-069D-445E-9D6F-C9D0953C11AC}"/>
    <cellStyle name="Input 34 8" xfId="9838" xr:uid="{04811ADD-A4C6-42DD-9DA4-9A7D844836F8}"/>
    <cellStyle name="Input 34 9" xfId="18055" xr:uid="{19577B1C-A056-471A-B318-C9751968BF53}"/>
    <cellStyle name="Input 35" xfId="2075" xr:uid="{AEDE25C9-1DAA-422F-A7A9-6584039691C7}"/>
    <cellStyle name="Input 35 10" xfId="12593" xr:uid="{EC854CFA-B4B2-42FE-ABF7-A060441CCE52}"/>
    <cellStyle name="Input 35 11" xfId="18067" xr:uid="{5610EB5B-4955-4B51-A561-3C2ADE344117}"/>
    <cellStyle name="Input 35 12" xfId="16331" xr:uid="{121EDD8F-4553-4BA1-A6B4-0E8CAA200354}"/>
    <cellStyle name="Input 35 13" xfId="18522" xr:uid="{2370FBE2-FC9E-4E08-A43D-49321707E56D}"/>
    <cellStyle name="Input 35 14" xfId="22971" xr:uid="{8FABCB38-F355-43B2-9726-66F998DAECDB}"/>
    <cellStyle name="Input 35 15" xfId="20418" xr:uid="{5FBA13D9-CE4E-4F9A-8CC9-34FC314E1027}"/>
    <cellStyle name="Input 35 16" xfId="20506" xr:uid="{A4DDF9EC-5B05-4BEC-99CA-22F23D45402D}"/>
    <cellStyle name="Input 35 17" xfId="17923" xr:uid="{0323C1ED-3E04-4A9A-9739-9529C593055E}"/>
    <cellStyle name="Input 35 18" xfId="27353" xr:uid="{C873C55A-53AD-45BA-8F89-D30FE5005ADB}"/>
    <cellStyle name="Input 35 19" xfId="26796" xr:uid="{A83C579D-0AE4-474C-A6D4-00A08CFB1102}"/>
    <cellStyle name="Input 35 2" xfId="8930" xr:uid="{F2AF5606-59DC-4E3C-AC1C-BE3C7D41E26C}"/>
    <cellStyle name="Input 35 20" xfId="26206" xr:uid="{20A45F33-E6A3-412A-859F-1868E548C0FA}"/>
    <cellStyle name="Input 35 21" xfId="30323" xr:uid="{988B6A5E-2CC8-4A33-A6B4-2591534C3C98}"/>
    <cellStyle name="Input 35 22" xfId="18578" xr:uid="{5C7CE345-2975-4A7D-A1CE-AC03B53DF292}"/>
    <cellStyle name="Input 35 23" xfId="16923" xr:uid="{A42E7D66-EECF-461F-8E08-926045B6D3A0}"/>
    <cellStyle name="Input 35 24" xfId="27114" xr:uid="{27655DC7-BE80-4C98-8841-35CBB29909D3}"/>
    <cellStyle name="Input 35 25" xfId="23128" xr:uid="{217AB718-19F3-4C0A-A17B-C08E90FDA1AA}"/>
    <cellStyle name="Input 35 26" xfId="6227" xr:uid="{61911B84-CB98-45C2-9F50-CD01F25DB12B}"/>
    <cellStyle name="Input 35 3" xfId="8969" xr:uid="{AA8EC0BD-AA82-4FA6-9F78-3045F618C4CE}"/>
    <cellStyle name="Input 35 4" xfId="9708" xr:uid="{91844D59-82BC-4B6E-B93E-9102C26170D4}"/>
    <cellStyle name="Input 35 5" xfId="13253" xr:uid="{846E3FAD-5788-4F06-8A66-F094797320FD}"/>
    <cellStyle name="Input 35 6" xfId="9790" xr:uid="{42DAADDA-FD52-42D2-8960-7410539EFB65}"/>
    <cellStyle name="Input 35 7" xfId="20049" xr:uid="{944914C4-DC89-485D-8664-A82857260833}"/>
    <cellStyle name="Input 35 8" xfId="13515" xr:uid="{8D55ED41-EDF9-4C42-82C5-9DD95B1ADEF5}"/>
    <cellStyle name="Input 35 9" xfId="19964" xr:uid="{C8CAE410-2C33-4099-956B-DB2A240F38D5}"/>
    <cellStyle name="Input 36" xfId="2076" xr:uid="{075E798B-AE38-442B-B882-DAC510F0B1E3}"/>
    <cellStyle name="Input 36 10" xfId="16351" xr:uid="{2B86CF5C-7906-422B-BD61-2B6C4D7BC921}"/>
    <cellStyle name="Input 36 11" xfId="19986" xr:uid="{A2E13B33-E2E3-44A2-9C4E-E7E38BB1C9E4}"/>
    <cellStyle name="Input 36 12" xfId="18357" xr:uid="{52AD9BBA-B092-4CA2-B268-04D1D29B3AA4}"/>
    <cellStyle name="Input 36 13" xfId="19085" xr:uid="{067055AC-AF0F-40E6-B585-0A5C29A9DF4B}"/>
    <cellStyle name="Input 36 14" xfId="16922" xr:uid="{42C9216E-787C-480F-A1F7-10DC49B5C2E7}"/>
    <cellStyle name="Input 36 15" xfId="22994" xr:uid="{6E2E6B0E-7E5C-47A7-98BE-B6755F87790E}"/>
    <cellStyle name="Input 36 16" xfId="23224" xr:uid="{5F138A94-008F-4D6E-8D0E-BFDA13CF4BFF}"/>
    <cellStyle name="Input 36 17" xfId="23012" xr:uid="{9C1D2889-2162-414C-93D3-F6777EDF14C2}"/>
    <cellStyle name="Input 36 18" xfId="23804" xr:uid="{F673C03C-E5EE-4940-8CC2-3166503FAAEB}"/>
    <cellStyle name="Input 36 19" xfId="27263" xr:uid="{6F7943FC-FCE8-4E78-838E-99E17C75DC83}"/>
    <cellStyle name="Input 36 2" xfId="8929" xr:uid="{14627377-4183-4CB9-9CD3-468B3B640FB4}"/>
    <cellStyle name="Input 36 20" xfId="30044" xr:uid="{13EE8FD4-98E5-411A-BD1D-EB3E366B89DF}"/>
    <cellStyle name="Input 36 21" xfId="22929" xr:uid="{B7E4C241-46C6-42EB-9045-35143DF0477D}"/>
    <cellStyle name="Input 36 22" xfId="19428" xr:uid="{541574DE-F79E-428E-A579-6826B8103376}"/>
    <cellStyle name="Input 36 23" xfId="24881" xr:uid="{E7064A02-5D05-426E-B877-EE066B9CB54F}"/>
    <cellStyle name="Input 36 24" xfId="28514" xr:uid="{A8937118-A533-4F66-8D4D-4EE9A6BD5021}"/>
    <cellStyle name="Input 36 25" xfId="30945" xr:uid="{6B570B72-9F36-4F0E-99D6-CF33B74409AB}"/>
    <cellStyle name="Input 36 26" xfId="6228" xr:uid="{A9F0541C-6D67-414D-B123-7C38863A805B}"/>
    <cellStyle name="Input 36 3" xfId="8968" xr:uid="{41EFA028-2A4B-4941-9A01-A1D58418B756}"/>
    <cellStyle name="Input 36 4" xfId="9709" xr:uid="{48D00139-66E2-474B-847A-F7A66BEE3864}"/>
    <cellStyle name="Input 36 5" xfId="10199" xr:uid="{B2D5FA19-BE63-47B4-BAFA-A5C51BFE02BF}"/>
    <cellStyle name="Input 36 6" xfId="9791" xr:uid="{7E31DC40-FDF4-4C62-B06A-CFDB788847FD}"/>
    <cellStyle name="Input 36 7" xfId="10121" xr:uid="{9D7D269F-39AB-4E9C-8BEE-C37D1B07DCB2}"/>
    <cellStyle name="Input 36 8" xfId="15449" xr:uid="{8659F476-5CAB-434B-9760-AF29DBFF2C29}"/>
    <cellStyle name="Input 36 9" xfId="15219" xr:uid="{4F69DBEA-A37F-4EA1-813A-D6BA10451167}"/>
    <cellStyle name="Input 37" xfId="2077" xr:uid="{F4B4FB08-3D24-4CD4-877B-9B79EA9B49D1}"/>
    <cellStyle name="Input 37 10" xfId="16369" xr:uid="{48A8FE98-CCBE-423E-9946-41D2BD944DBC}"/>
    <cellStyle name="Input 37 11" xfId="15752" xr:uid="{FD13214E-B66D-4C79-B71E-FDD2EA860AED}"/>
    <cellStyle name="Input 37 12" xfId="12603" xr:uid="{C82DA09F-2EE6-4C0D-80C1-DD67EB69C0E1}"/>
    <cellStyle name="Input 37 13" xfId="22449" xr:uid="{9DC712CC-AF60-4374-B4B9-02969220BBCE}"/>
    <cellStyle name="Input 37 14" xfId="22972" xr:uid="{2C287CB8-023F-4889-B506-FBC6A01857B7}"/>
    <cellStyle name="Input 37 15" xfId="22395" xr:uid="{F56C38A2-B97E-4B3F-B981-BE5BE7AA40F8}"/>
    <cellStyle name="Input 37 16" xfId="18831" xr:uid="{C6D53E51-8E9B-43BF-8166-C86C941805E2}"/>
    <cellStyle name="Input 37 17" xfId="18782" xr:uid="{DFD826E1-B3B5-4573-AF68-7A1AC289A9A1}"/>
    <cellStyle name="Input 37 18" xfId="27354" xr:uid="{6FA0860A-04F1-461F-84BE-0F464EAF0853}"/>
    <cellStyle name="Input 37 19" xfId="27982" xr:uid="{665EE35E-2682-4D80-B73D-D2E6B408D42A}"/>
    <cellStyle name="Input 37 2" xfId="8928" xr:uid="{1C1E5946-4E0F-442F-BE43-D1C9B42D213A}"/>
    <cellStyle name="Input 37 20" xfId="28928" xr:uid="{81E2E936-9464-4072-B73C-113D762F915A}"/>
    <cellStyle name="Input 37 21" xfId="24847" xr:uid="{CAF3524C-4BC3-4705-9D0F-EC0A8A755796}"/>
    <cellStyle name="Input 37 22" xfId="28161" xr:uid="{A09914C7-6552-402C-863D-933FD91814E0}"/>
    <cellStyle name="Input 37 23" xfId="22947" xr:uid="{5CF7DC29-C805-4F7D-B2B1-44652A93E113}"/>
    <cellStyle name="Input 37 24" xfId="28032" xr:uid="{0ADF7BB8-7DF2-4632-830D-8A27C1E7AD54}"/>
    <cellStyle name="Input 37 25" xfId="18806" xr:uid="{2F49BC71-0A97-46F3-8F7A-5994CBF4115E}"/>
    <cellStyle name="Input 37 26" xfId="6229" xr:uid="{5BC6722F-77F4-411E-ACF9-093C8538E2D7}"/>
    <cellStyle name="Input 37 3" xfId="13638" xr:uid="{33F49828-C4F6-4564-B71E-0756BF708FDE}"/>
    <cellStyle name="Input 37 4" xfId="9710" xr:uid="{AB4F7F4B-91E1-4334-B461-852467FBE4BD}"/>
    <cellStyle name="Input 37 5" xfId="13254" xr:uid="{499983E2-22A7-4927-8848-6D2A77BE3E6E}"/>
    <cellStyle name="Input 37 6" xfId="9792" xr:uid="{E832A188-205E-48DA-9BA9-BF51F3909EE9}"/>
    <cellStyle name="Input 37 7" xfId="13327" xr:uid="{30DBCAE9-971F-47E2-B091-6CE41632A116}"/>
    <cellStyle name="Input 37 8" xfId="9839" xr:uid="{A58FC940-29A0-48F5-8F1C-78318684D11F}"/>
    <cellStyle name="Input 37 9" xfId="19965" xr:uid="{36771ED3-3F19-44B3-9536-3CCD16E8BC35}"/>
    <cellStyle name="Input 38" xfId="2078" xr:uid="{074463B0-4AA6-4AF6-A390-D7D51EE331C5}"/>
    <cellStyle name="Input 38 10" xfId="13976" xr:uid="{12104792-1AD2-455D-9106-90057F5B6654}"/>
    <cellStyle name="Input 38 11" xfId="19987" xr:uid="{33427031-5A54-4ED2-871E-3ACA241542FC}"/>
    <cellStyle name="Input 38 12" xfId="18356" xr:uid="{A97724CB-F308-4258-A90D-F46AEFED75C0}"/>
    <cellStyle name="Input 38 13" xfId="22458" xr:uid="{A3EAB37D-9872-4B3B-AE99-A55820E9D3D0}"/>
    <cellStyle name="Input 38 14" xfId="22384" xr:uid="{2280611B-DA71-4670-8D7E-320E954C70E5}"/>
    <cellStyle name="Input 38 15" xfId="27430" xr:uid="{B21B1E41-02E0-495A-9BB9-8EFDB82F1522}"/>
    <cellStyle name="Input 38 16" xfId="23223" xr:uid="{FF8BBB8B-4FE9-4A71-8F67-5C6F04B5988C}"/>
    <cellStyle name="Input 38 17" xfId="23013" xr:uid="{DDBF82D9-08C1-4730-8A70-1CABB01CA90F}"/>
    <cellStyle name="Input 38 18" xfId="26202" xr:uid="{DB85772D-FF00-4343-99EF-85656567C400}"/>
    <cellStyle name="Input 38 19" xfId="26158" xr:uid="{AD9FA7E5-CCF6-4DC7-88C5-9B0646B9317C}"/>
    <cellStyle name="Input 38 2" xfId="8927" xr:uid="{B128267E-0CDF-4FCE-9982-72F68CEE6E5F}"/>
    <cellStyle name="Input 38 20" xfId="27361" xr:uid="{CD858603-5E05-4B38-AE6F-0566CC76D508}"/>
    <cellStyle name="Input 38 21" xfId="18781" xr:uid="{9623BFE2-52D4-4D03-AA25-0D2265CF63BB}"/>
    <cellStyle name="Input 38 22" xfId="22142" xr:uid="{3BB14A13-F03D-4CC5-A7B2-A3300A4E677A}"/>
    <cellStyle name="Input 38 23" xfId="24882" xr:uid="{027C67CE-DBC6-4372-A23C-C3370B0B57D7}"/>
    <cellStyle name="Input 38 24" xfId="28515" xr:uid="{1C73446D-0CA2-42FC-B0BA-07F4560E2659}"/>
    <cellStyle name="Input 38 25" xfId="29278" xr:uid="{6297DB03-0681-4683-9941-779D81596F14}"/>
    <cellStyle name="Input 38 26" xfId="6230" xr:uid="{466F23DE-6B53-40D7-8E82-E51156C7C163}"/>
    <cellStyle name="Input 38 3" xfId="8967" xr:uid="{F2A476F8-1FFF-4449-994C-1024E10AA932}"/>
    <cellStyle name="Input 38 4" xfId="9755" xr:uid="{CFB1548F-CBD7-4C56-A4FB-ECB027279C01}"/>
    <cellStyle name="Input 38 5" xfId="10198" xr:uid="{9E979905-F356-400A-A6EB-C3C52DFA424D}"/>
    <cellStyle name="Input 38 6" xfId="9793" xr:uid="{1405206E-9F65-4C25-B68A-4DF96175C5D9}"/>
    <cellStyle name="Input 38 7" xfId="20048" xr:uid="{E9F4F930-0EDF-49CE-88A8-BE7DCBDD80A6}"/>
    <cellStyle name="Input 38 8" xfId="12789" xr:uid="{982E95B1-2168-4761-A070-EBA3E5255D75}"/>
    <cellStyle name="Input 38 9" xfId="18056" xr:uid="{E03C30A7-E09D-4924-B04D-6969542B6EEB}"/>
    <cellStyle name="Input 39" xfId="2079" xr:uid="{D929021D-1670-48C3-AE19-965CC3F16546}"/>
    <cellStyle name="Input 39 10" xfId="16368" xr:uid="{05F8F8A7-0F25-40E7-8E38-B93A6EFF4B86}"/>
    <cellStyle name="Input 39 11" xfId="18068" xr:uid="{41162F97-1168-471E-87F0-EAE37F08CEA6}"/>
    <cellStyle name="Input 39 12" xfId="16330" xr:uid="{88BB744F-93A8-4DA2-82E0-C9C160BD929F}"/>
    <cellStyle name="Input 39 13" xfId="13801" xr:uid="{08C19EB3-EAC6-4ECB-B178-3F7888EA783D}"/>
    <cellStyle name="Input 39 14" xfId="22973" xr:uid="{762992B9-1B3B-44A0-87D4-98D97EBE4545}"/>
    <cellStyle name="Input 39 15" xfId="22995" xr:uid="{65408EA7-4503-4C0E-AE16-D0D884B33863}"/>
    <cellStyle name="Input 39 16" xfId="20505" xr:uid="{C11DB0B9-FC31-4936-8CB0-FB44C8FD14EC}"/>
    <cellStyle name="Input 39 17" xfId="16151" xr:uid="{EA63ADF0-625C-4548-B260-5E7AB01EEFE0}"/>
    <cellStyle name="Input 39 18" xfId="27355" xr:uid="{6F8055AE-0299-43B5-A9E1-32B1E86D0EA2}"/>
    <cellStyle name="Input 39 19" xfId="27264" xr:uid="{46E12D41-57B4-4D1A-B0E2-CBBABAD7FC76}"/>
    <cellStyle name="Input 39 2" xfId="8926" xr:uid="{DD181DE5-CBFD-4752-A1F7-E1DA4A89E60E}"/>
    <cellStyle name="Input 39 20" xfId="30045" xr:uid="{A45F1BB6-3EA9-4D98-930C-01BE2607C669}"/>
    <cellStyle name="Input 39 21" xfId="24848" xr:uid="{EAF4495C-1D89-47C6-AFCC-7F9D7357BB92}"/>
    <cellStyle name="Input 39 22" xfId="18688" xr:uid="{840C1B03-4606-44F2-A790-FEABB6E16352}"/>
    <cellStyle name="Input 39 23" xfId="22374" xr:uid="{2D8C1980-3510-41B5-8290-8DCD821E966A}"/>
    <cellStyle name="Input 39 24" xfId="22628" xr:uid="{7E1A64DA-6A9D-490D-AEAB-3402FC9DFDF1}"/>
    <cellStyle name="Input 39 25" xfId="30946" xr:uid="{B502DD0E-32A3-4BD0-9352-215CB06476F4}"/>
    <cellStyle name="Input 39 26" xfId="6231" xr:uid="{47B097FF-DF15-4AA0-956A-1F6508FF0BF4}"/>
    <cellStyle name="Input 39 3" xfId="8966" xr:uid="{E67E6DE6-C99F-4F63-A3F1-084D69A453D3}"/>
    <cellStyle name="Input 39 4" xfId="9756" xr:uid="{1162B451-F0A8-47F0-B9A5-6C5D23C16965}"/>
    <cellStyle name="Input 39 5" xfId="13255" xr:uid="{6B8762A2-3611-4497-BD93-64A28C2C88AF}"/>
    <cellStyle name="Input 39 6" xfId="9794" xr:uid="{4EF53A7C-FCDF-4AA2-B1ED-0E8C9CA1E36E}"/>
    <cellStyle name="Input 39 7" xfId="10120" xr:uid="{D688B24F-1BAE-4E20-BC0A-00B71A99E776}"/>
    <cellStyle name="Input 39 8" xfId="9840" xr:uid="{71ED126A-7D00-473A-B1DD-69FD7FF75803}"/>
    <cellStyle name="Input 39 9" xfId="19966" xr:uid="{1CBF9877-4E12-4766-B8F9-F3497EAD0D2A}"/>
    <cellStyle name="Input 4" xfId="2080" xr:uid="{DEA89298-6A16-4604-B2D1-369ADD10BCF9}"/>
    <cellStyle name="Input 4 10" xfId="15840" xr:uid="{5F088E1A-64D4-4E0A-8AFB-C94B0A4199AB}"/>
    <cellStyle name="Input 4 11" xfId="19988" xr:uid="{6F800276-5F84-43B5-9E92-89770149C791}"/>
    <cellStyle name="Input 4 12" xfId="18355" xr:uid="{A54783E2-CE46-4553-BEF0-E76D32EE1A4D}"/>
    <cellStyle name="Input 4 13" xfId="19084" xr:uid="{2CD0A807-3600-4BFD-8FC3-BDE8F1163C0D}"/>
    <cellStyle name="Input 4 14" xfId="20413" xr:uid="{549EB697-CB70-439A-BE12-3788F738CA4B}"/>
    <cellStyle name="Input 4 15" xfId="15409" xr:uid="{2F562675-5B3B-487A-AB5F-ADAFE3288264}"/>
    <cellStyle name="Input 4 16" xfId="23222" xr:uid="{0736DC55-8C9A-403D-8460-5B8A7305D8C5}"/>
    <cellStyle name="Input 4 17" xfId="23014" xr:uid="{1B3D9C9E-7A1E-4C39-8D48-E8F9882B9233}"/>
    <cellStyle name="Input 4 18" xfId="16941" xr:uid="{9D5413B7-476E-4556-A6C5-59B609F65EB1}"/>
    <cellStyle name="Input 4 19" xfId="25674" xr:uid="{A46CCA92-5180-44F5-B6B8-EA809E6312E4}"/>
    <cellStyle name="Input 4 2" xfId="8925" xr:uid="{4FFF42D9-316C-4679-A855-923D307FE11A}"/>
    <cellStyle name="Input 4 20" xfId="23807" xr:uid="{EB328199-B637-48D3-9812-2CE77CEA6F13}"/>
    <cellStyle name="Input 4 21" xfId="30444" xr:uid="{36DEA8CA-D815-452B-87DC-B64F46C99D19}"/>
    <cellStyle name="Input 4 22" xfId="28800" xr:uid="{85CF32AC-888B-4B85-9198-5309DB47456A}"/>
    <cellStyle name="Input 4 23" xfId="22365" xr:uid="{9D870116-1DE3-48DD-86BC-09D51C16FFEB}"/>
    <cellStyle name="Input 4 24" xfId="28516" xr:uid="{B1FB0227-D8D3-4D58-AC10-1C87DF7A43AB}"/>
    <cellStyle name="Input 4 25" xfId="15401" xr:uid="{A010DAFB-F1FC-47FE-956D-B2A3459A201E}"/>
    <cellStyle name="Input 4 26" xfId="6232" xr:uid="{4006A40F-EB25-419B-80D7-42439B5B7041}"/>
    <cellStyle name="Input 4 3" xfId="8964" xr:uid="{64C98CAC-CFA3-449B-8CC0-10D16BD489E7}"/>
    <cellStyle name="Input 4 4" xfId="9757" xr:uid="{F0E30BC5-5D2C-4191-9DD2-D4A674EECD01}"/>
    <cellStyle name="Input 4 5" xfId="10197" xr:uid="{DC307744-07A8-4613-8835-2F8648455C18}"/>
    <cellStyle name="Input 4 6" xfId="9795" xr:uid="{2365C05D-F548-41BE-A947-06B6BA1B8B7D}"/>
    <cellStyle name="Input 4 7" xfId="13328" xr:uid="{FD669FEC-436C-4277-9707-AA040549FC08}"/>
    <cellStyle name="Input 4 8" xfId="15450" xr:uid="{3FA57CD5-408D-4536-AA07-3AD58B7B7FA7}"/>
    <cellStyle name="Input 4 9" xfId="12640" xr:uid="{E4A0AB50-7F6E-4C52-ACF4-0966F3B339C5}"/>
    <cellStyle name="Input 40" xfId="2081" xr:uid="{17480D9B-2420-4EF8-94A1-A71488D07F3C}"/>
    <cellStyle name="Input 40 10" xfId="16367" xr:uid="{3B661B9A-5296-49F0-AF2C-64156F91457B}"/>
    <cellStyle name="Input 40 11" xfId="15216" xr:uid="{DD685122-98FA-4E5E-BC24-D30D3811553F}"/>
    <cellStyle name="Input 40 12" xfId="15823" xr:uid="{646BA500-9DF0-403B-BA9F-6E9B52553425}"/>
    <cellStyle name="Input 40 13" xfId="16087" xr:uid="{1E23D39A-81F6-4697-8F2D-56605B172A9E}"/>
    <cellStyle name="Input 40 14" xfId="15403" xr:uid="{02AC7731-6AC6-4768-A32B-C9BEA2CF48F1}"/>
    <cellStyle name="Input 40 15" xfId="27429" xr:uid="{7EEFC5DB-9B1E-4387-A7E5-4C9FDA6CEFD7}"/>
    <cellStyle name="Input 40 16" xfId="16131" xr:uid="{8304F180-FFF2-4F5C-B97B-0437CE66654F}"/>
    <cellStyle name="Input 40 17" xfId="22404" xr:uid="{5D93AD2B-6819-45B3-83A2-20BBE5AD3B5A}"/>
    <cellStyle name="Input 40 18" xfId="27356" xr:uid="{30CCF1E6-BA3A-4AD6-B87F-EC033A38DB33}"/>
    <cellStyle name="Input 40 19" xfId="26159" xr:uid="{0830DEB1-ABFC-4B33-BAAE-ECE4F083ADA4}"/>
    <cellStyle name="Input 40 2" xfId="8924" xr:uid="{67515F14-AE99-4EC5-8971-A069162161E8}"/>
    <cellStyle name="Input 40 20" xfId="29055" xr:uid="{AEE10622-27D4-483E-9E0B-B292BA762292}"/>
    <cellStyle name="Input 40 21" xfId="30324" xr:uid="{625A7F5D-6689-4544-A99F-A9159DBEA9D8}"/>
    <cellStyle name="Input 40 22" xfId="18548" xr:uid="{70CDA0B6-7DF9-4F7A-9354-5B281F17A357}"/>
    <cellStyle name="Input 40 23" xfId="24883" xr:uid="{9D0D877D-6404-43D3-BB25-6A0AF681596A}"/>
    <cellStyle name="Input 40 24" xfId="30570" xr:uid="{0F4E8059-C814-454B-949F-A3FDBDD52801}"/>
    <cellStyle name="Input 40 25" xfId="29279" xr:uid="{32630AE3-474A-4F2A-876C-61A3B47D3E9B}"/>
    <cellStyle name="Input 40 26" xfId="6233" xr:uid="{D408904B-13AF-4CE0-BDB8-36B6FF9A1CFC}"/>
    <cellStyle name="Input 40 3" xfId="8963" xr:uid="{8BABABEC-5774-4B65-BAE7-D10912975608}"/>
    <cellStyle name="Input 40 4" xfId="15440" xr:uid="{B3439E01-B1DE-4803-988C-ECB3E9A4435A}"/>
    <cellStyle name="Input 40 5" xfId="13256" xr:uid="{173F1562-AA05-48D1-9AB5-6C6BA005D97B}"/>
    <cellStyle name="Input 40 6" xfId="9796" xr:uid="{82AEE4E9-DEB1-4D8A-919F-F8F58D1C251A}"/>
    <cellStyle name="Input 40 7" xfId="20047" xr:uid="{B79402A5-C51B-4C30-9360-5DF1E91C2584}"/>
    <cellStyle name="Input 40 8" xfId="9841" xr:uid="{C62CD145-EEB3-47C5-9585-FEE4AD6E9810}"/>
    <cellStyle name="Input 40 9" xfId="18057" xr:uid="{B036D7B4-F01A-4A11-90A8-9DD128C7A208}"/>
    <cellStyle name="Input 41" xfId="2082" xr:uid="{4EE15383-8E06-4ABE-9F0B-43BEA0D2ECAA}"/>
    <cellStyle name="Input 41 10" xfId="18371" xr:uid="{F672DB1E-6D5F-4ED0-960B-AAE44D9BE245}"/>
    <cellStyle name="Input 41 11" xfId="19989" xr:uid="{318250FE-D9F5-4CA8-908E-28A0FDB19E18}"/>
    <cellStyle name="Input 41 12" xfId="18354" xr:uid="{BC86E36B-F9EA-4E01-8FB1-8D21A69BBBCF}"/>
    <cellStyle name="Input 41 13" xfId="19083" xr:uid="{9D9BDBF2-3456-49D6-9246-7F9B4B94058C}"/>
    <cellStyle name="Input 41 14" xfId="26553" xr:uid="{B527A7AF-3B7C-44D0-8E99-612D4ADF46DC}"/>
    <cellStyle name="Input 41 15" xfId="22996" xr:uid="{B7D54649-D649-47BD-A1C8-DC351C8C38E7}"/>
    <cellStyle name="Input 41 16" xfId="23221" xr:uid="{0E6B04BD-AA1D-41DE-B096-24226846AF0B}"/>
    <cellStyle name="Input 41 17" xfId="23015" xr:uid="{7A420F12-B84C-453C-8C64-9BE114B55337}"/>
    <cellStyle name="Input 41 18" xfId="26203" xr:uid="{DA1855FD-59F8-4687-9193-EF2C9324C635}"/>
    <cellStyle name="Input 41 19" xfId="25080" xr:uid="{397F25E9-B073-4BB4-9FA3-BDFE0AAA4167}"/>
    <cellStyle name="Input 41 2" xfId="8923" xr:uid="{727CD37C-EA65-4984-8F55-6AE870415ED5}"/>
    <cellStyle name="Input 41 20" xfId="27362" xr:uid="{0B6C435D-A589-4F89-B743-74D99E2E8590}"/>
    <cellStyle name="Input 41 21" xfId="24849" xr:uid="{E4CE3F19-B677-4004-AA15-F4813DD43B87}"/>
    <cellStyle name="Input 41 22" xfId="22141" xr:uid="{FE8A191F-9615-4806-8637-351B4D520909}"/>
    <cellStyle name="Input 41 23" xfId="22948" xr:uid="{0F372A5D-94A9-4445-BE41-1A2286C2E96A}"/>
    <cellStyle name="Input 41 24" xfId="31059" xr:uid="{E1B971EA-EA97-4651-A313-6DE67E75875C}"/>
    <cellStyle name="Input 41 25" xfId="30947" xr:uid="{BADD7732-64DF-426C-943F-394A8BA0E08D}"/>
    <cellStyle name="Input 41 26" xfId="6234" xr:uid="{EC141D90-29C7-4A97-AE82-D97F6FA79EA4}"/>
    <cellStyle name="Input 41 3" xfId="8962" xr:uid="{FAF1F23C-846C-41AC-9D34-224C060963AE}"/>
    <cellStyle name="Input 41 4" xfId="9758" xr:uid="{1D181F4D-AF9C-4487-880B-73CE19A3FE54}"/>
    <cellStyle name="Input 41 5" xfId="10196" xr:uid="{FF0DFBF1-B3E0-44E4-8096-208D7D27ECA6}"/>
    <cellStyle name="Input 41 6" xfId="9797" xr:uid="{E051DECB-A35D-4246-9635-26878B2EB902}"/>
    <cellStyle name="Input 41 7" xfId="10119" xr:uid="{84D8DD04-CFCC-4C18-92C8-17D387FF986F}"/>
    <cellStyle name="Input 41 8" xfId="9842" xr:uid="{919CA310-25D0-419E-8383-D78C6DCBE9DA}"/>
    <cellStyle name="Input 41 9" xfId="12834" xr:uid="{4D452030-85E2-46AC-9EF0-D9D7CA92FD8B}"/>
    <cellStyle name="Input 42" xfId="2083" xr:uid="{CBE27385-8B1E-4855-9041-3DC9081D5262}"/>
    <cellStyle name="Input 42 10" xfId="15207" xr:uid="{EABC85EE-B72A-4F5B-A565-9EDD0F299077}"/>
    <cellStyle name="Input 42 11" xfId="18069" xr:uid="{983F2526-820A-4FFF-A30F-85267E3A5390}"/>
    <cellStyle name="Input 42 12" xfId="13966" xr:uid="{ADB2D001-C6E3-4F63-998C-17A6E4562AFA}"/>
    <cellStyle name="Input 42 13" xfId="19082" xr:uid="{C32C3BE6-32AA-4B8C-81A7-D681862680CC}"/>
    <cellStyle name="Input 42 14" xfId="26331" xr:uid="{3AF5E673-B6AE-4D61-8572-198990B0258A}"/>
    <cellStyle name="Input 42 15" xfId="22396" xr:uid="{8B9EDA15-6EDD-46F3-B67D-FFDFE08BA222}"/>
    <cellStyle name="Input 42 16" xfId="20504" xr:uid="{F829F2FB-BDEA-4B98-9F8A-2AA280AB6490}"/>
    <cellStyle name="Input 42 17" xfId="18792" xr:uid="{8F564E10-DEDC-4D41-8EE3-031559BA258A}"/>
    <cellStyle name="Input 42 18" xfId="27357" xr:uid="{A8A194CF-16A7-494A-A4CE-AE31BFF47F16}"/>
    <cellStyle name="Input 42 19" xfId="27265" xr:uid="{12B5F78A-7A7F-4AA9-90ED-48A9C1D25847}"/>
    <cellStyle name="Input 42 2" xfId="8922" xr:uid="{898677B5-A60F-4D0F-AFD6-030B130DA38C}"/>
    <cellStyle name="Input 42 20" xfId="26207" xr:uid="{1FB164E7-54EC-4AFD-AEBA-78921587E0BF}"/>
    <cellStyle name="Input 42 21" xfId="20253" xr:uid="{5B7C9D71-4A43-43D6-9D25-27B274A362FE}"/>
    <cellStyle name="Input 42 22" xfId="29694" xr:uid="{1EE877F5-FF0C-4EA6-8E4D-71F309504B10}"/>
    <cellStyle name="Input 42 23" xfId="24884" xr:uid="{9AD9A83E-DA19-4A38-97A3-CD8C7EEC10D1}"/>
    <cellStyle name="Input 42 24" xfId="30932" xr:uid="{2C9107D9-002D-4927-AD60-67C42B680E76}"/>
    <cellStyle name="Input 42 25" xfId="29276" xr:uid="{D30588C2-2A43-4563-8725-ED1B3C1DBF8E}"/>
    <cellStyle name="Input 42 26" xfId="6235" xr:uid="{E1349971-1C72-42A1-B473-3107FAD1AAFA}"/>
    <cellStyle name="Input 42 3" xfId="8961" xr:uid="{032DEC4E-8C75-4FB2-B278-4DCD6517E892}"/>
    <cellStyle name="Input 42 4" xfId="9759" xr:uid="{CDFF3690-9CB1-4414-98E8-96BC63D70459}"/>
    <cellStyle name="Input 42 5" xfId="13257" xr:uid="{CB956B30-A3B9-4E22-9903-932074C269AD}"/>
    <cellStyle name="Input 42 6" xfId="9798" xr:uid="{8928D0D0-7D31-4876-8211-491D2758ECF9}"/>
    <cellStyle name="Input 42 7" xfId="16721" xr:uid="{A95AC274-A9FE-4E10-A433-1B2661ABD0E9}"/>
    <cellStyle name="Input 42 8" xfId="15302" xr:uid="{A9C13535-C1B6-4ED2-BA73-F5A5A285E888}"/>
    <cellStyle name="Input 42 9" xfId="19967" xr:uid="{77B2DAFB-E95C-4C05-810D-E59C24076AFB}"/>
    <cellStyle name="Input 43" xfId="2084" xr:uid="{BFEC6C4A-2ACA-4FD2-A103-9F38B6497C65}"/>
    <cellStyle name="Input 43 10" xfId="18370" xr:uid="{8EAE4481-3D08-45C6-9355-0FB91C328649}"/>
    <cellStyle name="Input 43 11" xfId="19990" xr:uid="{06D5BC2F-1E8D-4B28-AB73-12BD66C477EC}"/>
    <cellStyle name="Input 43 12" xfId="18353" xr:uid="{AF51C234-8224-46F1-8B87-403FCB25BF6D}"/>
    <cellStyle name="Input 43 13" xfId="22787" xr:uid="{8D75ACFC-FF1E-42D6-AD82-4E40CEAB5808}"/>
    <cellStyle name="Input 43 14" xfId="26552" xr:uid="{A0D005AD-926D-42B0-8C58-98FC1BACC249}"/>
    <cellStyle name="Input 43 15" xfId="27428" xr:uid="{2027D5ED-3FCB-4533-8251-CE01E620B93E}"/>
    <cellStyle name="Input 43 16" xfId="23220" xr:uid="{43B8E57F-73B7-4886-B05E-7652D66E001A}"/>
    <cellStyle name="Input 43 17" xfId="23016" xr:uid="{1FCC3070-CE7D-4E5F-ACCF-2AE4BD1C8D50}"/>
    <cellStyle name="Input 43 18" xfId="23805" xr:uid="{35342566-A506-4E9F-9396-FBFE3876F804}"/>
    <cellStyle name="Input 43 19" xfId="26160" xr:uid="{01FF1DBB-8747-402D-AEDC-05498502F962}"/>
    <cellStyle name="Input 43 2" xfId="8921" xr:uid="{BEA6B97C-DCE4-4558-88CB-E6BDC7789DA7}"/>
    <cellStyle name="Input 43 20" xfId="27363" xr:uid="{EDD76F9F-A526-42AD-BEBD-C3F33035854B}"/>
    <cellStyle name="Input 43 21" xfId="24483" xr:uid="{88D583AF-87E9-4E8B-AD78-CB51877A7DFC}"/>
    <cellStyle name="Input 43 22" xfId="20482" xr:uid="{31A763DF-C9A6-4DA3-928E-6EFDB02035F4}"/>
    <cellStyle name="Input 43 23" xfId="20407" xr:uid="{5FAC2FD8-1030-4EC5-A427-9437BC7EAB93}"/>
    <cellStyle name="Input 43 24" xfId="31058" xr:uid="{6EDD31D4-D646-48DF-8DD4-5E0482FEDAE2}"/>
    <cellStyle name="Input 43 25" xfId="31115" xr:uid="{BD4D9ABD-1766-4DBF-8CB5-A04FF735690B}"/>
    <cellStyle name="Input 43 26" xfId="6236" xr:uid="{E40E7136-AC26-4ACB-9DC5-D2694B05E941}"/>
    <cellStyle name="Input 43 3" xfId="8960" xr:uid="{0B6308E8-19E0-4468-8DC7-916E5B289082}"/>
    <cellStyle name="Input 43 4" xfId="13520" xr:uid="{7B603533-CC59-4C59-8E24-4EDD03310D97}"/>
    <cellStyle name="Input 43 5" xfId="10195" xr:uid="{8B54E365-8567-466E-8E09-8054C91D601F}"/>
    <cellStyle name="Input 43 6" xfId="17600" xr:uid="{07749844-5D6E-4BF2-8CFC-001080011980}"/>
    <cellStyle name="Input 43 7" xfId="20046" xr:uid="{DF7303CD-9A85-45B8-B135-110FB36D0A13}"/>
    <cellStyle name="Input 43 8" xfId="20819" xr:uid="{5C7C093A-DBAD-4998-A016-0E2FB0632F5A}"/>
    <cellStyle name="Input 43 9" xfId="18058" xr:uid="{BBB92441-2B65-4D32-B5E1-DC0CCFAC3BC9}"/>
    <cellStyle name="Input 44" xfId="93" xr:uid="{2633086B-3DC5-408B-A3F4-69C9D47C9323}"/>
    <cellStyle name="Input 44 10" xfId="19934" xr:uid="{C9CB1FE2-ACE9-414C-B254-FD7B08D27E27}"/>
    <cellStyle name="Input 44 11" xfId="13980" xr:uid="{52A4749B-340A-4281-8A24-574162AD5F55}"/>
    <cellStyle name="Input 44 12" xfId="19935" xr:uid="{B3905899-8F3C-4342-BD2B-CED9ED9D0B99}"/>
    <cellStyle name="Input 44 13" xfId="15849" xr:uid="{334903C9-038E-4B7B-AD81-E6182B7A8EC0}"/>
    <cellStyle name="Input 44 14" xfId="22461" xr:uid="{89E5D63A-EC0B-4185-8075-7C19D57363AA}"/>
    <cellStyle name="Input 44 15" xfId="20404" xr:uid="{4FFC2F2F-65DF-4E5C-9DD8-9D8F13A96A82}"/>
    <cellStyle name="Input 44 16" xfId="22386" xr:uid="{A558A2A3-1C1D-4A8C-8EEC-AB9ADE2F0B8F}"/>
    <cellStyle name="Input 44 17" xfId="26366" xr:uid="{E225C4A8-0752-49A9-A3B2-C21EA4802EFD}"/>
    <cellStyle name="Input 44 18" xfId="26939" xr:uid="{75B6DDC3-82AE-48D3-AE82-C4DA09A5A610}"/>
    <cellStyle name="Input 44 19" xfId="27323" xr:uid="{87E3FABA-9028-4A21-BB97-7FAF2C43B889}"/>
    <cellStyle name="Input 44 2" xfId="5939" xr:uid="{96229CA5-E89B-4875-81C0-473BA6903A36}"/>
    <cellStyle name="Input 44 2 2" xfId="8783" xr:uid="{43DFA142-0EC9-40E3-A91B-B97BA606D7FF}"/>
    <cellStyle name="Input 44 2 3" xfId="32912" xr:uid="{B11FDA9B-B9E9-4820-BEE8-E3DA38209D35}"/>
    <cellStyle name="Input 44 20" xfId="27248" xr:uid="{ECE66E5C-4284-4149-8754-FC5BB370A063}"/>
    <cellStyle name="Input 44 21" xfId="27270" xr:uid="{B0F2C1B2-5DFF-4057-B9F2-3607EB4148E0}"/>
    <cellStyle name="Input 44 22" xfId="24484" xr:uid="{E81D2DD1-EEB3-4800-8A9F-138A488E9728}"/>
    <cellStyle name="Input 44 23" xfId="18717" xr:uid="{3B09790F-3D5A-4743-B3B9-D95A4B9871D1}"/>
    <cellStyle name="Input 44 24" xfId="25376" xr:uid="{DF776855-8434-4AF2-8EC9-AC08D10BF0A2}"/>
    <cellStyle name="Input 44 25" xfId="23762" xr:uid="{84AAB7A2-6155-4C9A-B741-E275CBFD3BC3}"/>
    <cellStyle name="Input 44 26" xfId="26703" xr:uid="{0ADCC704-F427-4B60-801D-5B1708A53ACC}"/>
    <cellStyle name="Input 44 27" xfId="31331" xr:uid="{453DE8EB-AB24-44C3-A9AB-83F103D1B760}"/>
    <cellStyle name="Input 44 3" xfId="8965" xr:uid="{14256550-ADD3-4966-B67F-41D7F0B71B6C}"/>
    <cellStyle name="Input 44 4" xfId="9002" xr:uid="{00DDEFC5-8ED1-4DFD-8597-835679BF1C33}"/>
    <cellStyle name="Input 44 5" xfId="9673" xr:uid="{FDBD2764-FAE5-4E7B-93C4-8BEBC9F9491F}"/>
    <cellStyle name="Input 44 6" xfId="13236" xr:uid="{4DF3E0EE-9ADF-4823-88C2-B49ADE137D67}"/>
    <cellStyle name="Input 44 7" xfId="9675" xr:uid="{50554CEB-46B7-41D5-8ABE-794241C16F74}"/>
    <cellStyle name="Input 44 8" xfId="10179" xr:uid="{C7226B42-F409-4748-9589-2CAF57D8F302}"/>
    <cellStyle name="Input 44 9" xfId="9824" xr:uid="{AB459CD4-E887-4AC8-B32E-4895C07E1DB2}"/>
    <cellStyle name="Input 45" xfId="2039" xr:uid="{E1FBF361-AB5F-450B-86BB-8849B002AE11}"/>
    <cellStyle name="Input 45 2" xfId="6963" xr:uid="{09FCB294-1AE0-4E6F-A2B1-F1EDE665C1B8}"/>
    <cellStyle name="Input 46" xfId="5951" xr:uid="{0A095684-C279-40EB-A264-BB3C0A8D859E}"/>
    <cellStyle name="Input 46 2" xfId="12320" xr:uid="{32FA1F57-471E-4598-BADE-D6061A8C2BC5}"/>
    <cellStyle name="Input 47" xfId="6004" xr:uid="{A9CCBB8D-639B-47F3-9964-4DC4C6C7B59B}"/>
    <cellStyle name="Input 47 2" xfId="13582" xr:uid="{9D2F63E1-E4A5-4351-B081-59C0ABF64FD6}"/>
    <cellStyle name="Input 48" xfId="5952" xr:uid="{7806149E-D06F-4C3B-AAB9-FF6E697FCC5F}"/>
    <cellStyle name="Input 48 2" xfId="13804" xr:uid="{EE500B83-F721-46AB-A848-85015745BA39}"/>
    <cellStyle name="Input 49" xfId="6003" xr:uid="{FAF091E9-F8E9-47E9-99EA-C5F7DE00DF11}"/>
    <cellStyle name="Input 49 2" xfId="13613" xr:uid="{8BDA8629-4E5B-403A-B11D-095596A4A352}"/>
    <cellStyle name="Input 5" xfId="2085" xr:uid="{967FE102-F53A-4813-B760-D651C4A9F46D}"/>
    <cellStyle name="Input 5 10" xfId="21994" xr:uid="{186BC94C-9B9D-46EB-84C2-83CA3AD96200}"/>
    <cellStyle name="Input 5 11" xfId="23328" xr:uid="{2C1A9D8D-BB2C-4510-B3E1-7B6AF3084197}"/>
    <cellStyle name="Input 5 12" xfId="24131" xr:uid="{6CDADE24-6AD1-43A9-9B42-EFF9170C1CC6}"/>
    <cellStyle name="Input 5 13" xfId="16070" xr:uid="{95A694F1-2C05-4121-B404-B7A42FE7DF81}"/>
    <cellStyle name="Input 5 14" xfId="26368" xr:uid="{A5C9E9F4-587F-455C-9619-825DBE23C36D}"/>
    <cellStyle name="Input 5 15" xfId="22997" xr:uid="{0A61DACA-2B4A-4526-8ED3-36F5E2F77338}"/>
    <cellStyle name="Input 5 16" xfId="27972" xr:uid="{5A75BF92-A257-46D3-9059-4C4B4D93EAF0}"/>
    <cellStyle name="Input 5 17" xfId="28697" xr:uid="{644AF160-7D53-4E0B-A69D-579E104AC5FD}"/>
    <cellStyle name="Input 5 18" xfId="26204" xr:uid="{AE84B28F-9240-4DA4-A256-9EC26329C93B}"/>
    <cellStyle name="Input 5 19" xfId="27266" xr:uid="{AE2A0A4E-1888-415B-B304-EF947BA434C2}"/>
    <cellStyle name="Input 5 2" xfId="8920" xr:uid="{FC256890-F9FC-48F8-8E0A-E69EE0E49643}"/>
    <cellStyle name="Input 5 20" xfId="22241" xr:uid="{F45FCBF1-9172-4998-961C-5DA0ECAEAB4F}"/>
    <cellStyle name="Input 5 21" xfId="24850" xr:uid="{A50172E5-2325-405D-8414-19D4CF0A1252}"/>
    <cellStyle name="Input 5 22" xfId="26468" xr:uid="{E20FAEF0-4FF4-410A-820A-56CA3A343FFF}"/>
    <cellStyle name="Input 5 23" xfId="30780" xr:uid="{76D718E4-CD4E-4CF0-B022-3A7D4449CADD}"/>
    <cellStyle name="Input 5 24" xfId="30948" xr:uid="{3F375501-F822-4F1B-B905-F8E0DBA2B297}"/>
    <cellStyle name="Input 5 25" xfId="23175" xr:uid="{BBCE2B73-57D9-4D31-B586-C5F09A64CD66}"/>
    <cellStyle name="Input 5 26" xfId="6237" xr:uid="{26137F31-BE68-4F97-8786-D55B06CC4569}"/>
    <cellStyle name="Input 5 3" xfId="14331" xr:uid="{4330804B-53B8-413B-B58D-6C70695C2EE5}"/>
    <cellStyle name="Input 5 4" xfId="9760" xr:uid="{CB367C7C-5E9D-45A7-A616-CF8578EC2187}"/>
    <cellStyle name="Input 5 5" xfId="16731" xr:uid="{C26CFC63-D63D-49F7-B620-1AE7514BF5A8}"/>
    <cellStyle name="Input 5 6" xfId="9799" xr:uid="{0470BCAA-D614-4012-B1CC-DA8F5E7CF870}"/>
    <cellStyle name="Input 5 7" xfId="16724" xr:uid="{590035E4-230E-4FC8-B328-B0C42C6B48AD}"/>
    <cellStyle name="Input 5 8" xfId="9843" xr:uid="{04037320-7D4D-4322-B103-8F9EB513E600}"/>
    <cellStyle name="Input 5 9" xfId="19968" xr:uid="{465DACAD-735E-4322-A818-EF1B10C4B4F7}"/>
    <cellStyle name="Input 50" xfId="5988" xr:uid="{7432F464-EF0E-42CC-9831-B97F35831FC6}"/>
    <cellStyle name="Input 50 2" xfId="15424" xr:uid="{A8713AB9-E020-4F7F-BDF5-8459E07103D9}"/>
    <cellStyle name="Input 51" xfId="6016" xr:uid="{5C3C0804-4DDC-45A0-A737-6F05433F5225}"/>
    <cellStyle name="Input 51 2" xfId="15698" xr:uid="{7B44C537-29E2-4AE3-AA1D-677FA9FF7458}"/>
    <cellStyle name="Input 52" xfId="5989" xr:uid="{E42EEE52-2A50-4316-B0CA-62C77BFA0CA5}"/>
    <cellStyle name="Input 52 2" xfId="16199" xr:uid="{AABC2711-235D-48DB-8095-40B8C7B6149A}"/>
    <cellStyle name="Input 53" xfId="6002" xr:uid="{6F7AEFE6-DA0C-4383-9DCB-53B076315464}"/>
    <cellStyle name="Input 53 2" xfId="17818" xr:uid="{924AA3B6-2D82-4A53-9BFC-48F1AD2F427E}"/>
    <cellStyle name="Input 54" xfId="18665" xr:uid="{561DF1DC-5A8F-4BD2-9FAE-D5143E72FA62}"/>
    <cellStyle name="Input 55" xfId="18763" xr:uid="{EAE7F6C4-CBE1-4075-AF99-B56D71D92982}"/>
    <cellStyle name="Input 56" xfId="17891" xr:uid="{F5376803-06EB-4564-A79A-D55A084F125E}"/>
    <cellStyle name="Input 57" xfId="21031" xr:uid="{D96AD2BD-2552-4976-A074-3F1DC47A66F1}"/>
    <cellStyle name="Input 58" xfId="21139" xr:uid="{938EA863-7B6E-4184-9E6C-9B66BA40BFDE}"/>
    <cellStyle name="Input 59" xfId="21978" xr:uid="{F9669C57-15F9-4FA6-ADDC-15E0169EB4AC}"/>
    <cellStyle name="Input 6" xfId="2086" xr:uid="{26CD3B1D-F9AB-47C6-B5E8-92550E3FACC1}"/>
    <cellStyle name="Input 6 10" xfId="16338" xr:uid="{49C9BA07-5858-42D4-9789-372A1673C68B}"/>
    <cellStyle name="Input 6 11" xfId="17682" xr:uid="{0D1E663D-C88E-4477-B79D-9DC4C1F21147}"/>
    <cellStyle name="Input 6 12" xfId="15822" xr:uid="{D8A3EAAF-C8F4-458F-9395-902D39AC0C7F}"/>
    <cellStyle name="Input 6 13" xfId="22459" xr:uid="{EC72433E-64DD-4699-92DC-05414B754B06}"/>
    <cellStyle name="Input 6 14" xfId="22974" xr:uid="{B471E25B-7D03-4935-9930-A15C157CA2F9}"/>
    <cellStyle name="Input 6 15" xfId="16152" xr:uid="{9D2C0953-C043-4F0D-B4BA-1BC669941B5B}"/>
    <cellStyle name="Input 6 16" xfId="18830" xr:uid="{767D7249-F93F-4076-9DEA-7013E5A5C7B0}"/>
    <cellStyle name="Input 6 17" xfId="22405" xr:uid="{D7C6F1AF-E521-4575-919B-B148EEE0DC82}"/>
    <cellStyle name="Input 6 18" xfId="23806" xr:uid="{2C59A0E2-3770-4FC3-95A3-12C5BD3CD43A}"/>
    <cellStyle name="Input 6 19" xfId="23770" xr:uid="{46640985-E434-4FEA-A7CD-5E866065D0CF}"/>
    <cellStyle name="Input 6 2" xfId="8919" xr:uid="{AFCAF688-29A0-4E46-9FAD-170EC76293CA}"/>
    <cellStyle name="Input 6 20" xfId="30043" xr:uid="{5509336B-FE96-4F4B-9421-E4B2817D66C0}"/>
    <cellStyle name="Input 6 21" xfId="22931" xr:uid="{A2FBC3C9-A4F9-4673-B035-B4E276C9A8B0}"/>
    <cellStyle name="Input 6 22" xfId="23179" xr:uid="{E48E3FFF-7668-488F-903C-6A6B888D2A97}"/>
    <cellStyle name="Input 6 23" xfId="24885" xr:uid="{B6DBE3DC-5A0D-465B-8754-F54ECD114078}"/>
    <cellStyle name="Input 6 24" xfId="25637" xr:uid="{FEDA9CD5-D1AA-4274-B9E5-9526B8D4D7E5}"/>
    <cellStyle name="Input 6 25" xfId="27949" xr:uid="{AB632F35-7D53-426A-9296-4BFFE410B0EC}"/>
    <cellStyle name="Input 6 26" xfId="6238" xr:uid="{3260ECAA-396F-4931-8D20-0CEFEEE43BD1}"/>
    <cellStyle name="Input 6 3" xfId="8959" xr:uid="{E5699927-AF32-4E7B-BD62-7881E35CA38C}"/>
    <cellStyle name="Input 6 4" xfId="9761" xr:uid="{A3428A28-2B8C-41BA-85D2-FB72D8C698A8}"/>
    <cellStyle name="Input 6 5" xfId="13258" xr:uid="{DA72EFB8-43AA-43D7-BD54-9038EEF29FDE}"/>
    <cellStyle name="Input 6 6" xfId="9800" xr:uid="{F6752354-857D-405C-B873-7A34C8EB6DC2}"/>
    <cellStyle name="Input 6 7" xfId="13329" xr:uid="{9EF35B7F-8627-46A0-B674-E9421FD86854}"/>
    <cellStyle name="Input 6 8" xfId="9844" xr:uid="{787F3263-1BFC-4C7B-8952-F6AC5DDAB9DF}"/>
    <cellStyle name="Input 6 9" xfId="15751" xr:uid="{16E30107-B58F-429A-B72D-78F849F8B667}"/>
    <cellStyle name="Input 60" xfId="22245" xr:uid="{6133C66A-7CB9-482A-9D13-0B316603C777}"/>
    <cellStyle name="Input 61" xfId="22809" xr:uid="{803A0E5A-092B-49D8-8312-AF967D0A6AD8}"/>
    <cellStyle name="Input 62" xfId="23644" xr:uid="{B176FABD-536B-469F-B657-8170A98B15E3}"/>
    <cellStyle name="Input 63" xfId="24411" xr:uid="{6758E9B4-BF28-4094-B9C3-5F6C25D8D91F}"/>
    <cellStyle name="Input 64" xfId="25892" xr:uid="{C27DED29-C715-4699-A0D1-99163046D672}"/>
    <cellStyle name="Input 65" xfId="23696" xr:uid="{48B9DA68-7BB1-453C-8FD6-C3B9AAE527F1}"/>
    <cellStyle name="Input 66" xfId="25245" xr:uid="{A2924D96-0BA5-422F-99F4-46AECE5273ED}"/>
    <cellStyle name="Input 67" xfId="25993" xr:uid="{0ADE1E26-59F5-448C-80D1-3FE094F24B8B}"/>
    <cellStyle name="Input 68" xfId="27606" xr:uid="{1658755D-0393-4B6E-962E-9FC9E10A8D03}"/>
    <cellStyle name="Input 69" xfId="27631" xr:uid="{A8783D03-8229-45E5-9CE2-7CA796E37FD4}"/>
    <cellStyle name="Input 7" xfId="2087" xr:uid="{B3A47BDA-1F8E-4E12-9A9A-B09A7AFC8755}"/>
    <cellStyle name="Input 7 10" xfId="18369" xr:uid="{4FD5D658-90E1-46BE-BB60-D3258F47EF15}"/>
    <cellStyle name="Input 7 11" xfId="19991" xr:uid="{812E76BF-49CA-44B6-AEAE-521D82A16932}"/>
    <cellStyle name="Input 7 12" xfId="18352" xr:uid="{4D8C631C-01AE-434B-824D-5B620DCCFA53}"/>
    <cellStyle name="Input 7 13" xfId="25255" xr:uid="{A8EE33AD-DEDF-42A8-8C92-7969658E3033}"/>
    <cellStyle name="Input 7 14" xfId="22385" xr:uid="{B9EAD751-81C8-4267-A771-0E425024B740}"/>
    <cellStyle name="Input 7 15" xfId="27427" xr:uid="{B82E76FA-CE0B-408F-88BF-CDE641EA816C}"/>
    <cellStyle name="Input 7 16" xfId="23219" xr:uid="{B700D065-9E0F-4FA9-9997-1B1436CA2FCB}"/>
    <cellStyle name="Input 7 17" xfId="23017" xr:uid="{9B822910-5B89-42C6-8C43-635323B3A215}"/>
    <cellStyle name="Input 7 18" xfId="27358" xr:uid="{1BF629AF-EC23-4001-A9EA-20D91EDB74A7}"/>
    <cellStyle name="Input 7 19" xfId="27267" xr:uid="{EFFDA07F-668A-46B4-BA18-15C74F0853C5}"/>
    <cellStyle name="Input 7 2" xfId="8918" xr:uid="{3EE00E63-45A6-4DCF-B460-453B97C77DC0}"/>
    <cellStyle name="Input 7 20" xfId="29870" xr:uid="{6E303362-EF37-45C6-82FC-0D66B1D6A3D3}"/>
    <cellStyle name="Input 7 21" xfId="24851" xr:uid="{48E95897-E8E1-4585-BEB0-D04E4EBDC881}"/>
    <cellStyle name="Input 7 22" xfId="27959" xr:uid="{F639BC82-A50C-46B5-8D07-DDDD5610504A}"/>
    <cellStyle name="Input 7 23" xfId="25926" xr:uid="{01D156B7-E3BD-4CC6-BEC1-B680027F5E94}"/>
    <cellStyle name="Input 7 24" xfId="28517" xr:uid="{3E1D03F3-9E90-4267-81B5-CCAAC43C6EC7}"/>
    <cellStyle name="Input 7 25" xfId="31114" xr:uid="{EC4B52AA-AB9A-4328-BCC2-77A6F5FDF077}"/>
    <cellStyle name="Input 7 26" xfId="6239" xr:uid="{E4BDC3A9-9E84-4229-BE71-C6A0A2202955}"/>
    <cellStyle name="Input 7 3" xfId="8915" xr:uid="{0833FFC7-2AAB-4C11-9023-A48D8D1D886C}"/>
    <cellStyle name="Input 7 4" xfId="15441" xr:uid="{A19F50DD-4826-431C-BD33-875B38D8F780}"/>
    <cellStyle name="Input 7 5" xfId="10194" xr:uid="{D992E3FC-19DA-407F-9CF3-BECB83B7CBF7}"/>
    <cellStyle name="Input 7 6" xfId="17599" xr:uid="{5A9C05C2-C2BE-47EC-8A60-C1301B64B6D3}"/>
    <cellStyle name="Input 7 7" xfId="20042" xr:uid="{755D69C8-7189-4E8A-A345-5CA2868D1119}"/>
    <cellStyle name="Input 7 8" xfId="20818" xr:uid="{2C71B72B-34ED-48D5-B1C2-AC11BD8AE3E0}"/>
    <cellStyle name="Input 7 9" xfId="19969" xr:uid="{5F0EE631-C0AE-4935-BEB1-1A3F00DB773F}"/>
    <cellStyle name="Input 70" xfId="28232" xr:uid="{DF20EA7E-0811-4CD3-82BA-646F4B9A559A}"/>
    <cellStyle name="Input 71" xfId="28957" xr:uid="{1DF8F1A7-D1B4-4332-9787-A1A6FAD436FB}"/>
    <cellStyle name="Input 72" xfId="29506" xr:uid="{768E4483-58E0-41A8-A3E2-6AE6E87C8A63}"/>
    <cellStyle name="Input 73" xfId="25601" xr:uid="{C31E3920-BD10-4C71-AF6A-BF8873D03B29}"/>
    <cellStyle name="Input 74" xfId="29103" xr:uid="{D4BFB1CD-0627-4859-91A5-D36D03A3DEF2}"/>
    <cellStyle name="Input 75" xfId="30117" xr:uid="{8582BE94-E0D6-4EB2-AF23-D2558E8AED4B}"/>
    <cellStyle name="Input 76" xfId="29876" xr:uid="{DF5AF65D-7BB3-414F-8EC2-DE3B3330A403}"/>
    <cellStyle name="Input 77" xfId="27728" xr:uid="{1EC5F077-9EAB-4E1F-98D5-09855432D19B}"/>
    <cellStyle name="Input 78" xfId="30148" xr:uid="{BF18FD3D-6888-48CD-A20F-156763D7C73A}"/>
    <cellStyle name="Input 79" xfId="30184" xr:uid="{E5BD3CE5-E22F-44BD-9CBD-730D513DE768}"/>
    <cellStyle name="Input 8" xfId="2088" xr:uid="{931B8309-ACE3-45FC-B4DD-4E33A81CA5A3}"/>
    <cellStyle name="Input 8 10" xfId="20231" xr:uid="{CCDD2B72-8032-40FD-B8C9-19606516D958}"/>
    <cellStyle name="Input 8 11" xfId="23327" xr:uid="{2242146A-9600-4C5A-B9CA-3C0DB81D9CD0}"/>
    <cellStyle name="Input 8 12" xfId="24130" xr:uid="{C90DA864-A935-4617-91DC-B8755E4616B3}"/>
    <cellStyle name="Input 8 13" xfId="19081" xr:uid="{B0BF64F7-90C0-4ADC-A822-131EF609278B}"/>
    <cellStyle name="Input 8 14" xfId="22975" xr:uid="{43543B88-668D-4FDF-AACD-6579DE1CA28E}"/>
    <cellStyle name="Input 8 15" xfId="20419" xr:uid="{CB2DC124-0594-4393-A17E-70A04D91D7CC}"/>
    <cellStyle name="Input 8 16" xfId="27971" xr:uid="{E802CC42-AC82-450E-805F-7A2CF2A66FBE}"/>
    <cellStyle name="Input 8 17" xfId="28696" xr:uid="{41EC074B-3BB6-425A-AA50-2E7A66BE33F5}"/>
    <cellStyle name="Input 8 18" xfId="26205" xr:uid="{BDFF3140-6788-43F3-82DB-2C01AECCB960}"/>
    <cellStyle name="Input 8 19" xfId="26795" xr:uid="{DB474BCE-F640-47B2-BAE2-3CA77E1C4B11}"/>
    <cellStyle name="Input 8 2" xfId="8917" xr:uid="{E2F59D17-6377-4169-A1FE-AD802D46CEE2}"/>
    <cellStyle name="Input 8 20" xfId="27364" xr:uid="{7F744492-7FD1-4E53-BBC7-0849EB06359C}"/>
    <cellStyle name="Input 8 21" xfId="24852" xr:uid="{FEF96618-05CE-45D5-9EDA-BF90D92DF2C9}"/>
    <cellStyle name="Input 8 22" xfId="29812" xr:uid="{9CD7FB42-5449-4249-A5FB-E02546E347CA}"/>
    <cellStyle name="Input 8 23" xfId="30779" xr:uid="{3B57FE65-E900-4345-898D-BBF18EC9C355}"/>
    <cellStyle name="Input 8 24" xfId="28031" xr:uid="{36DBADA3-F708-47CF-A375-CAC4CDA46CA7}"/>
    <cellStyle name="Input 8 25" xfId="28890" xr:uid="{C6ACE6D9-F0E8-48E9-A53E-7743A562B626}"/>
    <cellStyle name="Input 8 26" xfId="6240" xr:uid="{971BD5C8-F80B-4BAA-B388-1F90C90525D6}"/>
    <cellStyle name="Input 8 3" xfId="14330" xr:uid="{9B120876-F51E-4206-AD4A-A3C6DE5C5C50}"/>
    <cellStyle name="Input 8 4" xfId="9762" xr:uid="{0B72159F-6BD3-47F3-B59E-FABCD0BC9242}"/>
    <cellStyle name="Input 8 5" xfId="16730" xr:uid="{63E34FD7-B1A6-4F4C-8C9B-F98FE5F7FB52}"/>
    <cellStyle name="Input 8 6" xfId="9801" xr:uid="{68BE8980-BBC0-48BA-BA2E-752FA8981D15}"/>
    <cellStyle name="Input 8 7" xfId="16723" xr:uid="{9DE8BC73-1D64-44C7-9BBA-C16654650C2E}"/>
    <cellStyle name="Input 8 8" xfId="9845" xr:uid="{F30AE263-A4AF-4A7A-A4D8-C79D33532184}"/>
    <cellStyle name="Input 8 9" xfId="18059" xr:uid="{004549CB-2182-4A13-A8F3-3D3F91645361}"/>
    <cellStyle name="Input 80" xfId="30595" xr:uid="{1BF31C5F-D49C-4F46-A95C-AA709F169475}"/>
    <cellStyle name="Input 81" xfId="30923" xr:uid="{2518F049-64C0-43CE-AF39-CA6B5DA4C8A4}"/>
    <cellStyle name="Input 82" xfId="31211" xr:uid="{EC3E7E55-CD65-4897-A110-45EBC366F7D1}"/>
    <cellStyle name="Input 83" xfId="6197" xr:uid="{DD4A254B-C73E-498F-B94D-C23884AE5E4B}"/>
    <cellStyle name="Input 84" xfId="6685" xr:uid="{B04C4BD0-6ADC-419E-B5C4-1B01B9A7C3BE}"/>
    <cellStyle name="Input 9" xfId="2089" xr:uid="{D877E48F-2536-45A7-AFB9-C0821EA03462}"/>
    <cellStyle name="Input 9 10" xfId="15827" xr:uid="{ED44886D-B267-446C-8200-B347F57EE0B7}"/>
    <cellStyle name="Input 9 11" xfId="18070" xr:uid="{8CF33E04-F65B-4F61-A49F-2884900A8A6D}"/>
    <cellStyle name="Input 9 12" xfId="12604" xr:uid="{FE875644-0A26-4663-AB63-307C0EC05581}"/>
    <cellStyle name="Input 9 13" xfId="17141" xr:uid="{B11AEB55-AE12-4892-A9C7-6F5DFC0C4899}"/>
    <cellStyle name="Input 9 14" xfId="18787" xr:uid="{F910724E-F6D0-4704-BDA3-D6E3A5A97573}"/>
    <cellStyle name="Input 9 15" xfId="22388" xr:uid="{292F3F7A-42B9-494C-83FE-18A05F618F93}"/>
    <cellStyle name="Input 9 16" xfId="20503" xr:uid="{49D9A910-3C72-44FB-82AB-143276D06117}"/>
    <cellStyle name="Input 9 17" xfId="16919" xr:uid="{468248B7-BE96-4379-88EA-9428E307071E}"/>
    <cellStyle name="Input 9 18" xfId="27359" xr:uid="{01887AA8-656C-47E4-9D87-82376D361C94}"/>
    <cellStyle name="Input 9 19" xfId="27268" xr:uid="{44D867E9-3998-4F25-AB75-45FFABFBAFA0}"/>
    <cellStyle name="Input 9 2" xfId="8916" xr:uid="{0709DEEB-5D3D-452B-8D4B-F499E08B1870}"/>
    <cellStyle name="Input 9 20" xfId="29661" xr:uid="{07181974-FA76-492E-A91B-DC7D1780D8C7}"/>
    <cellStyle name="Input 9 21" xfId="24867" xr:uid="{ACC28BCE-290F-46D2-B83D-F307D065E7A8}"/>
    <cellStyle name="Input 9 22" xfId="27961" xr:uid="{DDA7955B-8FCE-426D-B316-5EC14075A977}"/>
    <cellStyle name="Input 9 23" xfId="25502" xr:uid="{4C6AFE94-3BF2-407C-AFFC-B5F3C1932421}"/>
    <cellStyle name="Input 9 24" xfId="28518" xr:uid="{16EBAC70-B1B5-4FF8-9452-C7871DAAF10F}"/>
    <cellStyle name="Input 9 25" xfId="29280" xr:uid="{8F002703-A299-422D-967C-32C25812A323}"/>
    <cellStyle name="Input 9 26" xfId="6241" xr:uid="{9C2FC147-5098-45B3-AD62-4EC2C2416481}"/>
    <cellStyle name="Input 9 3" xfId="8914" xr:uid="{E38A84C3-A6B0-4070-B092-25DEC9B1EE53}"/>
    <cellStyle name="Input 9 4" xfId="9763" xr:uid="{028D8BA3-349F-470B-8BE7-C90337CC25D8}"/>
    <cellStyle name="Input 9 5" xfId="13259" xr:uid="{39944098-C100-43E9-96DB-AD81C05894BB}"/>
    <cellStyle name="Input 9 6" xfId="9802" xr:uid="{01146409-DECD-48BE-BAA5-65720F6C3553}"/>
    <cellStyle name="Input 9 7" xfId="20045" xr:uid="{4BE47B00-8889-40A0-A7E7-981B572E6C7A}"/>
    <cellStyle name="Input 9 8" xfId="9846" xr:uid="{DF93E3BA-5AC2-4E7A-AC1B-3A000573212D}"/>
    <cellStyle name="Input 9 9" xfId="19970" xr:uid="{7A7286B5-329D-4FB3-A1D1-913DA5F80FFF}"/>
    <cellStyle name="Investor Relations Template" xfId="2090" xr:uid="{985E775C-D692-44FA-B27F-8486B44C57F8}"/>
    <cellStyle name="Investor Relations Template 2" xfId="2091" xr:uid="{C5BDFEBD-019B-472D-AB1B-2FFD9C2B255F}"/>
    <cellStyle name="Investor Relations Template 2 2" xfId="2092" xr:uid="{7FDB10AD-BE1A-4DF1-A27F-B4823FB10D90}"/>
    <cellStyle name="Investor Relations Template 3" xfId="2093" xr:uid="{B0E87383-1DFE-41C1-839B-870BD45927A2}"/>
    <cellStyle name="Investor Relations Template 3 2" xfId="2094" xr:uid="{CEDE090D-AC16-4CCB-BEE3-00A80961A65C}"/>
    <cellStyle name="Investor Relations Template 4" xfId="2095" xr:uid="{4D527A20-80E6-49B9-BFC7-CDDA9E144EA0}"/>
    <cellStyle name="Investor Relations Template 4 2" xfId="2096" xr:uid="{22AE0FC0-6B52-4C63-A658-BB2F3071C09E}"/>
    <cellStyle name="Investor Relations Template 5" xfId="2097" xr:uid="{4BB80354-C282-4BE8-8791-5740A752B7CC}"/>
    <cellStyle name="Investor Relations Template 5 2" xfId="2098" xr:uid="{DEBB722F-710A-497D-BF7E-59A9DC98CAA6}"/>
    <cellStyle name="Investor Relations Template 6" xfId="2099" xr:uid="{6EA4E2A0-1173-4D46-88D0-5BE04630A518}"/>
    <cellStyle name="Investor Relations Template 6 2" xfId="2100" xr:uid="{AECA1378-8058-4B8B-9507-BC09C8DA95D0}"/>
    <cellStyle name="Investor Relations Template 7" xfId="2101" xr:uid="{61638ED2-44B8-48C2-97FE-D07ED813F2F7}"/>
    <cellStyle name="Investor Relations Template 7 2" xfId="2102" xr:uid="{E952D1D5-230E-48B7-A339-33AC6E63F5F6}"/>
    <cellStyle name="Investor Relations Template 8" xfId="2103" xr:uid="{6A0FA9D5-C68E-494F-AD61-2370FBE58E07}"/>
    <cellStyle name="Investor Relations Template 8 2" xfId="2104" xr:uid="{9228FD6C-0918-4D76-8FF6-C3D7CA01ADCD}"/>
    <cellStyle name="Investor Relations Template 9" xfId="2105" xr:uid="{872BB477-1BA7-49A3-992A-1427628D2EEB}"/>
    <cellStyle name="IR column headings" xfId="2106" xr:uid="{61801DD2-BC49-4D35-B49A-622099FC6CA8}"/>
    <cellStyle name="IR column headings 10" xfId="2107" xr:uid="{8A703292-E99B-4528-98B3-7DCEC13E78E9}"/>
    <cellStyle name="IR column headings 10 2" xfId="5954" xr:uid="{557A2329-AAF9-4CCF-9C02-1B73F1BECC91}"/>
    <cellStyle name="IR column headings 10 3" xfId="8898" xr:uid="{E5F4AF70-5AE8-4100-A3E3-C9D1BFD44B21}"/>
    <cellStyle name="IR column headings 11" xfId="5953" xr:uid="{65578C91-6260-4D77-8E41-174EB4D9CAE8}"/>
    <cellStyle name="IR column headings 12" xfId="8899" xr:uid="{846CDE71-6798-4B03-B640-3E3FA6CA5B27}"/>
    <cellStyle name="IR column headings 2" xfId="2108" xr:uid="{07181E34-9B21-4209-B013-3D642F254210}"/>
    <cellStyle name="IR column headings 2 2" xfId="2109" xr:uid="{C3C854CB-E6CD-422E-A9AF-5D65620DB0EA}"/>
    <cellStyle name="IR column headings 2 2 2" xfId="2110" xr:uid="{AC6B6996-AED3-4629-BF25-7E0A881CEAD2}"/>
    <cellStyle name="IR column headings 2 2 2 2" xfId="5957" xr:uid="{CE919F35-453D-4779-BF2B-8308B1EA6866}"/>
    <cellStyle name="IR column headings 2 2 2 3" xfId="8895" xr:uid="{33824E75-8977-459C-8406-F0E0BB023FD1}"/>
    <cellStyle name="IR column headings 2 2 3" xfId="5956" xr:uid="{2FAFCE4A-90A3-4AA6-A20E-7A3292BE132B}"/>
    <cellStyle name="IR column headings 2 2 4" xfId="8896" xr:uid="{32B91022-9C4D-45E6-8FBA-A4BA00ED8608}"/>
    <cellStyle name="IR column headings 2 3" xfId="2111" xr:uid="{B7C6D033-3BFD-4A31-9F78-6B615CC7DA5C}"/>
    <cellStyle name="IR column headings 2 3 2" xfId="5958" xr:uid="{BFC19AC0-0ECC-4FE6-A61B-CD8D74A1EE8D}"/>
    <cellStyle name="IR column headings 2 3 3" xfId="8894" xr:uid="{5981C249-35BA-4495-BF75-70A0306882E7}"/>
    <cellStyle name="IR column headings 2 4" xfId="2112" xr:uid="{F68FFF6F-DD30-4289-B9D8-D1BDBB11234E}"/>
    <cellStyle name="IR column headings 2 4 2" xfId="5959" xr:uid="{157C63B3-8B62-49C6-B833-20084A132EBE}"/>
    <cellStyle name="IR column headings 2 4 3" xfId="8893" xr:uid="{12ABEF10-44B5-4394-935B-57C1EC22E4EC}"/>
    <cellStyle name="IR column headings 2 5" xfId="5955" xr:uid="{F37A2749-12ED-4513-8D28-69257082C3D2}"/>
    <cellStyle name="IR column headings 2 6" xfId="8897" xr:uid="{75F0ACD0-2374-4BEB-879E-3807396AFEB4}"/>
    <cellStyle name="IR column headings 3" xfId="2113" xr:uid="{C8539AC6-2689-483C-AE1C-E8AF02844107}"/>
    <cellStyle name="IR column headings 3 2" xfId="2114" xr:uid="{3B2EBD58-E8A9-4AEE-B9B2-5CAFB5882E9F}"/>
    <cellStyle name="IR column headings 3 2 2" xfId="2115" xr:uid="{60279BA9-F9F4-43F9-82F8-49A921F9C3FA}"/>
    <cellStyle name="IR column headings 3 2 2 2" xfId="5962" xr:uid="{41FD6E40-49B6-4EA9-BDB3-366E5D75ABF1}"/>
    <cellStyle name="IR column headings 3 2 2 3" xfId="8890" xr:uid="{969587A0-DA65-4BD2-B4A5-9C7541016A59}"/>
    <cellStyle name="IR column headings 3 2 3" xfId="5961" xr:uid="{784CCD0D-BC26-465F-BB9E-F2EA43C0F2C1}"/>
    <cellStyle name="IR column headings 3 2 4" xfId="8891" xr:uid="{97D0EAA2-8E56-4233-91C9-B64B7EE1E46E}"/>
    <cellStyle name="IR column headings 3 3" xfId="2116" xr:uid="{06FC8B4E-AB0F-4958-9C4F-E8371DAC0B8C}"/>
    <cellStyle name="IR column headings 3 3 2" xfId="5963" xr:uid="{BF201F71-706C-4825-B0BF-F6B9CE331538}"/>
    <cellStyle name="IR column headings 3 3 3" xfId="8889" xr:uid="{CCB7D796-33AB-4D96-B84C-A27F78AF9BC3}"/>
    <cellStyle name="IR column headings 3 4" xfId="2117" xr:uid="{06FE3763-FEA3-4044-9A8D-24E8D9EAEEDB}"/>
    <cellStyle name="IR column headings 3 4 2" xfId="5964" xr:uid="{5BE4E5C0-0B5D-45C8-B67C-CF7CA3A18CD5}"/>
    <cellStyle name="IR column headings 3 4 3" xfId="8888" xr:uid="{6C8EDFCE-89FC-424F-BF24-85803CB53039}"/>
    <cellStyle name="IR column headings 3 5" xfId="5960" xr:uid="{2B8941CB-16D6-459F-9595-3BEA0098F0CB}"/>
    <cellStyle name="IR column headings 3 6" xfId="8892" xr:uid="{11ABD00F-B0A7-4E97-A1FF-F109E1A82993}"/>
    <cellStyle name="IR column headings 4" xfId="2118" xr:uid="{D595F1E2-5018-4D05-8A7A-4136B36987A8}"/>
    <cellStyle name="IR column headings 4 2" xfId="2119" xr:uid="{8A5475C7-6F28-4A7C-8890-A03A23498438}"/>
    <cellStyle name="IR column headings 4 2 2" xfId="2120" xr:uid="{B866666D-A41D-4C0E-A954-D7C7295D3EDF}"/>
    <cellStyle name="IR column headings 4 2 2 2" xfId="5967" xr:uid="{C9F1BA67-4F8D-4898-802D-CA07ACC67D97}"/>
    <cellStyle name="IR column headings 4 2 2 3" xfId="8885" xr:uid="{D161DB3B-FE62-4B57-8FF9-4318EA09814B}"/>
    <cellStyle name="IR column headings 4 2 3" xfId="5966" xr:uid="{83FD3073-4BE1-4BBF-893F-1054201B6DEA}"/>
    <cellStyle name="IR column headings 4 2 4" xfId="8886" xr:uid="{2DA2547C-9CFA-4F33-B27E-250C7B466F90}"/>
    <cellStyle name="IR column headings 4 3" xfId="2121" xr:uid="{DB5A8604-7C2B-498C-B612-1E89CD223A20}"/>
    <cellStyle name="IR column headings 4 3 2" xfId="5968" xr:uid="{E4509E8A-162B-41C8-B8D4-86339E4A97A2}"/>
    <cellStyle name="IR column headings 4 3 3" xfId="8884" xr:uid="{6A16DA71-997B-4871-A65A-89A928052F77}"/>
    <cellStyle name="IR column headings 4 4" xfId="2122" xr:uid="{3830631C-E429-4AB8-B0C7-119357EB82B7}"/>
    <cellStyle name="IR column headings 4 4 2" xfId="5969" xr:uid="{22C9B9F7-9EDC-4442-A027-5461547850D4}"/>
    <cellStyle name="IR column headings 4 4 3" xfId="8882" xr:uid="{487F0568-464C-41BA-88F7-CAD135955D49}"/>
    <cellStyle name="IR column headings 4 5" xfId="5965" xr:uid="{1758A1FA-1E27-4C28-AC8B-E5C98EE8C569}"/>
    <cellStyle name="IR column headings 4 6" xfId="8887" xr:uid="{F060C016-2142-433B-8889-A72678A988D1}"/>
    <cellStyle name="IR column headings 5" xfId="2123" xr:uid="{79A38E6F-7926-498D-B165-5826032A3E6D}"/>
    <cellStyle name="IR column headings 5 2" xfId="2124" xr:uid="{F3972F50-3736-4DE2-B57E-31D06B983340}"/>
    <cellStyle name="IR column headings 5 2 2" xfId="2125" xr:uid="{37F476EF-E293-4463-BB37-B63D7CE87437}"/>
    <cellStyle name="IR column headings 5 2 2 2" xfId="5972" xr:uid="{BADBC9F6-9B7C-4EC2-8121-D5B29A136CA6}"/>
    <cellStyle name="IR column headings 5 2 2 3" xfId="8879" xr:uid="{956052DD-215F-4EB9-A80D-3B848D9FEED6}"/>
    <cellStyle name="IR column headings 5 2 3" xfId="5971" xr:uid="{603A6B05-D55E-4DA0-95E1-F563852D2666}"/>
    <cellStyle name="IR column headings 5 2 4" xfId="8880" xr:uid="{7DFA7C9B-7829-4DA8-9860-184B9FFD33E0}"/>
    <cellStyle name="IR column headings 5 3" xfId="2126" xr:uid="{E7455F04-4933-457A-B5F0-7723A5204F05}"/>
    <cellStyle name="IR column headings 5 3 2" xfId="5973" xr:uid="{98872DB9-CFC3-4604-BBBC-665120AF6F86}"/>
    <cellStyle name="IR column headings 5 3 3" xfId="8878" xr:uid="{D75ABDBE-BD6F-4FAA-8A38-E2B4824EC802}"/>
    <cellStyle name="IR column headings 5 4" xfId="2127" xr:uid="{7611D345-EF3F-4AF0-82FD-D404891D705C}"/>
    <cellStyle name="IR column headings 5 4 2" xfId="5974" xr:uid="{17E9C3D6-18BB-40B0-8BB9-0FC6BC8A37B3}"/>
    <cellStyle name="IR column headings 5 4 3" xfId="8877" xr:uid="{2F08D5B2-AD62-4879-A02C-D388889714C1}"/>
    <cellStyle name="IR column headings 5 5" xfId="5970" xr:uid="{494751E1-E790-45C3-9329-25078BF3B994}"/>
    <cellStyle name="IR column headings 5 6" xfId="8881" xr:uid="{272850E8-1881-4136-94EB-F90A39C4CCE8}"/>
    <cellStyle name="IR column headings 6" xfId="2128" xr:uid="{29A119D2-1762-4339-BE2D-31413213B141}"/>
    <cellStyle name="IR column headings 6 2" xfId="2129" xr:uid="{BF7BEEF5-5508-478F-B6A1-C72112FF22CA}"/>
    <cellStyle name="IR column headings 6 2 2" xfId="2130" xr:uid="{F2A57717-E3EC-41A9-BB04-E07386F92945}"/>
    <cellStyle name="IR column headings 6 2 2 2" xfId="5977" xr:uid="{14800711-44A8-4D22-BA1A-19FF654E4816}"/>
    <cellStyle name="IR column headings 6 2 2 3" xfId="8874" xr:uid="{A0D82042-F5D1-43F9-97A0-E98D6208ED7E}"/>
    <cellStyle name="IR column headings 6 2 3" xfId="5976" xr:uid="{07B29B31-E83E-452F-B488-29743707BCA4}"/>
    <cellStyle name="IR column headings 6 2 4" xfId="8875" xr:uid="{F639C01C-CD7B-4352-8C45-717E5DB2B397}"/>
    <cellStyle name="IR column headings 6 3" xfId="2131" xr:uid="{30E6B15C-ED9B-4167-9D68-CED18A62D3B1}"/>
    <cellStyle name="IR column headings 6 3 2" xfId="5978" xr:uid="{A380A1D8-E694-4AF2-A25E-852CB2F98BB4}"/>
    <cellStyle name="IR column headings 6 3 3" xfId="8873" xr:uid="{DC089D43-2B8D-487D-85FB-9957A933F933}"/>
    <cellStyle name="IR column headings 6 4" xfId="2132" xr:uid="{4EC709F1-8092-424F-99D1-2762F8C684C2}"/>
    <cellStyle name="IR column headings 6 4 2" xfId="5979" xr:uid="{D9C6DA27-4D04-4D9E-9361-A07D7F420CFE}"/>
    <cellStyle name="IR column headings 6 4 3" xfId="8872" xr:uid="{6D5D04D9-CA2F-4A90-BCBA-5A60CCEAE023}"/>
    <cellStyle name="IR column headings 6 5" xfId="5975" xr:uid="{DBB67E06-CA70-4164-AEDB-777DE28910D2}"/>
    <cellStyle name="IR column headings 6 6" xfId="8876" xr:uid="{AD3EB656-98BA-475B-A7BF-599E4AF397EA}"/>
    <cellStyle name="IR column headings 7" xfId="2133" xr:uid="{F522389F-486E-4EE9-8B3D-867D87D11BE2}"/>
    <cellStyle name="IR column headings 7 2" xfId="2134" xr:uid="{0D0F241F-734C-44D7-BD25-EDDE608E7427}"/>
    <cellStyle name="IR column headings 7 2 2" xfId="2135" xr:uid="{74D8CECA-89AF-4D0A-9BC5-B1B9FC3AB5B0}"/>
    <cellStyle name="IR column headings 7 2 2 2" xfId="5982" xr:uid="{65C411F5-E38A-460A-9846-1F8A9103448D}"/>
    <cellStyle name="IR column headings 7 2 2 3" xfId="8869" xr:uid="{AB817D19-4B18-4C47-A176-BA6F72204D82}"/>
    <cellStyle name="IR column headings 7 2 3" xfId="5981" xr:uid="{BCC1AC74-1625-4C3C-B3B1-4A3644DB2E2B}"/>
    <cellStyle name="IR column headings 7 2 4" xfId="8870" xr:uid="{A0EAB76D-4180-4A97-89DE-26EE3416FD63}"/>
    <cellStyle name="IR column headings 7 3" xfId="2136" xr:uid="{8E8F93C3-31B8-457E-9E4A-0F985E03B882}"/>
    <cellStyle name="IR column headings 7 3 2" xfId="5983" xr:uid="{6673E1C7-3B77-4A62-910E-C99847D4CE77}"/>
    <cellStyle name="IR column headings 7 3 3" xfId="8868" xr:uid="{A87D4F01-C117-468D-9C84-BA1AF5B9BDC4}"/>
    <cellStyle name="IR column headings 7 4" xfId="2137" xr:uid="{BA5A9F8E-AAAB-45E3-B448-E0E1CA7500B8}"/>
    <cellStyle name="IR column headings 7 4 2" xfId="5984" xr:uid="{6606C3A7-9548-45F5-BED5-AF0904107D4C}"/>
    <cellStyle name="IR column headings 7 4 3" xfId="8867" xr:uid="{17A4D08E-8E02-4BC1-AF1B-77263A8681BB}"/>
    <cellStyle name="IR column headings 7 5" xfId="5980" xr:uid="{F603C4AA-567C-4E78-8F6C-3B15AC4C415F}"/>
    <cellStyle name="IR column headings 7 6" xfId="8871" xr:uid="{ADA2480A-7193-40F4-9A67-9AA8D33654DB}"/>
    <cellStyle name="IR column headings 8" xfId="2138" xr:uid="{FF080EC1-9E35-471F-AE60-0CF23F4C3C18}"/>
    <cellStyle name="IR column headings 8 2" xfId="2139" xr:uid="{8E65E0F3-9116-4580-AECA-20FAA1B58821}"/>
    <cellStyle name="IR column headings 8 2 2" xfId="5986" xr:uid="{A4C96ADB-0CD5-481E-9650-6C9CBA4ACE7E}"/>
    <cellStyle name="IR column headings 8 2 3" xfId="8865" xr:uid="{67F2C77B-C229-4701-AE61-4E05A19CE381}"/>
    <cellStyle name="IR column headings 8 3" xfId="5985" xr:uid="{3D6229D8-9AFD-455B-BC83-4B23A8E84100}"/>
    <cellStyle name="IR column headings 8 4" xfId="8866" xr:uid="{D0BD6BC7-D6E0-4CA2-87CF-CB85100D6895}"/>
    <cellStyle name="IR column headings 9" xfId="2140" xr:uid="{1981DC52-214C-4957-92EA-469F68622805}"/>
    <cellStyle name="IR column headings 9 2" xfId="5987" xr:uid="{EBB0C1B3-0FF1-47BC-9722-CDD85C6F40C5}"/>
    <cellStyle name="IR column headings 9 3" xfId="8864" xr:uid="{103724AB-8991-4FB4-8A89-6C6A85ACED36}"/>
    <cellStyle name="Linked Cell" xfId="61" builtinId="24" customBuiltin="1"/>
    <cellStyle name="Linked Cell 10" xfId="2141" xr:uid="{33999A8B-B998-4487-9C43-3F227E2F9F19}"/>
    <cellStyle name="Linked Cell 11" xfId="2142" xr:uid="{00C0E963-3BCA-4286-8DD0-399763BFBAC1}"/>
    <cellStyle name="Linked Cell 12" xfId="2143" xr:uid="{E889E4B1-AF0E-482A-BA87-6F14601C20F9}"/>
    <cellStyle name="Linked Cell 13" xfId="2144" xr:uid="{DFA58DDD-4C5F-40B7-83EC-003D5F790133}"/>
    <cellStyle name="Linked Cell 14" xfId="2145" xr:uid="{2AEEEDF5-1DB1-4B2C-B944-F245D82C15AB}"/>
    <cellStyle name="Linked Cell 15" xfId="2146" xr:uid="{7D764A3B-AC75-4635-8E31-5F0C4F379354}"/>
    <cellStyle name="Linked Cell 16" xfId="2147" xr:uid="{77F4A1D9-D81C-4B57-836E-42A687FFA76B}"/>
    <cellStyle name="Linked Cell 17" xfId="2148" xr:uid="{1F46820E-44B4-45E8-B10C-904DDCFDBD78}"/>
    <cellStyle name="Linked Cell 18" xfId="2149" xr:uid="{42839A9F-32FD-4742-9D83-9053BB5AD09C}"/>
    <cellStyle name="Linked Cell 19" xfId="2150" xr:uid="{4713E353-85A9-4FAA-AC48-97EB514F5594}"/>
    <cellStyle name="Linked Cell 2" xfId="62" xr:uid="{00000000-0005-0000-0000-000041000000}"/>
    <cellStyle name="Linked Cell 20" xfId="2151" xr:uid="{24A699B7-EE5D-4C0B-AAEF-9A20435D4175}"/>
    <cellStyle name="Linked Cell 21" xfId="2152" xr:uid="{C6085164-8951-4F29-8E49-0365C8FD240D}"/>
    <cellStyle name="Linked Cell 22" xfId="2153" xr:uid="{1995F457-C8AE-469C-8659-8C37F733F850}"/>
    <cellStyle name="Linked Cell 23" xfId="2154" xr:uid="{35B2515B-1548-464F-A70B-B3235CBE27E0}"/>
    <cellStyle name="Linked Cell 24" xfId="2155" xr:uid="{17CD331D-7F0E-4922-A785-2AC1DF5BE4C7}"/>
    <cellStyle name="Linked Cell 25" xfId="2156" xr:uid="{F6C97F8E-F627-415E-9924-C4966C88B562}"/>
    <cellStyle name="Linked Cell 26" xfId="2157" xr:uid="{D022B9E6-ED58-404C-8510-4270F2A312C0}"/>
    <cellStyle name="Linked Cell 27" xfId="2158" xr:uid="{98A75A3C-5F38-4F69-942D-00851F07013B}"/>
    <cellStyle name="Linked Cell 28" xfId="2159" xr:uid="{4A3B8B5D-E7A7-4D8D-84A6-980E6EB134B3}"/>
    <cellStyle name="Linked Cell 29" xfId="2160" xr:uid="{74704907-4720-4B72-9FAF-BB1136873A01}"/>
    <cellStyle name="Linked Cell 3" xfId="2161" xr:uid="{AB1D8D72-17EB-45DB-93D3-4C2C6D553B6F}"/>
    <cellStyle name="Linked Cell 30" xfId="2162" xr:uid="{DD3B8FD3-1F01-4C00-B2BD-3B98A72246BC}"/>
    <cellStyle name="Linked Cell 31" xfId="2163" xr:uid="{23B6BD4D-3EF1-43E9-8208-6F411B11A19B}"/>
    <cellStyle name="Linked Cell 32" xfId="2164" xr:uid="{13346D7E-074E-409D-AA08-D3D56A97C6EC}"/>
    <cellStyle name="Linked Cell 33" xfId="2165" xr:uid="{C9C1E46C-84D6-4DE1-B6A6-6B5374152973}"/>
    <cellStyle name="Linked Cell 34" xfId="2166" xr:uid="{EE07CA9E-B4A2-49FC-AA8D-0E6FB6A64545}"/>
    <cellStyle name="Linked Cell 35" xfId="2167" xr:uid="{F2D84050-54E8-41F6-8FDD-06EEE861E7A0}"/>
    <cellStyle name="Linked Cell 36" xfId="2168" xr:uid="{6E7F7D0C-8B6F-4ED0-BAE0-F4C86A504F61}"/>
    <cellStyle name="Linked Cell 37" xfId="2169" xr:uid="{364B5598-C812-4E9B-A538-05956FE9867D}"/>
    <cellStyle name="Linked Cell 38" xfId="2170" xr:uid="{40FDBC98-1A51-473C-B5C3-2803E0C2E9BD}"/>
    <cellStyle name="Linked Cell 39" xfId="2171" xr:uid="{D4923530-3BF5-4A43-8A67-2A5EE5A7A13A}"/>
    <cellStyle name="Linked Cell 4" xfId="2172" xr:uid="{5A922482-6C4C-46F4-8E86-A2B63DD3AF76}"/>
    <cellStyle name="Linked Cell 40" xfId="2173" xr:uid="{CD48B26C-521E-4564-AA5A-7C621431ADFB}"/>
    <cellStyle name="Linked Cell 41" xfId="2174" xr:uid="{E882108B-9907-4B9D-B6FC-9C03F304613B}"/>
    <cellStyle name="Linked Cell 42" xfId="2175" xr:uid="{25ECB73D-409A-403A-82C0-E66B3C7A0171}"/>
    <cellStyle name="Linked Cell 43" xfId="2176" xr:uid="{63C7A112-402E-4432-AFD5-F547015F627D}"/>
    <cellStyle name="Linked Cell 44" xfId="8843" xr:uid="{6B7289AD-8B3C-4A10-996F-7DB3A3113AB9}"/>
    <cellStyle name="Linked Cell 5" xfId="2177" xr:uid="{404665E0-CC11-4A4A-BF06-155CD98F249D}"/>
    <cellStyle name="Linked Cell 6" xfId="2178" xr:uid="{99BAA343-E9F1-4371-A017-1C9A87CA752B}"/>
    <cellStyle name="Linked Cell 7" xfId="2179" xr:uid="{6C6B73D4-5BF4-4177-B8A8-6AF8CE8F2A1C}"/>
    <cellStyle name="Linked Cell 8" xfId="2180" xr:uid="{24C550BD-5B69-48D9-8D05-540C495100E4}"/>
    <cellStyle name="Linked Cell 9" xfId="2181" xr:uid="{9B927999-2F1C-435F-9C29-A390A3AA76F4}"/>
    <cellStyle name="Neutral" xfId="63" builtinId="28" customBuiltin="1"/>
    <cellStyle name="Neutral 10" xfId="2182" xr:uid="{F326880C-3BAD-4E89-8271-FE6ADEE863F2}"/>
    <cellStyle name="Neutral 11" xfId="2183" xr:uid="{4844D09B-45CB-4E4A-9B95-2C312C9BD4DF}"/>
    <cellStyle name="Neutral 12" xfId="2184" xr:uid="{284C81BF-F354-4926-9A0B-8D886881561A}"/>
    <cellStyle name="Neutral 13" xfId="2185" xr:uid="{6C315536-AB87-4CCD-AA22-F0D90AEC2253}"/>
    <cellStyle name="Neutral 14" xfId="2186" xr:uid="{D9150313-8F96-4B05-8D5F-FFC9395D7118}"/>
    <cellStyle name="Neutral 15" xfId="2187" xr:uid="{75F4E7FB-E270-4EB2-B33B-F771184D9299}"/>
    <cellStyle name="Neutral 16" xfId="2188" xr:uid="{6A373A71-6C8A-4F82-9430-C3DDF9D0EE3F}"/>
    <cellStyle name="Neutral 17" xfId="2189" xr:uid="{01B79A6A-8534-4140-941A-EE3A711905C2}"/>
    <cellStyle name="Neutral 18" xfId="2190" xr:uid="{AF5E4422-FC22-4572-9B2D-8BF0F0D1F766}"/>
    <cellStyle name="Neutral 19" xfId="2191" xr:uid="{18EA4844-FA62-430A-8605-050140C2D0B2}"/>
    <cellStyle name="Neutral 2" xfId="64" xr:uid="{00000000-0005-0000-0000-000043000000}"/>
    <cellStyle name="Neutral 20" xfId="2192" xr:uid="{081CDA8D-C36B-4C84-AD6F-CB030336B9C2}"/>
    <cellStyle name="Neutral 21" xfId="2193" xr:uid="{7C73D63F-CCAF-40AA-A99B-DB5CEC9C32BD}"/>
    <cellStyle name="Neutral 22" xfId="2194" xr:uid="{75519046-FEA5-4810-90FF-33FBC64FC82F}"/>
    <cellStyle name="Neutral 23" xfId="2195" xr:uid="{0BE52A67-C7AA-462A-B5D3-C93901C482B8}"/>
    <cellStyle name="Neutral 24" xfId="2196" xr:uid="{4B663409-A056-4E36-A5E5-3F6066732FBE}"/>
    <cellStyle name="Neutral 25" xfId="2197" xr:uid="{1ABCA26F-93B5-4EC0-9C36-349F04120BD0}"/>
    <cellStyle name="Neutral 26" xfId="2198" xr:uid="{B00AE409-8FA3-40C3-B9A2-B7EB0F1CE56D}"/>
    <cellStyle name="Neutral 27" xfId="2199" xr:uid="{58E69672-489C-4D61-8A11-FB699F4EC59A}"/>
    <cellStyle name="Neutral 28" xfId="2200" xr:uid="{E6EFA2AF-D1C5-43C7-8525-8C5CEC61F2CB}"/>
    <cellStyle name="Neutral 29" xfId="2201" xr:uid="{4D8A9601-9A8D-41EF-8A98-154C5BAC3DA0}"/>
    <cellStyle name="Neutral 3" xfId="2202" xr:uid="{471123AE-9B24-42C6-82B2-2E0CE89C6D7E}"/>
    <cellStyle name="Neutral 30" xfId="2203" xr:uid="{8A811443-1FF8-4602-853F-A17A231EEEF9}"/>
    <cellStyle name="Neutral 31" xfId="2204" xr:uid="{48AE51EC-B441-446E-BC1F-1A6EC203C2A6}"/>
    <cellStyle name="Neutral 32" xfId="2205" xr:uid="{EBC262E6-3A7F-46D1-89A0-00A2A6B9CFC4}"/>
    <cellStyle name="Neutral 33" xfId="2206" xr:uid="{50CB6266-1B8F-468A-B1D5-38DBF09FAC5C}"/>
    <cellStyle name="Neutral 34" xfId="2207" xr:uid="{31EF351A-F708-47B3-A9A0-47A2B670CECB}"/>
    <cellStyle name="Neutral 35" xfId="2208" xr:uid="{1D07DE05-DAE0-4F7B-B861-8E41B83FB292}"/>
    <cellStyle name="Neutral 36" xfId="2209" xr:uid="{4E0B7B45-69BD-41DD-A968-2EF84A504587}"/>
    <cellStyle name="Neutral 37" xfId="2210" xr:uid="{45FE5386-01FE-40A4-9715-0D87144B3742}"/>
    <cellStyle name="Neutral 38" xfId="2211" xr:uid="{233D58D3-5766-437B-AD22-A24602FC093E}"/>
    <cellStyle name="Neutral 39" xfId="2212" xr:uid="{ADE181EB-F90D-4D88-9A5A-03C056F37368}"/>
    <cellStyle name="Neutral 4" xfId="2213" xr:uid="{B4B392CF-F3E0-4429-AD1D-B2BB32352762}"/>
    <cellStyle name="Neutral 40" xfId="2214" xr:uid="{D834203B-62E8-4DCC-AAB3-5A434AA538F5}"/>
    <cellStyle name="Neutral 41" xfId="2215" xr:uid="{51C8810D-B531-4120-B424-A02C7EA646EF}"/>
    <cellStyle name="Neutral 42" xfId="2216" xr:uid="{282A4F08-6B86-47CB-B907-A5F6DD4EC936}"/>
    <cellStyle name="Neutral 43" xfId="2217" xr:uid="{889C055A-B2AE-4180-89D9-C977D0D458C0}"/>
    <cellStyle name="Neutral 44" xfId="8883" xr:uid="{7E319FF7-D5AE-4681-AE80-E25CC7C87E04}"/>
    <cellStyle name="Neutral 5" xfId="2218" xr:uid="{EEC69962-38F8-4F6C-9840-E2E345326190}"/>
    <cellStyle name="Neutral 6" xfId="2219" xr:uid="{D078A128-D0BA-46BF-B27B-90D08153DC7E}"/>
    <cellStyle name="Neutral 7" xfId="2220" xr:uid="{3F03A164-DA64-4316-8C9A-8E626104BADE}"/>
    <cellStyle name="Neutral 8" xfId="2221" xr:uid="{D0EE98D6-4907-4800-BEB4-53FC459FAFD8}"/>
    <cellStyle name="Neutral 9" xfId="2222" xr:uid="{462D2FB4-6553-4AC6-871D-F0992601694A}"/>
    <cellStyle name="no dec" xfId="2223" xr:uid="{2517ADCA-8451-4D05-A8AC-917EE573CCAF}"/>
    <cellStyle name="no dec 2" xfId="2224" xr:uid="{74E84AC6-D25F-4405-A492-9BBFE7A64D37}"/>
    <cellStyle name="no dec 2 2" xfId="2225" xr:uid="{FC282F1E-EF6F-4ABA-A96A-A907F799B307}"/>
    <cellStyle name="no dec 3" xfId="2226" xr:uid="{3B058681-9823-4E66-9808-1A40256DBCFE}"/>
    <cellStyle name="no dec 4" xfId="2227" xr:uid="{76529A8E-A5EE-4391-8600-8513399EB462}"/>
    <cellStyle name="no dec 5" xfId="2228" xr:uid="{9421577B-CD00-47C8-9346-3B618F24CC33}"/>
    <cellStyle name="Normal" xfId="0" builtinId="0"/>
    <cellStyle name="Normal - Numbering" xfId="76" xr:uid="{00000000-0005-0000-0000-000045000000}"/>
    <cellStyle name="Normal - Style1" xfId="2229" xr:uid="{185BCF82-ACC1-4452-97C9-0D3EC6304CCD}"/>
    <cellStyle name="Normal 10" xfId="2230" xr:uid="{F4DF13EE-00B2-4821-97B1-581B775F96EA}"/>
    <cellStyle name="Normal 10 2" xfId="2231" xr:uid="{05A2036A-9EC7-4163-9D6F-ABD48145B656}"/>
    <cellStyle name="Normal 10 2 2" xfId="2232" xr:uid="{2A95F200-CEAB-418A-834F-DBFCA1C6F1D7}"/>
    <cellStyle name="Normal 10 2 2 2" xfId="2233" xr:uid="{974EAA55-A7B9-46D8-B29E-CE82DC769BFF}"/>
    <cellStyle name="Normal 10 2 3" xfId="2234" xr:uid="{0B2E93DC-FD67-4FF9-869B-5CEEF1E40E4F}"/>
    <cellStyle name="Normal 10 2_DSM @ Meter" xfId="2235" xr:uid="{DF2398C6-81B1-4ED6-BC32-C8854606AD00}"/>
    <cellStyle name="Normal 10 3" xfId="2236" xr:uid="{07B94795-0D04-442C-BF71-006017072F11}"/>
    <cellStyle name="Normal 10 3 2" xfId="2237" xr:uid="{B10573E1-E257-477A-B217-F9F452421261}"/>
    <cellStyle name="Normal 10 4" xfId="2238" xr:uid="{40541376-3152-44F5-8978-FADA1C0D4A8D}"/>
    <cellStyle name="Normal 10 4 2" xfId="2239" xr:uid="{B09944F2-D88F-442A-B56A-658F899AEE9D}"/>
    <cellStyle name="Normal 10 5" xfId="2240" xr:uid="{3A66E69B-21A6-457F-9DA7-28CE0CD937ED}"/>
    <cellStyle name="Normal 10 5 2" xfId="2241" xr:uid="{7F58F339-9D3C-4D2B-A73B-3A86A15FCA42}"/>
    <cellStyle name="Normal 10 6" xfId="2242" xr:uid="{77C00C0C-AB7F-433C-84C3-ED8BA7F13B13}"/>
    <cellStyle name="Normal 10 6 2" xfId="2243" xr:uid="{124D9DE4-2B0C-4F69-8A7F-F00E754E4889}"/>
    <cellStyle name="Normal 10 7" xfId="2244" xr:uid="{9272BE8C-DED3-463E-987D-1BCCFA0D86E9}"/>
    <cellStyle name="Normal 10 7 2" xfId="2245" xr:uid="{5A15B176-5697-4019-BC90-31DE38AC23EB}"/>
    <cellStyle name="Normal 10 8" xfId="2246" xr:uid="{2E260E8E-3A69-4D09-BF08-7FFA175390D7}"/>
    <cellStyle name="Normal 10_DSM @ Generator" xfId="2247" xr:uid="{E13B00A4-3F00-4315-99CB-12ACFE0B659D}"/>
    <cellStyle name="Normal 11" xfId="2248" xr:uid="{3754FED1-6D85-4198-AF4A-08DE55130A1E}"/>
    <cellStyle name="Normal 11 2" xfId="2249" xr:uid="{2794F876-038E-431E-B650-E7FFCC73210A}"/>
    <cellStyle name="Normal 11 2 2" xfId="2250" xr:uid="{3587D856-6A01-4D36-AE2D-31BC7A37C3B9}"/>
    <cellStyle name="Normal 11 2 2 2" xfId="2251" xr:uid="{748307AA-6DD0-422A-97E2-70D465DA6D77}"/>
    <cellStyle name="Normal 11 2 3" xfId="2252" xr:uid="{C90A94D7-1603-4957-A9D2-83FC70910C10}"/>
    <cellStyle name="Normal 11 2_DSM @ Meter" xfId="2253" xr:uid="{B820F226-6E49-4AE4-A132-957D935A8DF8}"/>
    <cellStyle name="Normal 11 3" xfId="2254" xr:uid="{266B1DAC-52E7-4E5A-894B-F8E99CBE58A5}"/>
    <cellStyle name="Normal 11 3 2" xfId="2255" xr:uid="{9ABAB186-49D8-4AD0-B5F8-CBBCD10A186F}"/>
    <cellStyle name="Normal 11 4" xfId="2256" xr:uid="{0AF558E3-2BB6-4C0A-98A9-DFC582E17B41}"/>
    <cellStyle name="Normal 11 4 2" xfId="2257" xr:uid="{E551CAD0-0166-4A64-97D2-1F5F50BABE40}"/>
    <cellStyle name="Normal 11 5" xfId="2258" xr:uid="{29E5F1BA-2AED-4582-980F-C8F866F67B2F}"/>
    <cellStyle name="Normal 11 5 2" xfId="2259" xr:uid="{2F18B9B1-11D0-48C1-BBE1-BC2F12CF6109}"/>
    <cellStyle name="Normal 11 6" xfId="2260" xr:uid="{E3E05C83-5077-435D-9447-B7C36A3049E3}"/>
    <cellStyle name="Normal 11 6 2" xfId="2261" xr:uid="{7456FE41-7CA6-404E-8C19-9FCE16993A15}"/>
    <cellStyle name="Normal 11 7" xfId="2262" xr:uid="{B3871B46-D235-4259-A6A6-320FBA65315A}"/>
    <cellStyle name="Normal 11 7 2" xfId="2263" xr:uid="{58E830C1-E22A-4E99-96B5-D867F5B6ACA8}"/>
    <cellStyle name="Normal 11 8" xfId="2264" xr:uid="{6B855FAE-6E05-45B4-B027-FB9270578332}"/>
    <cellStyle name="Normal 11_DSM @ Generator" xfId="2265" xr:uid="{A4C96762-129C-44D5-8E48-9769F4ED8C73}"/>
    <cellStyle name="Normal 12" xfId="2266" xr:uid="{716BD130-87B8-4FBF-B695-6E183E9FB001}"/>
    <cellStyle name="Normal 12 2" xfId="2267" xr:uid="{86BAF4AE-80AA-457C-833B-82381242B3FF}"/>
    <cellStyle name="Normal 12 2 2" xfId="2268" xr:uid="{F9638081-36DF-4860-828D-1C79526A0E92}"/>
    <cellStyle name="Normal 12 2 2 2" xfId="2269" xr:uid="{1A36A2B8-211D-4D04-9FAD-4F2453C5E0CB}"/>
    <cellStyle name="Normal 12 2 3" xfId="2270" xr:uid="{C9C1D977-9C21-4138-9C91-2597C0C2E490}"/>
    <cellStyle name="Normal 12 2_DSM @ Meter" xfId="2271" xr:uid="{75FC1DD6-544C-41F1-8D05-9C0FCBB16A94}"/>
    <cellStyle name="Normal 12 3" xfId="2272" xr:uid="{775A8882-875E-44CE-8D65-39D21F5755E9}"/>
    <cellStyle name="Normal 12 3 2" xfId="2273" xr:uid="{109706E2-FD8F-47C6-9637-0F3FE262D665}"/>
    <cellStyle name="Normal 12 4" xfId="2274" xr:uid="{215F4548-8F9A-455A-B630-62AFBD1AB8E8}"/>
    <cellStyle name="Normal 12 4 2" xfId="2275" xr:uid="{D911549A-939F-4C76-A51C-DA66EC32B25E}"/>
    <cellStyle name="Normal 12 5" xfId="2276" xr:uid="{AA4FA9B7-BD55-4931-8FA0-BFD85D277653}"/>
    <cellStyle name="Normal 12 5 2" xfId="2277" xr:uid="{06A1A88F-98E9-4567-991D-6BEB87F36739}"/>
    <cellStyle name="Normal 12 6" xfId="2278" xr:uid="{22A10C1D-CEF5-4CA2-AD7E-38F2B064AEE4}"/>
    <cellStyle name="Normal 12 6 2" xfId="2279" xr:uid="{596CEE70-2A75-4A93-965B-C62EF0275EA1}"/>
    <cellStyle name="Normal 12 7" xfId="2280" xr:uid="{5D881600-7758-45B3-861F-1048098E7B24}"/>
    <cellStyle name="Normal 12 7 2" xfId="2281" xr:uid="{91024658-0B4A-492E-BD95-0BFB14F6F79E}"/>
    <cellStyle name="Normal 12 8" xfId="2282" xr:uid="{F72A1B93-9418-4FBD-B8DA-536BC1F696FA}"/>
    <cellStyle name="Normal 12_DSM @ Generator" xfId="2283" xr:uid="{299CD9D2-65CE-45BF-BE68-8A1748B2785E}"/>
    <cellStyle name="Normal 13" xfId="2284" xr:uid="{7CDD70A0-4E55-428C-873E-F56252067E10}"/>
    <cellStyle name="Normal 13 2" xfId="2285" xr:uid="{CE460C81-E848-4C04-8C5E-F313C2B2D2D0}"/>
    <cellStyle name="Normal 13 2 2" xfId="2286" xr:uid="{EBC9082A-77AF-4939-81C7-C3DC516DE422}"/>
    <cellStyle name="Normal 13 2 2 2" xfId="2287" xr:uid="{C5F9E1EF-5B71-40F9-B719-1149F3EE466F}"/>
    <cellStyle name="Normal 13 2 3" xfId="2288" xr:uid="{2B42202D-E5EA-4048-A588-E046A959D2D5}"/>
    <cellStyle name="Normal 13 2_DSM @ Meter" xfId="2289" xr:uid="{AD6CB971-8793-4A08-BA35-E159E851DCA2}"/>
    <cellStyle name="Normal 13 3" xfId="2290" xr:uid="{F3F532AC-4FAD-4397-A8E6-57CDF6C8DBF0}"/>
    <cellStyle name="Normal 13 3 2" xfId="2291" xr:uid="{E7B54FD4-8710-4349-A1DC-9CE5CE742135}"/>
    <cellStyle name="Normal 13 4" xfId="2292" xr:uid="{AEBEA68C-CEFD-4A91-B8A7-1C43EBADCDDF}"/>
    <cellStyle name="Normal 13 4 2" xfId="2293" xr:uid="{FEDB566D-C61D-40F6-8958-5E1C79853994}"/>
    <cellStyle name="Normal 13 5" xfId="2294" xr:uid="{DC72F1EC-9067-4CCC-8217-48A51F6CA6CC}"/>
    <cellStyle name="Normal 13 5 2" xfId="2295" xr:uid="{F20CC451-B848-45CA-8D69-D8A7F5EDA89F}"/>
    <cellStyle name="Normal 13 6" xfId="2296" xr:uid="{64E44ACE-9D41-43FE-91E2-D848860D7237}"/>
    <cellStyle name="Normal 13 6 2" xfId="2297" xr:uid="{06A6908A-B712-4D60-B11A-1880075BFF5D}"/>
    <cellStyle name="Normal 13 7" xfId="2298" xr:uid="{F7429577-8C5D-4B23-8112-25A39D850CF2}"/>
    <cellStyle name="Normal 13 7 2" xfId="2299" xr:uid="{41A896AC-7263-4818-9A70-83A437F374B4}"/>
    <cellStyle name="Normal 13 8" xfId="2300" xr:uid="{B6F16F7E-31AE-4E3C-B47A-72B6DD99B3FD}"/>
    <cellStyle name="Normal 13_DSM @ Generator" xfId="2301" xr:uid="{19C8E0A1-A845-48D7-8690-CF90BAAFACE8}"/>
    <cellStyle name="Normal 14" xfId="2302" xr:uid="{F2D36EE0-170E-4A0F-A33E-D959E0EB5027}"/>
    <cellStyle name="Normal 14 2" xfId="2303" xr:uid="{F7D00775-4D49-41B1-8122-6BDE36722C6B}"/>
    <cellStyle name="Normal 14 2 2" xfId="2304" xr:uid="{DB33F18F-CF18-4158-944D-59A575E28FE0}"/>
    <cellStyle name="Normal 14 2 2 2" xfId="2305" xr:uid="{F019822D-5494-47FA-93C0-C626ADB04870}"/>
    <cellStyle name="Normal 14 2 3" xfId="2306" xr:uid="{F9232EE7-4994-400A-AA0D-6D0BE7D47157}"/>
    <cellStyle name="Normal 14 2_DSM @ Meter" xfId="2307" xr:uid="{BFDA313F-C3EE-4427-9308-A781A3FBCB6C}"/>
    <cellStyle name="Normal 14 3" xfId="2308" xr:uid="{8F3B84C4-4DED-4DF2-8EAA-B779D948FB9F}"/>
    <cellStyle name="Normal 14 3 2" xfId="2309" xr:uid="{D98F6D13-3EB7-4E29-9DDF-8409BA180DA8}"/>
    <cellStyle name="Normal 14 4" xfId="2310" xr:uid="{ABBF8E04-D5F7-40A9-B04E-67A0C0002D02}"/>
    <cellStyle name="Normal 14 4 2" xfId="2311" xr:uid="{59562369-D39A-40AC-8A5C-888834C65857}"/>
    <cellStyle name="Normal 14 5" xfId="2312" xr:uid="{8528C603-7311-4DD7-8CDE-006A2A1E7389}"/>
    <cellStyle name="Normal 14 5 2" xfId="2313" xr:uid="{2DEA7DED-81EB-46BE-A9D5-A28D13BE8A28}"/>
    <cellStyle name="Normal 14 6" xfId="2314" xr:uid="{0B51594A-8070-4FDD-9A94-BD7F5D410812}"/>
    <cellStyle name="Normal 14 6 2" xfId="2315" xr:uid="{F2D26D0A-DB2C-4CB9-8342-B9EB14B81B80}"/>
    <cellStyle name="Normal 14 7" xfId="2316" xr:uid="{4819509E-9681-4A88-9984-771C6A153FAE}"/>
    <cellStyle name="Normal 14 7 2" xfId="2317" xr:uid="{05BDE88A-BFFB-4B38-8DD5-B339483539B8}"/>
    <cellStyle name="Normal 14 8" xfId="2318" xr:uid="{65982933-F6E9-46C8-8EA3-ECEFB885DA22}"/>
    <cellStyle name="Normal 14_DSM @ Generator" xfId="2319" xr:uid="{98A36394-3364-4131-BCD6-8FBEA5520807}"/>
    <cellStyle name="Normal 15" xfId="2320" xr:uid="{FCE6DD45-5912-4C98-B859-3836F7F66F3F}"/>
    <cellStyle name="Normal 15 2" xfId="2321" xr:uid="{3AB180F5-842B-4840-99E3-C516F6D29363}"/>
    <cellStyle name="Normal 15 2 2" xfId="2322" xr:uid="{1721F1FF-6D0A-46E6-83C8-25657A28E46E}"/>
    <cellStyle name="Normal 15 2 2 2" xfId="2323" xr:uid="{08BD5906-E4B0-4C63-9ADA-CC3ADEE2C85B}"/>
    <cellStyle name="Normal 15 2 3" xfId="2324" xr:uid="{5E16610F-EC1D-44DA-84F3-7B242E835F36}"/>
    <cellStyle name="Normal 15 2_DSM @ Meter" xfId="2325" xr:uid="{2F1DDF66-8065-4DD3-A208-E9F61E517573}"/>
    <cellStyle name="Normal 15 3" xfId="2326" xr:uid="{D4659675-57D2-432F-A969-75F6548A78C5}"/>
    <cellStyle name="Normal 15 3 2" xfId="2327" xr:uid="{86579078-A516-4753-B5DD-3C30E1A5B71E}"/>
    <cellStyle name="Normal 15 4" xfId="2328" xr:uid="{624F4ABC-5494-4225-8FA8-37E25A8288EE}"/>
    <cellStyle name="Normal 15 4 2" xfId="2329" xr:uid="{60155652-13DC-4CC7-926E-631BCD0C8967}"/>
    <cellStyle name="Normal 15 5" xfId="2330" xr:uid="{CD0DD6B5-E2EB-4EA2-90B8-5996FE25EABD}"/>
    <cellStyle name="Normal 15 5 2" xfId="2331" xr:uid="{FEB1A655-88B5-4A80-BF84-BC7094927C32}"/>
    <cellStyle name="Normal 15 6" xfId="2332" xr:uid="{868F2DB0-66F5-42FB-8177-7EE5B995BCA1}"/>
    <cellStyle name="Normal 15 6 2" xfId="2333" xr:uid="{967D217F-3ED7-4067-AE96-0D1C750C84B9}"/>
    <cellStyle name="Normal 15 7" xfId="2334" xr:uid="{11C38044-A267-4163-A945-059C1CEF1197}"/>
    <cellStyle name="Normal 15 7 2" xfId="2335" xr:uid="{E3A0AE24-D5F2-4109-B91D-4177EAB9AE66}"/>
    <cellStyle name="Normal 15 8" xfId="2336" xr:uid="{B831E298-938C-46DE-AD47-A49AE305D635}"/>
    <cellStyle name="Normal 15_DSM @ Generator" xfId="2337" xr:uid="{27BF39A4-D337-454D-9700-91AECC7640B5}"/>
    <cellStyle name="Normal 16" xfId="2338" xr:uid="{3B0B36B5-0C23-482F-8D08-1807C946ABE6}"/>
    <cellStyle name="Normal 16 2" xfId="2339" xr:uid="{BF0E7FD2-7216-449F-AA7D-2EA6F6A5842B}"/>
    <cellStyle name="Normal 16 2 2" xfId="2340" xr:uid="{63C27FD1-6C94-47B4-857E-F555C34498B2}"/>
    <cellStyle name="Normal 16 2 2 2" xfId="2341" xr:uid="{04310DA2-A42B-4EE8-99F1-515B14691805}"/>
    <cellStyle name="Normal 16 2 3" xfId="2342" xr:uid="{373977D5-B879-46A4-8403-2E7596F5067D}"/>
    <cellStyle name="Normal 16 2_DSM @ Meter" xfId="2343" xr:uid="{CDC44D57-3750-41B7-A3E9-D0010E05D6E6}"/>
    <cellStyle name="Normal 16 3" xfId="2344" xr:uid="{10A73579-65B9-4898-AB01-971CEBC247C6}"/>
    <cellStyle name="Normal 16 3 2" xfId="2345" xr:uid="{813C5770-5D12-42AC-87A0-76F54DFCAF04}"/>
    <cellStyle name="Normal 16 4" xfId="2346" xr:uid="{A76CA297-16E3-4205-8512-036F906A9F04}"/>
    <cellStyle name="Normal 16 4 2" xfId="2347" xr:uid="{4B88CE66-14D4-450F-BD73-37560E925790}"/>
    <cellStyle name="Normal 16 5" xfId="2348" xr:uid="{59E1AF27-F073-49FB-94DF-7B5320712D8E}"/>
    <cellStyle name="Normal 16 5 2" xfId="2349" xr:uid="{1E5968F7-D53F-456D-B577-F2F0EACB0DA2}"/>
    <cellStyle name="Normal 16 6" xfId="2350" xr:uid="{4496DD5C-1E66-4476-BC75-11700E43829D}"/>
    <cellStyle name="Normal 16 6 2" xfId="2351" xr:uid="{A21E5DCD-9CD6-4B19-B31D-87E06F250FC5}"/>
    <cellStyle name="Normal 16 7" xfId="2352" xr:uid="{DC3A981D-F579-41E2-BCA8-482BC1AE6D5E}"/>
    <cellStyle name="Normal 16 7 2" xfId="2353" xr:uid="{9E3DDC82-10A8-4F97-A732-29E67D14EAA8}"/>
    <cellStyle name="Normal 16 8" xfId="2354" xr:uid="{DE019E14-D888-49FC-B3CB-ADA3E4591492}"/>
    <cellStyle name="Normal 16_DSM @ Generator" xfId="2355" xr:uid="{F0C809B5-F6A3-4532-8F1B-056FFD233449}"/>
    <cellStyle name="Normal 17" xfId="2356" xr:uid="{1DE879B5-20B9-453F-955A-C19BEE7359C3}"/>
    <cellStyle name="Normal 17 2" xfId="2357" xr:uid="{122F1A36-8EC4-4827-91D8-EE8674550037}"/>
    <cellStyle name="Normal 17 2 2" xfId="2358" xr:uid="{1A598156-C208-459F-9659-BD1E55CFB02D}"/>
    <cellStyle name="Normal 17 2 2 2" xfId="2359" xr:uid="{79BF9074-2929-47B3-9C22-AC154E454D25}"/>
    <cellStyle name="Normal 17 2 3" xfId="2360" xr:uid="{583CA5AE-2036-4062-947A-C1D1B8CD5F64}"/>
    <cellStyle name="Normal 17 2_DSM @ Meter" xfId="2361" xr:uid="{A5A1C351-AEBA-428F-957F-3C7E80866D7E}"/>
    <cellStyle name="Normal 17 3" xfId="2362" xr:uid="{F66A502A-86D2-4A22-936D-BBE88E75DE9B}"/>
    <cellStyle name="Normal 17 3 2" xfId="2363" xr:uid="{4B22E707-24A5-4160-8AE1-1E919D355F8F}"/>
    <cellStyle name="Normal 17 4" xfId="2364" xr:uid="{7DE0C203-6408-4730-AF5B-99B6862616DB}"/>
    <cellStyle name="Normal 17 4 2" xfId="2365" xr:uid="{1B4FE236-C422-4583-AAF8-E3F74C49A189}"/>
    <cellStyle name="Normal 17 5" xfId="2366" xr:uid="{2C521ED6-5760-4176-93D4-7E94308D40A5}"/>
    <cellStyle name="Normal 17 5 2" xfId="2367" xr:uid="{C42A7153-E1FC-4DB2-9229-EDB54C7C57EB}"/>
    <cellStyle name="Normal 17 6" xfId="2368" xr:uid="{B0ED4B7C-767F-4FE2-9840-F27442F3BB04}"/>
    <cellStyle name="Normal 17 6 2" xfId="2369" xr:uid="{2161EEDD-32EB-4DD6-95B2-BD997B38DCFC}"/>
    <cellStyle name="Normal 17 7" xfId="2370" xr:uid="{00D53EB9-C4FD-4036-B949-78DCE34054FC}"/>
    <cellStyle name="Normal 17 7 2" xfId="2371" xr:uid="{73FBB4BE-F771-4707-943F-ADBB06273F2B}"/>
    <cellStyle name="Normal 17 8" xfId="2372" xr:uid="{EA7A6D1F-1A50-4651-9F8D-7A0241092470}"/>
    <cellStyle name="Normal 17_DSM @ Generator" xfId="2373" xr:uid="{7F279067-394A-4313-9FE7-3606ADD2BE95}"/>
    <cellStyle name="Normal 18" xfId="2374" xr:uid="{59C25370-2958-4BA9-99AA-51BE7C986EB7}"/>
    <cellStyle name="Normal 18 2" xfId="2375" xr:uid="{74DE3CD4-40BC-4E92-BE2E-A8944B5D66FF}"/>
    <cellStyle name="Normal 18 2 2" xfId="2376" xr:uid="{08CAF56E-FD78-434B-A00C-F36D6DD46F04}"/>
    <cellStyle name="Normal 18 2 2 2" xfId="2377" xr:uid="{704C870E-F04A-488A-9938-663B2793B404}"/>
    <cellStyle name="Normal 18 2 3" xfId="2378" xr:uid="{C302F58D-BD3F-4E5B-8BAF-3A47BA00B3F6}"/>
    <cellStyle name="Normal 18 2_DSM @ Meter" xfId="2379" xr:uid="{7AB79E8E-0A26-4ACD-9594-14B6CCA9EFC1}"/>
    <cellStyle name="Normal 18 3" xfId="2380" xr:uid="{EB3778E4-1843-471D-8CBC-9D622BE4B49D}"/>
    <cellStyle name="Normal 18 3 2" xfId="2381" xr:uid="{184A7EDC-776B-4230-9E6B-7517129D4203}"/>
    <cellStyle name="Normal 18 4" xfId="2382" xr:uid="{98501F1F-9342-4738-AD1F-9C32DAED4568}"/>
    <cellStyle name="Normal 18 4 2" xfId="2383" xr:uid="{F93C420F-D730-4037-833C-F1CC29013557}"/>
    <cellStyle name="Normal 18 5" xfId="2384" xr:uid="{531FC2EC-764C-4588-B845-FC0DE4D8E216}"/>
    <cellStyle name="Normal 18 5 2" xfId="2385" xr:uid="{67990760-6E96-4D9D-8E5D-2DBBEBF9A8BB}"/>
    <cellStyle name="Normal 18 6" xfId="2386" xr:uid="{797107D0-9817-467C-9A88-9E00D7ACF31A}"/>
    <cellStyle name="Normal 18 6 2" xfId="2387" xr:uid="{A7808101-E199-4C1F-B34C-2185FA01879C}"/>
    <cellStyle name="Normal 18 7" xfId="2388" xr:uid="{3E7DFE71-42AA-4514-9FCD-EEC2FC373937}"/>
    <cellStyle name="Normal 18 7 2" xfId="2389" xr:uid="{93954BB7-C83E-4656-B865-6BDBF2FE30F6}"/>
    <cellStyle name="Normal 18 8" xfId="2390" xr:uid="{950EB4FF-428F-42BD-A73F-49B46C326668}"/>
    <cellStyle name="Normal 18_DSM @ Generator" xfId="2391" xr:uid="{3CAF7A3E-FF38-43AA-A81C-E38C405624FB}"/>
    <cellStyle name="Normal 19" xfId="2392" xr:uid="{A1190185-6F19-4005-A2FD-72F282E01566}"/>
    <cellStyle name="Normal 19 2" xfId="2393" xr:uid="{4860090D-2369-40F7-8D83-8A02B05887FB}"/>
    <cellStyle name="Normal 19 2 2" xfId="2394" xr:uid="{A35BC5C1-DAAD-48D5-B005-6268C92B80B4}"/>
    <cellStyle name="Normal 19 2 2 2" xfId="2395" xr:uid="{3187A207-13E3-4BF6-B350-8EB2144E7497}"/>
    <cellStyle name="Normal 19 2 3" xfId="2396" xr:uid="{2BDCB5B9-7273-4F47-A9A0-27592CF11896}"/>
    <cellStyle name="Normal 19 2_DSM @ Meter" xfId="2397" xr:uid="{01B34062-8C67-4339-8111-38C65CB2747D}"/>
    <cellStyle name="Normal 19 3" xfId="2398" xr:uid="{1887CCB3-DED7-4EB3-A9DA-23218147D2E7}"/>
    <cellStyle name="Normal 19 3 2" xfId="2399" xr:uid="{5E608D21-D52D-49DD-9949-E97193CEEB1C}"/>
    <cellStyle name="Normal 19 4" xfId="2400" xr:uid="{6D4304D4-6CCF-487F-B48A-54EFD5E57778}"/>
    <cellStyle name="Normal 19 4 2" xfId="2401" xr:uid="{111B0FC4-4269-4DCD-9C9E-8EE103137AAA}"/>
    <cellStyle name="Normal 19 5" xfId="2402" xr:uid="{E77DFA0A-4170-42B7-B378-E319A56A08C0}"/>
    <cellStyle name="Normal 19 5 2" xfId="2403" xr:uid="{588BC7B3-07CE-49CF-A738-BDC987E5AC6C}"/>
    <cellStyle name="Normal 19 6" xfId="2404" xr:uid="{02E7D5D5-62CA-432C-AE85-D35333DEE615}"/>
    <cellStyle name="Normal 19 6 2" xfId="2405" xr:uid="{C14C50FB-DFBF-4C98-AC2B-6882CBF42014}"/>
    <cellStyle name="Normal 19 7" xfId="2406" xr:uid="{A9DF01F2-7D1C-480B-ADB5-B8373062B91C}"/>
    <cellStyle name="Normal 19 7 2" xfId="2407" xr:uid="{503A6436-D933-4862-99CB-2C070EEE3374}"/>
    <cellStyle name="Normal 19 8" xfId="2408" xr:uid="{A547ABCD-C0C8-43AC-B68A-27A575928032}"/>
    <cellStyle name="Normal 19_DSM @ Generator" xfId="2409" xr:uid="{65EA87C4-B785-4C4A-9E17-28CC3F61B523}"/>
    <cellStyle name="Normal 2" xfId="80" xr:uid="{00000000-0005-0000-0000-000046000000}"/>
    <cellStyle name="Normal 2 10" xfId="2411" xr:uid="{4B589BD8-69B8-4D47-AE0A-EA6F1D402392}"/>
    <cellStyle name="Normal 2 10 2" xfId="2412" xr:uid="{BE5F40AE-9593-4304-B0B3-7A56B8083E65}"/>
    <cellStyle name="Normal 2 10 2 2" xfId="5637" xr:uid="{A50748DE-AB58-4893-A633-8A548A1385F8}"/>
    <cellStyle name="Normal 2 10 3" xfId="2413" xr:uid="{023521DF-AB15-4C4A-ADBC-B437166034EC}"/>
    <cellStyle name="Normal 2 10 3 2" xfId="5638" xr:uid="{181CBEE3-6A96-4F61-A815-CF32FB3080FC}"/>
    <cellStyle name="Normal 2 10 4" xfId="2414" xr:uid="{D5369112-A5B9-4FE8-9E5D-D0EED78B4452}"/>
    <cellStyle name="Normal 2 10 4 2" xfId="5639" xr:uid="{36740FD9-357C-4344-ADCD-7CA110D779F4}"/>
    <cellStyle name="Normal 2 10 5" xfId="5636" xr:uid="{6047C814-36BA-47C6-B734-C4D97AC02B59}"/>
    <cellStyle name="Normal 2 10_DSM @ Meter" xfId="2415" xr:uid="{49136662-8DE5-4105-AA3A-D329F95E10FF}"/>
    <cellStyle name="Normal 2 11" xfId="2416" xr:uid="{1E746E02-20EC-4278-8377-B9E83F2B740B}"/>
    <cellStyle name="Normal 2 11 2" xfId="5640" xr:uid="{C85C7000-7C20-4B34-B1B8-DD2D659D9D2E}"/>
    <cellStyle name="Normal 2 12" xfId="2417" xr:uid="{4A799620-D789-4ABF-8DF7-E1ED7B5E511D}"/>
    <cellStyle name="Normal 2 12 2" xfId="2418" xr:uid="{B450353B-00B2-42A3-AD25-1B657790C926}"/>
    <cellStyle name="Normal 2 13" xfId="2419" xr:uid="{9CD8E306-005E-4CD4-B4D8-9E53B3D1BF61}"/>
    <cellStyle name="Normal 2 13 2" xfId="2420" xr:uid="{CC02F2FE-C03A-4324-957E-5285B1D0BB1B}"/>
    <cellStyle name="Normal 2 14" xfId="2421" xr:uid="{3C542821-25EF-4615-ABD0-94A1432BFE58}"/>
    <cellStyle name="Normal 2 14 2" xfId="2422" xr:uid="{6B652E82-AAC8-4CC0-99D6-BDAB0C754BFD}"/>
    <cellStyle name="Normal 2 15" xfId="2423" xr:uid="{7A86FE42-1E96-4314-8BEB-AD6ECC580D3B}"/>
    <cellStyle name="Normal 2 15 2" xfId="5641" xr:uid="{E9807F30-2727-42A3-8D58-E95A8C357CBC}"/>
    <cellStyle name="Normal 2 16" xfId="2424" xr:uid="{23556D25-3B92-49F7-A08B-D82B5E12DB34}"/>
    <cellStyle name="Normal 2 16 2" xfId="5642" xr:uid="{FE570FD7-1D60-4E32-9913-C50E77B8F000}"/>
    <cellStyle name="Normal 2 17" xfId="2425" xr:uid="{98F58E06-914C-490A-B5C7-EC1D7701DAFE}"/>
    <cellStyle name="Normal 2 17 2" xfId="5643" xr:uid="{40CA609F-6DBE-4896-A142-1DC115485487}"/>
    <cellStyle name="Normal 2 18" xfId="2426" xr:uid="{5C948C01-00C6-4D59-89C9-796002CBE0F6}"/>
    <cellStyle name="Normal 2 19" xfId="2427" xr:uid="{88F7F4BB-B0AA-482A-AD5B-BF9E443CC17B}"/>
    <cellStyle name="Normal 2 2" xfId="2428" xr:uid="{E6BFD2E4-6378-4150-AA82-4C905A7FE1CB}"/>
    <cellStyle name="Normal 2 2 2" xfId="2429" xr:uid="{A1BDEFD3-B72C-4DBE-AA8F-853855FBE08F}"/>
    <cellStyle name="Normal 2 2 2 2" xfId="2430" xr:uid="{2D90A6BC-234C-4574-B4C5-047AB041EDE8}"/>
    <cellStyle name="Normal 2 2 3" xfId="2431" xr:uid="{326B58EE-5DD8-4F9B-8B5A-74C828A62333}"/>
    <cellStyle name="Normal 2 2 3 2" xfId="2432" xr:uid="{5B15B27A-0571-4061-842C-E29804863313}"/>
    <cellStyle name="Normal 2 2 4" xfId="2433" xr:uid="{518BB828-F4CD-4297-805E-1246C12DB078}"/>
    <cellStyle name="Normal 2 2 4 2" xfId="2434" xr:uid="{76B92D40-0E87-4F8C-95BD-E79548556ABC}"/>
    <cellStyle name="Normal 2 2 5" xfId="2435" xr:uid="{D8C59C52-1503-4409-A07E-BA111D43DCA4}"/>
    <cellStyle name="Normal 2 2 5 2" xfId="2436" xr:uid="{42CCEB06-28E0-46A3-9B30-F43072535B5B}"/>
    <cellStyle name="Normal 2 2 6" xfId="2437" xr:uid="{0E809834-D0A1-4ADC-AEB7-A0158A590D56}"/>
    <cellStyle name="Normal 2 2 6 2" xfId="2438" xr:uid="{C58F91FC-C9C2-4F8F-90AE-AC78B32C7BD6}"/>
    <cellStyle name="Normal 2 2 7" xfId="2439" xr:uid="{B9EC2228-8ADC-4BD3-808A-338E59353B8C}"/>
    <cellStyle name="Normal 2 2 7 2" xfId="2440" xr:uid="{01D63EC3-4CA6-4580-9586-62D6C5DD52BD}"/>
    <cellStyle name="Normal 2 2 8" xfId="2441" xr:uid="{1027F6C5-0A0B-44D9-BDD2-4EC246AA1645}"/>
    <cellStyle name="Normal 2 2_DSM @ Generator" xfId="2442" xr:uid="{E06290D3-16DA-4CBC-AE59-907CF1162BA4}"/>
    <cellStyle name="Normal 2 20" xfId="2443" xr:uid="{56FF2584-BE65-4810-82E7-7E2FC84C4001}"/>
    <cellStyle name="Normal 2 21" xfId="2444" xr:uid="{5D4100EE-50A3-4AEB-961E-F31F8428CFB1}"/>
    <cellStyle name="Normal 2 22" xfId="2445" xr:uid="{0E5A2630-50AA-476E-9886-6C206C81523D}"/>
    <cellStyle name="Normal 2 23" xfId="2446" xr:uid="{5997EA65-8035-4EC6-BA52-F7734F719131}"/>
    <cellStyle name="Normal 2 24" xfId="2447" xr:uid="{7AA14131-928D-44D6-9483-C7070D8E8DF9}"/>
    <cellStyle name="Normal 2 25" xfId="2448" xr:uid="{866CA54C-D21D-417D-BEBB-0F4B6C1725A1}"/>
    <cellStyle name="Normal 2 26" xfId="5635" xr:uid="{29EEECF5-E44A-42B1-A09E-B04D70D5CE10}"/>
    <cellStyle name="Normal 2 27" xfId="5616" xr:uid="{B1B804F9-27E8-4B5C-BEC3-02FCDF4FB791}"/>
    <cellStyle name="Normal 2 28" xfId="5633" xr:uid="{141376ED-5267-47D8-87B8-CE0448CC128C}"/>
    <cellStyle name="Normal 2 29" xfId="5615" xr:uid="{DA154C13-2BE9-41B2-A258-430212E955E5}"/>
    <cellStyle name="Normal 2 3" xfId="2449" xr:uid="{9CE09556-6825-428B-A8F0-814BB38EFD0D}"/>
    <cellStyle name="Normal 2 3 10" xfId="2450" xr:uid="{CF950826-CC12-42BC-A8EF-004F08403F6C}"/>
    <cellStyle name="Normal 2 3 2" xfId="2451" xr:uid="{DBD9E62F-AD79-4697-9B31-F9F544C0B205}"/>
    <cellStyle name="Normal 2 3 2 2" xfId="2452" xr:uid="{DEB1E83E-C1F5-463E-9791-62D4E2C24984}"/>
    <cellStyle name="Normal 2 3 2 2 2" xfId="5645" xr:uid="{8BFD1B90-AE2C-437A-ADA5-9292786F362E}"/>
    <cellStyle name="Normal 2 3 2 3" xfId="2453" xr:uid="{29F80CAD-4B19-4D0D-B05A-3E6C01E91083}"/>
    <cellStyle name="Normal 2 3 2 3 2" xfId="5646" xr:uid="{8AA08EE4-724B-415E-BD23-794CA42FBED9}"/>
    <cellStyle name="Normal 2 3 2 4" xfId="2454" xr:uid="{DC679B73-C92E-487C-AA08-13C50617E1D2}"/>
    <cellStyle name="Normal 2 3 2 4 2" xfId="5647" xr:uid="{9AE1012B-9632-4862-BE22-F2D7A061916E}"/>
    <cellStyle name="Normal 2 3 2 5" xfId="5644" xr:uid="{58D53AD2-4445-432E-84E4-4C7491FF6413}"/>
    <cellStyle name="Normal 2 3 2_DSM @ Meter" xfId="2455" xr:uid="{D332EC48-0C78-41A2-A2D1-E2F82D329BD9}"/>
    <cellStyle name="Normal 2 3 3" xfId="2456" xr:uid="{97DC8AFC-9336-4F6C-B019-259C06BAF6FD}"/>
    <cellStyle name="Normal 2 3 3 2" xfId="2457" xr:uid="{DFEB1EDE-4C76-4866-B90D-36414D0E782C}"/>
    <cellStyle name="Normal 2 3 3 2 2" xfId="5649" xr:uid="{40671C93-DF36-4922-9842-2BF98A9FE52F}"/>
    <cellStyle name="Normal 2 3 3 3" xfId="2458" xr:uid="{AC6C79E3-76A6-4F38-BF87-1C30E3A5B8C3}"/>
    <cellStyle name="Normal 2 3 3 3 2" xfId="5650" xr:uid="{836B145C-DFF9-4D5B-8848-7136524DA04C}"/>
    <cellStyle name="Normal 2 3 3 4" xfId="2459" xr:uid="{00155417-5234-480C-BD65-938A8F244103}"/>
    <cellStyle name="Normal 2 3 3 4 2" xfId="5651" xr:uid="{04181C32-7126-431C-BC76-7D7B372544C0}"/>
    <cellStyle name="Normal 2 3 3 5" xfId="5648" xr:uid="{EC9043F3-5E2A-43E4-9B08-8F85B58D52FC}"/>
    <cellStyle name="Normal 2 3 4" xfId="2460" xr:uid="{C31F9DFD-0757-43CC-90A4-E15179783E5D}"/>
    <cellStyle name="Normal 2 3 5" xfId="2461" xr:uid="{83139F50-E73C-4933-A39F-D1189EC83780}"/>
    <cellStyle name="Normal 2 3 6" xfId="2462" xr:uid="{4CA9C617-FF13-4BD8-964A-9BDA734E00A8}"/>
    <cellStyle name="Normal 2 3 7" xfId="2463" xr:uid="{34AE425B-48D5-4218-82EC-6D89E35FB114}"/>
    <cellStyle name="Normal 2 3 8" xfId="2464" xr:uid="{7C2A6AFC-7112-443A-810C-9B35833698B4}"/>
    <cellStyle name="Normal 2 3 9" xfId="2465" xr:uid="{146CCEFA-33FE-4539-A006-E6F5E7E235E1}"/>
    <cellStyle name="Normal 2 3_DSM @ Meter" xfId="2466" xr:uid="{48AD1470-2A68-4643-9478-5ACE0FBDA058}"/>
    <cellStyle name="Normal 2 30" xfId="2410" xr:uid="{67C0C77D-EB23-4EA2-A704-F097774FC0D4}"/>
    <cellStyle name="Normal 2 30 2" xfId="12373" xr:uid="{BD2D94F6-1FD1-4C22-9AB3-9E25C5D6592A}"/>
    <cellStyle name="Normal 2 31" xfId="5990" xr:uid="{34B71209-4919-4579-B9CF-0BC40C208AEE}"/>
    <cellStyle name="Normal 2 32" xfId="6001" xr:uid="{1B8A83AE-7F22-4102-B1A0-748FE12A24A8}"/>
    <cellStyle name="Normal 2 33" xfId="5991" xr:uid="{E7EE8967-53EC-44A3-89E3-E916121F7EDD}"/>
    <cellStyle name="Normal 2 34" xfId="5946" xr:uid="{26A9ED76-BAC0-4F84-A6CC-75C755828327}"/>
    <cellStyle name="Normal 2 35" xfId="6010" xr:uid="{7CAD3D39-48A2-4E4C-878C-5355D74703D7}"/>
    <cellStyle name="Normal 2 36" xfId="6000" xr:uid="{991250FB-E265-4803-BBAF-6A2076AB873B}"/>
    <cellStyle name="Normal 2 37" xfId="6013" xr:uid="{608EA7C9-6880-4E2B-B156-583DD9FEB728}"/>
    <cellStyle name="Normal 2 38" xfId="5945" xr:uid="{8FB9339A-419E-49F0-A405-32747D9FBF22}"/>
    <cellStyle name="Normal 2 39" xfId="10031" xr:uid="{9FDF87A8-306F-4DC7-BA85-E8A74FF089E7}"/>
    <cellStyle name="Normal 2 4" xfId="2467" xr:uid="{A96D0362-7CBE-4105-99DE-B7AB82B71518}"/>
    <cellStyle name="Normal 2 4 2" xfId="2468" xr:uid="{51E7E1E0-4D12-4C1C-81C2-6A8F2C3D04AF}"/>
    <cellStyle name="Normal 2 4 2 2" xfId="5653" xr:uid="{05875E60-C16D-47F5-85AA-E5F098D80F51}"/>
    <cellStyle name="Normal 2 4 3" xfId="2469" xr:uid="{11E676F6-321E-4210-826D-466A27E178C3}"/>
    <cellStyle name="Normal 2 4 3 2" xfId="5654" xr:uid="{8D7FC8A9-C234-4D47-864E-FA361D05D116}"/>
    <cellStyle name="Normal 2 4 4" xfId="2470" xr:uid="{6B7563BA-9720-4620-9120-DD9FFB4188BD}"/>
    <cellStyle name="Normal 2 4 4 2" xfId="5655" xr:uid="{6539B46E-D3FD-4BD3-B8A0-10440037A3A2}"/>
    <cellStyle name="Normal 2 4 5" xfId="5652" xr:uid="{65A42BCF-8E3A-4981-9AFA-3CD4639C0736}"/>
    <cellStyle name="Normal 2 40" xfId="9904" xr:uid="{089BFA36-4CEE-4690-AE50-1929A2E4F5C7}"/>
    <cellStyle name="Normal 2 41" xfId="16697" xr:uid="{3648928A-3E7A-42BD-998B-0B884139A8C8}"/>
    <cellStyle name="Normal 2 42" xfId="19262" xr:uid="{719C0592-94E1-4B48-99D0-C95B8FF5AEDA}"/>
    <cellStyle name="Normal 2 43" xfId="10027" xr:uid="{0B0075DA-8759-497D-81F4-D7CC0CC424B7}"/>
    <cellStyle name="Normal 2 44" xfId="17565" xr:uid="{AD22DEF3-DE31-4E4A-B631-E06E615B1A8B}"/>
    <cellStyle name="Normal 2 45" xfId="18243" xr:uid="{AE66A946-777B-4CDC-936B-897859745B6A}"/>
    <cellStyle name="Normal 2 46" xfId="18184" xr:uid="{3E23775E-B073-43E7-BA89-B91871101D2E}"/>
    <cellStyle name="Normal 2 47" xfId="17670" xr:uid="{D7B6E491-2F41-4D77-BF20-A80694FAD7E5}"/>
    <cellStyle name="Normal 2 48" xfId="15781" xr:uid="{79EE1150-0166-4C12-83D3-EDB6ECA5440D}"/>
    <cellStyle name="Normal 2 49" xfId="18645" xr:uid="{72CF7760-A9D5-4BF8-880C-E7F77D0263E5}"/>
    <cellStyle name="Normal 2 5" xfId="2471" xr:uid="{A44B1D1A-63DD-4B93-B91C-E3D1A1FB6E04}"/>
    <cellStyle name="Normal 2 5 2" xfId="2472" xr:uid="{E1017176-F835-4ED9-8AC4-F194BB66E9A9}"/>
    <cellStyle name="Normal 2 5 2 2" xfId="5657" xr:uid="{1429B168-D1AF-46FA-B9E7-BB3E19CBC86F}"/>
    <cellStyle name="Normal 2 5 3" xfId="2473" xr:uid="{8B1BCAED-0421-478A-B239-FBCBC4275C38}"/>
    <cellStyle name="Normal 2 5 3 2" xfId="5658" xr:uid="{7E511CF0-105D-494D-8C58-81B579BD25FC}"/>
    <cellStyle name="Normal 2 5 4" xfId="2474" xr:uid="{A3F7B9FB-B8E4-4861-80A5-22850FF4176A}"/>
    <cellStyle name="Normal 2 5 4 2" xfId="5659" xr:uid="{13974EA8-9540-47AC-B8DB-D891415BC74F}"/>
    <cellStyle name="Normal 2 5 5" xfId="5656" xr:uid="{90ACEDE6-C30F-4B74-81D6-B4A0007457AF}"/>
    <cellStyle name="Normal 2 50" xfId="18937" xr:uid="{74BFD7B6-0C14-4E4C-91F6-31C26D82EABE}"/>
    <cellStyle name="Normal 2 51" xfId="18880" xr:uid="{8AE8934C-FFAE-4CD2-9F83-6DA8B0B18A36}"/>
    <cellStyle name="Normal 2 52" xfId="20128" xr:uid="{827F2CF9-5715-4592-BDD3-48D51810B519}"/>
    <cellStyle name="Normal 2 53" xfId="23059" xr:uid="{95613E81-26D7-4F4F-A24C-07099C5C62B0}"/>
    <cellStyle name="Normal 2 54" xfId="26702" xr:uid="{2EE3A09A-6D2D-4EC9-94CC-C7BCBFA573BF}"/>
    <cellStyle name="Normal 2 55" xfId="18660" xr:uid="{315327F3-A8ED-48CA-B7EB-ABD889B667CE}"/>
    <cellStyle name="Normal 2 56" xfId="26699" xr:uid="{BF1596B6-D362-443C-ABA2-65670848473F}"/>
    <cellStyle name="Normal 2 57" xfId="23918" xr:uid="{58AEC6B1-4896-4BB5-8D73-400C95D42D02}"/>
    <cellStyle name="Normal 2 58" xfId="23207" xr:uid="{2A2037B5-92E2-4DB9-83FF-1FDA7BF70FEE}"/>
    <cellStyle name="Normal 2 59" xfId="18761" xr:uid="{2468D9CC-70EC-4971-9831-25C8BE656B0E}"/>
    <cellStyle name="Normal 2 6" xfId="2475" xr:uid="{34C31666-8C2B-46B1-8541-733F20E174F3}"/>
    <cellStyle name="Normal 2 6 2" xfId="2476" xr:uid="{187EB11F-C172-4B58-90A2-E5AF2139AC7A}"/>
    <cellStyle name="Normal 2 6 2 2" xfId="5661" xr:uid="{307FDADF-5E37-4F86-91B9-F8BE3B0E443D}"/>
    <cellStyle name="Normal 2 6 3" xfId="2477" xr:uid="{85762F74-1F5C-46C6-9228-4013E228C9D5}"/>
    <cellStyle name="Normal 2 6 3 2" xfId="5662" xr:uid="{8049EDBF-84B2-42A2-A872-AA77A4A16DED}"/>
    <cellStyle name="Normal 2 6 4" xfId="2478" xr:uid="{8323961D-D3ED-4C17-9B5B-CC66529B4E59}"/>
    <cellStyle name="Normal 2 6 4 2" xfId="5663" xr:uid="{3E56753B-C65E-4946-87F9-E53A3D25E893}"/>
    <cellStyle name="Normal 2 6 5" xfId="5660" xr:uid="{EBED0C73-34E9-4734-9678-643EF52F58C2}"/>
    <cellStyle name="Normal 2 60" xfId="22608" xr:uid="{E3C32DD4-36B1-4416-8BB5-AB2C14DABCFE}"/>
    <cellStyle name="Normal 2 61" xfId="28581" xr:uid="{2E84D9CE-C39A-47E6-83EB-8D80288BC02B}"/>
    <cellStyle name="Normal 2 62" xfId="26210" xr:uid="{0F79E268-410A-4B5B-886F-11D0B60DAC7E}"/>
    <cellStyle name="Normal 2 63" xfId="23893" xr:uid="{3FB4AE16-DAF2-4926-86E5-BE16FA19F5EA}"/>
    <cellStyle name="Normal 2 64" xfId="23103" xr:uid="{AD50279A-3242-4367-9A89-B56F747475C6}"/>
    <cellStyle name="Normal 2 65" xfId="30039" xr:uid="{C4643D54-F625-4213-A1C6-D441D2359408}"/>
    <cellStyle name="Normal 2 66" xfId="23104" xr:uid="{FFFC8064-8D84-4DBD-B5B5-509F63C5EF69}"/>
    <cellStyle name="Normal 2 67" xfId="29443" xr:uid="{EFDC6343-D6CA-4EB0-BF9E-2DD5EC15A7A9}"/>
    <cellStyle name="Normal 2 68" xfId="29871" xr:uid="{2884A67E-E90D-431F-A61A-6A17EB30A3AF}"/>
    <cellStyle name="Normal 2 69" xfId="6243" xr:uid="{87A4006C-C915-490F-928C-D95BDA3AD512}"/>
    <cellStyle name="Normal 2 7" xfId="2479" xr:uid="{5298D435-8B4B-4A8F-ADE0-708E7D9FDA73}"/>
    <cellStyle name="Normal 2 7 2" xfId="2480" xr:uid="{9E4E9760-3EA5-40C0-847E-FB0271EC7A8E}"/>
    <cellStyle name="Normal 2 70" xfId="6244" xr:uid="{FFD27F5D-CC14-4590-822F-787412B93378}"/>
    <cellStyle name="Normal 2 8" xfId="2481" xr:uid="{F09ACA62-ED39-4D0B-9D0D-F395E4E87088}"/>
    <cellStyle name="Normal 2 8 2" xfId="2482" xr:uid="{9D3C239C-B690-4B85-9784-D8A4A938EDAB}"/>
    <cellStyle name="Normal 2 8 2 2" xfId="5665" xr:uid="{E3AD526E-CED3-4DFB-9E96-2FB8D451C20D}"/>
    <cellStyle name="Normal 2 8 3" xfId="2483" xr:uid="{259785D1-BDB9-411C-9C7B-5F3DBBF9B378}"/>
    <cellStyle name="Normal 2 8 3 2" xfId="5666" xr:uid="{9FCEB091-9E37-4B62-AE7D-F0CF17A04C65}"/>
    <cellStyle name="Normal 2 8 4" xfId="2484" xr:uid="{900EDA74-5C85-48FD-9DDF-F85E252F3A00}"/>
    <cellStyle name="Normal 2 8 4 2" xfId="5667" xr:uid="{A46755BA-2511-4CC0-8300-FEFDF1F52BD3}"/>
    <cellStyle name="Normal 2 8 5" xfId="5664" xr:uid="{30D8B98E-E374-4D93-B8AF-4961998D1BC3}"/>
    <cellStyle name="Normal 2 9" xfId="2485" xr:uid="{75EDB95C-5949-40CB-AE69-D0F40391B82D}"/>
    <cellStyle name="Normal 2 9 2" xfId="2486" xr:uid="{917C4E94-C053-41D5-BDBA-FF77F21795DA}"/>
    <cellStyle name="Normal 20" xfId="2487" xr:uid="{93020856-CDE3-47F2-A33B-AD7B59FE7AD2}"/>
    <cellStyle name="Normal 20 2" xfId="2488" xr:uid="{DA7E0306-AD86-4914-818F-BE9D576AE440}"/>
    <cellStyle name="Normal 20 2 2" xfId="2489" xr:uid="{F6CCF7B8-DF11-4E57-AAC0-AF145DC3ED2E}"/>
    <cellStyle name="Normal 20 2 2 2" xfId="2490" xr:uid="{3488EA24-62F9-476B-ADD9-9057E542CE2B}"/>
    <cellStyle name="Normal 20 2 3" xfId="2491" xr:uid="{AD03BB40-917C-46FB-AAD0-1A160B413534}"/>
    <cellStyle name="Normal 20 2_DSM @ Meter" xfId="2492" xr:uid="{7E06FBCF-6090-4DAD-9738-FB226C4BAA77}"/>
    <cellStyle name="Normal 20 3" xfId="2493" xr:uid="{43C3BB2D-E2C7-4528-ABD5-7795382AE0FD}"/>
    <cellStyle name="Normal 20 3 2" xfId="2494" xr:uid="{DF705030-3EC3-4E49-9ED4-F5111077828F}"/>
    <cellStyle name="Normal 20 4" xfId="2495" xr:uid="{9D6006F2-8507-4B9C-8572-741010D48244}"/>
    <cellStyle name="Normal 20 4 2" xfId="2496" xr:uid="{64223A5D-65C3-40F2-BB51-A4DB4D40CF65}"/>
    <cellStyle name="Normal 20 5" xfId="2497" xr:uid="{DE4119BB-EDF9-4059-9EA1-E9182F7C4179}"/>
    <cellStyle name="Normal 20 5 2" xfId="2498" xr:uid="{25BBD74D-64AE-4AB8-A7D7-C7432DDE9AA8}"/>
    <cellStyle name="Normal 20 6" xfId="2499" xr:uid="{2CCF3A8F-6F9B-46D3-9B1A-D34574353C29}"/>
    <cellStyle name="Normal 20 6 2" xfId="2500" xr:uid="{EC716091-938A-4E6F-9A6C-496EE2DE8958}"/>
    <cellStyle name="Normal 20 7" xfId="2501" xr:uid="{1179CD47-DDA0-4784-987D-F10CC0C4754C}"/>
    <cellStyle name="Normal 20 7 2" xfId="2502" xr:uid="{BDA037D6-9407-4FBC-8F47-74D7CBC7163D}"/>
    <cellStyle name="Normal 20 8" xfId="2503" xr:uid="{9A7CED0E-08AD-43AD-A9F1-429E68B6A573}"/>
    <cellStyle name="Normal 20_DSM @ Generator" xfId="2504" xr:uid="{6EA0DE33-B6DA-466C-BBCB-D5F339CDBDA6}"/>
    <cellStyle name="Normal 21" xfId="2505" xr:uid="{C614A654-EA76-4122-AD78-B65172866AFB}"/>
    <cellStyle name="Normal 21 2" xfId="2506" xr:uid="{ECFB72B4-CAD7-416B-9436-44E31829DCD8}"/>
    <cellStyle name="Normal 21 2 2" xfId="2507" xr:uid="{CE463236-98E6-45CE-934F-432E07613498}"/>
    <cellStyle name="Normal 21 2 2 2" xfId="2508" xr:uid="{05B7490C-EF55-4E6A-8E49-3586AFC70A6D}"/>
    <cellStyle name="Normal 21 2 3" xfId="2509" xr:uid="{D42CADD0-864B-478A-8114-CA0BB084A355}"/>
    <cellStyle name="Normal 21 2_DSM @ Meter" xfId="2510" xr:uid="{03F89489-E5B6-4734-A949-8EF7E45F3124}"/>
    <cellStyle name="Normal 21 3" xfId="2511" xr:uid="{F64B8098-2650-421D-BBC1-63F73F50A425}"/>
    <cellStyle name="Normal 21 3 2" xfId="2512" xr:uid="{6ADA7C75-953A-47A8-9579-8D3CBE3B1E13}"/>
    <cellStyle name="Normal 21 4" xfId="2513" xr:uid="{CF6F6AB4-8D11-44CD-8FE9-85A4DE8AA2ED}"/>
    <cellStyle name="Normal 21 4 2" xfId="2514" xr:uid="{ED8BFD8F-9AF5-4B73-8644-06BFA0E8186A}"/>
    <cellStyle name="Normal 21 5" xfId="2515" xr:uid="{AD34BB2E-041C-4FBF-9481-A40C963DE04C}"/>
    <cellStyle name="Normal 21 5 2" xfId="2516" xr:uid="{E1A20E0E-19A3-4F9D-9118-75A505F8FD70}"/>
    <cellStyle name="Normal 21 6" xfId="2517" xr:uid="{B1A48A70-F935-4D7B-8F56-24E95C48E589}"/>
    <cellStyle name="Normal 21 6 2" xfId="2518" xr:uid="{7B427882-96A1-48F9-915E-49A6054647EF}"/>
    <cellStyle name="Normal 21 7" xfId="2519" xr:uid="{9B071BEB-1A82-4EB3-AD14-BE1724E9408A}"/>
    <cellStyle name="Normal 21 7 2" xfId="2520" xr:uid="{3E2A3356-2F85-4A8B-8FEB-C01E7A896414}"/>
    <cellStyle name="Normal 21 8" xfId="2521" xr:uid="{C6B6B13A-2A3A-4319-A52A-42DAE4AA552E}"/>
    <cellStyle name="Normal 21_DSM @ Generator" xfId="2522" xr:uid="{9C5EDC69-3844-4985-8A0E-3B44901E510E}"/>
    <cellStyle name="Normal 22" xfId="2523" xr:uid="{7A9FFCBD-3ED9-43D6-B8B8-C59C52EF8923}"/>
    <cellStyle name="Normal 22 2" xfId="2524" xr:uid="{EC0ADEE0-3486-4220-ADFC-8EEBF8072C39}"/>
    <cellStyle name="Normal 22 2 2" xfId="2525" xr:uid="{F6AB0D4D-5576-4D9F-81DE-6A63E561BA14}"/>
    <cellStyle name="Normal 22 2 2 2" xfId="2526" xr:uid="{EF54A018-8096-40C4-A314-FEE01E6A71BF}"/>
    <cellStyle name="Normal 22 2 3" xfId="2527" xr:uid="{D057CE0A-FA8B-47CD-BF0C-5F6325767600}"/>
    <cellStyle name="Normal 22 2_DSM @ Meter" xfId="2528" xr:uid="{54DA0A64-45BD-4A07-ACBF-0920C0CCC992}"/>
    <cellStyle name="Normal 22 3" xfId="2529" xr:uid="{3DDF9638-E510-4E0F-AF4C-097055F39CB7}"/>
    <cellStyle name="Normal 22 3 2" xfId="2530" xr:uid="{2EFDD94E-9E39-45FE-ADCE-0A3D670B03A4}"/>
    <cellStyle name="Normal 22 4" xfId="2531" xr:uid="{CE0CF61F-9F8C-4797-8EEC-AB3B24EDCAF7}"/>
    <cellStyle name="Normal 22 4 2" xfId="2532" xr:uid="{7751832F-9E43-441F-9DA2-4FBA477081D9}"/>
    <cellStyle name="Normal 22 5" xfId="2533" xr:uid="{038A9CCD-3D6B-4218-853D-A9FC12A51251}"/>
    <cellStyle name="Normal 22 5 2" xfId="2534" xr:uid="{799D6B91-D3E3-4865-9942-B550443BFAF7}"/>
    <cellStyle name="Normal 22 6" xfId="2535" xr:uid="{F31E6D1C-674C-4835-9ADE-1EEF8D943D04}"/>
    <cellStyle name="Normal 22 6 2" xfId="2536" xr:uid="{7B8E07B4-624B-48AB-8C00-629735D0B2D5}"/>
    <cellStyle name="Normal 22 7" xfId="2537" xr:uid="{A1D43D2E-AC44-4B16-BF8B-52BBB357796A}"/>
    <cellStyle name="Normal 22 7 2" xfId="2538" xr:uid="{DE846DF6-D9D7-4D84-A288-795B5F79E7E7}"/>
    <cellStyle name="Normal 22 8" xfId="2539" xr:uid="{D24BD2D7-E23D-41E6-A26A-D4767A8E4E85}"/>
    <cellStyle name="Normal 22_DSM @ Generator" xfId="2540" xr:uid="{11F5A885-44C8-4CFD-A14C-6C794CE935C1}"/>
    <cellStyle name="Normal 23" xfId="2541" xr:uid="{BD76B6FB-7DF6-4C6B-BB38-3DD14641C99C}"/>
    <cellStyle name="Normal 23 2" xfId="2542" xr:uid="{5C469FD4-8072-4498-A241-4AE8A374090A}"/>
    <cellStyle name="Normal 23 2 2" xfId="2543" xr:uid="{D9A6F080-9D25-4D1F-81A3-FEF9B9E7860D}"/>
    <cellStyle name="Normal 23 3" xfId="2544" xr:uid="{37A12ADA-ED0F-4A05-B01C-5F3953924692}"/>
    <cellStyle name="Normal 23_DSM @ Meter" xfId="2545" xr:uid="{DA6E4AAB-A66F-4BF2-BC0F-FE1A91681573}"/>
    <cellStyle name="Normal 24" xfId="2546" xr:uid="{E1F8A2E1-638A-4156-994D-E9F448770857}"/>
    <cellStyle name="Normal 24 2" xfId="2547" xr:uid="{E1E2DA53-BD43-4477-82B7-05D47F40DFBC}"/>
    <cellStyle name="Normal 25" xfId="2548" xr:uid="{256F387B-1BC1-407B-B854-38A154EBE936}"/>
    <cellStyle name="Normal 25 2" xfId="2549" xr:uid="{30AA9CA9-02D3-4244-B96E-0D5A105544E1}"/>
    <cellStyle name="Normal 25 2 2" xfId="5669" xr:uid="{50206EC6-D478-4C34-865D-30AA97C0D4F7}"/>
    <cellStyle name="Normal 25 3" xfId="2550" xr:uid="{070A00C1-9F72-4EBE-BBF9-FAF58AC5C352}"/>
    <cellStyle name="Normal 25 3 2" xfId="5670" xr:uid="{90C77C4D-60D9-4BD2-8276-3B699A1DDEA0}"/>
    <cellStyle name="Normal 25 4" xfId="2551" xr:uid="{675D1BD6-D19F-4C14-9258-D55C82C79B45}"/>
    <cellStyle name="Normal 25 4 2" xfId="5671" xr:uid="{D9D3E82B-2624-41B2-843E-52E46A896DF4}"/>
    <cellStyle name="Normal 25 5" xfId="2552" xr:uid="{402DC74B-4F4B-4B0B-9316-A10F6D17322E}"/>
    <cellStyle name="Normal 25 6" xfId="5668" xr:uid="{09CD16BC-DD55-4AF4-B043-BE85DE508159}"/>
    <cellStyle name="Normal 26" xfId="2553" xr:uid="{5AD8570F-009D-4932-90DC-279DD5D92FDD}"/>
    <cellStyle name="Normal 26 2" xfId="2554" xr:uid="{F053248F-79CC-49DB-A1CE-2B418FFF6A4E}"/>
    <cellStyle name="Normal 26 3" xfId="5672" xr:uid="{B34AD299-AB0C-4572-A3FA-52D29CECE72D}"/>
    <cellStyle name="Normal 27" xfId="2555" xr:uid="{C6F9041F-7F14-49D0-95DB-8DB5FC433128}"/>
    <cellStyle name="Normal 27 2" xfId="2556" xr:uid="{3269196C-6482-40E8-89BC-3932E96D163F}"/>
    <cellStyle name="Normal 27 3" xfId="5673" xr:uid="{C1804C54-E205-4B4B-864E-4B547EAA726D}"/>
    <cellStyle name="Normal 28" xfId="2557" xr:uid="{216B295E-A1C3-4324-9BB7-245AC6CB4291}"/>
    <cellStyle name="Normal 28 2" xfId="2558" xr:uid="{82982BF0-9354-471E-ACA6-53619C8D5121}"/>
    <cellStyle name="Normal 28 3" xfId="5674" xr:uid="{42F8416E-2578-445F-A2DE-9A56BCCA05B1}"/>
    <cellStyle name="Normal 29" xfId="2559" xr:uid="{4BF27D48-54D0-481B-90AC-6F4B04B4D9E8}"/>
    <cellStyle name="Normal 29 2" xfId="2560" xr:uid="{A36E6107-C202-4B43-AF38-2EB3F6EECB12}"/>
    <cellStyle name="Normal 29 3" xfId="5675" xr:uid="{E5252CE4-37C5-4082-BE7B-664EECCC8648}"/>
    <cellStyle name="Normal 3" xfId="82" xr:uid="{00000000-0005-0000-0000-000047000000}"/>
    <cellStyle name="Normal 3 2" xfId="2562" xr:uid="{72A38196-F1FC-4299-9C3C-3A83FD029271}"/>
    <cellStyle name="Normal 3 2 2" xfId="2563" xr:uid="{444688B1-CC7E-4020-9165-CECB82237C69}"/>
    <cellStyle name="Normal 3 2 2 2" xfId="2564" xr:uid="{5F84848F-76A2-4010-9973-2177EDA4B71D}"/>
    <cellStyle name="Normal 3 2 3" xfId="2565" xr:uid="{AD77B2C6-BB3A-4C62-9A2D-A779F3824A9D}"/>
    <cellStyle name="Normal 3 2_DSM @ Meter" xfId="2566" xr:uid="{0390EEBD-E708-4B9D-B7F6-2DCC9D5CFF72}"/>
    <cellStyle name="Normal 3 3" xfId="2567" xr:uid="{011B6AE3-C83F-42A6-9BE9-ADAB374FAF2D}"/>
    <cellStyle name="Normal 3 3 2" xfId="2568" xr:uid="{E7665D63-6AAB-4E18-9B2A-92DD3E6E2976}"/>
    <cellStyle name="Normal 3 4" xfId="2569" xr:uid="{87997268-26BB-4961-90C9-E884D4808167}"/>
    <cellStyle name="Normal 3 4 2" xfId="2570" xr:uid="{EE4933EC-D18C-4F8C-AE81-854CF6CE8D4E}"/>
    <cellStyle name="Normal 3 5" xfId="2571" xr:uid="{4D455B30-E149-42EF-802E-D5BD807B9EBD}"/>
    <cellStyle name="Normal 3 5 2" xfId="2572" xr:uid="{B51D8FFE-088A-463F-94F0-46C22368E97B}"/>
    <cellStyle name="Normal 3 6" xfId="2573" xr:uid="{43D024EF-4957-47C3-AADD-79F3F0E7166D}"/>
    <cellStyle name="Normal 3 6 2" xfId="2574" xr:uid="{F7966C7F-1904-49CE-BBDC-8233EE0C7A1C}"/>
    <cellStyle name="Normal 3 7" xfId="2575" xr:uid="{046400F8-0247-4ACF-8059-E3C2461F6740}"/>
    <cellStyle name="Normal 3 7 2" xfId="2576" xr:uid="{F0101D3D-91D8-4C25-AC88-AF673A5B6AEF}"/>
    <cellStyle name="Normal 3 8" xfId="2577" xr:uid="{281F07A4-D5D8-443A-8B04-0FC1E87D3708}"/>
    <cellStyle name="Normal 3 9" xfId="2561" xr:uid="{6E93D2F0-7033-4FBA-B5FD-D49B36F3745C}"/>
    <cellStyle name="Normal 3 9 2" xfId="12375" xr:uid="{3FBDA049-115C-42B1-96BF-AEFB9AC0DF2F}"/>
    <cellStyle name="Normal 3_DSM @ Generator" xfId="2578" xr:uid="{C3E11AA3-C849-4280-998C-6E3321C25088}"/>
    <cellStyle name="Normal 30" xfId="2579" xr:uid="{63DBE214-A82B-4205-A81F-AD8EBCAE6423}"/>
    <cellStyle name="Normal 30 2" xfId="2580" xr:uid="{CA3763D1-60D1-4F23-9D9A-5A64AB97E4C8}"/>
    <cellStyle name="Normal 31" xfId="2581" xr:uid="{4C83A152-ACF4-4E8F-98C3-269A1C129ACE}"/>
    <cellStyle name="Normal 31 2" xfId="2582" xr:uid="{9A61075C-05B7-471F-B620-9B12A566643D}"/>
    <cellStyle name="Normal 32" xfId="2583" xr:uid="{CADD1CC0-54F6-4E4B-BF82-51FAB67D0525}"/>
    <cellStyle name="Normal 33" xfId="2584" xr:uid="{DEB6FC96-917B-42D5-A9EE-685505F61A03}"/>
    <cellStyle name="Normal 33 2" xfId="2585" xr:uid="{351F7D2A-B747-473B-AC7E-EA89D877A17B}"/>
    <cellStyle name="Normal 33 2 2" xfId="9234" xr:uid="{48B7564D-FCC6-4118-B9FF-2F99DBCB6EE3}"/>
    <cellStyle name="Normal 33 3" xfId="9233" xr:uid="{F8DC4CCB-3202-4701-B37D-F0D1705CB35C}"/>
    <cellStyle name="Normal 33 4" xfId="6245" xr:uid="{CBE508A4-BBCD-4820-BD24-AC503D7CF129}"/>
    <cellStyle name="Normal 34" xfId="2586" xr:uid="{AF942982-5F25-4BEC-9F03-61BBE150CC60}"/>
    <cellStyle name="Normal 34 2" xfId="9235" xr:uid="{8FBF55E3-CF46-44F8-B52F-B53EA81D7404}"/>
    <cellStyle name="Normal 34 3" xfId="6246" xr:uid="{ABDEE4BD-BA24-47A2-BF05-A9E9A319D5BD}"/>
    <cellStyle name="Normal 35" xfId="2587" xr:uid="{36D5C9F4-CCE8-4E4E-85E6-0319BE39D408}"/>
    <cellStyle name="Normal 35 2" xfId="9236" xr:uid="{FBCD81AB-0236-4C36-AEF7-1EF3823B1792}"/>
    <cellStyle name="Normal 35 3" xfId="6247" xr:uid="{9EC43AEF-0AE4-48B6-BB82-3200D755BF78}"/>
    <cellStyle name="Normal 36" xfId="2588" xr:uid="{AF36B9AC-80D3-49CE-B5C3-920E5191AE37}"/>
    <cellStyle name="Normal 36 2" xfId="9237" xr:uid="{D017B648-01EF-4753-A88B-05F64C2373D0}"/>
    <cellStyle name="Normal 36 3" xfId="6248" xr:uid="{279273FF-8C3E-4F55-9B3A-72A597780745}"/>
    <cellStyle name="Normal 37" xfId="2589" xr:uid="{C11FC07B-A6FA-4A75-B899-20A0D61809F5}"/>
    <cellStyle name="Normal 37 2" xfId="9238" xr:uid="{7669AA1F-F7DC-4A61-8DE2-C091475DBC36}"/>
    <cellStyle name="Normal 37 3" xfId="6249" xr:uid="{900B3CDD-6261-4372-B7D9-BDB20B26219E}"/>
    <cellStyle name="Normal 38" xfId="2590" xr:uid="{33CC537D-C068-4BD8-A747-0C1FBE3AA070}"/>
    <cellStyle name="Normal 38 2" xfId="9239" xr:uid="{00988423-1DFE-4207-A244-F65E138C6776}"/>
    <cellStyle name="Normal 38 3" xfId="6250" xr:uid="{1474A7E1-5D0D-41D5-BC03-6CE23F5CA4D9}"/>
    <cellStyle name="Normal 39" xfId="2591" xr:uid="{0A05166B-2306-4B08-A569-83445CC147EB}"/>
    <cellStyle name="Normal 39 2" xfId="9240" xr:uid="{654CBE1A-BD42-45C8-9F83-89C6913DCB06}"/>
    <cellStyle name="Normal 39 3" xfId="6251" xr:uid="{4D7744CF-5D03-415D-8D27-F12C737C4C15}"/>
    <cellStyle name="Normal 4" xfId="85" xr:uid="{B915C07B-901D-49DC-99DD-CD12DB295663}"/>
    <cellStyle name="Normal 4 2" xfId="2593" xr:uid="{C8E698A4-2391-472C-9AE6-5C0F7DD0481C}"/>
    <cellStyle name="Normal 4 2 2" xfId="2594" xr:uid="{330032ED-1DDC-4E69-806A-07D51B21D789}"/>
    <cellStyle name="Normal 4 2 2 2" xfId="2595" xr:uid="{B4EFD1B8-D9E9-44CF-9ADA-F53EFBE7759A}"/>
    <cellStyle name="Normal 4 2 3" xfId="2596" xr:uid="{561FBAAB-B1C4-4D3E-88B9-7A19FF3992BD}"/>
    <cellStyle name="Normal 4 2_DSM @ Meter" xfId="2597" xr:uid="{27814139-9BE6-4DCF-9279-D9EE406F9843}"/>
    <cellStyle name="Normal 4 3" xfId="2598" xr:uid="{CB156B4D-2FBC-4BA5-801E-6834E4AE4093}"/>
    <cellStyle name="Normal 4 3 2" xfId="2599" xr:uid="{46FD61A6-8850-49A2-8BB0-BEA2215CA40D}"/>
    <cellStyle name="Normal 4 4" xfId="2600" xr:uid="{E7C9D60A-237A-4F8D-9A0F-1330DE27BFEE}"/>
    <cellStyle name="Normal 4 4 2" xfId="2601" xr:uid="{10AEDB24-62FD-42E0-A639-4E4E44380755}"/>
    <cellStyle name="Normal 4 5" xfId="2602" xr:uid="{4B60AA0A-F22A-4037-AC6E-C941E7023B0D}"/>
    <cellStyle name="Normal 4 5 2" xfId="2603" xr:uid="{59CFC535-2FA8-44A5-9DDC-6D8F6481AB81}"/>
    <cellStyle name="Normal 4 6" xfId="2604" xr:uid="{86ADD220-FC26-4843-A9DF-B5756142C826}"/>
    <cellStyle name="Normal 4 6 2" xfId="2605" xr:uid="{FFBD217E-E5E4-459D-90C2-A4780EE9021C}"/>
    <cellStyle name="Normal 4 7" xfId="2606" xr:uid="{DD282501-89D5-414D-9AF9-D2CFC8E5F01C}"/>
    <cellStyle name="Normal 4 7 2" xfId="2607" xr:uid="{3CCC1D9C-E3B1-467B-B5D8-5402D98CEA91}"/>
    <cellStyle name="Normal 4 8" xfId="2608" xr:uid="{DF5ED6A2-2FA8-4136-86B9-4CE4A393221D}"/>
    <cellStyle name="Normal 4 9" xfId="2592" xr:uid="{7CEBED40-2356-410E-AE4E-27AE8CC5DA81}"/>
    <cellStyle name="Normal 4_DSM @ Generator" xfId="2609" xr:uid="{94778F7A-AD1D-4AD2-9B2D-96535B3FF381}"/>
    <cellStyle name="Normal 40" xfId="5907" xr:uid="{75BEAC89-93F2-43F6-814A-1C23238E0F25}"/>
    <cellStyle name="Normal 40 2" xfId="12362" xr:uid="{1728E791-B6FC-423E-A87C-EF3E879CECC1}"/>
    <cellStyle name="Normal 40 3" xfId="6930" xr:uid="{7D1AA2CD-688C-4303-AA4E-C25C7D0DB9D7}"/>
    <cellStyle name="Normal 41" xfId="5912" xr:uid="{6E544240-C2D1-4E65-96C6-33F6EFDE454A}"/>
    <cellStyle name="Normal 41 2" xfId="6964" xr:uid="{78D50822-348F-4EA8-B2BC-97CCC468692D}"/>
    <cellStyle name="Normal 41 3" xfId="6933" xr:uid="{DE46975C-E666-4915-B758-5A10E7EB811D}"/>
    <cellStyle name="Normal 42" xfId="5913" xr:uid="{464BCADB-4E0F-4731-8FE5-E4D292C98024}"/>
    <cellStyle name="Normal 42 2" xfId="12371" xr:uid="{0621B089-A19D-4988-A57F-50C12F6ED89A}"/>
    <cellStyle name="Normal 42 3" xfId="6934" xr:uid="{056E09B4-B68C-487A-8894-B3F9C3C28D45}"/>
    <cellStyle name="Normal 43" xfId="5914" xr:uid="{D8436519-4B73-4C6D-88CE-B1E74C8D6164}"/>
    <cellStyle name="Normal 43 2" xfId="6935" xr:uid="{A9925C3C-DB48-4945-A04B-724F2E89C5F7}"/>
    <cellStyle name="Normal 44" xfId="5916" xr:uid="{570A73F6-D03F-488F-9C11-B56200D600D0}"/>
    <cellStyle name="Normal 44 2" xfId="6937" xr:uid="{AD9BDF93-BC33-4096-A892-37A942BC710C}"/>
    <cellStyle name="Normal 45" xfId="5918" xr:uid="{87D6913D-F060-4D24-920D-A15E3207C334}"/>
    <cellStyle name="Normal 45 2" xfId="6939" xr:uid="{EABCA208-34F5-4CB3-BC30-1BA0C80B071B}"/>
    <cellStyle name="Normal 46" xfId="5921" xr:uid="{4915D48B-EB4C-473A-B447-617B4D3F9188}"/>
    <cellStyle name="Normal 46 2" xfId="6942" xr:uid="{08CF1699-1D5F-4BD6-8B63-7D307C5672FB}"/>
    <cellStyle name="Normal 47" xfId="5924" xr:uid="{4599376B-2050-4DEB-A4CC-8BB86A9CE734}"/>
    <cellStyle name="Normal 47 2" xfId="6945" xr:uid="{D48823CC-0054-42C9-BC75-C8B3C233452F}"/>
    <cellStyle name="Normal 48" xfId="5927" xr:uid="{D9DF951E-8FDE-475C-B8E9-FCF84DA8EB00}"/>
    <cellStyle name="Normal 48 2" xfId="6948" xr:uid="{74D8106E-62E1-41EC-8FBF-8F60F34B065E}"/>
    <cellStyle name="Normal 49" xfId="5930" xr:uid="{68924254-925C-4DF5-BC9D-F03D719DA87A}"/>
    <cellStyle name="Normal 49 2" xfId="6951" xr:uid="{671CCD80-C6CE-4278-99FC-B16C58DADB6C}"/>
    <cellStyle name="Normal 5" xfId="87" xr:uid="{4EBBCD39-F801-4C67-82E8-A27ADB8EEB11}"/>
    <cellStyle name="Normal 5 2" xfId="2611" xr:uid="{59376929-EBB8-4ADF-A12A-C8E4FC8B50E9}"/>
    <cellStyle name="Normal 5 2 2" xfId="2612" xr:uid="{8A7DA7C7-F2A6-4F20-B6BE-64ED4E420FC3}"/>
    <cellStyle name="Normal 5 2 2 2" xfId="2613" xr:uid="{FFC0B5D3-9077-4F1C-B810-A39F680E91CE}"/>
    <cellStyle name="Normal 5 2 3" xfId="2614" xr:uid="{E1E670BC-1F00-4E67-BFD5-2ECF0816A04B}"/>
    <cellStyle name="Normal 5 2_DSM @ Meter" xfId="2615" xr:uid="{4E33EEE6-AF8D-4FE2-9B78-4C256385DAB6}"/>
    <cellStyle name="Normal 5 3" xfId="2616" xr:uid="{E2E7EF24-F329-48CD-9586-431AE3185FDD}"/>
    <cellStyle name="Normal 5 3 2" xfId="2617" xr:uid="{D4A943F0-3C0D-42B8-AD9F-B54F56772B3C}"/>
    <cellStyle name="Normal 5 3 3" xfId="2618" xr:uid="{A8411C1D-C9D4-471F-A970-E21180712065}"/>
    <cellStyle name="Normal 5 3_Heat Rates" xfId="2619" xr:uid="{FD9C944E-6458-4613-8D2C-31C8DC86E21B}"/>
    <cellStyle name="Normal 5 4" xfId="2620" xr:uid="{44B08175-81FA-4D8E-BAB9-BF864A475BF9}"/>
    <cellStyle name="Normal 5 4 2" xfId="2621" xr:uid="{D0F64572-403F-4A37-80F8-2D16E08674C6}"/>
    <cellStyle name="Normal 5 5" xfId="2622" xr:uid="{42F97E51-A5B6-428D-9111-7B2456CAF5A8}"/>
    <cellStyle name="Normal 5 5 2" xfId="2623" xr:uid="{C1BB5A42-E4D2-4874-88AE-4F6F83FAAFED}"/>
    <cellStyle name="Normal 5 6" xfId="2624" xr:uid="{3EC7E766-C0EB-46F1-B276-593DB66BC0EF}"/>
    <cellStyle name="Normal 5 6 2" xfId="2625" xr:uid="{0F70E6A6-6967-493E-9A54-3639C5B42C01}"/>
    <cellStyle name="Normal 5 7" xfId="2626" xr:uid="{A5444F1A-F79F-44BA-9BC6-CB29F44B847D}"/>
    <cellStyle name="Normal 5 7 2" xfId="2627" xr:uid="{44188FFC-8B2A-4F07-A65A-191C503AAFD7}"/>
    <cellStyle name="Normal 5 8" xfId="2628" xr:uid="{8E3ED0D3-D788-469B-87DA-545FE5E35D06}"/>
    <cellStyle name="Normal 5 9" xfId="2610" xr:uid="{81CA1B32-BF6F-495B-9F09-307E95717918}"/>
    <cellStyle name="Normal 5_DSM @ Generator" xfId="2629" xr:uid="{C5D8502E-A5CE-4825-B14F-EE45A3B9ADED}"/>
    <cellStyle name="Normal 50" xfId="5933" xr:uid="{739049CC-5767-4E4C-B390-163A35730281}"/>
    <cellStyle name="Normal 50 2" xfId="6954" xr:uid="{F5F6D12A-BCF2-492D-83C7-4C450F8EC638}"/>
    <cellStyle name="Normal 51" xfId="5935" xr:uid="{3F543DC6-C069-4291-A43F-D8E65561186E}"/>
    <cellStyle name="Normal 51 2" xfId="6956" xr:uid="{2907461B-1130-4064-9906-CB49B6CCBFE8}"/>
    <cellStyle name="Normal 52" xfId="6020" xr:uid="{783BFBE4-51DD-4792-A221-636D13440DF1}"/>
    <cellStyle name="Normal 52 2" xfId="6958" xr:uid="{598D9DCA-8FD7-4A72-8FCA-96EC77804155}"/>
    <cellStyle name="Normal 53" xfId="12358" xr:uid="{A641DFD5-DE74-453E-92B7-8BFA1B85F680}"/>
    <cellStyle name="Normal 54" xfId="13616" xr:uid="{6238B741-3ADD-4DCA-A572-35200B881717}"/>
    <cellStyle name="Normal 55" xfId="14554" xr:uid="{59BE7597-4E67-456D-84B2-2D5880C8701E}"/>
    <cellStyle name="Normal 56" xfId="15305" xr:uid="{C7723E91-A814-4675-83E5-7F0FAA388433}"/>
    <cellStyle name="Normal 57" xfId="16170" xr:uid="{3CF82DE1-CF7D-489C-A036-8C2CCDA828C0}"/>
    <cellStyle name="Normal 58" xfId="15294" xr:uid="{E1E2F20C-C3CE-43C9-80D6-39F74063D4ED}"/>
    <cellStyle name="Normal 59" xfId="16955" xr:uid="{715AF5D1-24A9-4FB1-B3E1-A97863211C0F}"/>
    <cellStyle name="Normal 6" xfId="90" xr:uid="{406E07FB-996C-47D5-B5B4-96BEAD0D6E17}"/>
    <cellStyle name="Normal 6 2" xfId="2631" xr:uid="{75A5AE1B-6A7C-48CF-A041-5CED0DC51D74}"/>
    <cellStyle name="Normal 6 2 2" xfId="2632" xr:uid="{4F6B11D1-8F94-4281-BE1E-E0D665AC63C2}"/>
    <cellStyle name="Normal 6 2 2 2" xfId="2633" xr:uid="{37E80847-28B9-452E-8992-4DDE9A438C25}"/>
    <cellStyle name="Normal 6 2 3" xfId="2634" xr:uid="{6703D028-61C9-4DA6-9F14-F4D7DB61F9D4}"/>
    <cellStyle name="Normal 6 2_DSM @ Meter" xfId="2635" xr:uid="{F0CDAA19-BE5E-4536-9426-019D90382C5D}"/>
    <cellStyle name="Normal 6 3" xfId="2636" xr:uid="{3FE3CCDC-A196-4A0F-A088-31E8C6F63F81}"/>
    <cellStyle name="Normal 6 3 2" xfId="2637" xr:uid="{58F1D516-BEA4-4D34-8001-6A3AB3A43C39}"/>
    <cellStyle name="Normal 6 4" xfId="2638" xr:uid="{BA96630F-79E7-4321-AE67-4FBE4BDBB160}"/>
    <cellStyle name="Normal 6 4 2" xfId="2639" xr:uid="{F9A2419F-D277-41B0-B9EC-285C98DE29CE}"/>
    <cellStyle name="Normal 6 5" xfId="2640" xr:uid="{32D47861-FB4C-4F6F-93EA-98170291D063}"/>
    <cellStyle name="Normal 6 5 2" xfId="2641" xr:uid="{AA2BEFAE-7F41-4519-9447-ACCE01685449}"/>
    <cellStyle name="Normal 6 6" xfId="2642" xr:uid="{723D2DFB-5716-4597-9752-30EE95342FAF}"/>
    <cellStyle name="Normal 6 6 2" xfId="2643" xr:uid="{9879F0BF-7BF6-4B78-BF1F-D6DDF70C382F}"/>
    <cellStyle name="Normal 6 7" xfId="2644" xr:uid="{C930E8E5-5268-42B6-A99E-AD16254CB18D}"/>
    <cellStyle name="Normal 6 7 2" xfId="2645" xr:uid="{07739B5D-747D-46F5-9A20-2B64E93F5EA9}"/>
    <cellStyle name="Normal 6 8" xfId="2646" xr:uid="{CA64BDAD-A76D-4864-A541-890FBB043FC6}"/>
    <cellStyle name="Normal 6 9" xfId="2630" xr:uid="{701A6367-24AE-4684-9B17-377D4D802D57}"/>
    <cellStyle name="Normal 6_DSM @ Generator" xfId="2647" xr:uid="{8B485626-E513-4E62-BCD6-7078B37B5F48}"/>
    <cellStyle name="Normal 60" xfId="17066" xr:uid="{A7E6A5E1-58EE-4EA1-897C-B6A9E8013ADB}"/>
    <cellStyle name="Normal 61" xfId="17930" xr:uid="{01F64DE4-5343-4924-B898-EDD1ACD7E370}"/>
    <cellStyle name="Normal 62" xfId="19513" xr:uid="{79D60EE5-498B-4305-9C95-500D8227F4E4}"/>
    <cellStyle name="Normal 63" xfId="18648" xr:uid="{5D499E2D-E0FD-47AF-AFAE-CD898B2E3173}"/>
    <cellStyle name="Normal 64" xfId="20300" xr:uid="{92BAD8E2-DEA0-4732-B5D9-458A1590DC53}"/>
    <cellStyle name="Normal 65" xfId="21884" xr:uid="{F116C206-A516-4057-A7C4-736E4AB79E0C}"/>
    <cellStyle name="Normal 66" xfId="22698" xr:uid="{0DEB6A4D-FA4F-4E05-A502-4BA356B4122A}"/>
    <cellStyle name="Normal 67" xfId="21874" xr:uid="{3D295D61-A80C-4011-A6BC-0C365A6C63E2}"/>
    <cellStyle name="Normal 68" xfId="23545" xr:uid="{408CBDF1-882F-4E6D-9DF8-7877E14F9E80}"/>
    <cellStyle name="Normal 69" xfId="24342" xr:uid="{52C34EA8-D01A-4CC1-AC7C-3FA8303970E1}"/>
    <cellStyle name="Normal 7" xfId="2648" xr:uid="{3D4DBB75-99E4-4993-A144-D48EE69DD7FC}"/>
    <cellStyle name="Normal 7 2" xfId="2649" xr:uid="{2332B6DC-A6E9-4CB8-8822-833CAA0056E9}"/>
    <cellStyle name="Normal 7 2 2" xfId="2650" xr:uid="{E9DA4678-F1B0-4367-BB06-511ADB0C6BB4}"/>
    <cellStyle name="Normal 7 2 2 2" xfId="2651" xr:uid="{18869328-EAF9-4A09-89F8-6EBE271AC782}"/>
    <cellStyle name="Normal 7 2 3" xfId="2652" xr:uid="{FACA7B5D-C52B-4069-836F-EB13B537BF70}"/>
    <cellStyle name="Normal 7 2 4" xfId="2653" xr:uid="{DE69A726-E940-4026-80A5-E5B2FC0EFA94}"/>
    <cellStyle name="Normal 7 2 4 2" xfId="9290" xr:uid="{18F65E06-DD7C-48A0-9BA7-E6C799841DD5}"/>
    <cellStyle name="Normal 7 2 4 3" xfId="6252" xr:uid="{4B943DE5-1E4D-423F-A0FF-8EE7A4E63896}"/>
    <cellStyle name="Normal 7 2_DSM @ Meter" xfId="2654" xr:uid="{E82E05DE-AB27-46C1-B1BB-9E084E93D72F}"/>
    <cellStyle name="Normal 7 3" xfId="2655" xr:uid="{84F2849E-0FF0-4FD4-8169-D16F6A38F3CE}"/>
    <cellStyle name="Normal 7 3 2" xfId="2656" xr:uid="{62C52B50-ED80-4BAC-B7B1-09B08266859F}"/>
    <cellStyle name="Normal 7 4" xfId="2657" xr:uid="{E4747D04-CD9D-40D1-B874-DA2F66E7832F}"/>
    <cellStyle name="Normal 7 4 2" xfId="2658" xr:uid="{5276B55C-84C8-45E9-8378-F62AFA6F73B2}"/>
    <cellStyle name="Normal 7 5" xfId="2659" xr:uid="{0B4ACEED-BDE4-4B01-8D83-46F54C291394}"/>
    <cellStyle name="Normal 7 5 2" xfId="2660" xr:uid="{2D38F112-C991-41FF-8E0A-CC8AE8C9EB9B}"/>
    <cellStyle name="Normal 7 6" xfId="2661" xr:uid="{AC978708-4B5A-40FB-9096-13B19C81C2C9}"/>
    <cellStyle name="Normal 7 6 2" xfId="2662" xr:uid="{01190893-0CAB-4F85-A9FA-6E20C7C8D73F}"/>
    <cellStyle name="Normal 7 7" xfId="2663" xr:uid="{0794C075-AFDD-462E-90C2-8EF9CBE57F34}"/>
    <cellStyle name="Normal 7 7 2" xfId="2664" xr:uid="{C963AB96-EF2A-474E-BA15-754074F6D2C9}"/>
    <cellStyle name="Normal 7 8" xfId="2665" xr:uid="{04F554A4-AD77-4E7D-A28F-BE6D356A923D}"/>
    <cellStyle name="Normal 7_DSM @ Generator" xfId="2666" xr:uid="{F30CE963-8061-419C-91F8-00AD9ACB8C20}"/>
    <cellStyle name="Normal 70" xfId="24450" xr:uid="{7DFBD986-EB57-4800-85EF-F4DBCF99DB6C}"/>
    <cellStyle name="Normal 71" xfId="25249" xr:uid="{1039A65A-ADEF-419E-B13E-83E05A3682F3}"/>
    <cellStyle name="Normal 72" xfId="25173" xr:uid="{36D71B58-0ED0-4586-AB14-B0E0E0934C62}"/>
    <cellStyle name="Normal 73" xfId="26551" xr:uid="{6FBB1BC9-2852-4DA7-A06D-7157361870F3}"/>
    <cellStyle name="Normal 74" xfId="26917" xr:uid="{33BC25AE-0D1F-4C44-B611-223578384B73}"/>
    <cellStyle name="Normal 75" xfId="27014" xr:uid="{55ECC6E1-DC51-47C1-A626-F62428B5D8A2}"/>
    <cellStyle name="Normal 76" xfId="28140" xr:uid="{C04308E3-C648-44BB-AE66-F2452478C5CC}"/>
    <cellStyle name="Normal 77" xfId="28881" xr:uid="{160E7D0D-64E7-4915-82F3-5A0CE5E783E7}"/>
    <cellStyle name="Normal 78" xfId="29440" xr:uid="{FD49B5B9-3015-4704-B4D0-B07C2E4196B7}"/>
    <cellStyle name="Normal 79" xfId="29106" xr:uid="{B50CFF3C-47D0-496F-A5A5-559E79AD542D}"/>
    <cellStyle name="Normal 8" xfId="2667" xr:uid="{0126420E-457D-4876-AD25-6977525C86AF}"/>
    <cellStyle name="Normal 8 2" xfId="2668" xr:uid="{EF22A235-A1E3-453F-81C0-D21ECF944C7C}"/>
    <cellStyle name="Normal 8 2 2" xfId="2669" xr:uid="{80952CD8-97ED-4A80-9009-993E8C4F86F8}"/>
    <cellStyle name="Normal 8 2 2 2" xfId="2670" xr:uid="{7B28583F-42D9-48E8-8D26-4C3595765C70}"/>
    <cellStyle name="Normal 8 2 3" xfId="2671" xr:uid="{6F85D4A8-1A2D-46B8-B7B8-C8B6B52B6CEF}"/>
    <cellStyle name="Normal 8 2 4" xfId="2672" xr:uid="{8DE35AB8-854F-4A70-ABDA-75DAD039AAC9}"/>
    <cellStyle name="Normal 8 2 4 2" xfId="9305" xr:uid="{58FD0525-5365-4E69-B85A-15D67ADADE38}"/>
    <cellStyle name="Normal 8 2 4 3" xfId="6253" xr:uid="{F5471EFB-916B-42AE-8848-9ADDB1A33505}"/>
    <cellStyle name="Normal 8 2_DSM @ Meter" xfId="2673" xr:uid="{B4C1B915-2650-49A3-85E4-267ABDF25E20}"/>
    <cellStyle name="Normal 8 3" xfId="2674" xr:uid="{0F54C73A-FD07-4986-B4A3-FFB8226FC583}"/>
    <cellStyle name="Normal 8 3 2" xfId="2675" xr:uid="{95EC7B3F-409B-428C-91A0-2572A1061537}"/>
    <cellStyle name="Normal 8 4" xfId="2676" xr:uid="{1C3C6F3B-D3E7-42B4-9B67-4409648A1E7F}"/>
    <cellStyle name="Normal 8 4 2" xfId="2677" xr:uid="{CE071F3A-E131-4673-8985-00F61FB0D0E7}"/>
    <cellStyle name="Normal 8 5" xfId="2678" xr:uid="{7505660B-F3D4-4116-B1D3-E9F81B1BF05B}"/>
    <cellStyle name="Normal 8 5 2" xfId="2679" xr:uid="{B4885277-959B-4116-A62C-E7F6530A5B4F}"/>
    <cellStyle name="Normal 8 6" xfId="2680" xr:uid="{6A3B7E37-5351-497E-AC50-3CFD66F37BED}"/>
    <cellStyle name="Normal 8 6 2" xfId="2681" xr:uid="{12BEA537-21C1-46F3-8098-450A0BCC8264}"/>
    <cellStyle name="Normal 8 7" xfId="2682" xr:uid="{4C005355-D93A-4118-856F-A2C1B55D66A3}"/>
    <cellStyle name="Normal 8 7 2" xfId="2683" xr:uid="{BD2AE2E8-1B9C-4ECF-B8C3-807CA15E62DF}"/>
    <cellStyle name="Normal 8 8" xfId="2684" xr:uid="{6962847D-4E9A-4112-B202-6AE7A5F5DD48}"/>
    <cellStyle name="Normal 8_DSM @ Generator" xfId="2685" xr:uid="{7FB778ED-34E5-4B30-81ED-B7D410FD5CEC}"/>
    <cellStyle name="Normal 80" xfId="29674" xr:uid="{225D3AFE-289F-402B-931C-1E5C14046322}"/>
    <cellStyle name="Normal 81" xfId="27646" xr:uid="{FC7C5584-4FAE-45B5-9CCD-77F748C43525}"/>
    <cellStyle name="Normal 82" xfId="29742" xr:uid="{BEA1D505-9D79-408C-9671-F556A0104F59}"/>
    <cellStyle name="Normal 83" xfId="26457" xr:uid="{BD13E8AB-7AEF-4AF3-A4B3-263132469112}"/>
    <cellStyle name="Normal 84" xfId="29043" xr:uid="{6FB1AD3B-3F83-4453-9075-C62BDE91E939}"/>
    <cellStyle name="Normal 85" xfId="30431" xr:uid="{30B6CCEB-D772-4080-84E8-838609E55C34}"/>
    <cellStyle name="Normal 86" xfId="30555" xr:uid="{ACAD2B11-F5A4-4966-88FA-B985CAC565F9}"/>
    <cellStyle name="Normal 87" xfId="30909" xr:uid="{AA5AFC6C-517E-44F1-97CC-D40F15C819A5}"/>
    <cellStyle name="Normal 88" xfId="31057" xr:uid="{E6293205-51E4-428F-880B-61F6BB0E46F5}"/>
    <cellStyle name="Normal 89" xfId="30928" xr:uid="{1129E56B-1BAD-4996-BB86-9C04AA996D58}"/>
    <cellStyle name="Normal 9" xfId="2686" xr:uid="{AB1A106B-065B-442E-869C-C56EE0F34FD8}"/>
    <cellStyle name="Normal 9 2" xfId="2687" xr:uid="{82B6E1AF-2783-4AC8-9E77-C41ECA870B9B}"/>
    <cellStyle name="Normal 9 2 2" xfId="2688" xr:uid="{1AD081FD-7952-4EEE-80DF-7E36AF5337A5}"/>
    <cellStyle name="Normal 9 2 2 2" xfId="2689" xr:uid="{A1AFCC01-AC49-4E16-B876-7466627D47C5}"/>
    <cellStyle name="Normal 9 2 3" xfId="2690" xr:uid="{46AABB92-AD6C-4BBC-876F-0649ABF123B4}"/>
    <cellStyle name="Normal 9 2_DSM @ Meter" xfId="2691" xr:uid="{C5C38ECD-380F-4484-BE8E-6F07C020B9B4}"/>
    <cellStyle name="Normal 9 3" xfId="2692" xr:uid="{BE033CD5-98E1-49DC-A8D2-50D2A8670FD1}"/>
    <cellStyle name="Normal 9 3 2" xfId="2693" xr:uid="{C998628C-FE39-4980-A19B-7A2B186EB654}"/>
    <cellStyle name="Normal 9 4" xfId="2694" xr:uid="{9916E29B-CF14-4D87-90C6-940FCFB5B1F1}"/>
    <cellStyle name="Normal 9 4 2" xfId="2695" xr:uid="{4BD25FEA-F117-493E-A40D-749AF01E49A3}"/>
    <cellStyle name="Normal 9 5" xfId="2696" xr:uid="{8C9C18BD-C9C3-48E5-9185-84743CED94D1}"/>
    <cellStyle name="Normal 9 5 2" xfId="2697" xr:uid="{5FE9389E-1026-4200-BAD5-A9BFFDFC4A63}"/>
    <cellStyle name="Normal 9 6" xfId="2698" xr:uid="{E10228FC-0F5B-4DEC-AF33-E46A75BC5EFF}"/>
    <cellStyle name="Normal 9 6 2" xfId="2699" xr:uid="{03E05C09-ECD0-4B82-A5A2-B1AF630C59FE}"/>
    <cellStyle name="Normal 9 7" xfId="2700" xr:uid="{72C98A44-C864-40CA-A817-EB78BE9AE947}"/>
    <cellStyle name="Normal 9 7 2" xfId="2701" xr:uid="{0B9D40AA-487B-4BFA-882D-6F013A4F1643}"/>
    <cellStyle name="Normal 9 8" xfId="2702" xr:uid="{9623CCB9-4554-435E-B999-5BB29492A6C2}"/>
    <cellStyle name="Normal 9_DSM @ Generator" xfId="2703" xr:uid="{F0880D24-ED1B-4FE1-B1F3-2376406466E7}"/>
    <cellStyle name="Normal_Arkansas QS - APSC Final DSM Report - Mar 2010 - Worksheets and Tables" xfId="6021" xr:uid="{CFCAC540-77ED-4EC2-89DA-AD7F7C1B5B63}"/>
    <cellStyle name="Note" xfId="65" builtinId="10" customBuiltin="1"/>
    <cellStyle name="Note 10" xfId="2705" xr:uid="{A6DD819E-B608-41AF-9710-08CD1C997BFC}"/>
    <cellStyle name="Note 10 10" xfId="12117" xr:uid="{9B47F2B6-8333-4881-A0E7-0D613951B95C}"/>
    <cellStyle name="Note 10 10 2" xfId="34664" xr:uid="{39BD1196-D9BA-42D2-9BD2-556F73166949}"/>
    <cellStyle name="Note 10 11" xfId="8352" xr:uid="{3951A975-7025-4459-B0EF-E8D8DF5580F3}"/>
    <cellStyle name="Note 10 11 2" xfId="32568" xr:uid="{BE35C829-FF31-4ED0-81A7-6BFA495FEFB8}"/>
    <cellStyle name="Note 10 12" xfId="9540" xr:uid="{2FD08CB6-2C09-44BC-8F98-FAD5F71611D3}"/>
    <cellStyle name="Note 10 12 2" xfId="33479" xr:uid="{2AEF2A2E-FEA1-4AC5-88DB-E5E28239474E}"/>
    <cellStyle name="Note 10 13" xfId="13132" xr:uid="{2A823249-16B4-4A27-83B3-BE79FD5DE223}"/>
    <cellStyle name="Note 10 13 2" xfId="35480" xr:uid="{3497DB73-94F1-4DD6-B946-EF25B24A0F2F}"/>
    <cellStyle name="Note 10 14" xfId="9593" xr:uid="{D92AFB29-373F-48EC-B85E-8C43560350EE}"/>
    <cellStyle name="Note 10 14 2" xfId="33489" xr:uid="{6B4E3A21-DD51-4DDF-98B2-2522F95AF59C}"/>
    <cellStyle name="Note 10 15" xfId="10328" xr:uid="{56F32CCC-83AE-4004-B87C-5AA8A665AB4D}"/>
    <cellStyle name="Note 10 15 2" xfId="33963" xr:uid="{AD4D4EA3-B8C2-419B-A96E-268A39983702}"/>
    <cellStyle name="Note 10 16" xfId="9599" xr:uid="{F83C7110-DB02-460B-A513-41C15B8ADA61}"/>
    <cellStyle name="Note 10 16 2" xfId="33495" xr:uid="{2EAE9F25-39D1-4911-B9E3-AC81A3113908}"/>
    <cellStyle name="Note 10 17" xfId="10310" xr:uid="{88D4B9F0-F83A-4D7D-A71C-5C7DCC001EFA}"/>
    <cellStyle name="Note 10 17 2" xfId="33945" xr:uid="{8107D828-FAF6-46CC-8EC0-203275FD426B}"/>
    <cellStyle name="Note 10 18" xfId="9629" xr:uid="{D36381BE-05CE-402A-8D1D-B96CB9A3FE6C}"/>
    <cellStyle name="Note 10 18 2" xfId="33524" xr:uid="{3EE430B3-8111-48F0-8F4A-FFE420DC2782}"/>
    <cellStyle name="Note 10 19" xfId="13156" xr:uid="{98937449-AC2B-4E35-987A-977D50E7674A}"/>
    <cellStyle name="Note 10 19 2" xfId="35504" xr:uid="{C7E1C3AB-BB62-44E5-B939-498E29F876A8}"/>
    <cellStyle name="Note 10 2" xfId="2706" xr:uid="{31E673E8-1F26-4988-8809-11E41E4097D2}"/>
    <cellStyle name="Note 10 2 10" xfId="13134" xr:uid="{E406ADC0-B6A4-4F62-B613-1CEA70C2F006}"/>
    <cellStyle name="Note 10 2 10 2" xfId="35482" xr:uid="{B27728DB-82B9-4DEF-8FE2-4B7EC5ECE15B}"/>
    <cellStyle name="Note 10 2 11" xfId="9598" xr:uid="{85D765D2-7247-4E9D-8FF6-667229F1B732}"/>
    <cellStyle name="Note 10 2 11 2" xfId="33494" xr:uid="{53B367EF-B5E0-422D-B511-1FBF009B0F63}"/>
    <cellStyle name="Note 10 2 12" xfId="13152" xr:uid="{2F21DD40-2221-4AAE-A35B-43DDC47C4587}"/>
    <cellStyle name="Note 10 2 12 2" xfId="35500" xr:uid="{C7079692-F5CA-409F-B58D-81651BB86313}"/>
    <cellStyle name="Note 10 2 13" xfId="9628" xr:uid="{41EE9070-94EA-4B77-A5EA-8259C50DEEEA}"/>
    <cellStyle name="Note 10 2 13 2" xfId="33523" xr:uid="{439A0EBE-1F91-4B98-BDF1-E29601EF9050}"/>
    <cellStyle name="Note 10 2 14" xfId="10305" xr:uid="{EEE8FB30-BFFB-450D-9BCB-680481D30B88}"/>
    <cellStyle name="Note 10 2 14 2" xfId="33940" xr:uid="{FE44861A-348F-4EB3-9249-F0A0BDCB4D68}"/>
    <cellStyle name="Note 10 2 15" xfId="16444" xr:uid="{94146012-D7CB-4A31-AEB5-4AA27B9921A3}"/>
    <cellStyle name="Note 10 2 15 2" xfId="37937" xr:uid="{3AE11A81-69B4-4F02-9B4B-74B3ACEA0C44}"/>
    <cellStyle name="Note 10 2 16" xfId="19846" xr:uid="{A20AF883-CD1A-43AF-87C9-4CB687F4A6EF}"/>
    <cellStyle name="Note 10 2 16 2" xfId="40459" xr:uid="{A5BD5BAD-D833-4F2F-8B7C-95252B6305DF}"/>
    <cellStyle name="Note 10 2 17" xfId="12574" xr:uid="{EF796BB4-0C9A-4E43-B77A-C327C101CCEF}"/>
    <cellStyle name="Note 10 2 17 2" xfId="35018" xr:uid="{32F2F252-CB6F-4C19-87D9-A43FFF3270B2}"/>
    <cellStyle name="Note 10 2 18" xfId="15736" xr:uid="{190E3D3C-20C3-4FF9-A59B-DEE034EE9131}"/>
    <cellStyle name="Note 10 2 18 2" xfId="37365" xr:uid="{16D81BEA-4A58-4056-BEA5-82615A4F92EA}"/>
    <cellStyle name="Note 10 2 19" xfId="23274" xr:uid="{90EA589E-0C54-4C3C-B48A-8D3DBB2D282C}"/>
    <cellStyle name="Note 10 2 19 2" xfId="42848" xr:uid="{E3D2E2FD-A67D-4086-921A-131345AFAD63}"/>
    <cellStyle name="Note 10 2 2" xfId="2707" xr:uid="{E710BECB-FBF3-4BBB-938B-019FE5DEF84C}"/>
    <cellStyle name="Note 10 2 2 10" xfId="9597" xr:uid="{BBB21D85-5D91-4C07-B995-0ABA90981E21}"/>
    <cellStyle name="Note 10 2 2 10 2" xfId="33493" xr:uid="{85F32E64-BABC-4582-A538-A2D3697BFC38}"/>
    <cellStyle name="Note 10 2 2 11" xfId="13135" xr:uid="{0511FF72-D04D-4F93-8BE1-EE4A0C4C685B}"/>
    <cellStyle name="Note 10 2 2 11 2" xfId="35483" xr:uid="{FF4A4B06-71B4-49A0-AD3E-776582DE4C49}"/>
    <cellStyle name="Note 10 2 2 12" xfId="9627" xr:uid="{3A647808-2DD1-409E-9B5D-6CD3261C7FE4}"/>
    <cellStyle name="Note 10 2 2 12 2" xfId="33522" xr:uid="{3E818AA1-308F-4E95-B7CA-7E9E0890BC71}"/>
    <cellStyle name="Note 10 2 2 13" xfId="10306" xr:uid="{04B86843-A0FB-4A11-8115-94B8AD588DA4}"/>
    <cellStyle name="Note 10 2 2 13 2" xfId="33941" xr:uid="{8AD87F10-9F6D-44A2-88BC-B5214328C93A}"/>
    <cellStyle name="Note 10 2 2 14" xfId="20268" xr:uid="{1AA26AF0-F170-4869-AF2B-BF489387F44F}"/>
    <cellStyle name="Note 10 2 2 14 2" xfId="40709" xr:uid="{BA4649D3-1627-467F-8925-52EE48B89CE9}"/>
    <cellStyle name="Note 10 2 2 15" xfId="20830" xr:uid="{4C17C486-B866-407B-B61A-934EF717C094}"/>
    <cellStyle name="Note 10 2 2 15 2" xfId="41182" xr:uid="{2F2708D9-DB26-4A6F-A78E-5B868A1A96AE}"/>
    <cellStyle name="Note 10 2 2 16" xfId="20002" xr:uid="{0741AF8D-E5DE-4157-85E1-D83366631D66}"/>
    <cellStyle name="Note 10 2 2 16 2" xfId="40570" xr:uid="{F9376127-0AD3-4C18-B54E-BF28B14FC715}"/>
    <cellStyle name="Note 10 2 2 17" xfId="17998" xr:uid="{7E7B5113-CA5D-492F-B123-F294AED987C0}"/>
    <cellStyle name="Note 10 2 2 17 2" xfId="39094" xr:uid="{ED797AC3-F079-467D-B211-0705C4BAD9E1}"/>
    <cellStyle name="Note 10 2 2 18" xfId="23289" xr:uid="{1C4A4436-DB33-4F6E-82C6-3F6E48760E66}"/>
    <cellStyle name="Note 10 2 2 18 2" xfId="42863" xr:uid="{B46BDA60-C8C0-4F84-8F66-F617C20422DB}"/>
    <cellStyle name="Note 10 2 2 19" xfId="26313" xr:uid="{76DADFCF-7F5F-4421-9A96-C19BACE2626D}"/>
    <cellStyle name="Note 10 2 2 19 2" xfId="45003" xr:uid="{300C15AF-A8AC-4641-B670-409D07B03642}"/>
    <cellStyle name="Note 10 2 2 2" xfId="2708" xr:uid="{9003330D-717B-4CAC-BA33-D91ED4A60859}"/>
    <cellStyle name="Note 10 2 2 2 10" xfId="10311" xr:uid="{846F1F09-3189-4299-91AC-0D079525D05D}"/>
    <cellStyle name="Note 10 2 2 2 10 2" xfId="33946" xr:uid="{88E13841-18F0-4660-80B6-D4C9221B550B}"/>
    <cellStyle name="Note 10 2 2 2 11" xfId="9625" xr:uid="{740B49BE-A53C-4FEA-9FDA-E32150DA8188}"/>
    <cellStyle name="Note 10 2 2 2 11 2" xfId="33520" xr:uid="{CCBBB2E5-4BD9-462E-A013-016E6D3BA79B}"/>
    <cellStyle name="Note 10 2 2 2 12" xfId="13155" xr:uid="{3F155563-BF0F-4B8F-A99B-5E608CEE2675}"/>
    <cellStyle name="Note 10 2 2 2 12 2" xfId="35503" xr:uid="{9E0673B4-F7DD-4D0F-A519-23335ABAD06A}"/>
    <cellStyle name="Note 10 2 2 2 13" xfId="15876" xr:uid="{6C324315-435C-404C-B3AF-576A875FFDB4}"/>
    <cellStyle name="Note 10 2 2 2 13 2" xfId="37467" xr:uid="{E106C397-63DA-4FBC-B443-5791A9D47CA7}"/>
    <cellStyle name="Note 10 2 2 2 14" xfId="12646" xr:uid="{7B1B3F51-2471-4754-BDE9-82A18FA12B1A}"/>
    <cellStyle name="Note 10 2 2 2 14 2" xfId="35072" xr:uid="{C9E1A8C8-60AB-41F6-8FB2-952E0E881E64}"/>
    <cellStyle name="Note 10 2 2 2 15" xfId="20281" xr:uid="{254B3C71-3338-4B20-B858-1294B6746D76}"/>
    <cellStyle name="Note 10 2 2 2 15 2" xfId="40719" xr:uid="{0E045B8F-4AF9-454D-BC0B-5A98EE84D352}"/>
    <cellStyle name="Note 10 2 2 2 16" xfId="19848" xr:uid="{86AE0829-D610-4518-9AE3-44B9639D3492}"/>
    <cellStyle name="Note 10 2 2 2 16 2" xfId="40461" xr:uid="{A78B6309-823B-4B75-B59A-F4188340765C}"/>
    <cellStyle name="Note 10 2 2 2 17" xfId="24361" xr:uid="{ABA0B907-5F16-4BA9-A70D-C4856B9603F9}"/>
    <cellStyle name="Note 10 2 2 2 17 2" xfId="43614" xr:uid="{B203DE7D-283F-4006-8D4D-03010C15EC26}"/>
    <cellStyle name="Note 10 2 2 2 18" xfId="26330" xr:uid="{BA81CDB4-80BD-4802-A18F-AC899607C959}"/>
    <cellStyle name="Note 10 2 2 2 18 2" xfId="45013" xr:uid="{0556ACD7-9223-4F4C-B951-682EA689887C}"/>
    <cellStyle name="Note 10 2 2 2 19" xfId="22924" xr:uid="{8712A004-08E7-457E-9430-6F087CA2AC11}"/>
    <cellStyle name="Note 10 2 2 2 19 2" xfId="42638" xr:uid="{4E815A01-39F3-4109-9AE8-5B88AB9BCE5A}"/>
    <cellStyle name="Note 10 2 2 2 2" xfId="8282" xr:uid="{A693F6BA-96DF-4749-8341-EAFCE308B05C}"/>
    <cellStyle name="Note 10 2 2 2 2 2" xfId="32521" xr:uid="{51185B5F-B6EF-41B5-BEC8-FD7BC788E5D6}"/>
    <cellStyle name="Note 10 2 2 2 20" xfId="26351" xr:uid="{2EC13DEF-DBE4-4ABB-87A7-9D35C6BBA03A}"/>
    <cellStyle name="Note 10 2 2 2 20 2" xfId="45033" xr:uid="{D8FAEF7A-C853-430B-ABFA-E811B55AE835}"/>
    <cellStyle name="Note 10 2 2 2 21" xfId="24840" xr:uid="{49671DAF-B0A4-4168-A2A5-01DD651A3146}"/>
    <cellStyle name="Note 10 2 2 2 21 2" xfId="43979" xr:uid="{B2429439-163B-423D-84A0-1CDB6F6CBDE0}"/>
    <cellStyle name="Note 10 2 2 2 22" xfId="21155" xr:uid="{8ADD85EB-BFF0-40AA-B0D7-C11B6BCF96F6}"/>
    <cellStyle name="Note 10 2 2 2 22 2" xfId="41348" xr:uid="{1D2D7290-3241-43A1-9029-344A1B28D0AF}"/>
    <cellStyle name="Note 10 2 2 2 23" xfId="27240" xr:uid="{13C73C48-4BCB-4144-9C3D-049843C7C74D}"/>
    <cellStyle name="Note 10 2 2 2 23 2" xfId="45575" xr:uid="{16B4E312-9C00-4C08-94E7-6905965979BE}"/>
    <cellStyle name="Note 10 2 2 2 24" xfId="28796" xr:uid="{B5E780F0-47A4-4031-A9EB-BB6A8B9E71B3}"/>
    <cellStyle name="Note 10 2 2 2 24 2" xfId="46471" xr:uid="{3D724E45-63F2-47C2-90EE-201FABF3568B}"/>
    <cellStyle name="Note 10 2 2 2 25" xfId="21127" xr:uid="{691571EE-F1A2-4D1F-BFE5-2151F02E27F8}"/>
    <cellStyle name="Note 10 2 2 2 25 2" xfId="41333" xr:uid="{A59B9220-6220-4A4A-8CD6-7DEC61465796}"/>
    <cellStyle name="Note 10 2 2 2 26" xfId="30931" xr:uid="{B2F56EA4-5309-4C3D-A1D5-8C62F8F3F780}"/>
    <cellStyle name="Note 10 2 2 2 26 2" xfId="47765" xr:uid="{23365244-755A-4BA4-AC42-25FC772BDDE8}"/>
    <cellStyle name="Note 10 2 2 2 27" xfId="23758" xr:uid="{44867FA2-4F1C-462E-86F0-038C974CD15A}"/>
    <cellStyle name="Note 10 2 2 2 27 2" xfId="43169" xr:uid="{98C61997-DA2C-4715-B00F-200B5FBFCB8A}"/>
    <cellStyle name="Note 10 2 2 2 28" xfId="6258" xr:uid="{5F4A844E-545C-4E28-8BB4-0B68D214196C}"/>
    <cellStyle name="Note 10 2 2 2 3" xfId="9125" xr:uid="{DDD8ECA8-E26E-4F69-9CF2-D6F887A86349}"/>
    <cellStyle name="Note 10 2 2 2 3 2" xfId="33126" xr:uid="{964A814E-2398-44BF-8FAB-2D5B3E12EE6C}"/>
    <cellStyle name="Note 10 2 2 2 4" xfId="8349" xr:uid="{72289940-F56D-4104-A5CB-A6DED710B133}"/>
    <cellStyle name="Note 10 2 2 2 4 2" xfId="32565" xr:uid="{850817A2-BE8A-44D4-BC1B-C177E471440F}"/>
    <cellStyle name="Note 10 2 2 2 5" xfId="9537" xr:uid="{0A2DD4C4-9886-4A88-924B-5D72F58E9AFD}"/>
    <cellStyle name="Note 10 2 2 2 5 2" xfId="33476" xr:uid="{711CEBE5-8B30-4162-A145-A6704C6BAED5}"/>
    <cellStyle name="Note 10 2 2 2 6" xfId="10332" xr:uid="{97269BC1-A75A-428A-8E0A-C22181A39C35}"/>
    <cellStyle name="Note 10 2 2 2 6 2" xfId="33967" xr:uid="{D1640877-F7D8-41DF-9C22-EAFD47DFF6E9}"/>
    <cellStyle name="Note 10 2 2 2 7" xfId="9590" xr:uid="{3FBE6EA7-6AB1-490E-8B2C-CB9521BE977A}"/>
    <cellStyle name="Note 10 2 2 2 7 2" xfId="33486" xr:uid="{B7319049-F693-4678-9FFA-5181A0FCCBEC}"/>
    <cellStyle name="Note 10 2 2 2 8" xfId="13133" xr:uid="{40DB7365-36FD-40E6-87E5-3A7EE89E7AE7}"/>
    <cellStyle name="Note 10 2 2 2 8 2" xfId="35481" xr:uid="{FB0A1C0F-4AC7-4B34-9F34-D37C5E0D8967}"/>
    <cellStyle name="Note 10 2 2 2 9" xfId="9596" xr:uid="{227DC225-97C2-4E03-B3DC-94A18251C371}"/>
    <cellStyle name="Note 10 2 2 2 9 2" xfId="33492" xr:uid="{FF972E6C-3BCA-42C7-96F9-09C67FC4BA78}"/>
    <cellStyle name="Note 10 2 2 20" xfId="24837" xr:uid="{FF847760-B441-45A2-83F3-F1A7713B0E01}"/>
    <cellStyle name="Note 10 2 2 20 2" xfId="43977" xr:uid="{F44CE103-4D3D-45E0-A520-3F3146C22553}"/>
    <cellStyle name="Note 10 2 2 21" xfId="17209" xr:uid="{8870467B-D284-4F05-AB84-B54D3F67EAC2}"/>
    <cellStyle name="Note 10 2 2 21 2" xfId="38538" xr:uid="{33F6C98C-B714-4B71-94B9-0076C6077649}"/>
    <cellStyle name="Note 10 2 2 22" xfId="22926" xr:uid="{F83DC494-99B6-4C2F-B1DC-83EB2DA145F9}"/>
    <cellStyle name="Note 10 2 2 22 2" xfId="42640" xr:uid="{1CE0C85E-066B-4FAE-8730-1EA7A793E858}"/>
    <cellStyle name="Note 10 2 2 23" xfId="28801" xr:uid="{40966D21-09D3-4F61-BC17-EDA64AF3EE8A}"/>
    <cellStyle name="Note 10 2 2 23 2" xfId="46473" xr:uid="{E4FE20CB-49D7-4067-B152-ECA916D30BBE}"/>
    <cellStyle name="Note 10 2 2 24" xfId="27241" xr:uid="{D59D73E1-C697-4CA8-BFD0-8FFA5C7211C1}"/>
    <cellStyle name="Note 10 2 2 24 2" xfId="45576" xr:uid="{1244D1E3-CDC5-4BC8-8947-8EC1CC9208CC}"/>
    <cellStyle name="Note 10 2 2 25" xfId="18729" xr:uid="{ECEAA5F6-AC39-4C70-841E-FAAB0A9592F8}"/>
    <cellStyle name="Note 10 2 2 25 2" xfId="39604" xr:uid="{7F71CBEF-76F3-4E5B-9B4D-BA158AFE0D87}"/>
    <cellStyle name="Note 10 2 2 26" xfId="26585" xr:uid="{C2F24683-6738-4A9E-B968-85F9FCB2FD62}"/>
    <cellStyle name="Note 10 2 2 26 2" xfId="45149" xr:uid="{378D8686-0DF9-4DFC-BB3D-6E1E3FC92E7F}"/>
    <cellStyle name="Note 10 2 2 27" xfId="30929" xr:uid="{69CC215C-1B6A-4F3A-AD0C-677E5A56D567}"/>
    <cellStyle name="Note 10 2 2 27 2" xfId="47763" xr:uid="{0FB826D7-80D7-4C3B-A9B2-9E2515A060FC}"/>
    <cellStyle name="Note 10 2 2 28" xfId="28435" xr:uid="{A9B65DF6-E2A8-4E7B-A91F-C133E1B7C47C}"/>
    <cellStyle name="Note 10 2 2 28 2" xfId="46282" xr:uid="{6FBE0C85-3A28-4009-825D-EAE2382ADAC1}"/>
    <cellStyle name="Note 10 2 2 29" xfId="6257" xr:uid="{A627DCB4-D6F4-492B-BCED-B94B41B509DE}"/>
    <cellStyle name="Note 10 2 2 3" xfId="8283" xr:uid="{F8925CCF-99F2-451A-BE2F-A66068DD2CE4}"/>
    <cellStyle name="Note 10 2 2 3 2" xfId="32522" xr:uid="{2F9A7AF9-A999-4CC6-B345-A0D1C73B5196}"/>
    <cellStyle name="Note 10 2 2 4" xfId="12118" xr:uid="{5FD13DCF-1079-4FD6-AF0C-55429EB6B483}"/>
    <cellStyle name="Note 10 2 2 4 2" xfId="34665" xr:uid="{5FF6AC8F-77C2-4F23-866D-875D1E236F81}"/>
    <cellStyle name="Note 10 2 2 5" xfId="8350" xr:uid="{CA921B0D-B12C-4CE7-BB24-44AD2458C403}"/>
    <cellStyle name="Note 10 2 2 5 2" xfId="32566" xr:uid="{4ABD154B-1ED6-4A73-B524-84B89B2ED88B}"/>
    <cellStyle name="Note 10 2 2 6" xfId="9538" xr:uid="{0A73D67A-CB9A-48E8-B1AB-8BB96E8884AE}"/>
    <cellStyle name="Note 10 2 2 6 2" xfId="33477" xr:uid="{810FCE33-C76F-4647-B08D-A36E5F4F00E9}"/>
    <cellStyle name="Note 10 2 2 7" xfId="13131" xr:uid="{504D052F-3A09-4777-9290-DC83129E7C8B}"/>
    <cellStyle name="Note 10 2 2 7 2" xfId="35479" xr:uid="{C5A3825B-A89B-44A0-8314-973194303255}"/>
    <cellStyle name="Note 10 2 2 8" xfId="9591" xr:uid="{1074DF79-1057-4A6D-B2FA-2AFE761E6A22}"/>
    <cellStyle name="Note 10 2 2 8 2" xfId="33487" xr:uid="{E56ED337-0641-4121-8D91-6EF59B4E094F}"/>
    <cellStyle name="Note 10 2 2 9" xfId="10329" xr:uid="{0F144631-E834-47C0-B17E-3DF37C1EBAE2}"/>
    <cellStyle name="Note 10 2 2 9 2" xfId="33964" xr:uid="{15AD4A07-4074-4E4E-9FB0-D56533B7728E}"/>
    <cellStyle name="Note 10 2 20" xfId="20595" xr:uid="{0A64C0E6-B5A4-47B3-9460-E9FFE7614ADE}"/>
    <cellStyle name="Note 10 2 20 2" xfId="40955" xr:uid="{D1FB8091-9CE1-40F3-AE17-20207D3D59EF}"/>
    <cellStyle name="Note 10 2 21" xfId="21785" xr:uid="{2BD5A6B2-C1E0-444E-BC19-E0936E7E27C6}"/>
    <cellStyle name="Note 10 2 21 2" xfId="41783" xr:uid="{6158DF0D-360E-47BE-996F-5B5DC1F636A8}"/>
    <cellStyle name="Note 10 2 22" xfId="16121" xr:uid="{723E0BBB-E219-43AD-8D4E-FBAB8B08C59D}"/>
    <cellStyle name="Note 10 2 22 2" xfId="37691" xr:uid="{856E92C0-F6E8-4F36-A47A-0EE43E1976DD}"/>
    <cellStyle name="Note 10 2 23" xfId="20384" xr:uid="{2746A8E2-10CC-4BC2-948A-6FCC038D1EBC}"/>
    <cellStyle name="Note 10 2 23 2" xfId="40806" xr:uid="{15FC4B82-B3FC-4433-BA75-F608EED1D7EA}"/>
    <cellStyle name="Note 10 2 24" xfId="17841" xr:uid="{4F1FE46A-BB39-448E-9559-29A52D6BF744}"/>
    <cellStyle name="Note 10 2 24 2" xfId="38957" xr:uid="{C83A9BD5-9BE4-4A2C-8695-C00DC4BDD17A}"/>
    <cellStyle name="Note 10 2 25" xfId="26150" xr:uid="{37AFE377-2724-4CE5-AC36-DEF79CBF85F3}"/>
    <cellStyle name="Note 10 2 25 2" xfId="44891" xr:uid="{74214F95-5533-4D57-8058-CC9AE804338C}"/>
    <cellStyle name="Note 10 2 26" xfId="27604" xr:uid="{D11434DC-D2F6-4837-BB19-8731135A65E2}"/>
    <cellStyle name="Note 10 2 26 2" xfId="45753" xr:uid="{AED29FE6-369C-49AE-8DB3-00226DFCD006}"/>
    <cellStyle name="Note 10 2 27" xfId="26909" xr:uid="{857A39BB-261B-4565-B90F-23CCF64002D4}"/>
    <cellStyle name="Note 10 2 27 2" xfId="45330" xr:uid="{0D3B13FF-BED0-4A79-89F3-A18A96DAB5FD}"/>
    <cellStyle name="Note 10 2 28" xfId="26700" xr:uid="{E9253572-5D5D-4F63-8039-40B6423D448E}"/>
    <cellStyle name="Note 10 2 28 2" xfId="45244" xr:uid="{3AE5A5D6-277C-4884-892A-BA40F8312380}"/>
    <cellStyle name="Note 10 2 29" xfId="29537" xr:uid="{977478FB-C1DE-467D-8256-C9C1CE368DAA}"/>
    <cellStyle name="Note 10 2 29 2" xfId="46938" xr:uid="{E45D0D30-EC15-45FC-B5E2-0C894E4EEA47}"/>
    <cellStyle name="Note 10 2 3" xfId="2709" xr:uid="{A174B4AD-DA08-46BD-AF76-947FC37DBEC2}"/>
    <cellStyle name="Note 10 2 3 10" xfId="13151" xr:uid="{7DEE6BEC-FADD-43B9-8CC1-D117A9981A94}"/>
    <cellStyle name="Note 10 2 3 10 2" xfId="35499" xr:uid="{2731898C-44D2-46DB-95D3-64BFF39BF92C}"/>
    <cellStyle name="Note 10 2 3 11" xfId="9624" xr:uid="{91D6FCB0-E2E4-4D85-A5E4-5E5425633037}"/>
    <cellStyle name="Note 10 2 3 11 2" xfId="33519" xr:uid="{BF6F25E6-E561-4D52-A6FB-4F95DA31253F}"/>
    <cellStyle name="Note 10 2 3 12" xfId="10307" xr:uid="{50969316-506F-40E9-97EA-492140A5BA60}"/>
    <cellStyle name="Note 10 2 3 12 2" xfId="33942" xr:uid="{0EB4CB52-605C-4A76-AE8A-FAE9B080CB54}"/>
    <cellStyle name="Note 10 2 3 13" xfId="16455" xr:uid="{E66BF74E-52E5-4F2E-9D23-F465C2B07FEE}"/>
    <cellStyle name="Note 10 2 3 13 2" xfId="37948" xr:uid="{84B6BAD7-F00C-4CC3-9CAA-F2D9943478EA}"/>
    <cellStyle name="Note 10 2 3 14" xfId="19845" xr:uid="{1C5CF277-B349-4DC4-BEBD-DD053D846143}"/>
    <cellStyle name="Note 10 2 3 14 2" xfId="40458" xr:uid="{B32EA23C-7FEF-45EF-8080-467CAD2D7D35}"/>
    <cellStyle name="Note 10 2 3 15" xfId="16443" xr:uid="{6692780A-04ED-470B-BC81-3F2BE2D170B1}"/>
    <cellStyle name="Note 10 2 3 15 2" xfId="37936" xr:uid="{976EB0CD-AB47-4E1E-8F84-3280C7D60897}"/>
    <cellStyle name="Note 10 2 3 16" xfId="12853" xr:uid="{514CE45A-7672-4058-A778-5B355ED8E01F}"/>
    <cellStyle name="Note 10 2 3 16 2" xfId="35233" xr:uid="{263AC261-B458-4E21-9E21-C24217B0791D}"/>
    <cellStyle name="Note 10 2 3 17" xfId="25915" xr:uid="{9DE427F0-12C4-427D-984F-C987849D3931}"/>
    <cellStyle name="Note 10 2 3 17 2" xfId="44719" xr:uid="{339A5EB9-7CC6-4687-860A-CCA803FD35F1}"/>
    <cellStyle name="Note 10 2 3 18" xfId="26314" xr:uid="{98241782-20E9-499B-A8AF-21E661619150}"/>
    <cellStyle name="Note 10 2 3 18 2" xfId="45004" xr:uid="{17A85E30-D666-4F4C-B15D-A0A75EADA3B7}"/>
    <cellStyle name="Note 10 2 3 19" xfId="24836" xr:uid="{F336FD42-2B72-4DCB-B5B4-D013217D8564}"/>
    <cellStyle name="Note 10 2 3 19 2" xfId="43976" xr:uid="{305E6A80-8A9B-486A-9585-AE228BA2DD42}"/>
    <cellStyle name="Note 10 2 3 2" xfId="8281" xr:uid="{41D2A717-C676-463D-8575-F5D194F3527D}"/>
    <cellStyle name="Note 10 2 3 2 2" xfId="32520" xr:uid="{BD03D647-8080-4E66-B3AD-BEA69C5D4568}"/>
    <cellStyle name="Note 10 2 3 20" xfId="20585" xr:uid="{0E35A109-2AE8-40C0-9640-D77489E5A123}"/>
    <cellStyle name="Note 10 2 3 20 2" xfId="40945" xr:uid="{AD764BA8-3468-490D-8EE3-F5D051FD807D}"/>
    <cellStyle name="Note 10 2 3 21" xfId="20131" xr:uid="{17D828FB-F3C1-4B6A-BC26-E73D549519E3}"/>
    <cellStyle name="Note 10 2 3 21 2" xfId="40639" xr:uid="{9ACEF6EC-A02D-4940-B38E-7A4748D4E7F6}"/>
    <cellStyle name="Note 10 2 3 22" xfId="22140" xr:uid="{7C1159E3-208D-44E3-887B-0636F98A4E34}"/>
    <cellStyle name="Note 10 2 3 22 2" xfId="42025" xr:uid="{ED0392A8-46D8-4334-AD24-7D3CC7EB4DC0}"/>
    <cellStyle name="Note 10 2 3 23" xfId="26149" xr:uid="{B44639CD-1204-48F7-891A-BA15463C3B2F}"/>
    <cellStyle name="Note 10 2 3 23 2" xfId="44890" xr:uid="{D1D43027-2AA3-4560-826F-D51C63D1123F}"/>
    <cellStyle name="Note 10 2 3 24" xfId="23522" xr:uid="{C8D4C062-8C95-4965-B804-1833F1D064FF}"/>
    <cellStyle name="Note 10 2 3 24 2" xfId="42980" xr:uid="{24A5AD35-A0A2-4B2A-943B-D06A7AB17E49}"/>
    <cellStyle name="Note 10 2 3 25" xfId="26584" xr:uid="{B0F3F1C4-FA76-48E4-A4B7-60EB41BDB218}"/>
    <cellStyle name="Note 10 2 3 25 2" xfId="45148" xr:uid="{5FEAECDD-B18D-4AD6-83E0-1DF98C76C890}"/>
    <cellStyle name="Note 10 2 3 26" xfId="30930" xr:uid="{BC36D4EC-53E1-44EA-B1F9-C00BEA516927}"/>
    <cellStyle name="Note 10 2 3 26 2" xfId="47764" xr:uid="{9559697D-7779-4844-B12C-E42488F962E2}"/>
    <cellStyle name="Note 10 2 3 27" xfId="26067" xr:uid="{4F3407A7-626F-400B-99E3-5974C7F8F1CE}"/>
    <cellStyle name="Note 10 2 3 27 2" xfId="44832" xr:uid="{C9D8C448-CB0A-4457-A562-5FDDF2F56104}"/>
    <cellStyle name="Note 10 2 3 28" xfId="6259" xr:uid="{D19C0986-3505-4889-8780-30C2087377A9}"/>
    <cellStyle name="Note 10 2 3 3" xfId="12119" xr:uid="{4B0474BD-1A10-41B2-BFD7-515DB5C364CC}"/>
    <cellStyle name="Note 10 2 3 3 2" xfId="34666" xr:uid="{5C957066-372D-4671-B38B-4F18D1C3A02E}"/>
    <cellStyle name="Note 10 2 3 4" xfId="8347" xr:uid="{9652CBEF-D82C-4B7C-9F04-16761C69091F}"/>
    <cellStyle name="Note 10 2 3 4 2" xfId="32563" xr:uid="{40472A1E-FCA8-4983-96C3-556B35752C09}"/>
    <cellStyle name="Note 10 2 3 5" xfId="9536" xr:uid="{9FF632DE-BD98-465C-8038-741798D00AF3}"/>
    <cellStyle name="Note 10 2 3 5 2" xfId="33475" xr:uid="{C0175B2B-6BB6-4746-AAE5-9E1470729275}"/>
    <cellStyle name="Note 10 2 3 6" xfId="13130" xr:uid="{46EA4C38-5B00-4337-94F1-5517BA69B628}"/>
    <cellStyle name="Note 10 2 3 6 2" xfId="35478" xr:uid="{3205232A-9700-444E-BC7E-EB0043319FA6}"/>
    <cellStyle name="Note 10 2 3 7" xfId="9589" xr:uid="{4A310F57-CB81-4D61-9839-CC9B6E64E067}"/>
    <cellStyle name="Note 10 2 3 7 2" xfId="33485" xr:uid="{144FCEC4-094B-4641-9ECD-DFD64285ABA5}"/>
    <cellStyle name="Note 10 2 3 8" xfId="16974" xr:uid="{0E7D15C7-C17A-46A9-AEC4-175A82D372D6}"/>
    <cellStyle name="Note 10 2 3 8 2" xfId="38335" xr:uid="{51801486-502E-42C7-BA27-8C33BCBA6FC2}"/>
    <cellStyle name="Note 10 2 3 9" xfId="9595" xr:uid="{3B76ABE1-B66D-4105-9A0B-EB0EF2705C9F}"/>
    <cellStyle name="Note 10 2 3 9 2" xfId="33491" xr:uid="{DF365E0F-E36E-4359-B3E3-84884767A313}"/>
    <cellStyle name="Note 10 2 30" xfId="6256" xr:uid="{0BE3D009-2CA5-49B3-A4CA-F829F3398438}"/>
    <cellStyle name="Note 10 2 4" xfId="8284" xr:uid="{FC6DC2A5-0C7F-40FE-A4F5-3C9AD9DF0D71}"/>
    <cellStyle name="Note 10 2 4 2" xfId="32523" xr:uid="{5263FF78-53ED-4F94-ADBA-1B66D23700CD}"/>
    <cellStyle name="Note 10 2 5" xfId="9124" xr:uid="{B2E0DE59-7367-4A78-B681-E0AD478CC28B}"/>
    <cellStyle name="Note 10 2 5 2" xfId="33125" xr:uid="{9870072A-2233-419F-86F1-55861C5D517A}"/>
    <cellStyle name="Note 10 2 6" xfId="8351" xr:uid="{F2B474B9-4CA2-4348-82A7-1E99607E3924}"/>
    <cellStyle name="Note 10 2 6 2" xfId="32567" xr:uid="{305042F8-A5AC-4FAD-B015-D1F2CC25B9DA}"/>
    <cellStyle name="Note 10 2 7" xfId="9539" xr:uid="{A84061FC-A89B-44BD-9CA3-17CEA3C1CC15}"/>
    <cellStyle name="Note 10 2 7 2" xfId="33478" xr:uid="{C7925DDB-9B40-4212-B995-9B9DCF97E9CB}"/>
    <cellStyle name="Note 10 2 8" xfId="10331" xr:uid="{4272C11A-832A-4848-8B3B-995A01D00A97}"/>
    <cellStyle name="Note 10 2 8 2" xfId="33966" xr:uid="{3CA30C15-3B91-41CB-AD42-FD6B3AC51DBF}"/>
    <cellStyle name="Note 10 2 9" xfId="9592" xr:uid="{831B5576-AB42-4F84-95F1-91345850F572}"/>
    <cellStyle name="Note 10 2 9 2" xfId="33488" xr:uid="{F1BC0DA2-E74A-4FD8-A247-95562E0FB6A5}"/>
    <cellStyle name="Note 10 2_Sheet2" xfId="2710" xr:uid="{0CE44C1D-BAC0-4E31-85E6-0A787C9FD46E}"/>
    <cellStyle name="Note 10 20" xfId="20005" xr:uid="{DEBC7242-C9B1-460C-BFB7-C516CB60F134}"/>
    <cellStyle name="Note 10 20 2" xfId="40573" xr:uid="{5D689B56-2B20-4B1D-B194-8066271FF671}"/>
    <cellStyle name="Note 10 21" xfId="17997" xr:uid="{0ADEAEF6-6C67-4CF0-A77E-A16ADDFA64F2}"/>
    <cellStyle name="Note 10 21 2" xfId="39093" xr:uid="{BBF7AE56-5DF3-488B-BB60-56EFE4D882EB}"/>
    <cellStyle name="Note 10 22" xfId="20004" xr:uid="{39ECD24F-762D-4D7F-8384-97DE045F9823}"/>
    <cellStyle name="Note 10 22 2" xfId="40572" xr:uid="{DE777CA7-2FAE-4EE8-85F9-052EA282C971}"/>
    <cellStyle name="Note 10 23" xfId="19363" xr:uid="{006BE0F2-DE16-4FE3-A106-F5729528762C}"/>
    <cellStyle name="Note 10 23 2" xfId="40089" xr:uid="{3C5BE91C-0E26-4D2D-B729-D7767F1D5E1D}"/>
    <cellStyle name="Note 10 24" xfId="23276" xr:uid="{32DD1A2B-5A7C-4C1F-B317-EC577B75952A}"/>
    <cellStyle name="Note 10 24 2" xfId="42850" xr:uid="{1940C75F-9606-4E62-8BF8-8632DFB06E99}"/>
    <cellStyle name="Note 10 25" xfId="16122" xr:uid="{D2882BA3-53BF-4B86-94A6-320DF4AE4ED9}"/>
    <cellStyle name="Note 10 25 2" xfId="37692" xr:uid="{36278814-CD83-4271-BDD1-2CDC2057B27D}"/>
    <cellStyle name="Note 10 26" xfId="22925" xr:uid="{ED8D125D-C35C-4BE0-A28C-B626E0CCB638}"/>
    <cellStyle name="Note 10 26 2" xfId="42639" xr:uid="{40D9B478-A82C-4C4A-A533-7E81ECC07FAE}"/>
    <cellStyle name="Note 10 27" xfId="26352" xr:uid="{2141F8B7-EC13-4386-96C6-EC0605EBDCBA}"/>
    <cellStyle name="Note 10 27 2" xfId="45034" xr:uid="{CEC9A2F6-3EF3-4032-AF8E-87120599A433}"/>
    <cellStyle name="Note 10 28" xfId="24842" xr:uid="{ECC4961A-10AE-4606-BEC7-F57CDC518D5A}"/>
    <cellStyle name="Note 10 28 2" xfId="43980" xr:uid="{11D9D062-29D9-4B1E-B7ED-EFF9A27AA589}"/>
    <cellStyle name="Note 10 29" xfId="19427" xr:uid="{887298A9-5EA1-4235-845A-87B6C0D40356}"/>
    <cellStyle name="Note 10 29 2" xfId="40148" xr:uid="{0B29B38B-659C-4807-8697-89357D6427B1}"/>
    <cellStyle name="Note 10 3" xfId="2711" xr:uid="{E9E8FBE8-6CB3-4054-9ABE-FB19E5B8DC47}"/>
    <cellStyle name="Note 10 3 10" xfId="16691" xr:uid="{42CC8A24-12FF-4A87-9A99-B20BA3124ABA}"/>
    <cellStyle name="Note 10 3 10 2" xfId="38182" xr:uid="{2AFE6BBD-3EF6-41B2-9279-00736BC2A317}"/>
    <cellStyle name="Note 10 3 11" xfId="13150" xr:uid="{8AED81C4-5F12-409B-825D-D223B3684DDA}"/>
    <cellStyle name="Note 10 3 11 2" xfId="35498" xr:uid="{B3518ACD-BF43-447F-B93E-425DA8662F8D}"/>
    <cellStyle name="Note 10 3 12" xfId="9623" xr:uid="{280A9B16-C27E-4D6B-A847-76542B5E209D}"/>
    <cellStyle name="Note 10 3 12 2" xfId="33518" xr:uid="{DF6C09F9-92C3-40FA-A205-7C7EBF906660}"/>
    <cellStyle name="Note 10 3 13" xfId="15569" xr:uid="{DEFC2D5E-6D9A-47BC-97CE-C6DEC7C55483}"/>
    <cellStyle name="Note 10 3 13 2" xfId="37227" xr:uid="{5F5D88F9-01ED-4A38-B00A-404C4F21F3F3}"/>
    <cellStyle name="Note 10 3 14" xfId="15882" xr:uid="{F0D34D13-0867-4140-A91D-C129F09A4128}"/>
    <cellStyle name="Note 10 3 14 2" xfId="37473" xr:uid="{FE31EC7F-D17A-455D-AEC2-7E0ECE1EC255}"/>
    <cellStyle name="Note 10 3 15" xfId="19844" xr:uid="{BEE1825E-46C4-4924-A29A-12573A4CC3B3}"/>
    <cellStyle name="Note 10 3 15 2" xfId="40457" xr:uid="{4713ECE2-1192-49E3-8735-687AD4BB2D5E}"/>
    <cellStyle name="Note 10 3 16" xfId="9942" xr:uid="{14A58A4E-6344-446F-9178-7BF8F353CD21}"/>
    <cellStyle name="Note 10 3 16 2" xfId="33687" xr:uid="{27B4DD61-8F8D-4FEC-A05F-9AEB1716BAA8}"/>
    <cellStyle name="Note 10 3 17" xfId="17907" xr:uid="{DF073EE1-3E57-4F43-AEBD-86EB4102B94B}"/>
    <cellStyle name="Note 10 3 17 2" xfId="39014" xr:uid="{55A82020-5564-4BA6-BB76-52BD7568ED49}"/>
    <cellStyle name="Note 10 3 18" xfId="15875" xr:uid="{65197B94-2211-4E88-B37A-ACADCD88BD05}"/>
    <cellStyle name="Note 10 3 18 2" xfId="37466" xr:uid="{DD20D533-BDB5-4D2D-BA07-A36E3463D093}"/>
    <cellStyle name="Note 10 3 19" xfId="16854" xr:uid="{598AF775-59D0-45BB-9E3A-2D09FFB38121}"/>
    <cellStyle name="Note 10 3 19 2" xfId="38282" xr:uid="{90609A34-DB1C-416B-B5B6-B2CC8332DE21}"/>
    <cellStyle name="Note 10 3 2" xfId="2712" xr:uid="{537258D2-AB09-48C4-8576-B78635CB1534}"/>
    <cellStyle name="Note 10 3 2 10" xfId="10313" xr:uid="{D9A48107-05D2-4828-8615-60EE4851D4AE}"/>
    <cellStyle name="Note 10 3 2 10 2" xfId="33948" xr:uid="{BAF807AD-FDD7-41E8-B2C9-BEDF0ECC94C5}"/>
    <cellStyle name="Note 10 3 2 11" xfId="9622" xr:uid="{A06D5810-6EBB-4B95-B9F7-B112F218DD6C}"/>
    <cellStyle name="Note 10 3 2 11 2" xfId="33517" xr:uid="{38C387A9-6705-4B57-994B-4FB2ECA73D9A}"/>
    <cellStyle name="Note 10 3 2 12" xfId="13154" xr:uid="{57201646-2E51-4D6F-91C7-4B842348DD5C}"/>
    <cellStyle name="Note 10 3 2 12 2" xfId="35502" xr:uid="{9619849A-1AEE-4A56-AC9B-DFF3EC6B7540}"/>
    <cellStyle name="Note 10 3 2 13" xfId="15864" xr:uid="{491AF7AD-E6E9-4050-8095-8C95BC5543F7}"/>
    <cellStyle name="Note 10 3 2 13 2" xfId="37463" xr:uid="{7A10AC6A-A4DC-4DC7-942A-BAEBB5A99614}"/>
    <cellStyle name="Note 10 3 2 14" xfId="19364" xr:uid="{64F65FF3-1710-4614-AA62-1874A4D07301}"/>
    <cellStyle name="Note 10 3 2 14 2" xfId="40090" xr:uid="{EF7944D2-1C1D-448F-AC58-F96CD9553586}"/>
    <cellStyle name="Note 10 3 2 15" xfId="9943" xr:uid="{73AF0DA6-D495-4A96-951D-EC15AA0BEAA1}"/>
    <cellStyle name="Note 10 3 2 15 2" xfId="33688" xr:uid="{A6A71BAB-B44F-49A5-A242-A880E9271ACB}"/>
    <cellStyle name="Note 10 3 2 16" xfId="17904" xr:uid="{D83038FB-47DC-49D0-B1C9-1D6FB7F902A0}"/>
    <cellStyle name="Note 10 3 2 16 2" xfId="39011" xr:uid="{4DBC99D7-7D16-4DDA-8E60-2CCE3FDC6C13}"/>
    <cellStyle name="Note 10 3 2 17" xfId="20003" xr:uid="{6745A51C-16E0-4E21-B9D9-A1CD85F0F8FC}"/>
    <cellStyle name="Note 10 3 2 17 2" xfId="40571" xr:uid="{DD7ACAD1-98FC-412F-B175-126C74A66CCE}"/>
    <cellStyle name="Note 10 3 2 18" xfId="20596" xr:uid="{75DFC9B1-4F32-4A8B-81F6-0545CFBA60E8}"/>
    <cellStyle name="Note 10 3 2 18 2" xfId="40956" xr:uid="{D27C7B23-FDEF-4716-9C86-280113B4673D}"/>
    <cellStyle name="Note 10 3 2 19" xfId="24835" xr:uid="{F8C758DE-938A-43B1-ACEB-86693423B5AD}"/>
    <cellStyle name="Note 10 3 2 19 2" xfId="43975" xr:uid="{005B9480-DE81-4259-A9C1-B6E896CD1050}"/>
    <cellStyle name="Note 10 3 2 2" xfId="8279" xr:uid="{1B2C7AF6-0DCE-4BF7-9D2C-37AD16FA81D5}"/>
    <cellStyle name="Note 10 3 2 2 2" xfId="32518" xr:uid="{31A6DA75-CDCC-4711-8ED5-48159E223F7C}"/>
    <cellStyle name="Note 10 3 2 20" xfId="26349" xr:uid="{981505BD-E4F0-4349-944C-E6DDECA81581}"/>
    <cellStyle name="Note 10 3 2 20 2" xfId="45031" xr:uid="{F4AB9D7D-C635-46FE-A708-DEFC57EFA644}"/>
    <cellStyle name="Note 10 3 2 21" xfId="24208" xr:uid="{EA86A988-187D-490B-A6E9-FD7CCB0FCB20}"/>
    <cellStyle name="Note 10 3 2 21 2" xfId="43529" xr:uid="{17F8600D-60DB-4B41-9AC0-9B703D4431AB}"/>
    <cellStyle name="Note 10 3 2 22" xfId="18686" xr:uid="{BD71943C-53F6-4C20-80AA-2A284A0DDCF4}"/>
    <cellStyle name="Note 10 3 2 22 2" xfId="39568" xr:uid="{33FE0A48-9200-49FC-A0BC-9A5216F5EF62}"/>
    <cellStyle name="Note 10 3 2 23" xfId="27239" xr:uid="{275716BA-4942-44D6-92EB-841CD6D338A7}"/>
    <cellStyle name="Note 10 3 2 23 2" xfId="45574" xr:uid="{13C47B45-F25C-4519-AC86-50BBB89A7569}"/>
    <cellStyle name="Note 10 3 2 24" xfId="22188" xr:uid="{0BD665EF-465F-4627-9A67-4C208E798F0C}"/>
    <cellStyle name="Note 10 3 2 24 2" xfId="42067" xr:uid="{2F988D9D-D516-4D95-BB51-4C228550B07C}"/>
    <cellStyle name="Note 10 3 2 25" xfId="23700" xr:uid="{41240612-65CB-4E77-A535-AE55207497E3}"/>
    <cellStyle name="Note 10 3 2 25 2" xfId="43118" xr:uid="{8413D1E8-AD26-4B9A-858E-1F832D748035}"/>
    <cellStyle name="Note 10 3 2 26" xfId="22437" xr:uid="{E249074A-6985-484D-A931-176E21C2AAEA}"/>
    <cellStyle name="Note 10 3 2 26 2" xfId="42240" xr:uid="{1BEA9B06-5950-450F-8BB9-D91604096ABF}"/>
    <cellStyle name="Note 10 3 2 27" xfId="28433" xr:uid="{E5F87155-0398-41F7-85F7-0650B60AFCC0}"/>
    <cellStyle name="Note 10 3 2 27 2" xfId="46280" xr:uid="{1E572FA9-13A9-4D6A-9342-8EDCEDBC86CD}"/>
    <cellStyle name="Note 10 3 2 28" xfId="6261" xr:uid="{D3B1EBE0-8CD3-4743-96DB-159444FF9DC1}"/>
    <cellStyle name="Note 10 3 2 3" xfId="9127" xr:uid="{6692DA1C-EE02-4B82-B7E5-FF1BE8A08E8E}"/>
    <cellStyle name="Note 10 3 2 3 2" xfId="33128" xr:uid="{D67A709C-8195-487F-8B89-2686ED066661}"/>
    <cellStyle name="Note 10 3 2 4" xfId="8345" xr:uid="{361A2F2A-8B1D-4F22-BB01-BEA58359BE36}"/>
    <cellStyle name="Note 10 3 2 4 2" xfId="32561" xr:uid="{AA36AB60-BB1B-4855-A805-B63CB87FC332}"/>
    <cellStyle name="Note 10 3 2 5" xfId="9534" xr:uid="{6908DD8D-5A07-48D6-83F4-2BBF57C34612}"/>
    <cellStyle name="Note 10 3 2 5 2" xfId="33473" xr:uid="{394E82F2-EBB9-4C70-A1A3-87650311A662}"/>
    <cellStyle name="Note 10 3 2 6" xfId="13129" xr:uid="{B6158D16-BAE1-4424-95CD-2B8E35026CAE}"/>
    <cellStyle name="Note 10 3 2 6 2" xfId="35477" xr:uid="{95982D57-F9BA-4F8E-B813-094C2B305D4B}"/>
    <cellStyle name="Note 10 3 2 7" xfId="9543" xr:uid="{901580C6-A017-4681-9CE9-0FE1D8EE6648}"/>
    <cellStyle name="Note 10 3 2 7 2" xfId="33482" xr:uid="{08360CE9-DD40-4BFD-AF07-76B3055B7DF0}"/>
    <cellStyle name="Note 10 3 2 8" xfId="10501" xr:uid="{D81A924B-0E1D-4C76-B94C-B718540A62B4}"/>
    <cellStyle name="Note 10 3 2 8 2" xfId="34136" xr:uid="{E7D84BB7-7346-4541-8059-46B2A11EA674}"/>
    <cellStyle name="Note 10 3 2 9" xfId="16690" xr:uid="{BDB71C45-5ADC-4F4A-A670-BC12DC7E824F}"/>
    <cellStyle name="Note 10 3 2 9 2" xfId="38181" xr:uid="{689CA96C-24DD-4A89-A4E8-8DE775D931F4}"/>
    <cellStyle name="Note 10 3 20" xfId="22915" xr:uid="{B48761F3-0324-4DED-836A-7C12750828A1}"/>
    <cellStyle name="Note 10 3 20 2" xfId="42631" xr:uid="{1893CBB8-4AA1-43E8-B000-7E3F18B878E4}"/>
    <cellStyle name="Note 10 3 21" xfId="26346" xr:uid="{286C1362-5C9C-4907-B2CF-B6A4B38CF43D}"/>
    <cellStyle name="Note 10 3 21 2" xfId="45028" xr:uid="{CF273EDC-ECC1-40CA-8ED4-2ED05C7A78FC}"/>
    <cellStyle name="Note 10 3 22" xfId="24204" xr:uid="{F9EDA319-75DC-471D-8BC6-13F1B1D8FA8C}"/>
    <cellStyle name="Note 10 3 22 2" xfId="43527" xr:uid="{38897D50-E640-4446-8108-5612E0275668}"/>
    <cellStyle name="Note 10 3 23" xfId="20916" xr:uid="{3F30C023-E0E2-4E9B-AE66-0D680A2952C1}"/>
    <cellStyle name="Note 10 3 23 2" xfId="41218" xr:uid="{1AF23D28-49EF-40AF-8E06-E02E7DD0B753}"/>
    <cellStyle name="Note 10 3 24" xfId="20295" xr:uid="{7D09AF38-CD37-4D5A-9097-22998EB7F129}"/>
    <cellStyle name="Note 10 3 24 2" xfId="40732" xr:uid="{9A787A8D-6EF2-4056-AD84-81972383784E}"/>
    <cellStyle name="Note 10 3 25" xfId="24036" xr:uid="{0C631BBD-F77B-4DFB-BAE8-1FD1CFDE6188}"/>
    <cellStyle name="Note 10 3 25 2" xfId="43413" xr:uid="{16AFF7CE-FDF2-4501-8FC0-395CC6D80516}"/>
    <cellStyle name="Note 10 3 26" xfId="26583" xr:uid="{451CEE70-31F4-442D-B70D-83E10D8DFE0F}"/>
    <cellStyle name="Note 10 3 26 2" xfId="45147" xr:uid="{C27D8BAB-E8DA-49AA-84CE-BF37CFB61234}"/>
    <cellStyle name="Note 10 3 27" xfId="20454" xr:uid="{2DC902C4-CD61-4570-B502-EF9AF661CA55}"/>
    <cellStyle name="Note 10 3 27 2" xfId="40851" xr:uid="{D2FEA65E-C6B6-4C2F-A770-3B28AA140AEA}"/>
    <cellStyle name="Note 10 3 28" xfId="28434" xr:uid="{AF43AB85-A406-4D5F-AD12-0683DC4EC660}"/>
    <cellStyle name="Note 10 3 28 2" xfId="46281" xr:uid="{B836D952-F2B9-49D7-AD99-02DB8037E069}"/>
    <cellStyle name="Note 10 3 29" xfId="6260" xr:uid="{BBB5D5C4-96B4-4ED3-88DF-44BB14E83F82}"/>
    <cellStyle name="Note 10 3 3" xfId="8280" xr:uid="{34C9A2A0-391C-4915-BA8F-946D540D3DBC}"/>
    <cellStyle name="Note 10 3 3 2" xfId="32519" xr:uid="{641478FA-0502-49D1-B6A5-1C516D8E496E}"/>
    <cellStyle name="Note 10 3 4" xfId="9126" xr:uid="{C35DC478-3A94-46D8-810A-5F4C7BB4A41E}"/>
    <cellStyle name="Note 10 3 4 2" xfId="33127" xr:uid="{5CF5F2EB-A8A0-4771-94F6-6C283ED370DB}"/>
    <cellStyle name="Note 10 3 5" xfId="8346" xr:uid="{C612F5EA-DC36-4FE0-8AA3-DBBE51A23CC4}"/>
    <cellStyle name="Note 10 3 5 2" xfId="32562" xr:uid="{39A534BA-9855-4083-AC1B-F0FE5C8B51D4}"/>
    <cellStyle name="Note 10 3 6" xfId="9535" xr:uid="{D6CF4C5D-DB9A-47B7-A53A-29A4206EA266}"/>
    <cellStyle name="Note 10 3 6 2" xfId="33474" xr:uid="{AAA9D099-C1C3-4D13-B611-AC99BB80C889}"/>
    <cellStyle name="Note 10 3 7" xfId="10333" xr:uid="{98698CF9-46ED-4A88-9FF5-4C93525BC10D}"/>
    <cellStyle name="Note 10 3 7 2" xfId="33968" xr:uid="{57849C28-DD1E-4C31-863C-7B3DA8315AE6}"/>
    <cellStyle name="Note 10 3 8" xfId="9544" xr:uid="{92D81402-D36E-478E-93BF-8FD637770BE3}"/>
    <cellStyle name="Note 10 3 8 2" xfId="33483" xr:uid="{0FAC8787-9AA0-453B-B3E1-EEC78A2F49C6}"/>
    <cellStyle name="Note 10 3 9" xfId="12972" xr:uid="{35FE9428-B6D7-400C-85DA-1E4481C00A31}"/>
    <cellStyle name="Note 10 3 9 2" xfId="35320" xr:uid="{010622E4-3860-445E-8F9F-FA01110A79CF}"/>
    <cellStyle name="Note 10 30" xfId="27242" xr:uid="{3D055AFB-7056-4BEB-B4DD-576CF0381C66}"/>
    <cellStyle name="Note 10 30 2" xfId="45577" xr:uid="{052F2BAA-D1C6-4198-8785-DE59C84B0364}"/>
    <cellStyle name="Note 10 31" xfId="24051" xr:uid="{7EA2BD3C-9884-484D-BFD7-C6EC6ADC523B}"/>
    <cellStyle name="Note 10 31 2" xfId="43428" xr:uid="{1BD91D31-6AF4-467C-8E64-71E9A29AFAD8}"/>
    <cellStyle name="Note 10 32" xfId="26599" xr:uid="{B9E0FAFB-AC5F-461C-9E5E-08E7B303598E}"/>
    <cellStyle name="Note 10 32 2" xfId="45163" xr:uid="{1C5C8A87-D870-4440-BF0E-618134150624}"/>
    <cellStyle name="Note 10 33" xfId="23118" xr:uid="{EFFE025B-C985-4AF7-BC47-5135C803F12C}"/>
    <cellStyle name="Note 10 33 2" xfId="42727" xr:uid="{1104A1AC-654A-41FF-BF22-2BED16710793}"/>
    <cellStyle name="Note 10 34" xfId="30136" xr:uid="{43263335-3D66-45BB-9933-092E25196B52}"/>
    <cellStyle name="Note 10 34 2" xfId="47304" xr:uid="{F58C176C-8ADF-40F3-A71C-F251B1ADBE24}"/>
    <cellStyle name="Note 10 35" xfId="6255" xr:uid="{8886AA9F-973B-45EE-83C4-231AFEA06B64}"/>
    <cellStyle name="Note 10 4" xfId="2713" xr:uid="{CE9228EE-2EFB-42DA-8309-739CE7BF2771}"/>
    <cellStyle name="Note 10 4 10" xfId="16678" xr:uid="{673E3E0B-E3D6-48A4-9A87-EFD6ECF33DE0}"/>
    <cellStyle name="Note 10 4 10 2" xfId="38169" xr:uid="{F713E0B5-2C8A-4EBF-869F-F3366FFF562E}"/>
    <cellStyle name="Note 10 4 11" xfId="13117" xr:uid="{5057736C-C957-41FB-9022-FB37FD53DF40}"/>
    <cellStyle name="Note 10 4 11 2" xfId="35465" xr:uid="{E9D8E179-F358-4DC1-AD1E-088C19B7F678}"/>
    <cellStyle name="Note 10 4 12" xfId="16676" xr:uid="{D8A4F5D6-C682-4D9C-B7F7-C809E383FBD8}"/>
    <cellStyle name="Note 10 4 12 2" xfId="38167" xr:uid="{C9124A51-513E-4642-87AD-98440668049B}"/>
    <cellStyle name="Note 10 4 13" xfId="20282" xr:uid="{96166899-99ED-4FBE-A6EC-1499DB918D7E}"/>
    <cellStyle name="Note 10 4 13 2" xfId="40720" xr:uid="{8CAA1097-8EE7-45E1-9447-20330719C043}"/>
    <cellStyle name="Note 10 4 14" xfId="16456" xr:uid="{C4266D56-0966-4D09-966D-0C17531843C9}"/>
    <cellStyle name="Note 10 4 14 2" xfId="37949" xr:uid="{E83EAFC8-8CB9-4012-9D63-EE1103B713BD}"/>
    <cellStyle name="Note 10 4 15" xfId="12854" xr:uid="{D7E406A5-06CD-49C7-8018-83A28BF472C4}"/>
    <cellStyle name="Note 10 4 15 2" xfId="35234" xr:uid="{60D77C7C-AAE7-4BBE-AF6F-956DF59628DB}"/>
    <cellStyle name="Note 10 4 16" xfId="9945" xr:uid="{7F523928-A688-49E2-9FF0-13B1AA9B9486}"/>
    <cellStyle name="Note 10 4 16 2" xfId="33690" xr:uid="{678E1050-2DE5-4C0B-BB93-452885D47203}"/>
    <cellStyle name="Note 10 4 17" xfId="18641" xr:uid="{BE94DF0E-083B-43B1-A3DD-4DB5154A8920}"/>
    <cellStyle name="Note 10 4 17 2" xfId="39538" xr:uid="{E33EC2C0-2569-4955-8DB7-2EE132E22913}"/>
    <cellStyle name="Note 10 4 18" xfId="16442" xr:uid="{A5A18C8C-D2CD-4EB5-AA9A-0A85D2FD0301}"/>
    <cellStyle name="Note 10 4 18 2" xfId="37935" xr:uid="{99A4F8F7-FA15-4C72-9F37-D3657F12B23D}"/>
    <cellStyle name="Note 10 4 19" xfId="18872" xr:uid="{97779109-9D18-42F2-8835-FA141168855C}"/>
    <cellStyle name="Note 10 4 19 2" xfId="39706" xr:uid="{C9CE04FB-B977-4D22-84C2-AE4AC4305392}"/>
    <cellStyle name="Note 10 4 2" xfId="2714" xr:uid="{97E0C702-A43A-41D7-AFCA-440AE06252D0}"/>
    <cellStyle name="Note 10 4 2 10" xfId="13149" xr:uid="{58EC730C-E532-480B-9431-AD32E756BD81}"/>
    <cellStyle name="Note 10 4 2 10 2" xfId="35497" xr:uid="{96553A2E-8C30-4176-8A10-951B1F971081}"/>
    <cellStyle name="Note 10 4 2 11" xfId="9621" xr:uid="{6070187F-6085-41C2-93E2-5ABADDDF299E}"/>
    <cellStyle name="Note 10 4 2 11 2" xfId="33516" xr:uid="{CB4A0D58-D8EB-4D9E-A3ED-15CB526AB48E}"/>
    <cellStyle name="Note 10 4 2 12" xfId="15550" xr:uid="{835E9806-B8A3-4CFB-94CB-39AD3D30F5B5}"/>
    <cellStyle name="Note 10 4 2 12 2" xfId="37215" xr:uid="{2573B25E-BADF-48A0-B856-9AFDBAEA974D}"/>
    <cellStyle name="Note 10 4 2 13" xfId="20006" xr:uid="{666C8710-18EA-4539-A3C3-8C99BC36EE84}"/>
    <cellStyle name="Note 10 4 2 13 2" xfId="40574" xr:uid="{E60ADE4A-5F22-41FA-8C12-61ED71DC8FE6}"/>
    <cellStyle name="Note 10 4 2 14" xfId="19843" xr:uid="{3E6F0611-9584-4725-9BB8-87525D398E91}"/>
    <cellStyle name="Note 10 4 2 14 2" xfId="40456" xr:uid="{C712D1C9-7B84-461C-AE93-9522BEFFC286}"/>
    <cellStyle name="Note 10 4 2 15" xfId="9981" xr:uid="{4C1F730E-A55D-4C0B-9448-800C417D04CC}"/>
    <cellStyle name="Note 10 4 2 15 2" xfId="33726" xr:uid="{3183E2EB-520B-47B0-A5EC-7A665CBE4E74}"/>
    <cellStyle name="Note 10 4 2 16" xfId="21564" xr:uid="{4F1CCA14-D6CD-4FBF-936C-D74A9DFF5851}"/>
    <cellStyle name="Note 10 4 2 16 2" xfId="41648" xr:uid="{23640CF4-E05A-46F7-AAAC-B1AF749F4D26}"/>
    <cellStyle name="Note 10 4 2 17" xfId="13993" xr:uid="{D704610E-8C71-4AA1-8D53-984CB3D9315E}"/>
    <cellStyle name="Note 10 4 2 17 2" xfId="36087" xr:uid="{3F231A04-3DEF-4C25-986E-1FC27B839EF2}"/>
    <cellStyle name="Note 10 4 2 18" xfId="20597" xr:uid="{40796833-95A0-400B-ADCC-1512D2002246}"/>
    <cellStyle name="Note 10 4 2 18 2" xfId="40957" xr:uid="{4FE32E04-7664-4A41-8439-4ACFD4BEC818}"/>
    <cellStyle name="Note 10 4 2 19" xfId="24834" xr:uid="{0372C6C5-FCAD-42F7-811B-11328B884970}"/>
    <cellStyle name="Note 10 4 2 19 2" xfId="43974" xr:uid="{668827AA-B351-4DEA-A9A7-16B944B6BAC5}"/>
    <cellStyle name="Note 10 4 2 2" xfId="8277" xr:uid="{A9CF042D-03B9-4FC8-938A-6FAB35EF8EA1}"/>
    <cellStyle name="Note 10 4 2 2 2" xfId="32516" xr:uid="{7C053DFF-B841-4F85-A4FC-4C522195E802}"/>
    <cellStyle name="Note 10 4 2 20" xfId="26348" xr:uid="{1332CCFB-2CA5-4E60-BE85-1919797D84C8}"/>
    <cellStyle name="Note 10 4 2 20 2" xfId="45030" xr:uid="{183DC356-0081-409C-A3BC-F14663CF9463}"/>
    <cellStyle name="Note 10 4 2 21" xfId="26930" xr:uid="{06873DEA-6C0D-4735-AED5-8E5ED33865F8}"/>
    <cellStyle name="Note 10 4 2 21 2" xfId="45345" xr:uid="{2393A663-8247-4271-B809-D51FA34B3465}"/>
    <cellStyle name="Note 10 4 2 22" xfId="20139" xr:uid="{7EB94C0C-1C93-4ABD-9382-984F77A5C6AF}"/>
    <cellStyle name="Note 10 4 2 22 2" xfId="40647" xr:uid="{E36E7156-FB12-4EBA-8301-F30CD3265A03}"/>
    <cellStyle name="Note 10 4 2 23" xfId="26148" xr:uid="{DB421CAA-0338-4FDB-90B2-B94A82E72494}"/>
    <cellStyle name="Note 10 4 2 23 2" xfId="44889" xr:uid="{00BAFA11-9A28-40A4-9C2A-5DA29AEE3AE0}"/>
    <cellStyle name="Note 10 4 2 24" xfId="28790" xr:uid="{5B8907C9-D4B7-48D8-A81F-C0FA9A8F1CDA}"/>
    <cellStyle name="Note 10 4 2 24 2" xfId="46465" xr:uid="{0E8711BA-F226-49AC-ADBF-53922BED9F01}"/>
    <cellStyle name="Note 10 4 2 25" xfId="26582" xr:uid="{7BDDF01C-3057-4D0D-9E84-1289AAA04432}"/>
    <cellStyle name="Note 10 4 2 25 2" xfId="45146" xr:uid="{CEAE2F25-9F6A-4780-8E85-B968E8895E51}"/>
    <cellStyle name="Note 10 4 2 26" xfId="20453" xr:uid="{5ADECFA7-FBE2-496D-87C1-DBDB36715ADF}"/>
    <cellStyle name="Note 10 4 2 26 2" xfId="40850" xr:uid="{2A88ABCA-A7DB-4C91-874B-E5F3F42B82D7}"/>
    <cellStyle name="Note 10 4 2 27" xfId="29327" xr:uid="{93624B3C-77FE-4B6D-BBA2-C9759C07F611}"/>
    <cellStyle name="Note 10 4 2 27 2" xfId="46805" xr:uid="{C4A78535-1E95-4DD3-83DC-97ACEB322B1C}"/>
    <cellStyle name="Note 10 4 2 28" xfId="6263" xr:uid="{045D0192-6822-4282-B91A-45F616349388}"/>
    <cellStyle name="Note 10 4 2 3" xfId="9128" xr:uid="{08347FBD-FA2D-4E8F-B692-D9D0F857709E}"/>
    <cellStyle name="Note 10 4 2 3 2" xfId="33129" xr:uid="{230885F6-EF64-4E24-AA12-9C21BE99EEB1}"/>
    <cellStyle name="Note 10 4 2 4" xfId="8289" xr:uid="{646616D9-E7AA-4881-9ABB-D47F90FCBBF7}"/>
    <cellStyle name="Note 10 4 2 4 2" xfId="32528" xr:uid="{9137DD43-C30F-4B6D-AB13-C1C787B002FE}"/>
    <cellStyle name="Note 10 4 2 5" xfId="9532" xr:uid="{FC64F9A1-71AA-40FF-BB0C-8A32777F56D4}"/>
    <cellStyle name="Note 10 4 2 5 2" xfId="33471" xr:uid="{0C89BD25-F9BB-4D0C-8F10-35DF8E9A0238}"/>
    <cellStyle name="Note 10 4 2 6" xfId="13128" xr:uid="{70AD73AA-9266-44FB-A585-B05A925AE315}"/>
    <cellStyle name="Note 10 4 2 6 2" xfId="35476" xr:uid="{07F9AB05-9390-4A73-88EB-202DA096E022}"/>
    <cellStyle name="Note 10 4 2 7" xfId="8692" xr:uid="{1C0BD827-617D-4486-A67A-EAE8DA3D8AEE}"/>
    <cellStyle name="Note 10 4 2 7 2" xfId="32822" xr:uid="{A989A4FD-89E4-4EA3-AE42-306496FC4EDB}"/>
    <cellStyle name="Note 10 4 2 8" xfId="12971" xr:uid="{3D0D2D61-A402-48E5-95D9-32958CACE383}"/>
    <cellStyle name="Note 10 4 2 8 2" xfId="35319" xr:uid="{2C08EC0C-AB72-4356-BEF3-ACF16A07D0B5}"/>
    <cellStyle name="Note 10 4 2 9" xfId="11966" xr:uid="{A4C3BB06-B254-4D2D-9D3B-F9B78E9E2AAD}"/>
    <cellStyle name="Note 10 4 2 9 2" xfId="34538" xr:uid="{D685E2BE-B585-4CC3-BB64-0091600D03E0}"/>
    <cellStyle name="Note 10 4 20" xfId="22923" xr:uid="{C5A92AD7-03A4-4FAD-B120-EC4C9B6919AC}"/>
    <cellStyle name="Note 10 4 20 2" xfId="42637" xr:uid="{35B5C45A-C4D0-4F34-BEA8-33CD91AA550F}"/>
    <cellStyle name="Note 10 4 21" xfId="20603" xr:uid="{A7ACCA1D-2D6E-426D-BA2B-6BA429AA03C0}"/>
    <cellStyle name="Note 10 4 21 2" xfId="40963" xr:uid="{058A10D0-8D5B-4A2D-91AE-4065F63A4873}"/>
    <cellStyle name="Note 10 4 22" xfId="24664" xr:uid="{D574D1BC-A271-49E0-9265-03D29419A1A8}"/>
    <cellStyle name="Note 10 4 22 2" xfId="43809" xr:uid="{76D76962-7E85-426B-8D61-B1CA9547E9E8}"/>
    <cellStyle name="Note 10 4 23" xfId="25681" xr:uid="{8BF65597-D064-48AB-BB77-EEB61CC2236D}"/>
    <cellStyle name="Note 10 4 23 2" xfId="44518" xr:uid="{8E11B7E2-48CD-4F34-A89D-0408C299B17C}"/>
    <cellStyle name="Note 10 4 24" xfId="23778" xr:uid="{D12A2A08-7F07-4CD6-8FE9-2087E5DA40C0}"/>
    <cellStyle name="Note 10 4 24 2" xfId="43179" xr:uid="{58396BB2-E6EF-4F39-AFF9-634A1804ADF1}"/>
    <cellStyle name="Note 10 4 25" xfId="28782" xr:uid="{F34CB407-25AA-4937-ADDC-270319F3D6BC}"/>
    <cellStyle name="Note 10 4 25 2" xfId="46457" xr:uid="{E183E8E2-7C5E-4F55-8E9B-A3A942B68C8E}"/>
    <cellStyle name="Note 10 4 26" xfId="24244" xr:uid="{07982D47-EBCC-4F96-8264-85CE2F0CCAFB}"/>
    <cellStyle name="Note 10 4 26 2" xfId="43558" xr:uid="{DFDAC627-7187-41FB-849A-9881BD071F9D}"/>
    <cellStyle name="Note 10 4 27" xfId="23116" xr:uid="{8E9AF238-0448-4441-9A80-64BC5CD21B63}"/>
    <cellStyle name="Note 10 4 27 2" xfId="42726" xr:uid="{7A1B70A6-404E-4233-9827-F7396C9F1637}"/>
    <cellStyle name="Note 10 4 28" xfId="28038" xr:uid="{B151DC5C-D678-486A-8140-C503C634C0F4}"/>
    <cellStyle name="Note 10 4 28 2" xfId="46036" xr:uid="{759251F5-A62D-4362-B3B9-1F7DD5B2061E}"/>
    <cellStyle name="Note 10 4 29" xfId="6262" xr:uid="{20CEC7A1-A488-479F-AF26-0C555B445CD3}"/>
    <cellStyle name="Note 10 4 3" xfId="8278" xr:uid="{2A26A535-4E44-4153-A057-463559743ECA}"/>
    <cellStyle name="Note 10 4 3 2" xfId="32517" xr:uid="{C4AA3C25-77D0-414F-BEDA-EF76C1F9095E}"/>
    <cellStyle name="Note 10 4 4" xfId="12121" xr:uid="{909EF3D9-84AF-4717-A949-0115A147FC1C}"/>
    <cellStyle name="Note 10 4 4 2" xfId="34668" xr:uid="{BE9A996F-7D6F-42FF-883E-989028C39A1D}"/>
    <cellStyle name="Note 10 4 5" xfId="8344" xr:uid="{EE56F959-6C64-484F-B61D-5CE5551E31C9}"/>
    <cellStyle name="Note 10 4 5 2" xfId="32560" xr:uid="{447A046A-026F-4BB1-81C6-B2480E7C9B77}"/>
    <cellStyle name="Note 10 4 6" xfId="9533" xr:uid="{8B5000BC-D8CD-432F-B6FA-7B7E14D1F6EB}"/>
    <cellStyle name="Note 10 4 6 2" xfId="33472" xr:uid="{AAA14AD7-FC78-41F7-80C5-353F93BB01D0}"/>
    <cellStyle name="Note 10 4 7" xfId="10334" xr:uid="{97B1CE2F-B75A-4B66-AEB8-9CD8F29F65C7}"/>
    <cellStyle name="Note 10 4 7 2" xfId="33969" xr:uid="{91657560-9658-4F11-B74E-E49EDFCE783C}"/>
    <cellStyle name="Note 10 4 8" xfId="16196" xr:uid="{517D43DF-4B8B-4601-8B82-3DE9D0F77E2E}"/>
    <cellStyle name="Note 10 4 8 2" xfId="37753" xr:uid="{6FB4C10E-617E-4411-BDE4-267EA81B0343}"/>
    <cellStyle name="Note 10 4 9" xfId="14997" xr:uid="{DE55F39B-3ADE-4776-A98C-34DF9C7FAD6D}"/>
    <cellStyle name="Note 10 4 9 2" xfId="36855" xr:uid="{257AFF13-4758-4F80-862D-A28663FF0EF6}"/>
    <cellStyle name="Note 10 5" xfId="2715" xr:uid="{8FBAAF6D-A4BF-48A6-A12E-F544C9D863E0}"/>
    <cellStyle name="Note 10 5 10" xfId="7557" xr:uid="{C9B89CAE-9161-40D8-B5F9-6A2B306A12E4}"/>
    <cellStyle name="Note 10 5 10 2" xfId="31875" xr:uid="{B3BA8A6A-5F98-4972-BBD5-D7B97DE42EA8}"/>
    <cellStyle name="Note 10 5 11" xfId="10314" xr:uid="{1A30CEB9-630D-4665-9AA1-379F9FC49D1C}"/>
    <cellStyle name="Note 10 5 11 2" xfId="33949" xr:uid="{AB60C8D9-0B1A-4898-B3DB-793F9C5FC20A}"/>
    <cellStyle name="Note 10 5 12" xfId="9653" xr:uid="{F9CD7817-0612-4B6B-9B2E-A05668D6A517}"/>
    <cellStyle name="Note 10 5 12 2" xfId="33545" xr:uid="{74F80795-C5EC-486E-90FB-91CF30C20A98}"/>
    <cellStyle name="Note 10 5 13" xfId="14614" xr:uid="{881887DC-2E57-4F5B-B57B-6ECAE5D3A026}"/>
    <cellStyle name="Note 10 5 13 2" xfId="36526" xr:uid="{FE286200-E98B-4D2C-A6B8-089727DD3F5A}"/>
    <cellStyle name="Note 10 5 14" xfId="13997" xr:uid="{A988CE0F-E3E8-4DED-B0A5-B89B39A31B63}"/>
    <cellStyle name="Note 10 5 14 2" xfId="36091" xr:uid="{7E210565-9FEF-49BC-8A03-FE5695E813AC}"/>
    <cellStyle name="Note 10 5 15" xfId="19842" xr:uid="{6635CFC0-C3A4-467D-A06C-ED0E628D5829}"/>
    <cellStyle name="Note 10 5 15 2" xfId="40455" xr:uid="{CFFE608C-542D-40FA-93B6-0B03470D1D16}"/>
    <cellStyle name="Note 10 5 16" xfId="9946" xr:uid="{C90345B0-8737-450E-ADF0-47ED3C648482}"/>
    <cellStyle name="Note 10 5 16 2" xfId="33691" xr:uid="{40BECB10-701C-4F6A-AEF2-C443C7C69713}"/>
    <cellStyle name="Note 10 5 17" xfId="15286" xr:uid="{DF931DBA-029B-4D46-A5EA-B14734D4AA88}"/>
    <cellStyle name="Note 10 5 17 2" xfId="37003" xr:uid="{AB21E02D-1691-4CCD-BE61-B83207591DF9}"/>
    <cellStyle name="Note 10 5 18" xfId="16425" xr:uid="{66BDBD7C-AAA4-4089-92BE-80CB586EB84C}"/>
    <cellStyle name="Note 10 5 18 2" xfId="37933" xr:uid="{C2A4A284-CDDA-4D44-B840-039C9A3F67CA}"/>
    <cellStyle name="Note 10 5 19" xfId="20598" xr:uid="{25883029-5310-4634-A184-72A9D29962A4}"/>
    <cellStyle name="Note 10 5 19 2" xfId="40958" xr:uid="{9152708F-47D3-460D-9B03-655ED255F33E}"/>
    <cellStyle name="Note 10 5 2" xfId="2716" xr:uid="{FB28AEE5-D964-469E-857E-322F0D52CC8E}"/>
    <cellStyle name="Note 10 5 2 10" xfId="14998" xr:uid="{A6B041B1-80C6-4135-9ACF-F4B4E04658AD}"/>
    <cellStyle name="Note 10 5 2 10 2" xfId="36856" xr:uid="{264AEF84-2CAE-4698-AED3-F551BC9AE006}"/>
    <cellStyle name="Note 10 5 2 11" xfId="9620" xr:uid="{09424E86-4E4E-493D-A389-B9A2E6006748}"/>
    <cellStyle name="Note 10 5 2 11 2" xfId="33515" xr:uid="{E54FD930-0F25-490A-81D0-037101C695B8}"/>
    <cellStyle name="Note 10 5 2 12" xfId="13838" xr:uid="{4CCDB445-BDAB-4E04-B3EE-4835D326153F}"/>
    <cellStyle name="Note 10 5 2 12 2" xfId="35963" xr:uid="{AC5E70E2-FC4B-4183-A5EB-6C74CFAD8618}"/>
    <cellStyle name="Note 10 5 2 13" xfId="16457" xr:uid="{782F01D2-0D9F-45D4-809A-E20EBBD2CD51}"/>
    <cellStyle name="Note 10 5 2 13 2" xfId="37950" xr:uid="{600A14B0-8E48-4124-9CAE-D5B09904299E}"/>
    <cellStyle name="Note 10 5 2 14" xfId="17996" xr:uid="{CAB93273-3566-47B6-9EBB-3C5703D9B7D5}"/>
    <cellStyle name="Note 10 5 2 14 2" xfId="39092" xr:uid="{ACA07BD2-0C1F-4BD9-88A9-5BD2AC2EDF48}"/>
    <cellStyle name="Note 10 5 2 15" xfId="9947" xr:uid="{EF18BDA2-2862-4A21-B558-1762C8D024C3}"/>
    <cellStyle name="Note 10 5 2 15 2" xfId="33692" xr:uid="{DF570099-893F-43BC-BABE-A276FAFA9C9D}"/>
    <cellStyle name="Note 10 5 2 16" xfId="21563" xr:uid="{F9B411DE-1146-4AB3-9A8E-EFAA7B27EFC8}"/>
    <cellStyle name="Note 10 5 2 16 2" xfId="41647" xr:uid="{E06D2518-B703-4E28-83EF-EE64E6F86B84}"/>
    <cellStyle name="Note 10 5 2 17" xfId="13988" xr:uid="{9E0FA071-1E87-45BB-854E-AB5300E7B0E8}"/>
    <cellStyle name="Note 10 5 2 17 2" xfId="36085" xr:uid="{26B61905-DF5D-4E13-9574-E3BF63DEFA98}"/>
    <cellStyle name="Note 10 5 2 18" xfId="18873" xr:uid="{5C7366D2-37E4-4818-8EAE-1B3E56CFFE9A}"/>
    <cellStyle name="Note 10 5 2 18 2" xfId="39707" xr:uid="{0417253E-8176-4296-AAB5-0756CF31B2FE}"/>
    <cellStyle name="Note 10 5 2 19" xfId="24833" xr:uid="{5E43D392-A583-4927-98E9-E36151D69E84}"/>
    <cellStyle name="Note 10 5 2 19 2" xfId="43973" xr:uid="{63014050-76A6-40C4-BA9B-D0EE63686772}"/>
    <cellStyle name="Note 10 5 2 2" xfId="8275" xr:uid="{23CC99D5-1589-4D46-A07E-0CEE997D1973}"/>
    <cellStyle name="Note 10 5 2 2 2" xfId="32514" xr:uid="{5209E8B9-532D-4EF7-8C6B-531199E69295}"/>
    <cellStyle name="Note 10 5 2 20" xfId="26347" xr:uid="{387CA862-4CD1-404C-8E07-7CEAD5CF84A5}"/>
    <cellStyle name="Note 10 5 2 20 2" xfId="45029" xr:uid="{5908C5D0-4DCC-4ACB-82F7-EB581510C5EA}"/>
    <cellStyle name="Note 10 5 2 21" xfId="22842" xr:uid="{081F0316-27B3-4682-BF3F-650CBBA74979}"/>
    <cellStyle name="Note 10 5 2 21 2" xfId="42560" xr:uid="{F12227F8-6AA1-478C-A2B9-E4ED9A17FA06}"/>
    <cellStyle name="Note 10 5 2 22" xfId="23357" xr:uid="{26EFF967-48AE-49F8-8A98-A192C260F4BF}"/>
    <cellStyle name="Note 10 5 2 22 2" xfId="42912" xr:uid="{AB4A4C0B-834F-49DA-875B-4EDDFBDBA5E9}"/>
    <cellStyle name="Note 10 5 2 23" xfId="25666" xr:uid="{933C554E-A458-43E8-AB55-37F74EFD0820}"/>
    <cellStyle name="Note 10 5 2 23 2" xfId="44510" xr:uid="{21E5D9B9-7925-4E1E-A961-81239ADA97F1}"/>
    <cellStyle name="Note 10 5 2 24" xfId="27010" xr:uid="{BB6E0E1C-BD7E-4C28-92B9-6666646A3982}"/>
    <cellStyle name="Note 10 5 2 24 2" xfId="45416" xr:uid="{2F285CCF-D9ED-449B-AC9F-ADC3919A0FD0}"/>
    <cellStyle name="Note 10 5 2 25" xfId="29748" xr:uid="{799A71D8-2089-487D-B974-1745A1C36798}"/>
    <cellStyle name="Note 10 5 2 25 2" xfId="47069" xr:uid="{A901BD1B-32B3-4C43-93FA-6877A55BEA20}"/>
    <cellStyle name="Note 10 5 2 26" xfId="18805" xr:uid="{3B69BEAF-21B7-4997-8684-8CF26E1EEDC0}"/>
    <cellStyle name="Note 10 5 2 26 2" xfId="39660" xr:uid="{3EA547FA-30DD-4B94-8DD2-8BE2B2221850}"/>
    <cellStyle name="Note 10 5 2 27" xfId="28432" xr:uid="{1982BE7D-D7B4-43AF-8CB1-E2B05BEC0EF1}"/>
    <cellStyle name="Note 10 5 2 27 2" xfId="46279" xr:uid="{A839EA0E-9E60-4457-B1DC-D140520D4F51}"/>
    <cellStyle name="Note 10 5 2 28" xfId="6265" xr:uid="{F23C5814-7233-4B8C-B5F5-DA65049E5D7B}"/>
    <cellStyle name="Note 10 5 2 3" xfId="9129" xr:uid="{63CBB122-0325-40F8-B269-BE5CF18FC9C0}"/>
    <cellStyle name="Note 10 5 2 3 2" xfId="33130" xr:uid="{865FBB1C-EB26-48BD-B6BC-793471FFA81E}"/>
    <cellStyle name="Note 10 5 2 4" xfId="8342" xr:uid="{E5AB7A86-E3E6-426E-856A-3245EC4E0FE1}"/>
    <cellStyle name="Note 10 5 2 4 2" xfId="32558" xr:uid="{E93E30C4-952F-4BE6-B58E-028159897373}"/>
    <cellStyle name="Note 10 5 2 5" xfId="9530" xr:uid="{7A00AEE6-FD05-4CEF-904C-4A02A8FBD2BE}"/>
    <cellStyle name="Note 10 5 2 5 2" xfId="33469" xr:uid="{ED379DD5-797C-4D48-AC90-AA4B4F5E045A}"/>
    <cellStyle name="Note 10 5 2 6" xfId="13127" xr:uid="{AEFB020A-06D6-443A-8E78-ED411DA709B1}"/>
    <cellStyle name="Note 10 5 2 6 2" xfId="35475" xr:uid="{7382989C-CC20-4573-9633-066A3D8D9BAC}"/>
    <cellStyle name="Note 10 5 2 7" xfId="8690" xr:uid="{81CCB11D-BE7D-4E53-9100-8E2BCD3F8469}"/>
    <cellStyle name="Note 10 5 2 7 2" xfId="32820" xr:uid="{44494E1B-48E2-499A-B9F8-BFFA5AFB1B7F}"/>
    <cellStyle name="Note 10 5 2 8" xfId="10502" xr:uid="{26E11B58-6546-405B-B964-EBEAF5BBE4DE}"/>
    <cellStyle name="Note 10 5 2 8 2" xfId="34137" xr:uid="{6264DF13-246A-49CC-B1A3-72DF2051E5ED}"/>
    <cellStyle name="Note 10 5 2 9" xfId="11965" xr:uid="{8902AEBF-2AEF-431D-A7A2-0A98A31DBFF1}"/>
    <cellStyle name="Note 10 5 2 9 2" xfId="34537" xr:uid="{1F355777-C30F-4900-B368-BD62027D430B}"/>
    <cellStyle name="Note 10 5 20" xfId="20400" xr:uid="{2BFAF92B-4A9C-48F1-9877-B96295A9FE1B}"/>
    <cellStyle name="Note 10 5 20 2" xfId="40822" xr:uid="{756D165A-AE34-42E7-A2E0-8233D2F06813}"/>
    <cellStyle name="Note 10 5 21" xfId="20586" xr:uid="{73E7CB18-7C34-43A8-86AC-4ED5D5FE1381}"/>
    <cellStyle name="Note 10 5 21 2" xfId="40946" xr:uid="{36E50C96-88D1-44C6-9626-C38563B1C4EF}"/>
    <cellStyle name="Note 10 5 22" xfId="25763" xr:uid="{086E6B3D-E128-481C-840D-AFF4F25431B2}"/>
    <cellStyle name="Note 10 5 22 2" xfId="44600" xr:uid="{128F3AE8-9865-4129-B466-761222D58642}"/>
    <cellStyle name="Note 10 5 23" xfId="20928" xr:uid="{117E619C-ABBC-4733-BD85-CD240DB3CFF5}"/>
    <cellStyle name="Note 10 5 23 2" xfId="41229" xr:uid="{999BC5CB-5679-4B3F-85A7-3CDE36552CEB}"/>
    <cellStyle name="Note 10 5 24" xfId="27238" xr:uid="{18C379B3-F500-4EC2-937B-0F18C81EC3D3}"/>
    <cellStyle name="Note 10 5 24 2" xfId="45573" xr:uid="{A565913F-CD4B-427C-BB41-74B094F0EF20}"/>
    <cellStyle name="Note 10 5 25" xfId="27009" xr:uid="{61BD58BC-3D50-4885-9548-D5FC8A957132}"/>
    <cellStyle name="Note 10 5 25 2" xfId="45415" xr:uid="{5719F55F-448A-42C2-832C-F6EF09ABAC1D}"/>
    <cellStyle name="Note 10 5 26" xfId="25435" xr:uid="{43D46D75-5DA3-49CB-9393-B0518196894D}"/>
    <cellStyle name="Note 10 5 26 2" xfId="44321" xr:uid="{98D78CB8-BA23-47E5-A30F-8919549CAF45}"/>
    <cellStyle name="Note 10 5 27" xfId="23115" xr:uid="{38655BF7-D33C-4A5D-84B2-DC34EC00185D}"/>
    <cellStyle name="Note 10 5 27 2" xfId="42725" xr:uid="{24725E3B-56A6-42E1-A948-C202D511ACD0}"/>
    <cellStyle name="Note 10 5 28" xfId="29538" xr:uid="{135554EA-07FE-43A4-B159-CE36F08E6661}"/>
    <cellStyle name="Note 10 5 28 2" xfId="46939" xr:uid="{D2ABDB7E-FFA9-4168-AA68-BB5E928DAD56}"/>
    <cellStyle name="Note 10 5 29" xfId="6264" xr:uid="{C55FAFDA-34B1-4266-920C-0152A4DA1BD7}"/>
    <cellStyle name="Note 10 5 3" xfId="8276" xr:uid="{E134C6C6-A7A5-4FCA-BB02-0B9E680A7202}"/>
    <cellStyle name="Note 10 5 3 2" xfId="32515" xr:uid="{46660D67-1314-4D8A-860B-C1D4720476E7}"/>
    <cellStyle name="Note 10 5 4" xfId="12122" xr:uid="{7B92A88F-AA6B-4A8E-8BDD-78B1578032E5}"/>
    <cellStyle name="Note 10 5 4 2" xfId="34669" xr:uid="{C4E1509E-B507-4748-8362-995524C65A07}"/>
    <cellStyle name="Note 10 5 5" xfId="8343" xr:uid="{55EBEF56-D9E1-4952-BE3E-7C7B71939EC5}"/>
    <cellStyle name="Note 10 5 5 2" xfId="32559" xr:uid="{DDC1E2E1-DD73-4A33-85F2-C530CAE57D34}"/>
    <cellStyle name="Note 10 5 6" xfId="9531" xr:uid="{CFEEEFBB-89E5-4C02-8DBD-3082740DFE91}"/>
    <cellStyle name="Note 10 5 6 2" xfId="33470" xr:uid="{F1ECB7FA-F09D-4BB1-81D0-A98460ED2AAC}"/>
    <cellStyle name="Note 10 5 7" xfId="10335" xr:uid="{2FB6EB45-2E27-4067-915C-6064A1D5F28E}"/>
    <cellStyle name="Note 10 5 7 2" xfId="33970" xr:uid="{0B63F5EC-350D-48F1-AC07-846A4979CADD}"/>
    <cellStyle name="Note 10 5 8" xfId="8691" xr:uid="{C285E1E6-0019-415C-A36A-618ABCC393BE}"/>
    <cellStyle name="Note 10 5 8 2" xfId="32821" xr:uid="{FC2E2914-CFBE-431F-96E7-481DE98D58C5}"/>
    <cellStyle name="Note 10 5 9" xfId="14996" xr:uid="{25FE7B8C-3772-4D06-895A-9121D422541E}"/>
    <cellStyle name="Note 10 5 9 2" xfId="36854" xr:uid="{80F6E890-2D47-4C92-937A-5BF9349D337C}"/>
    <cellStyle name="Note 10 6" xfId="2717" xr:uid="{BC6C73E3-E66C-4863-85AA-B2542B116378}"/>
    <cellStyle name="Note 10 6 10" xfId="11912" xr:uid="{23A6C497-566F-4B4E-8E14-2084DC39F018}"/>
    <cellStyle name="Note 10 6 10 2" xfId="34523" xr:uid="{2D86FEAA-5A68-4208-82C5-02310D8F0CD8}"/>
    <cellStyle name="Note 10 6 11" xfId="13148" xr:uid="{C0EE4F35-AA3A-4C30-BE1E-39C3FB6C8124}"/>
    <cellStyle name="Note 10 6 11 2" xfId="35496" xr:uid="{0B9E875A-53FC-4B48-BE23-A9AD8392E44A}"/>
    <cellStyle name="Note 10 6 12" xfId="9619" xr:uid="{4858E14E-66B4-49D4-8174-D1BFE50FE330}"/>
    <cellStyle name="Note 10 6 12 2" xfId="33514" xr:uid="{F484708C-9DDB-4996-AF36-EDA9B04EC971}"/>
    <cellStyle name="Note 10 6 13" xfId="12736" xr:uid="{42FC3658-2152-48D7-BE11-1AB3F48D5F13}"/>
    <cellStyle name="Note 10 6 13 2" xfId="35145" xr:uid="{C71D59A6-21E2-4D95-9519-9AC06C81B14E}"/>
    <cellStyle name="Note 10 6 14" xfId="15883" xr:uid="{6F4B3E34-F93E-4BF2-B9DA-F3CDA0DB6590}"/>
    <cellStyle name="Note 10 6 14 2" xfId="37474" xr:uid="{5FC742AA-B3A6-424C-BA92-8D4DA7B85F15}"/>
    <cellStyle name="Note 10 6 15" xfId="19841" xr:uid="{FF326709-25F3-4D4E-BD7C-45890E9DDE37}"/>
    <cellStyle name="Note 10 6 15 2" xfId="40454" xr:uid="{255914DC-C222-453B-965B-9D799AC544DF}"/>
    <cellStyle name="Note 10 6 16" xfId="9948" xr:uid="{FF4066A9-F7FE-4A1F-8119-D3EA88C1F45A}"/>
    <cellStyle name="Note 10 6 16 2" xfId="33693" xr:uid="{9BD2B751-8E1B-45F6-8781-524DF315C757}"/>
    <cellStyle name="Note 10 6 17" xfId="19688" xr:uid="{F2F3D276-BB23-48AE-87CA-B831BA987886}"/>
    <cellStyle name="Note 10 6 17 2" xfId="40305" xr:uid="{A8867F21-3D1B-4972-ABAB-13FD06D18477}"/>
    <cellStyle name="Note 10 6 18" xfId="16424" xr:uid="{644010D3-6C9A-4005-B3D8-ABF4690938EC}"/>
    <cellStyle name="Note 10 6 18 2" xfId="37932" xr:uid="{D6FA662E-10FF-4AC5-BE45-1230DC73AEC3}"/>
    <cellStyle name="Note 10 6 19" xfId="20599" xr:uid="{0DB6C777-73F0-46CD-8F8F-BB15E69BA9F9}"/>
    <cellStyle name="Note 10 6 19 2" xfId="40959" xr:uid="{E96F7381-9C33-4FBC-90B6-F21DA6DD3C77}"/>
    <cellStyle name="Note 10 6 2" xfId="2718" xr:uid="{6878E49E-B1B4-4360-9D27-68879FBF733F}"/>
    <cellStyle name="Note 10 6 2 10" xfId="10315" xr:uid="{E757BD9B-E42C-471B-96DA-0F7228612F70}"/>
    <cellStyle name="Note 10 6 2 10 2" xfId="33950" xr:uid="{E56AD84A-F50B-439E-B3A8-BDC8A3FD704B}"/>
    <cellStyle name="Note 10 6 2 11" xfId="9618" xr:uid="{4358FF4F-DBC0-4FC9-823B-D9BB86E1E2C3}"/>
    <cellStyle name="Note 10 6 2 11 2" xfId="33513" xr:uid="{F0262C47-1665-4C09-9FEF-82420B5D46DE}"/>
    <cellStyle name="Note 10 6 2 12" xfId="12352" xr:uid="{AC14CD95-1DAD-4727-9175-74F060EB5CB7}"/>
    <cellStyle name="Note 10 6 2 12 2" xfId="34856" xr:uid="{BA13815A-5369-4E5D-8EAD-0C6A621AD655}"/>
    <cellStyle name="Note 10 6 2 13" xfId="13480" xr:uid="{197CA7AB-63AB-4979-A7EE-3E4582BEE934}"/>
    <cellStyle name="Note 10 6 2 13 2" xfId="35736" xr:uid="{E422008A-BC94-441D-BD08-42E9367C2D39}"/>
    <cellStyle name="Note 10 6 2 14" xfId="19824" xr:uid="{106CBF01-6433-4B1A-8845-A4474A8DE573}"/>
    <cellStyle name="Note 10 6 2 14 2" xfId="40437" xr:uid="{158E02ED-E90C-446D-B042-8124C3B34EA0}"/>
    <cellStyle name="Note 10 6 2 15" xfId="20017" xr:uid="{49BB62EB-979B-4C22-9634-A81BECAFC7DE}"/>
    <cellStyle name="Note 10 6 2 15 2" xfId="40583" xr:uid="{41E46340-45E5-46DD-8378-188176468072}"/>
    <cellStyle name="Note 10 6 2 16" xfId="21503" xr:uid="{B64321BB-9A72-4B6D-A02D-942444E75C5C}"/>
    <cellStyle name="Note 10 6 2 16 2" xfId="41630" xr:uid="{896ADFE1-CBAF-427F-BB57-671A2EAD10D0}"/>
    <cellStyle name="Note 10 6 2 17" xfId="12819" xr:uid="{25273BAF-65F7-489B-AC19-200FAC61B5A6}"/>
    <cellStyle name="Note 10 6 2 17 2" xfId="35208" xr:uid="{641EC2AD-8D3F-46AF-99E4-FC98DDD5F783}"/>
    <cellStyle name="Note 10 6 2 18" xfId="16853" xr:uid="{FD46A9AA-3BC1-43D2-9544-B92D90752B5A}"/>
    <cellStyle name="Note 10 6 2 18 2" xfId="38281" xr:uid="{FBD8436E-EDC9-481A-B4A9-A2699EDC45EA}"/>
    <cellStyle name="Note 10 6 2 19" xfId="22362" xr:uid="{DA834F9A-F360-47EF-8AA8-D4C0BA56E016}"/>
    <cellStyle name="Note 10 6 2 19 2" xfId="42216" xr:uid="{99910586-3783-4BEE-A09E-F2B14142CBBD}"/>
    <cellStyle name="Note 10 6 2 2" xfId="8273" xr:uid="{03C08166-455B-4B6C-A5F9-3CD964EF7ACA}"/>
    <cellStyle name="Note 10 6 2 2 2" xfId="32512" xr:uid="{41C5A291-7604-4E0C-B77D-BA011F419127}"/>
    <cellStyle name="Note 10 6 2 20" xfId="20587" xr:uid="{383B65E9-ED4B-40B2-906D-9EA490A63130}"/>
    <cellStyle name="Note 10 6 2 20 2" xfId="40947" xr:uid="{8F2BE343-5A54-4A9C-9E46-00F850EFE4DA}"/>
    <cellStyle name="Note 10 6 2 21" xfId="22319" xr:uid="{07772E5A-6FF4-4B72-B21F-78443FA5CC10}"/>
    <cellStyle name="Note 10 6 2 21 2" xfId="42174" xr:uid="{F69C9722-6540-4BD0-B863-7BE346960C82}"/>
    <cellStyle name="Note 10 6 2 22" xfId="17059" xr:uid="{52EF6D0D-43A4-4D65-AE9B-6605E06D889C}"/>
    <cellStyle name="Note 10 6 2 22 2" xfId="38401" xr:uid="{E3E943CF-320C-4662-A79D-DDE1A71C0AFF}"/>
    <cellStyle name="Note 10 6 2 23" xfId="30135" xr:uid="{EB3C2B04-E6F9-4D80-A612-894DF5C577F7}"/>
    <cellStyle name="Note 10 6 2 23 2" xfId="47303" xr:uid="{AEE9CDE9-C055-4B5E-865A-41495CB8B558}"/>
    <cellStyle name="Note 10 6 2 24" xfId="27002" xr:uid="{ADCCF5EA-D843-4BA0-98E6-976B0F8308C5}"/>
    <cellStyle name="Note 10 6 2 24 2" xfId="45408" xr:uid="{5888F105-5D2C-458E-B1EB-E941688A3E91}"/>
    <cellStyle name="Note 10 6 2 25" xfId="28223" xr:uid="{451BE501-B7B9-4CF5-BF2B-C1E39E197634}"/>
    <cellStyle name="Note 10 6 2 25 2" xfId="46106" xr:uid="{F7851F76-0ECC-4F7C-99AE-80A83BCA01BA}"/>
    <cellStyle name="Note 10 6 2 26" xfId="23114" xr:uid="{3C651E50-FA12-48D6-B676-AD8E238D59D9}"/>
    <cellStyle name="Note 10 6 2 26 2" xfId="42724" xr:uid="{568E95A1-B3CF-4FFD-A911-8EDF373DAF16}"/>
    <cellStyle name="Note 10 6 2 27" xfId="29539" xr:uid="{45DBD697-BAC8-4388-9A23-13BD2AD73724}"/>
    <cellStyle name="Note 10 6 2 27 2" xfId="46940" xr:uid="{AB974821-8EBA-43DE-85EA-CFD10C9F6D7D}"/>
    <cellStyle name="Note 10 6 2 28" xfId="6267" xr:uid="{81116B47-34D7-4B5E-823F-FC650ABAAE95}"/>
    <cellStyle name="Note 10 6 2 3" xfId="12120" xr:uid="{3EDA9D7B-4A7F-476E-A0BD-BC29AC781AE7}"/>
    <cellStyle name="Note 10 6 2 3 2" xfId="34667" xr:uid="{3FC41179-0B34-4857-B231-FE3BFB260FB6}"/>
    <cellStyle name="Note 10 6 2 4" xfId="8340" xr:uid="{0CA12EFF-186F-42A3-9979-CDF5EAC1F83C}"/>
    <cellStyle name="Note 10 6 2 4 2" xfId="32556" xr:uid="{940B399A-28A5-4F0A-AB5C-70A2C52863F2}"/>
    <cellStyle name="Note 10 6 2 5" xfId="9528" xr:uid="{DC3EFD15-65EB-447D-B512-EBE18E2DCC30}"/>
    <cellStyle name="Note 10 6 2 5 2" xfId="33467" xr:uid="{3532DAB3-CA8B-44F9-AAEC-ED8D6A67011C}"/>
    <cellStyle name="Note 10 6 2 6" xfId="13126" xr:uid="{EE0C29F8-9E47-41FB-B19D-F7182E5026DF}"/>
    <cellStyle name="Note 10 6 2 6 2" xfId="35474" xr:uid="{431C0495-D038-49A1-A4C2-3BA5C2AF4091}"/>
    <cellStyle name="Note 10 6 2 7" xfId="8608" xr:uid="{60000757-251A-4415-9A19-1140B1E6C348}"/>
    <cellStyle name="Note 10 6 2 7 2" xfId="32783" xr:uid="{3206D657-5C88-4811-A61F-2435D5C62DE9}"/>
    <cellStyle name="Note 10 6 2 8" xfId="14995" xr:uid="{2E54CD35-A714-4C9B-BBFE-B350AC000553}"/>
    <cellStyle name="Note 10 6 2 8 2" xfId="36853" xr:uid="{F41308D9-B4E0-4EE1-85B9-AFBADC53B829}"/>
    <cellStyle name="Note 10 6 2 9" xfId="7556" xr:uid="{A2232886-4654-4EF5-A21E-04812506CE5D}"/>
    <cellStyle name="Note 10 6 2 9 2" xfId="31874" xr:uid="{04705089-3ED3-4394-B0DA-2C089E810E44}"/>
    <cellStyle name="Note 10 6 20" xfId="22922" xr:uid="{A6D41D75-D902-4DE9-BA66-55F960303FC6}"/>
    <cellStyle name="Note 10 6 20 2" xfId="42636" xr:uid="{EEEBC4DE-B0F5-4FC0-BFF0-4AC12961F3FB}"/>
    <cellStyle name="Note 10 6 21" xfId="16865" xr:uid="{DB9D9A9C-914D-45F3-8FC7-351632E498B3}"/>
    <cellStyle name="Note 10 6 21 2" xfId="38287" xr:uid="{C5DBB205-4A95-4251-86D5-51B8B7DA683D}"/>
    <cellStyle name="Note 10 6 22" xfId="24663" xr:uid="{DE509D66-D717-4171-8DCA-F6DFDF1CC892}"/>
    <cellStyle name="Note 10 6 22 2" xfId="43808" xr:uid="{B46668D7-F44B-42D7-8491-85283BDB978B}"/>
    <cellStyle name="Note 10 6 23" xfId="25682" xr:uid="{2EB0FE2F-2483-4D1C-B3D8-6CA32E504FD5}"/>
    <cellStyle name="Note 10 6 23 2" xfId="44519" xr:uid="{73162972-F7D4-44D1-BE2C-0EDF033F6A60}"/>
    <cellStyle name="Note 10 6 24" xfId="26147" xr:uid="{25224CBB-5073-4016-9FEC-89AFCF1923F4}"/>
    <cellStyle name="Note 10 6 24 2" xfId="44888" xr:uid="{D15B3A1A-BAFC-4CD4-BC2B-EEAD0A80FF5D}"/>
    <cellStyle name="Note 10 6 25" xfId="29062" xr:uid="{9E7D88D7-CC36-400F-BB0F-232321B09CC0}"/>
    <cellStyle name="Note 10 6 25 2" xfId="46637" xr:uid="{196DE57D-B987-41C7-812F-7B35CB5CBD06}"/>
    <cellStyle name="Note 10 6 26" xfId="26581" xr:uid="{8991F6E8-BF35-47C3-AB29-577983CFCFE7}"/>
    <cellStyle name="Note 10 6 26 2" xfId="45145" xr:uid="{C9C8DFA3-98AF-438F-83F2-B09CE544E2CE}"/>
    <cellStyle name="Note 10 6 27" xfId="23099" xr:uid="{367DD50D-ABDC-48DB-9C39-C9FE4380557D}"/>
    <cellStyle name="Note 10 6 27 2" xfId="42712" xr:uid="{2CFFADC7-915E-4458-995F-C1D1D1AF710C}"/>
    <cellStyle name="Note 10 6 28" xfId="27060" xr:uid="{AC117223-A90F-4E72-86FD-26E69FD942A0}"/>
    <cellStyle name="Note 10 6 28 2" xfId="45453" xr:uid="{819D5DC8-3019-4CB0-8F07-A047D62698D3}"/>
    <cellStyle name="Note 10 6 29" xfId="6266" xr:uid="{5E18677A-939B-483B-B363-92101FAF4C38}"/>
    <cellStyle name="Note 10 6 3" xfId="8274" xr:uid="{A1EE6CEE-566D-4538-9C00-359BE4944BBE}"/>
    <cellStyle name="Note 10 6 3 2" xfId="32513" xr:uid="{A04913E8-F40C-4300-9040-D8E0B28365BC}"/>
    <cellStyle name="Note 10 6 4" xfId="12123" xr:uid="{A3E7E0B0-2BAF-4962-983E-802525D7E378}"/>
    <cellStyle name="Note 10 6 4 2" xfId="34670" xr:uid="{F0CAE688-BA73-453C-99EB-F93BBFD467BA}"/>
    <cellStyle name="Note 10 6 5" xfId="8341" xr:uid="{860AB64E-3B78-40FD-A63D-C53112A0249D}"/>
    <cellStyle name="Note 10 6 5 2" xfId="32557" xr:uid="{8F8645A6-C980-4FD5-9E42-A721F6CF3ADB}"/>
    <cellStyle name="Note 10 6 6" xfId="9529" xr:uid="{F1DF8B51-8946-498F-AF9A-E8A14EC5D7CC}"/>
    <cellStyle name="Note 10 6 6 2" xfId="33468" xr:uid="{5379CA65-C121-48CB-BB2E-1A7FE3F73D9D}"/>
    <cellStyle name="Note 10 6 7" xfId="10336" xr:uid="{2AC0D705-26EF-473B-B318-C3030B1E16FD}"/>
    <cellStyle name="Note 10 6 7 2" xfId="33971" xr:uid="{0BC64060-C885-4ACE-8766-CA8EE0EE84D1}"/>
    <cellStyle name="Note 10 6 8" xfId="8688" xr:uid="{29738DE2-8F33-4F84-8FD4-3FDA3F42A1CB}"/>
    <cellStyle name="Note 10 6 8 2" xfId="32818" xr:uid="{118663C9-B4D1-4F29-BF6F-1B9CE4DAAA41}"/>
    <cellStyle name="Note 10 6 9" xfId="14967" xr:uid="{003F296F-C3BB-4803-9EE3-5836EE251F6F}"/>
    <cellStyle name="Note 10 6 9 2" xfId="36841" xr:uid="{79E96978-05E9-4F01-A342-B3F1D648EA2F}"/>
    <cellStyle name="Note 10 7" xfId="2719" xr:uid="{EED4991F-6A90-4786-B88F-159E49EBB624}"/>
    <cellStyle name="Note 10 7 10" xfId="15304" xr:uid="{9761E42B-5A59-4EA8-9BEC-7E00905DDF91}"/>
    <cellStyle name="Note 10 7 10 2" xfId="37014" xr:uid="{66B279CD-034F-4542-9A9A-CC2421C10084}"/>
    <cellStyle name="Note 10 7 11" xfId="13147" xr:uid="{0FD79BD6-1E6F-46C3-9877-C919C6A6FA0F}"/>
    <cellStyle name="Note 10 7 11 2" xfId="35495" xr:uid="{1373C145-8014-4C07-B2FC-6A8C77631E64}"/>
    <cellStyle name="Note 10 7 12" xfId="9617" xr:uid="{98FB4760-2978-462F-8555-C19C53C8C20F}"/>
    <cellStyle name="Note 10 7 12 2" xfId="33512" xr:uid="{ABD3CC5C-C5B4-4D07-BB81-02F6A51FF339}"/>
    <cellStyle name="Note 10 7 13" xfId="15551" xr:uid="{A31E1173-7591-42F3-9433-87ACB8E7C9EB}"/>
    <cellStyle name="Note 10 7 13 2" xfId="37216" xr:uid="{7B258E60-9BD6-492C-9B9E-0564E7E7A498}"/>
    <cellStyle name="Note 10 7 14" xfId="21054" xr:uid="{CD3CDC1D-3106-452C-825D-826DDF1AA996}"/>
    <cellStyle name="Note 10 7 14 2" xfId="41300" xr:uid="{8BC7EE33-F8E0-4542-BF0C-E83F3F43B194}"/>
    <cellStyle name="Note 10 7 15" xfId="13923" xr:uid="{2B05BCC2-5B6A-41A5-AEF3-897D9F7B9BD5}"/>
    <cellStyle name="Note 10 7 15 2" xfId="36034" xr:uid="{6FC905CB-D34A-41EE-A8EF-97F2ABD7F634}"/>
    <cellStyle name="Note 10 7 16" xfId="9949" xr:uid="{8BC1C127-DD0E-49B1-88D5-F7D41C42C064}"/>
    <cellStyle name="Note 10 7 16 2" xfId="33694" xr:uid="{BB20148C-398E-450C-9BBF-0995B8E18B71}"/>
    <cellStyle name="Note 10 7 17" xfId="21562" xr:uid="{910A9C9A-728C-44AF-B6F5-24C8F2508B00}"/>
    <cellStyle name="Note 10 7 17 2" xfId="41646" xr:uid="{382728A1-9552-44C9-9CD3-4C73930883EC}"/>
    <cellStyle name="Note 10 7 18" xfId="16423" xr:uid="{01BBBB65-47E1-45E1-B55C-D14373C984A4}"/>
    <cellStyle name="Note 10 7 18 2" xfId="37931" xr:uid="{E272CCA7-3A2C-47FA-BEDD-0D72C53499D0}"/>
    <cellStyle name="Note 10 7 19" xfId="21671" xr:uid="{0A172F67-DE01-40A0-950C-4BDCBE2D39AF}"/>
    <cellStyle name="Note 10 7 19 2" xfId="41741" xr:uid="{4F20682D-CD4F-432F-8196-A13AC910E691}"/>
    <cellStyle name="Note 10 7 2" xfId="2720" xr:uid="{D61E347E-2433-40CA-A20B-1609B57BE07A}"/>
    <cellStyle name="Note 10 7 2 10" xfId="10316" xr:uid="{CA98ACDA-BD2D-4729-BC8C-8B0BC3EA44B4}"/>
    <cellStyle name="Note 10 7 2 10 2" xfId="33951" xr:uid="{D0FD2D9C-CA00-4FF5-95C0-03484ADFCCE3}"/>
    <cellStyle name="Note 10 7 2 11" xfId="9542" xr:uid="{292967FF-1612-4806-8BBA-0828E425780B}"/>
    <cellStyle name="Note 10 7 2 11 2" xfId="33481" xr:uid="{F58BF29C-5CE4-4046-B1FD-36F8CAB071B2}"/>
    <cellStyle name="Note 10 7 2 12" xfId="14613" xr:uid="{12222C77-F91A-4870-B9FF-855903922D8F}"/>
    <cellStyle name="Note 10 7 2 12 2" xfId="36525" xr:uid="{0958CEFA-1B61-488D-B772-02E533F38124}"/>
    <cellStyle name="Note 10 7 2 13" xfId="9630" xr:uid="{2705739C-19C5-46AB-84AA-937BE82CEFA1}"/>
    <cellStyle name="Note 10 7 2 13 2" xfId="33525" xr:uid="{86DE860E-DCA4-4AD2-8D46-FE5F3F2FF9CE}"/>
    <cellStyle name="Note 10 7 2 14" xfId="19840" xr:uid="{F2AF88DB-C715-4C41-8872-870FD48E0313}"/>
    <cellStyle name="Note 10 7 2 14 2" xfId="40453" xr:uid="{5381A0AB-04D7-4CA2-98A1-A506FD1002C3}"/>
    <cellStyle name="Note 10 7 2 15" xfId="9950" xr:uid="{6E6AC496-71E4-427C-B193-614F33B16774}"/>
    <cellStyle name="Note 10 7 2 15 2" xfId="33695" xr:uid="{7624A08E-DFA2-4F93-836B-5FBF1B25C72D}"/>
    <cellStyle name="Note 10 7 2 16" xfId="21845" xr:uid="{FB3F8F42-B175-41EF-8CC8-E28896971FA2}"/>
    <cellStyle name="Note 10 7 2 16 2" xfId="41798" xr:uid="{464743BA-3129-45B4-B638-62999E031EEC}"/>
    <cellStyle name="Note 10 7 2 17" xfId="15866" xr:uid="{05535DF1-9125-4590-AD59-E3EB1E7EE28E}"/>
    <cellStyle name="Note 10 7 2 17 2" xfId="37465" xr:uid="{F0BA4581-85DA-4F2D-9FB9-8BC9C705E6D0}"/>
    <cellStyle name="Note 10 7 2 18" xfId="20600" xr:uid="{1C3FD94C-5E99-452F-BE41-DE32A707047F}"/>
    <cellStyle name="Note 10 7 2 18 2" xfId="40960" xr:uid="{206AC1E9-B2F8-4C7C-A900-AE41CD6CD2DC}"/>
    <cellStyle name="Note 10 7 2 19" xfId="24832" xr:uid="{F490F395-4EB6-4A7A-A867-1BFD76F7FFD4}"/>
    <cellStyle name="Note 10 7 2 19 2" xfId="43972" xr:uid="{E7DF38BC-5CEC-4EFC-98B2-CE4406F28A3F}"/>
    <cellStyle name="Note 10 7 2 2" xfId="8271" xr:uid="{3185031C-1E5C-4EBC-B421-FE97391C0E4A}"/>
    <cellStyle name="Note 10 7 2 2 2" xfId="32510" xr:uid="{05DFD0E0-1B4A-4F76-A7B0-127025FFCBB6}"/>
    <cellStyle name="Note 10 7 2 20" xfId="16856" xr:uid="{4D547727-F76C-4483-853E-3A213198A5E1}"/>
    <cellStyle name="Note 10 7 2 20 2" xfId="38284" xr:uid="{B23FE907-4A45-4FD4-896E-F238706BB8AF}"/>
    <cellStyle name="Note 10 7 2 21" xfId="22841" xr:uid="{C8EE6D79-AEDF-427C-B932-2B6A980DD637}"/>
    <cellStyle name="Note 10 7 2 21 2" xfId="42559" xr:uid="{9A8CD4DE-D47B-4955-B3A1-679032A9338D}"/>
    <cellStyle name="Note 10 7 2 22" xfId="20147" xr:uid="{16CA1D47-AFA7-4CD4-9846-7B357F14094F}"/>
    <cellStyle name="Note 10 7 2 22 2" xfId="40654" xr:uid="{9AA98463-96B3-4CD6-AFB0-AE30A1651854}"/>
    <cellStyle name="Note 10 7 2 23" xfId="27237" xr:uid="{3A4A3605-3F68-438C-9687-EA7CFB753B65}"/>
    <cellStyle name="Note 10 7 2 23 2" xfId="45572" xr:uid="{4A964743-D8A6-4EF9-A471-621D9F22988A}"/>
    <cellStyle name="Note 10 7 2 24" xfId="27669" xr:uid="{76127E75-E965-41EB-A00E-8ACC7854D5F7}"/>
    <cellStyle name="Note 10 7 2 24 2" xfId="45784" xr:uid="{C665B63E-35F5-4C51-A1F7-527C85E14A7A}"/>
    <cellStyle name="Note 10 7 2 25" xfId="21961" xr:uid="{60684DBD-094E-47BA-B1A7-AC0F30F97787}"/>
    <cellStyle name="Note 10 7 2 25 2" xfId="41873" xr:uid="{6CED77D9-4027-4105-9999-FE92E3950021}"/>
    <cellStyle name="Note 10 7 2 26" xfId="23113" xr:uid="{71F4CA5E-D366-45C1-B1FC-1AD7F2B41EA2}"/>
    <cellStyle name="Note 10 7 2 26 2" xfId="42723" xr:uid="{F5481B02-91BE-4640-9CA9-583971E3875A}"/>
    <cellStyle name="Note 10 7 2 27" xfId="29326" xr:uid="{63293D74-E8B3-4429-954A-6FB0C1A2F14F}"/>
    <cellStyle name="Note 10 7 2 27 2" xfId="46804" xr:uid="{30A327D1-DE4D-42E5-8B88-DEC852A520D4}"/>
    <cellStyle name="Note 10 7 2 28" xfId="6269" xr:uid="{7620D5FA-A421-40CE-9A42-4B2B2092370A}"/>
    <cellStyle name="Note 10 7 2 3" xfId="12355" xr:uid="{CCAABB1A-4C3B-4A12-8732-5F1E6822F30F}"/>
    <cellStyle name="Note 10 7 2 3 2" xfId="34859" xr:uid="{9E7A0A4C-C528-493B-B94B-383176DC2B9D}"/>
    <cellStyle name="Note 10 7 2 4" xfId="8338" xr:uid="{8BB68E7A-B415-4EC9-BE5A-2D5CE2008E1A}"/>
    <cellStyle name="Note 10 7 2 4 2" xfId="32554" xr:uid="{97A66213-9CDA-4D48-BE87-49EAF5E85138}"/>
    <cellStyle name="Note 10 7 2 5" xfId="9607" xr:uid="{263072C0-D439-451A-A825-E954D118C3CD}"/>
    <cellStyle name="Note 10 7 2 5 2" xfId="33503" xr:uid="{0ABB7FA1-6D88-4B21-AF6D-C9FE50C14E81}"/>
    <cellStyle name="Note 10 7 2 6" xfId="13125" xr:uid="{7DD1F4E9-B75B-4E47-8736-94686F93CF96}"/>
    <cellStyle name="Note 10 7 2 6 2" xfId="35473" xr:uid="{8644DCEE-394B-4506-91EA-2331A5650256}"/>
    <cellStyle name="Note 10 7 2 7" xfId="8686" xr:uid="{CBAB4E6A-0DAB-4962-9821-CCC8410EC66E}"/>
    <cellStyle name="Note 10 7 2 7 2" xfId="32816" xr:uid="{FCF1423E-BB79-4CA7-97E9-26D0748904BF}"/>
    <cellStyle name="Note 10 7 2 8" xfId="14994" xr:uid="{9C171E38-61C6-4478-A9B6-A73F40407165}"/>
    <cellStyle name="Note 10 7 2 8 2" xfId="36852" xr:uid="{A5C3C91B-BC28-4CD5-9D8F-F74072EBF19B}"/>
    <cellStyle name="Note 10 7 2 9" xfId="16967" xr:uid="{D5F38B64-447C-4292-9C13-1CCCBE71E3B4}"/>
    <cellStyle name="Note 10 7 2 9 2" xfId="38331" xr:uid="{BAECF813-3159-439C-A6F1-E45ECAE2CFC9}"/>
    <cellStyle name="Note 10 7 20" xfId="21728" xr:uid="{19A7E58B-B3A4-400A-8D44-ED84AE5DF5D2}"/>
    <cellStyle name="Note 10 7 20 2" xfId="41751" xr:uid="{CDE8AF88-7B2C-434D-8650-7BBA2DB1933D}"/>
    <cellStyle name="Note 10 7 21" xfId="26565" xr:uid="{2CD82C06-6F6F-4B42-923B-A4D1684494A4}"/>
    <cellStyle name="Note 10 7 21 2" xfId="45132" xr:uid="{0520CE91-7B18-437C-844A-FEE278A5DECC}"/>
    <cellStyle name="Note 10 7 22" xfId="24662" xr:uid="{83881D87-6275-4D9F-BA45-C770A5E7F1C1}"/>
    <cellStyle name="Note 10 7 22 2" xfId="43807" xr:uid="{3C591E4E-F2BE-46D7-8F0B-D3A1A8576930}"/>
    <cellStyle name="Note 10 7 23" xfId="17853" xr:uid="{6DE650D1-DC9A-484B-9550-BE0957C15998}"/>
    <cellStyle name="Note 10 7 23 2" xfId="38969" xr:uid="{99B54574-0F8B-426C-97E1-529CEBE2FF39}"/>
    <cellStyle name="Note 10 7 24" xfId="23780" xr:uid="{FAE42569-A53D-461B-B6E4-B6455D8BBF0F}"/>
    <cellStyle name="Note 10 7 24 2" xfId="43181" xr:uid="{D6F32615-657E-4CB7-9796-C276F7D0068B}"/>
    <cellStyle name="Note 10 7 25" xfId="28791" xr:uid="{53A142C3-6F49-430F-A2DA-C5B8156D9C23}"/>
    <cellStyle name="Note 10 7 25 2" xfId="46466" xr:uid="{3646FCC0-F37F-4AB2-A9F1-CC8EE8BA5D0F}"/>
    <cellStyle name="Note 10 7 26" xfId="21737" xr:uid="{15ECD54D-0F4D-49B8-A705-3FB299230BDD}"/>
    <cellStyle name="Note 10 7 26 2" xfId="41759" xr:uid="{104341CD-D925-4DFF-AE97-5D448ED516D8}"/>
    <cellStyle name="Note 10 7 27" xfId="20452" xr:uid="{2BFF17CD-6A98-46C8-A612-D0F1B8558E5D}"/>
    <cellStyle name="Note 10 7 27 2" xfId="40849" xr:uid="{52B3CA56-3020-4770-859A-0F86829EB4F4}"/>
    <cellStyle name="Note 10 7 28" xfId="26810" xr:uid="{989A3857-93B7-49D4-BADD-9E54669E73BE}"/>
    <cellStyle name="Note 10 7 28 2" xfId="45282" xr:uid="{922C8FC6-CDC6-44CF-9DFB-35F484C5BA81}"/>
    <cellStyle name="Note 10 7 29" xfId="6268" xr:uid="{4BE36B4E-0FF8-41F4-B0C2-03C0B4B4AFCC}"/>
    <cellStyle name="Note 10 7 3" xfId="8272" xr:uid="{C1368401-88AB-4B4C-92A4-AADD26444FFA}"/>
    <cellStyle name="Note 10 7 3 2" xfId="32511" xr:uid="{FD091133-604D-43E4-BA22-FCC1F627B22D}"/>
    <cellStyle name="Note 10 7 4" xfId="9130" xr:uid="{9164DF8D-175A-4D83-BBD2-402517117736}"/>
    <cellStyle name="Note 10 7 4 2" xfId="33131" xr:uid="{67EB3D33-8739-4A54-BC70-29A7F0632E8B}"/>
    <cellStyle name="Note 10 7 5" xfId="8339" xr:uid="{1B95B0C1-F6D0-45FD-B130-FCA6BBEF871C}"/>
    <cellStyle name="Note 10 7 5 2" xfId="32555" xr:uid="{DCE55BFC-A13C-4723-A815-2C1380D8EEB5}"/>
    <cellStyle name="Note 10 7 6" xfId="9527" xr:uid="{B3584F12-9F01-416C-B37E-A0793014BCB2}"/>
    <cellStyle name="Note 10 7 6 2" xfId="33466" xr:uid="{8E2F2991-266D-4365-B671-574840883761}"/>
    <cellStyle name="Note 10 7 7" xfId="10337" xr:uid="{E738C723-E1D2-41BF-89F9-73752F42F8A9}"/>
    <cellStyle name="Note 10 7 7 2" xfId="33972" xr:uid="{E3568401-04B1-4139-AEBC-90061C4A0851}"/>
    <cellStyle name="Note 10 7 8" xfId="8687" xr:uid="{D56B2643-3C82-4D0F-8F06-07667DC8EE08}"/>
    <cellStyle name="Note 10 7 8 2" xfId="32817" xr:uid="{F7BE2DD3-FF24-495E-ADD0-C5C83C906F30}"/>
    <cellStyle name="Note 10 7 9" xfId="12970" xr:uid="{2FE6A122-1307-4E21-B6EB-46D8188CE400}"/>
    <cellStyle name="Note 10 7 9 2" xfId="35318" xr:uid="{1B1FA9F6-91D0-48A0-9F9F-724F77E3B401}"/>
    <cellStyle name="Note 10 8" xfId="2721" xr:uid="{A6CA3EBC-2CF1-460D-B5CD-75D86067E520}"/>
    <cellStyle name="Note 10 8 10" xfId="13146" xr:uid="{9E4590C0-34BB-4DB2-B243-8DFFDCAE8B33}"/>
    <cellStyle name="Note 10 8 10 2" xfId="35494" xr:uid="{107CC7BD-22DC-4265-BE9B-D207A659A14D}"/>
    <cellStyle name="Note 10 8 11" xfId="9616" xr:uid="{11656BB2-4A79-4913-BAB9-63A01CEC57CD}"/>
    <cellStyle name="Note 10 8 11 2" xfId="33511" xr:uid="{F0B30CDE-1513-40AE-8945-0006CBCE3C99}"/>
    <cellStyle name="Note 10 8 12" xfId="13834" xr:uid="{2106E88D-8BC3-4CAC-95AF-C55D906FBD7E}"/>
    <cellStyle name="Note 10 8 12 2" xfId="35959" xr:uid="{7BC0074D-A949-408D-B089-C5F008727BB1}"/>
    <cellStyle name="Note 10 8 13" xfId="9631" xr:uid="{FA508FAC-142C-4B66-ADE7-4822D2873AD9}"/>
    <cellStyle name="Note 10 8 13 2" xfId="33526" xr:uid="{2D728BB4-EDB7-4247-8797-CEFAB44AB7AF}"/>
    <cellStyle name="Note 10 8 14" xfId="17988" xr:uid="{6DCC28D8-4F79-4BBC-A829-7EAE6595F83C}"/>
    <cellStyle name="Note 10 8 14 2" xfId="39084" xr:uid="{5F85C05E-654B-4A87-B7A3-343F12543877}"/>
    <cellStyle name="Note 10 8 15" xfId="9951" xr:uid="{F9BAA1DD-3B47-48E8-9079-5133662196A0}"/>
    <cellStyle name="Note 10 8 15 2" xfId="33696" xr:uid="{48663D0B-2D7D-4A95-B417-90A5A4DFE39F}"/>
    <cellStyle name="Note 10 8 16" xfId="15707" xr:uid="{9AEE7415-0E23-4766-8453-6E5ECADA1C8F}"/>
    <cellStyle name="Note 10 8 16 2" xfId="37338" xr:uid="{D9BC3544-6CFE-464F-96C1-4D7353906E6C}"/>
    <cellStyle name="Note 10 8 17" xfId="16422" xr:uid="{82474772-0B0B-4214-92A0-6D25510E5A92}"/>
    <cellStyle name="Note 10 8 17 2" xfId="37930" xr:uid="{ED540AF9-2FCA-4558-BEFC-304F8826E8EE}"/>
    <cellStyle name="Note 10 8 18" xfId="18874" xr:uid="{C10ABB96-C3C2-4CCE-BD43-4158334AB8D2}"/>
    <cellStyle name="Note 10 8 18 2" xfId="39708" xr:uid="{A6B1FD57-6A12-47E7-93BF-4570F9047B65}"/>
    <cellStyle name="Note 10 8 19" xfId="22921" xr:uid="{77E2FA37-DC16-482F-BF18-651BC0250DFF}"/>
    <cellStyle name="Note 10 8 19 2" xfId="42635" xr:uid="{F7A48FDC-523A-4F4C-B7E7-A59A5E0FEDDD}"/>
    <cellStyle name="Note 10 8 2" xfId="8270" xr:uid="{C0F2E262-E9F1-45B5-9178-58AFC0EB7326}"/>
    <cellStyle name="Note 10 8 2 2" xfId="32509" xr:uid="{4EFFE9BF-50C8-4B3C-9B59-C42825054FB3}"/>
    <cellStyle name="Note 10 8 20" xfId="20588" xr:uid="{436B79A8-A41C-43FA-9247-661098DA8399}"/>
    <cellStyle name="Note 10 8 20 2" xfId="40948" xr:uid="{502A0A71-DEC3-4487-8A41-B01941807F4F}"/>
    <cellStyle name="Note 10 8 21" xfId="24661" xr:uid="{EF61603D-29A4-4CD7-803F-BE8E28AD1EB5}"/>
    <cellStyle name="Note 10 8 21 2" xfId="43806" xr:uid="{2F92A72F-651F-4BF5-9793-1BECFA287BC7}"/>
    <cellStyle name="Note 10 8 22" xfId="22578" xr:uid="{73E12603-82AD-4266-96B1-0DF7A1842790}"/>
    <cellStyle name="Note 10 8 22 2" xfId="42364" xr:uid="{91436CF2-A12F-4CD6-9192-07C2A53F403E}"/>
    <cellStyle name="Note 10 8 23" xfId="26146" xr:uid="{5057D4C2-E706-4CA1-AAFB-6FF4B7EE011A}"/>
    <cellStyle name="Note 10 8 23 2" xfId="44887" xr:uid="{97BF7FB7-D5AB-48A5-AECA-711A443B7C2A}"/>
    <cellStyle name="Note 10 8 24" xfId="24035" xr:uid="{BE69A72E-3CEC-4712-82A2-B40FA9602A6F}"/>
    <cellStyle name="Note 10 8 24 2" xfId="43412" xr:uid="{77063D75-3A70-4BBA-B1A0-F2922C355526}"/>
    <cellStyle name="Note 10 8 25" xfId="26579" xr:uid="{4671AA69-D014-4731-86F6-D2AF2A1AF0B8}"/>
    <cellStyle name="Note 10 8 25 2" xfId="45144" xr:uid="{824A449F-2B92-48F7-9C5B-A165E3EB8E74}"/>
    <cellStyle name="Note 10 8 26" xfId="18804" xr:uid="{378C8408-CD51-4373-B7E3-953E3A7BC0C9}"/>
    <cellStyle name="Note 10 8 26 2" xfId="39659" xr:uid="{53543F5C-5A87-423C-BEF4-346DCED025DD}"/>
    <cellStyle name="Note 10 8 27" xfId="28431" xr:uid="{D40902CF-CA73-4BC9-9B99-C96EADC4B6D9}"/>
    <cellStyle name="Note 10 8 27 2" xfId="46278" xr:uid="{7262B550-864B-4163-B6A9-6B94AFC76FF8}"/>
    <cellStyle name="Note 10 8 28" xfId="6270" xr:uid="{268D4C50-83D4-46C6-9EF1-B7A0FDB116BC}"/>
    <cellStyle name="Note 10 8 3" xfId="9132" xr:uid="{9841B267-B8B2-4A4C-AA96-3971E0E334EB}"/>
    <cellStyle name="Note 10 8 3 2" xfId="33133" xr:uid="{507CC18B-94CB-42ED-B6C2-28975DD2910C}"/>
    <cellStyle name="Note 10 8 4" xfId="8337" xr:uid="{D561CC05-7F5D-47E5-BF33-87436067B1A2}"/>
    <cellStyle name="Note 10 8 4 2" xfId="32553" xr:uid="{70360CFE-C160-47DB-9E42-92D2BD22ABAB}"/>
    <cellStyle name="Note 10 8 5" xfId="9526" xr:uid="{75DE325B-BEBF-4B97-8E8A-E2D533565474}"/>
    <cellStyle name="Note 10 8 5 2" xfId="33465" xr:uid="{E43283A8-78C2-4643-8992-354CB941E307}"/>
    <cellStyle name="Note 10 8 6" xfId="10338" xr:uid="{B584A7C0-7A95-48F8-8D9C-CB420457E99A}"/>
    <cellStyle name="Note 10 8 6 2" xfId="33973" xr:uid="{D7744C3B-17D7-492B-8C54-8EDC25F603C9}"/>
    <cellStyle name="Note 10 8 7" xfId="8685" xr:uid="{358A88A2-CE10-4C08-B360-0B93C1863CC2}"/>
    <cellStyle name="Note 10 8 7 2" xfId="32815" xr:uid="{E9450D08-63E2-4801-B165-970816294EB9}"/>
    <cellStyle name="Note 10 8 8" xfId="10504" xr:uid="{5C2E6994-CBDD-4D85-8DA1-1CDD053746CE}"/>
    <cellStyle name="Note 10 8 8 2" xfId="34139" xr:uid="{2934938A-9C61-4F64-984E-D2D85C9BD7A6}"/>
    <cellStyle name="Note 10 8 9" xfId="7555" xr:uid="{903C88F8-0144-458A-8778-CEEADDACA359}"/>
    <cellStyle name="Note 10 8 9 2" xfId="31873" xr:uid="{3E669580-B8F0-4CF7-AA07-CA8CE9233708}"/>
    <cellStyle name="Note 10 9" xfId="8285" xr:uid="{4C973293-832A-4BB9-AFAA-EFAF9F65CC9C}"/>
    <cellStyle name="Note 10 9 2" xfId="32524" xr:uid="{6DDB6A56-15D4-4BB3-9A2C-1EFFDA162F4A}"/>
    <cellStyle name="Note 10_Sheet2" xfId="2722" xr:uid="{42B1144D-04F5-4239-AC82-CCD990260DD9}"/>
    <cellStyle name="Note 11" xfId="2723" xr:uid="{B2709FBC-84BC-42F5-A375-42EE87B94807}"/>
    <cellStyle name="Note 11 10" xfId="9140" xr:uid="{95BB8A99-22F7-4DFD-A54F-4A9ED93C5648}"/>
    <cellStyle name="Note 11 10 2" xfId="33134" xr:uid="{CE7116A1-5202-4C14-9181-51768DED275A}"/>
    <cellStyle name="Note 11 11" xfId="8336" xr:uid="{934AEA28-734E-4B59-9ABB-2A697982843B}"/>
    <cellStyle name="Note 11 11 2" xfId="32552" xr:uid="{635E699A-C877-4D66-8053-431D7E4217F5}"/>
    <cellStyle name="Note 11 12" xfId="9525" xr:uid="{0DD4C768-ED9C-42C6-993B-7E37BD4A3861}"/>
    <cellStyle name="Note 11 12 2" xfId="33464" xr:uid="{E7755589-DE5E-4B74-AA88-56989AC17918}"/>
    <cellStyle name="Note 11 13" xfId="10339" xr:uid="{A9DAFFAD-243F-45E7-B515-9437D9602DAB}"/>
    <cellStyle name="Note 11 13 2" xfId="33974" xr:uid="{8CD9A467-F0AA-4239-A39C-B64EBC0C8F5B}"/>
    <cellStyle name="Note 11 14" xfId="8684" xr:uid="{C4584895-0D24-4047-954B-F093FABA2CF8}"/>
    <cellStyle name="Note 11 14 2" xfId="32814" xr:uid="{FBB4CB2C-A72F-4D9E-A1E5-3C07BBFA3296}"/>
    <cellStyle name="Note 11 15" xfId="10505" xr:uid="{267840A3-3DE5-45F6-94EC-626FC6C8F1DA}"/>
    <cellStyle name="Note 11 15 2" xfId="34140" xr:uid="{73F752EE-5030-43B3-B144-B7ADB1F3189D}"/>
    <cellStyle name="Note 11 16" xfId="11946" xr:uid="{20F57CC5-85DB-4D7D-BE43-30FC6DE6BDC5}"/>
    <cellStyle name="Note 11 16 2" xfId="34530" xr:uid="{BE7BFDC5-0095-453B-89FA-1D1D6A387A2C}"/>
    <cellStyle name="Note 11 17" xfId="13145" xr:uid="{A5D3788F-23C3-4627-97D9-716B9D841CAA}"/>
    <cellStyle name="Note 11 17 2" xfId="35493" xr:uid="{3E8839C3-336F-4699-8D37-C3BE6B2C91B1}"/>
    <cellStyle name="Note 11 18" xfId="9614" xr:uid="{8B7A6800-CA03-49AB-A8DD-F82CB7CE6369}"/>
    <cellStyle name="Note 11 18 2" xfId="33510" xr:uid="{246E4A69-EDC6-4A15-BA64-CB6658953320}"/>
    <cellStyle name="Note 11 19" xfId="15552" xr:uid="{1C464E35-364D-48F7-820C-6818D053B6AA}"/>
    <cellStyle name="Note 11 19 2" xfId="37217" xr:uid="{36B1A049-D78F-4B6D-A5D7-649E950E4D9B}"/>
    <cellStyle name="Note 11 2" xfId="2724" xr:uid="{1770A255-3060-4454-924D-4833E13A549B}"/>
    <cellStyle name="Note 11 2 10" xfId="14993" xr:uid="{2FB84751-0E88-48B8-AD86-31176709A595}"/>
    <cellStyle name="Note 11 2 10 2" xfId="36851" xr:uid="{E4F3F4D0-0C6A-43DE-9F79-02A18C3B3E7F}"/>
    <cellStyle name="Note 11 2 11" xfId="7554" xr:uid="{34966110-A89A-4467-88A8-0432BCC45D63}"/>
    <cellStyle name="Note 11 2 11 2" xfId="31872" xr:uid="{D2D0771F-C02D-47B7-9629-F65B517DF196}"/>
    <cellStyle name="Note 11 2 12" xfId="10318" xr:uid="{0F6F6912-3810-4DB2-B414-CDC2B139AD82}"/>
    <cellStyle name="Note 11 2 12 2" xfId="33953" xr:uid="{BC9AA1E3-D1B4-4381-AB3E-7C4CF8AB5CD1}"/>
    <cellStyle name="Note 11 2 13" xfId="9613" xr:uid="{1BD36D80-F4B8-4D6D-A1C6-99347718FE1C}"/>
    <cellStyle name="Note 11 2 13 2" xfId="33509" xr:uid="{50B211B0-695F-4044-855D-B4173B462826}"/>
    <cellStyle name="Note 11 2 14" xfId="14612" xr:uid="{7ECE22E8-5B95-467A-913D-DA05C1DACA3B}"/>
    <cellStyle name="Note 11 2 14 2" xfId="36524" xr:uid="{DE9A4908-154F-4E3D-BE59-BF95C368F69E}"/>
    <cellStyle name="Note 11 2 15" xfId="9633" xr:uid="{ADEC652D-C180-4597-8226-A3DECCF9412F}"/>
    <cellStyle name="Note 11 2 15 2" xfId="33528" xr:uid="{A53D843B-B9F7-48DB-9133-33E444614CE7}"/>
    <cellStyle name="Note 11 2 16" xfId="17995" xr:uid="{A0136333-DB41-4F6E-8A39-43D3E8F549B0}"/>
    <cellStyle name="Note 11 2 16 2" xfId="39091" xr:uid="{EF882F80-8F11-47C2-8AC6-8F740A26CB99}"/>
    <cellStyle name="Note 11 2 17" xfId="9953" xr:uid="{098EF3EC-D434-446C-9483-8E5A6383FC72}"/>
    <cellStyle name="Note 11 2 17 2" xfId="33698" xr:uid="{A6413356-BD00-4AD6-8536-1DAA355D36CB}"/>
    <cellStyle name="Note 11 2 18" xfId="21561" xr:uid="{A4AA2122-77D0-4AF6-AF94-CBB137A9BC03}"/>
    <cellStyle name="Note 11 2 18 2" xfId="41645" xr:uid="{2C20F5AF-2389-44AF-BB5A-F6F7298F22FC}"/>
    <cellStyle name="Note 11 2 19" xfId="15865" xr:uid="{417C6E23-045F-46B1-9205-1292877DF7B5}"/>
    <cellStyle name="Note 11 2 19 2" xfId="37464" xr:uid="{7D6DDE74-BED6-4798-A99E-9542190076AF}"/>
    <cellStyle name="Note 11 2 2" xfId="2725" xr:uid="{97AE64AA-A90E-45A3-9BFD-65A07372C9B0}"/>
    <cellStyle name="Note 11 2 2 10" xfId="11963" xr:uid="{D9F6C6E2-E523-4F92-BE65-6159F5A1EB92}"/>
    <cellStyle name="Note 11 2 2 10 2" xfId="34535" xr:uid="{806B481D-E801-4549-8D47-9B769875D835}"/>
    <cellStyle name="Note 11 2 2 11" xfId="13144" xr:uid="{7725CB71-ADC0-436D-B615-855FE8A64E23}"/>
    <cellStyle name="Note 11 2 2 11 2" xfId="35492" xr:uid="{F41A7AE1-857D-472A-B91E-AE6022E6947C}"/>
    <cellStyle name="Note 11 2 2 12" xfId="9612" xr:uid="{D9964073-EA3E-496F-9DD7-DD35C4889449}"/>
    <cellStyle name="Note 11 2 2 12 2" xfId="33508" xr:uid="{A60AA643-BF03-4654-BC87-A3CC8733896F}"/>
    <cellStyle name="Note 11 2 2 13" xfId="12735" xr:uid="{C929FCB0-B188-4C1E-A398-E3017E1D8226}"/>
    <cellStyle name="Note 11 2 2 13 2" xfId="35144" xr:uid="{1CF2635A-3C1A-4F28-87D9-C895672E4C23}"/>
    <cellStyle name="Note 11 2 2 14" xfId="9635" xr:uid="{E8E53657-244F-4746-880C-BC7D0254464C}"/>
    <cellStyle name="Note 11 2 2 14 2" xfId="33530" xr:uid="{2A324758-2F21-4F3A-85B4-8883432AF1B5}"/>
    <cellStyle name="Note 11 2 2 15" xfId="19838" xr:uid="{451F0AEB-28F9-41CC-AD31-E3ABC9429543}"/>
    <cellStyle name="Note 11 2 2 15 2" xfId="40451" xr:uid="{A28536F8-C595-4F88-B36F-72A74309BA74}"/>
    <cellStyle name="Note 11 2 2 16" xfId="9954" xr:uid="{626609C7-7D7A-4A37-9595-AB8FC29F0585}"/>
    <cellStyle name="Note 11 2 2 16 2" xfId="33699" xr:uid="{90EA41B1-30E3-46E1-ACBE-883500ABA0B9}"/>
    <cellStyle name="Note 11 2 2 17" xfId="13909" xr:uid="{12B3FFC7-1FF8-4D16-84A7-C95FE2F582A9}"/>
    <cellStyle name="Note 11 2 2 17 2" xfId="36021" xr:uid="{290D8B89-8E0E-49BF-9391-55310D638081}"/>
    <cellStyle name="Note 11 2 2 18" xfId="16420" xr:uid="{BD56B23C-EEFA-47CA-A185-2F171B0B8344}"/>
    <cellStyle name="Note 11 2 2 18 2" xfId="37928" xr:uid="{54C060BB-88A0-4EDC-9B06-89D18B2063C0}"/>
    <cellStyle name="Note 11 2 2 19" xfId="15379" xr:uid="{81801D95-CC7D-44E6-9755-9FBE3185EF86}"/>
    <cellStyle name="Note 11 2 2 19 2" xfId="37077" xr:uid="{D53EAC56-3F91-4E38-B4CB-033E16C6553F}"/>
    <cellStyle name="Note 11 2 2 2" xfId="2726" xr:uid="{02DD235D-43C9-4417-A2C3-C63534F5A012}"/>
    <cellStyle name="Note 11 2 2 2 10" xfId="10319" xr:uid="{245837DA-1E4B-48D1-BB99-4B2777406A3E}"/>
    <cellStyle name="Note 11 2 2 2 10 2" xfId="33954" xr:uid="{489681A7-57F3-4B0E-AAE1-CB4FA3A042AC}"/>
    <cellStyle name="Note 11 2 2 2 11" xfId="12359" xr:uid="{5A1DA874-5FB6-4B38-8EFD-48012463AA06}"/>
    <cellStyle name="Note 11 2 2 2 11 2" xfId="34860" xr:uid="{7705F69B-4B86-433A-89DD-AD566D3CE432}"/>
    <cellStyle name="Note 11 2 2 2 12" xfId="12353" xr:uid="{9645BC21-504D-4855-A6FC-39039D0D0915}"/>
    <cellStyle name="Note 11 2 2 2 12 2" xfId="34857" xr:uid="{CE022746-F82E-4124-8DA5-D06A08C63E2D}"/>
    <cellStyle name="Note 11 2 2 2 13" xfId="22719" xr:uid="{5B4595DB-EC39-480A-8A1F-4CC5AFFB7667}"/>
    <cellStyle name="Note 11 2 2 2 13 2" xfId="42478" xr:uid="{474504CE-26B8-46C7-A88B-0BD393AA4B33}"/>
    <cellStyle name="Note 11 2 2 2 14" xfId="12647" xr:uid="{AE5D570B-155D-4C6E-A69F-555B47EAF3B5}"/>
    <cellStyle name="Note 11 2 2 2 14 2" xfId="35073" xr:uid="{4F6A6C8E-1131-4A77-8638-1AF5A6718187}"/>
    <cellStyle name="Note 11 2 2 2 15" xfId="9955" xr:uid="{1C1818D4-763E-4F04-B24E-700BBF9FAD1F}"/>
    <cellStyle name="Note 11 2 2 2 15 2" xfId="33700" xr:uid="{8B42A041-3DED-4238-8C8B-879D83834591}"/>
    <cellStyle name="Note 11 2 2 2 16" xfId="21560" xr:uid="{A5FE4B67-1899-45BF-8DDF-F06E4FDFCC6E}"/>
    <cellStyle name="Note 11 2 2 2 16 2" xfId="41644" xr:uid="{E7322407-3EFA-40B6-81B6-7209801D5E59}"/>
    <cellStyle name="Note 11 2 2 2 17" xfId="13987" xr:uid="{02CD2707-157C-4D0F-AB22-5039FE3234BD}"/>
    <cellStyle name="Note 11 2 2 2 17 2" xfId="36084" xr:uid="{8474800A-6337-4D2C-B78F-6FAC8A094623}"/>
    <cellStyle name="Note 11 2 2 2 18" xfId="16120" xr:uid="{C931FD23-3CA8-4D7A-8AC7-B81486C14042}"/>
    <cellStyle name="Note 11 2 2 2 18 2" xfId="37690" xr:uid="{AE3C8FE3-7627-4D42-83BD-F26B89022ACB}"/>
    <cellStyle name="Note 11 2 2 2 19" xfId="24830" xr:uid="{0BA080F2-77AD-46C4-9A40-096B7F104AC4}"/>
    <cellStyle name="Note 11 2 2 2 19 2" xfId="43970" xr:uid="{8AC9E6D2-102A-4831-BB79-9F81DE651985}"/>
    <cellStyle name="Note 11 2 2 2 2" xfId="8266" xr:uid="{952B7F08-A323-483B-B67D-3BFC7489E578}"/>
    <cellStyle name="Note 11 2 2 2 2 2" xfId="32505" xr:uid="{844D3A77-7B05-4593-901C-A698C342BB7C}"/>
    <cellStyle name="Note 11 2 2 2 20" xfId="18869" xr:uid="{91468B90-C163-44A0-B229-6B973624DF4B}"/>
    <cellStyle name="Note 11 2 2 2 20 2" xfId="39703" xr:uid="{40ECC707-A05F-4D09-B7D7-027DBB4C1F2A}"/>
    <cellStyle name="Note 11 2 2 2 21" xfId="24658" xr:uid="{9283D639-7882-4D0E-8C1D-64CC6971BE9B}"/>
    <cellStyle name="Note 11 2 2 2 21 2" xfId="43803" xr:uid="{268EFADB-4692-4F08-8649-3C398DBA6B25}"/>
    <cellStyle name="Note 11 2 2 2 22" xfId="29691" xr:uid="{386BD6F7-F3CE-4747-8347-238F1CD7A112}"/>
    <cellStyle name="Note 11 2 2 2 22 2" xfId="47043" xr:uid="{894282F3-D71F-4397-80FE-AB601A56A4D6}"/>
    <cellStyle name="Note 11 2 2 2 23" xfId="27235" xr:uid="{87FCD831-FD77-4CDA-9D01-7A1BECCB02A1}"/>
    <cellStyle name="Note 11 2 2 2 23 2" xfId="45570" xr:uid="{F2730334-203D-4625-B1DD-798E3CB9E5C7}"/>
    <cellStyle name="Note 11 2 2 2 24" xfId="20321" xr:uid="{692A4696-51EF-484B-BC6C-6DCF817DE427}"/>
    <cellStyle name="Note 11 2 2 2 24 2" xfId="40754" xr:uid="{875BB4A9-674C-4A0F-AD0E-5C5BB7C7B42F}"/>
    <cellStyle name="Note 11 2 2 2 25" xfId="26577" xr:uid="{D605BC93-54CE-48A8-9CA8-EB121404019F}"/>
    <cellStyle name="Note 11 2 2 2 25 2" xfId="45142" xr:uid="{F1355662-0B0A-47D5-87CD-E6EB083B6F2F}"/>
    <cellStyle name="Note 11 2 2 2 26" xfId="17922" xr:uid="{444602D2-80ED-4E16-8416-4AC7B745AB07}"/>
    <cellStyle name="Note 11 2 2 2 26 2" xfId="39024" xr:uid="{E482F0E8-E4AD-4132-B3CB-B255DD912B66}"/>
    <cellStyle name="Note 11 2 2 2 27" xfId="28429" xr:uid="{FC581AE0-25B6-464E-B2A5-B234A90EF385}"/>
    <cellStyle name="Note 11 2 2 2 27 2" xfId="46276" xr:uid="{5855F527-4A43-4383-9C08-B15372F08C80}"/>
    <cellStyle name="Note 11 2 2 2 28" xfId="6274" xr:uid="{975BDD25-F476-4327-8724-B85053BAFA56}"/>
    <cellStyle name="Note 11 2 2 2 3" xfId="12129" xr:uid="{084D3950-3CF3-422D-B7AE-86EDB7142A85}"/>
    <cellStyle name="Note 11 2 2 2 3 2" xfId="34674" xr:uid="{2DF64BAD-87C1-4689-966B-27D03E1406DD}"/>
    <cellStyle name="Note 11 2 2 2 4" xfId="12370" xr:uid="{31716FE6-BEFF-4822-8948-FA2A7C6CE56D}"/>
    <cellStyle name="Note 11 2 2 2 4 2" xfId="34865" xr:uid="{BD10E7BF-0D94-4B04-B9CC-A496A75E50E5}"/>
    <cellStyle name="Note 11 2 2 2 5" xfId="16191" xr:uid="{EB35143F-2803-45A5-9C3E-0D15E228E62A}"/>
    <cellStyle name="Note 11 2 2 2 5 2" xfId="37750" xr:uid="{B0B25450-4EEC-4CF8-81CF-EA2303F622AD}"/>
    <cellStyle name="Note 11 2 2 2 6" xfId="13123" xr:uid="{57833D67-330F-49C2-89B2-D3D5F202406C}"/>
    <cellStyle name="Note 11 2 2 2 6 2" xfId="35471" xr:uid="{0A7308DC-4D96-41BC-9CA9-28245862CD3F}"/>
    <cellStyle name="Note 11 2 2 2 7" xfId="8681" xr:uid="{B95E830E-B4F9-426A-A13D-75B2463F5F35}"/>
    <cellStyle name="Note 11 2 2 2 7 2" xfId="32811" xr:uid="{1667F6A6-4D48-4A11-98FD-5F052B660F0C}"/>
    <cellStyle name="Note 11 2 2 2 8" xfId="14992" xr:uid="{D3914503-5ABF-4183-806E-A3F7084DD31E}"/>
    <cellStyle name="Note 11 2 2 2 8 2" xfId="36850" xr:uid="{598482A2-044C-424F-B74E-E17AB7B068BB}"/>
    <cellStyle name="Note 11 2 2 2 9" xfId="7533" xr:uid="{2AE94F00-67EC-43C3-BCFB-EAC277A3CB9D}"/>
    <cellStyle name="Note 11 2 2 2 9 2" xfId="31865" xr:uid="{681492B9-B10D-4448-9839-04540A032174}"/>
    <cellStyle name="Note 11 2 2 20" xfId="22920" xr:uid="{11C4306B-B7E1-4FB9-95F1-4EDEEA236D80}"/>
    <cellStyle name="Note 11 2 2 20 2" xfId="42634" xr:uid="{6739EEAD-D6C4-4BE9-B85B-5EF0CF9968D8}"/>
    <cellStyle name="Note 11 2 2 21" xfId="20590" xr:uid="{9B4AF670-AFC5-4F35-A426-A28A24116804}"/>
    <cellStyle name="Note 11 2 2 21 2" xfId="40950" xr:uid="{AB6F3E84-D7D6-4F27-ABA6-EB7B5AD3D7B4}"/>
    <cellStyle name="Note 11 2 2 22" xfId="24659" xr:uid="{CE70EA0A-29DC-4955-A491-8F4DA2EA18D9}"/>
    <cellStyle name="Note 11 2 2 22 2" xfId="43804" xr:uid="{49C3B853-F69C-4BC9-8784-C2E9E465BA11}"/>
    <cellStyle name="Note 11 2 2 23" xfId="29520" xr:uid="{1011C1CB-B803-43BD-9052-6F6D9AD76514}"/>
    <cellStyle name="Note 11 2 2 23 2" xfId="46928" xr:uid="{3EEC5F2F-309F-4455-980B-4E7B8171200B}"/>
    <cellStyle name="Note 11 2 2 24" xfId="25665" xr:uid="{9A60FD96-45CE-4ABC-9331-BC8B2CF84868}"/>
    <cellStyle name="Note 11 2 2 24 2" xfId="44509" xr:uid="{3BC60B73-C462-45AB-B5BC-0C8FEE3DA926}"/>
    <cellStyle name="Note 11 2 2 25" xfId="24034" xr:uid="{27F62F7B-EE15-48A7-8CD8-FA77360AC30C}"/>
    <cellStyle name="Note 11 2 2 25 2" xfId="43411" xr:uid="{8CEB5509-FD36-48C4-B868-74479440AFEE}"/>
    <cellStyle name="Note 11 2 2 26" xfId="25449" xr:uid="{5AF66946-6D1D-40AF-8353-D966A1791C7C}"/>
    <cellStyle name="Note 11 2 2 26 2" xfId="44335" xr:uid="{830C24B7-8B22-468E-9D1C-E99279F086E5}"/>
    <cellStyle name="Note 11 2 2 27" xfId="23111" xr:uid="{5FB095F9-7673-43CF-81C0-B2C1A8917C63}"/>
    <cellStyle name="Note 11 2 2 27 2" xfId="42721" xr:uid="{44BA953B-7525-4F21-A612-66BA4A435033}"/>
    <cellStyle name="Note 11 2 2 28" xfId="27076" xr:uid="{63407ACA-1E14-4D2D-8BF5-6AFE15EF6389}"/>
    <cellStyle name="Note 11 2 2 28 2" xfId="45469" xr:uid="{BD7CD516-3B1E-4694-8452-7695273751A9}"/>
    <cellStyle name="Note 11 2 2 29" xfId="6273" xr:uid="{A343E914-27B5-48E1-95ED-64C09A49E57A}"/>
    <cellStyle name="Note 11 2 2 3" xfId="8267" xr:uid="{3AF6170C-1A38-40FB-ACF2-2CA00F2BDF1E}"/>
    <cellStyle name="Note 11 2 2 3 2" xfId="32506" xr:uid="{01B02404-42CA-448C-A026-1B4E4D338AFF}"/>
    <cellStyle name="Note 11 2 2 4" xfId="9141" xr:uid="{25895AC3-99D9-4FD7-B5FE-CFE3E2C3981B}"/>
    <cellStyle name="Note 11 2 2 4 2" xfId="33135" xr:uid="{98D9B0F8-D830-43B6-BF5A-2019AA31FBFE}"/>
    <cellStyle name="Note 11 2 2 5" xfId="12363" xr:uid="{15229F02-A7BE-4B68-AC79-2C882A1D98CA}"/>
    <cellStyle name="Note 11 2 2 5 2" xfId="34863" xr:uid="{6545BF92-E09B-4664-BF17-A7AC0F0D82E6}"/>
    <cellStyle name="Note 11 2 2 6" xfId="9523" xr:uid="{9C843E24-86A9-4764-83E4-29C98D4F4107}"/>
    <cellStyle name="Note 11 2 2 6 2" xfId="33462" xr:uid="{8C27E0B8-8481-48BF-A69C-D6A7BF4876AA}"/>
    <cellStyle name="Note 11 2 2 7" xfId="10340" xr:uid="{331C574F-AE8F-4C9E-89D5-D7430F8FBFE7}"/>
    <cellStyle name="Note 11 2 2 7 2" xfId="33975" xr:uid="{9C6D3004-1C70-4E02-ADDD-3AE7413AB537}"/>
    <cellStyle name="Note 11 2 2 8" xfId="8682" xr:uid="{5EB07BC2-1679-4EC5-8C17-15C090942679}"/>
    <cellStyle name="Note 11 2 2 8 2" xfId="32812" xr:uid="{1E27773B-2FA4-4AA4-A3DD-E913E63F5A04}"/>
    <cellStyle name="Note 11 2 2 9" xfId="12969" xr:uid="{90BD881D-DA23-4C2D-8B41-5A6BB7516555}"/>
    <cellStyle name="Note 11 2 2 9 2" xfId="35317" xr:uid="{8DE4A26C-F8BE-4A00-88E3-E89D815D231E}"/>
    <cellStyle name="Note 11 2 20" xfId="20601" xr:uid="{0C7F20C7-2EFF-4407-B911-31520B96EFAD}"/>
    <cellStyle name="Note 11 2 20 2" xfId="40961" xr:uid="{0770494B-6514-4BA8-AAEB-44A26B468799}"/>
    <cellStyle name="Note 11 2 21" xfId="24831" xr:uid="{DD9B1C0B-6DD0-444D-987B-1B1E02F8C987}"/>
    <cellStyle name="Note 11 2 21 2" xfId="43971" xr:uid="{D5A7CDE8-84C6-4540-82B7-7B03AE17614A}"/>
    <cellStyle name="Note 11 2 22" xfId="15376" xr:uid="{AAC6BAD8-4DF8-4A76-AA20-D9E58998C787}"/>
    <cellStyle name="Note 11 2 22 2" xfId="37076" xr:uid="{5CCC533C-07D3-47F3-9D66-8FAFE5B010A6}"/>
    <cellStyle name="Note 11 2 23" xfId="22840" xr:uid="{6BFF719D-AF08-4E0C-83E2-806B8E44CA83}"/>
    <cellStyle name="Note 11 2 23 2" xfId="42558" xr:uid="{FA9CC0A3-B0CE-4D63-AB93-D64BBF60D0CF}"/>
    <cellStyle name="Note 11 2 24" xfId="21183" xr:uid="{D04334C9-C265-4949-BCED-AEEF03AD49D9}"/>
    <cellStyle name="Note 11 2 24 2" xfId="41376" xr:uid="{77BB9F0B-9639-4897-AE38-9A4EB73465B7}"/>
    <cellStyle name="Note 11 2 25" xfId="27236" xr:uid="{33E84764-4D0D-45FC-A907-AD527EE29184}"/>
    <cellStyle name="Note 11 2 25 2" xfId="45571" xr:uid="{F6DAB4A6-917C-4A6C-9536-679AB5018063}"/>
    <cellStyle name="Note 11 2 26" xfId="26009" xr:uid="{0889356F-70A6-4EF8-BECC-6687A7C03D3A}"/>
    <cellStyle name="Note 11 2 26 2" xfId="44786" xr:uid="{E661661E-5A51-4992-BC99-4CB57D7B8EDB}"/>
    <cellStyle name="Note 11 2 27" xfId="23662" xr:uid="{6499EB7A-5CFC-4F28-8A32-EF5133A00E73}"/>
    <cellStyle name="Note 11 2 27 2" xfId="43085" xr:uid="{A07CAF67-2A90-4BBE-A956-08A622F49D6D}"/>
    <cellStyle name="Note 11 2 28" xfId="20451" xr:uid="{7A95E3C1-B52F-41C1-A337-0CE103D3F7B9}"/>
    <cellStyle name="Note 11 2 28 2" xfId="40848" xr:uid="{A1062F0D-B5A2-46A6-91A8-581EB9AF6CF2}"/>
    <cellStyle name="Note 11 2 29" xfId="25628" xr:uid="{599E87AD-48E2-4197-9345-4DCCF0D05E87}"/>
    <cellStyle name="Note 11 2 29 2" xfId="44485" xr:uid="{765074CF-39D1-4B5D-8C28-924795D0F68B}"/>
    <cellStyle name="Note 11 2 3" xfId="2727" xr:uid="{3E542B12-63A6-4FB1-858C-9BFF79F4DA31}"/>
    <cellStyle name="Note 11 2 3 10" xfId="13143" xr:uid="{B4A387AB-1123-4FD2-B97C-AAF3BFA5034A}"/>
    <cellStyle name="Note 11 2 3 10 2" xfId="35491" xr:uid="{36F0F8B7-3177-4947-AB98-3A37709156EC}"/>
    <cellStyle name="Note 11 2 3 11" xfId="12109" xr:uid="{464CF43C-3E8B-4930-99D7-5062B06A5561}"/>
    <cellStyle name="Note 11 2 3 11 2" xfId="34656" xr:uid="{A8E4D593-91A4-4727-8437-9B30DD803785}"/>
    <cellStyle name="Note 11 2 3 12" xfId="15553" xr:uid="{DA84025C-A247-4A62-915D-E514746BCB03}"/>
    <cellStyle name="Note 11 2 3 12 2" xfId="37218" xr:uid="{9783DD4C-0E28-4A31-BAF3-B87B387D163D}"/>
    <cellStyle name="Note 11 2 3 13" xfId="9637" xr:uid="{361AA2CD-C61B-43C6-8773-64DECCD88BDC}"/>
    <cellStyle name="Note 11 2 3 13 2" xfId="33532" xr:uid="{809EFAB1-98FE-44A4-9341-61AABAF50B9D}"/>
    <cellStyle name="Note 11 2 3 14" xfId="19837" xr:uid="{C4B3790F-A094-47C5-946C-BAADE1712ACA}"/>
    <cellStyle name="Note 11 2 3 14 2" xfId="40450" xr:uid="{CE28EA7D-B949-48E9-B0C7-88FFBA188106}"/>
    <cellStyle name="Note 11 2 3 15" xfId="9956" xr:uid="{AFABDE41-D9EA-416D-B184-6F389F91B869}"/>
    <cellStyle name="Note 11 2 3 15 2" xfId="33701" xr:uid="{1518F985-5538-4BBB-9746-81C4EFA1F5BA}"/>
    <cellStyle name="Note 11 2 3 16" xfId="19686" xr:uid="{C9A5F875-2FE5-4BB5-8849-568EBC391D54}"/>
    <cellStyle name="Note 11 2 3 16 2" xfId="40303" xr:uid="{7338095A-F244-4472-AD8E-60EF377B2176}"/>
    <cellStyle name="Note 11 2 3 17" xfId="16419" xr:uid="{441E0E19-66C6-4AF9-96F7-DA4DB56AB5F4}"/>
    <cellStyle name="Note 11 2 3 17 2" xfId="37927" xr:uid="{9592AEAB-9A87-4563-97CB-D0BF8C8CD739}"/>
    <cellStyle name="Note 11 2 3 18" xfId="20602" xr:uid="{31D55BF7-9502-442D-901A-54B2F2D8B75C}"/>
    <cellStyle name="Note 11 2 3 18 2" xfId="40962" xr:uid="{61418471-0FF5-4E85-85E9-621BC0B40393}"/>
    <cellStyle name="Note 11 2 3 19" xfId="22361" xr:uid="{7D36566F-720F-450D-A59B-3B517434C2BC}"/>
    <cellStyle name="Note 11 2 3 19 2" xfId="42215" xr:uid="{7E07CC03-82AF-4FDE-AD59-796E056D5D4B}"/>
    <cellStyle name="Note 11 2 3 2" xfId="8265" xr:uid="{AC7CFA51-18F7-4807-9D85-4E8247E86308}"/>
    <cellStyle name="Note 11 2 3 2 2" xfId="32504" xr:uid="{5C091D1E-1217-41B6-B0D6-01E87877040F}"/>
    <cellStyle name="Note 11 2 3 20" xfId="26343" xr:uid="{B457C214-D15F-45E3-BC94-3B7CE91F4AFC}"/>
    <cellStyle name="Note 11 2 3 20 2" xfId="45025" xr:uid="{CCC7AC03-A5A4-462D-BDA4-23F49311B22C}"/>
    <cellStyle name="Note 11 2 3 21" xfId="24205" xr:uid="{ED312541-A563-4E15-AC82-D4A3DDE1577D}"/>
    <cellStyle name="Note 11 2 3 21 2" xfId="43528" xr:uid="{629DC457-9519-4E58-A2E3-A880716D4260}"/>
    <cellStyle name="Note 11 2 3 22" xfId="22112" xr:uid="{749ABC8F-3C2E-40A2-96DE-FE0AA5CF3386}"/>
    <cellStyle name="Note 11 2 3 22 2" xfId="41997" xr:uid="{651DF780-4D13-4547-90F2-E34DBACACE1F}"/>
    <cellStyle name="Note 11 2 3 23" xfId="26145" xr:uid="{430471B1-826D-4C37-9ABE-043B2E0389FE}"/>
    <cellStyle name="Note 11 2 3 23 2" xfId="44886" xr:uid="{1878AD41-1F5A-4AB2-8E7C-2C49FB18F183}"/>
    <cellStyle name="Note 11 2 3 24" xfId="29161" xr:uid="{B1F35567-74B6-48CC-9E6C-BE3C6FECA14D}"/>
    <cellStyle name="Note 11 2 3 24 2" xfId="46689" xr:uid="{C103097D-B1AB-420E-BD3B-2A80BB57473B}"/>
    <cellStyle name="Note 11 2 3 25" xfId="21871" xr:uid="{C7CDC03C-3F0C-4B67-81C4-4365B05E1460}"/>
    <cellStyle name="Note 11 2 3 25 2" xfId="41809" xr:uid="{881D6B14-6692-4B58-9176-FD83BC7D272E}"/>
    <cellStyle name="Note 11 2 3 26" xfId="30079" xr:uid="{593B9271-B657-4A45-8615-0732A836D8D5}"/>
    <cellStyle name="Note 11 2 3 26 2" xfId="47275" xr:uid="{082BBB87-50D2-43C2-BECA-C214DF0903EA}"/>
    <cellStyle name="Note 11 2 3 27" xfId="28404" xr:uid="{46E20274-CCB4-4271-8998-353E42E386C4}"/>
    <cellStyle name="Note 11 2 3 27 2" xfId="46251" xr:uid="{FA821B7B-FE9C-49CC-96E9-9BC8D750CCCC}"/>
    <cellStyle name="Note 11 2 3 28" xfId="6275" xr:uid="{C3D2DD27-2199-4F45-85D1-C1DFF73EF845}"/>
    <cellStyle name="Note 11 2 3 3" xfId="9142" xr:uid="{0FCA1897-FB20-4881-8BAE-E1D80A163A41}"/>
    <cellStyle name="Note 11 2 3 3 2" xfId="33136" xr:uid="{C0B31C4B-9D29-42A0-9B87-18A2F94436C0}"/>
    <cellStyle name="Note 11 2 3 4" xfId="8311" xr:uid="{CBAF2CC0-D772-4B5D-BDB4-BB523F38AD11}"/>
    <cellStyle name="Note 11 2 3 4 2" xfId="32550" xr:uid="{9C8B91C4-AC0E-4AF4-A631-4B626D4D16F5}"/>
    <cellStyle name="Note 11 2 3 5" xfId="9521" xr:uid="{36835150-3FC1-4C60-9793-9B05BAC72064}"/>
    <cellStyle name="Note 11 2 3 5 2" xfId="33460" xr:uid="{FCB895B3-4684-4B79-9EFF-08E37DECCE7B}"/>
    <cellStyle name="Note 11 2 3 6" xfId="10341" xr:uid="{C5E71525-BC2D-496F-945A-B4DA27C540C8}"/>
    <cellStyle name="Note 11 2 3 6 2" xfId="33976" xr:uid="{3651462F-26CF-486F-A9E9-B03AFB3F8E7C}"/>
    <cellStyle name="Note 11 2 3 7" xfId="8680" xr:uid="{94A8496E-F03F-488F-8076-7C752BDA61FF}"/>
    <cellStyle name="Note 11 2 3 7 2" xfId="32810" xr:uid="{1C4E1BF2-FEE1-475A-8406-6735BF3C8D13}"/>
    <cellStyle name="Note 11 2 3 8" xfId="10506" xr:uid="{350D72D0-219A-4AAC-84C9-F9B5E68FEAD0}"/>
    <cellStyle name="Note 11 2 3 8 2" xfId="34141" xr:uid="{B11EAA90-83C8-453C-8567-28E55A9E9CAF}"/>
    <cellStyle name="Note 11 2 3 9" xfId="7553" xr:uid="{495F298A-D906-45B4-8558-748F8BC9D793}"/>
    <cellStyle name="Note 11 2 3 9 2" xfId="31871" xr:uid="{6DC11F61-2E57-4E10-B629-452101DFE857}"/>
    <cellStyle name="Note 11 2 30" xfId="6272" xr:uid="{74F9229B-0EA0-41C0-B3A6-1A4B16B0311C}"/>
    <cellStyle name="Note 11 2 4" xfId="8268" xr:uid="{A3A4CD57-8ACD-4A58-97FB-DA094EBBBBF4}"/>
    <cellStyle name="Note 11 2 4 2" xfId="32507" xr:uid="{EDAAD3A4-6FE6-4B38-82F1-4F5B10A06D7A}"/>
    <cellStyle name="Note 11 2 5" xfId="12128" xr:uid="{CE5E965E-57F2-4E1B-BFAD-AF286BD955B0}"/>
    <cellStyle name="Note 11 2 5 2" xfId="34673" xr:uid="{A72FC72F-E029-4B6E-83DD-5324256B1A91}"/>
    <cellStyle name="Note 11 2 6" xfId="8335" xr:uid="{D30ACDA6-B79A-42C0-B68E-F0F99B6E741D}"/>
    <cellStyle name="Note 11 2 6 2" xfId="32551" xr:uid="{464A81D3-7370-4C0F-BF9F-28BCD4B0E280}"/>
    <cellStyle name="Note 11 2 7" xfId="9524" xr:uid="{311AD72C-DA97-4E75-AD0E-562272805596}"/>
    <cellStyle name="Note 11 2 7 2" xfId="33463" xr:uid="{C550C10D-F58E-498B-9F95-82791CEE502C}"/>
    <cellStyle name="Note 11 2 8" xfId="13124" xr:uid="{279D387B-FA19-4789-AF69-4DACE5BFE353}"/>
    <cellStyle name="Note 11 2 8 2" xfId="35472" xr:uid="{0A1BE4EA-4C97-432E-9AE3-379BECA54A6D}"/>
    <cellStyle name="Note 11 2 9" xfId="8683" xr:uid="{1E2F0CDF-A2F3-4E56-8357-2D0201BCC138}"/>
    <cellStyle name="Note 11 2 9 2" xfId="32813" xr:uid="{F556DE37-D732-4C28-B2E2-CBB70CAD2055}"/>
    <cellStyle name="Note 11 2_Sheet2" xfId="2728" xr:uid="{05BBE3A7-D883-4C87-87A2-B2AAAC891553}"/>
    <cellStyle name="Note 11 20" xfId="9632" xr:uid="{587816E4-1908-4F75-A42E-F7CDC7EE2C22}"/>
    <cellStyle name="Note 11 20 2" xfId="33527" xr:uid="{DBCE0557-0DD7-4459-BDB3-1356674A57C4}"/>
    <cellStyle name="Note 11 21" xfId="19839" xr:uid="{96ECB46E-75AF-4F9E-8BA7-BAD3D231D902}"/>
    <cellStyle name="Note 11 21 2" xfId="40452" xr:uid="{AB228E49-F122-4BE9-B139-BDA270EBA95E}"/>
    <cellStyle name="Note 11 22" xfId="9952" xr:uid="{73821628-BCC5-4554-86EE-61E142177D61}"/>
    <cellStyle name="Note 11 22 2" xfId="33697" xr:uid="{D68401C4-84D5-4C0A-B4F9-F836C2338E9F}"/>
    <cellStyle name="Note 11 23" xfId="19687" xr:uid="{C36BC5C5-AD2C-4186-BA40-2A05A3005BA8}"/>
    <cellStyle name="Note 11 23 2" xfId="40304" xr:uid="{6DED3620-E94E-4C63-B4E1-0BF180F1AD7A}"/>
    <cellStyle name="Note 11 24" xfId="16421" xr:uid="{9965582C-3D06-4D51-8D84-B05D97C1446A}"/>
    <cellStyle name="Note 11 24 2" xfId="37929" xr:uid="{83F4D417-0664-4132-95BF-ADA841ABEEEE}"/>
    <cellStyle name="Note 11 25" xfId="16870" xr:uid="{A94E7DFE-5CCF-49BD-AFCD-3F43FD15BA91}"/>
    <cellStyle name="Note 11 25 2" xfId="38292" xr:uid="{2AF53F08-5FAF-4941-A863-41B07F01BA0E}"/>
    <cellStyle name="Note 11 26" xfId="15411" xr:uid="{E02FE7BC-54F3-4598-91B3-D36F6BAE0DFB}"/>
    <cellStyle name="Note 11 26 2" xfId="37102" xr:uid="{9052655D-2392-4010-9270-05BC17C1D80D}"/>
    <cellStyle name="Note 11 27" xfId="20589" xr:uid="{539B10F5-B95B-4AD1-8523-7CB95D02EED4}"/>
    <cellStyle name="Note 11 27 2" xfId="40949" xr:uid="{20EED9B2-1510-4673-9513-576D914723B1}"/>
    <cellStyle name="Note 11 28" xfId="24660" xr:uid="{07EC728F-9CB5-46C8-BFED-654514B4F281}"/>
    <cellStyle name="Note 11 28 2" xfId="43805" xr:uid="{9DEF02A7-868D-4681-9A62-EDA7C4E438B2}"/>
    <cellStyle name="Note 11 29" xfId="19415" xr:uid="{855D428A-6ABA-4545-A657-DDBC660B1C4D}"/>
    <cellStyle name="Note 11 29 2" xfId="40136" xr:uid="{D23C8AF1-D185-4010-90C3-CCD284DD169E}"/>
    <cellStyle name="Note 11 3" xfId="2729" xr:uid="{65DE8351-F0E4-4512-A38B-729B48B7B474}"/>
    <cellStyle name="Note 11 3 10" xfId="7552" xr:uid="{F210FEDB-26A3-4D3C-9DEF-0B6B29ACBDDB}"/>
    <cellStyle name="Note 11 3 10 2" xfId="31870" xr:uid="{6D14FCD9-2E83-477A-8777-C202C9A09BF5}"/>
    <cellStyle name="Note 11 3 11" xfId="13142" xr:uid="{A7B1158B-C5FE-4ABE-9F9B-4DA1318DBAB4}"/>
    <cellStyle name="Note 11 3 11 2" xfId="35490" xr:uid="{6FAD33C5-F68E-4C2B-85BF-E6B5FA1838EA}"/>
    <cellStyle name="Note 11 3 12" xfId="9641" xr:uid="{FC2052A5-C657-4A6B-9AC0-FD0E963DE15B}"/>
    <cellStyle name="Note 11 3 12 2" xfId="33536" xr:uid="{B341DAD8-93C8-4545-8139-C3743A5031D1}"/>
    <cellStyle name="Note 11 3 13" xfId="13835" xr:uid="{AF016FE7-9266-4303-9675-F2106D906BDA}"/>
    <cellStyle name="Note 11 3 13 2" xfId="35960" xr:uid="{114DD73F-8271-4ED7-A8EE-7FD7177D1DD0}"/>
    <cellStyle name="Note 11 3 14" xfId="14335" xr:uid="{DE6ED8B4-3785-4498-AFA6-384958E53155}"/>
    <cellStyle name="Note 11 3 14 2" xfId="36375" xr:uid="{6A4ED0CC-D2C1-424E-AB83-75E7C2DD9CDE}"/>
    <cellStyle name="Note 11 3 15" xfId="19836" xr:uid="{3A22AECE-233A-47FB-A4C9-E6F233ED0CD9}"/>
    <cellStyle name="Note 11 3 15 2" xfId="40449" xr:uid="{25A28FDE-F5E8-409F-8BCE-B8A4F92E5612}"/>
    <cellStyle name="Note 11 3 16" xfId="9957" xr:uid="{CFF7E89E-681D-4893-8E72-44A03E742973}"/>
    <cellStyle name="Note 11 3 16 2" xfId="33702" xr:uid="{9493B0B2-7B9A-4AF0-A26D-CCA6A4F23FA0}"/>
    <cellStyle name="Note 11 3 17" xfId="17696" xr:uid="{B72FAC0B-1C71-4C04-BBE3-DB77CC324B0D}"/>
    <cellStyle name="Note 11 3 17 2" xfId="38881" xr:uid="{CCAF2D2C-9A42-43FD-BECC-2225CE05636C}"/>
    <cellStyle name="Note 11 3 18" xfId="16418" xr:uid="{F5633C40-F184-40F2-A4DB-E2A0921EB758}"/>
    <cellStyle name="Note 11 3 18 2" xfId="37926" xr:uid="{FCDB8A9A-62B3-4229-B409-77DA14C81A7E}"/>
    <cellStyle name="Note 11 3 19" xfId="18875" xr:uid="{37508217-7E41-4628-B7E4-D0F1A3AD5B06}"/>
    <cellStyle name="Note 11 3 19 2" xfId="39709" xr:uid="{F2950DDB-B745-4673-8BD4-E5FE4221B682}"/>
    <cellStyle name="Note 11 3 2" xfId="2730" xr:uid="{727A67F9-F939-4CCE-BFA6-A7EE889D18AF}"/>
    <cellStyle name="Note 11 3 2 10" xfId="10320" xr:uid="{3831FF9B-1DBC-4DE1-A590-79349971AA81}"/>
    <cellStyle name="Note 11 3 2 10 2" xfId="33955" xr:uid="{743649E2-D4AE-4DE8-8FDA-A6C1EBEB3B25}"/>
    <cellStyle name="Note 11 3 2 11" xfId="12144" xr:uid="{2DC61F72-8EE6-4F24-B435-796DEBB9E6C7}"/>
    <cellStyle name="Note 11 3 2 11 2" xfId="34689" xr:uid="{03F29405-7D4E-4525-8548-2A3D9610B218}"/>
    <cellStyle name="Note 11 3 2 12" xfId="13639" xr:uid="{B0381E02-C8FD-4C74-A5EA-7273DAD04C6D}"/>
    <cellStyle name="Note 11 3 2 12 2" xfId="35803" xr:uid="{D07E3374-1B4A-4623-AB4B-0CFFDEC3D773}"/>
    <cellStyle name="Note 11 3 2 13" xfId="14570" xr:uid="{637665E4-DF7C-4C0C-B919-9D375F466163}"/>
    <cellStyle name="Note 11 3 2 13 2" xfId="36492" xr:uid="{AF848DD1-B748-4B1B-B918-5E9862AC02D6}"/>
    <cellStyle name="Note 11 3 2 14" xfId="15733" xr:uid="{5914F620-4A5D-46F8-A55F-A4F632CE2A85}"/>
    <cellStyle name="Note 11 3 2 14 2" xfId="37362" xr:uid="{07215377-2700-4797-A62C-12D5E90473F7}"/>
    <cellStyle name="Note 11 3 2 15" xfId="9958" xr:uid="{4E657350-004C-4D85-945E-AC3AE1A16B4F}"/>
    <cellStyle name="Note 11 3 2 15 2" xfId="33703" xr:uid="{71B60033-D635-42D4-B1C9-D001906D9864}"/>
    <cellStyle name="Note 11 3 2 16" xfId="21559" xr:uid="{03DB2E3D-998D-4EE2-88AB-37F087715DC6}"/>
    <cellStyle name="Note 11 3 2 16 2" xfId="41643" xr:uid="{2E43098A-4762-42C1-84DA-CC8EC086F291}"/>
    <cellStyle name="Note 11 3 2 17" xfId="12580" xr:uid="{BC4EF466-C073-4715-A7E4-94DCE7B2889D}"/>
    <cellStyle name="Note 11 3 2 17 2" xfId="35019" xr:uid="{ED119993-31BB-457E-8A6E-8D2B74BE41C3}"/>
    <cellStyle name="Note 11 3 2 18" xfId="20120" xr:uid="{CF59E992-8D1D-4F05-9719-A53A4C7DCD5A}"/>
    <cellStyle name="Note 11 3 2 18 2" xfId="40633" xr:uid="{28ABED39-842F-42DC-8D9B-10522248F409}"/>
    <cellStyle name="Note 11 3 2 19" xfId="20399" xr:uid="{27558944-F3B5-4B84-B3C0-4CD4845CB1A2}"/>
    <cellStyle name="Note 11 3 2 19 2" xfId="40821" xr:uid="{2E3AC546-1ED7-4E51-ABC4-76A16ED28FDA}"/>
    <cellStyle name="Note 11 3 2 2" xfId="8263" xr:uid="{439A4C73-40AB-4CEA-BFBA-4C6702369C33}"/>
    <cellStyle name="Note 11 3 2 2 2" xfId="32502" xr:uid="{94462ACC-6F64-477F-AE36-F05679313A7C}"/>
    <cellStyle name="Note 11 3 2 20" xfId="26345" xr:uid="{2AE4E1C7-2708-4115-9C82-496401E01DB3}"/>
    <cellStyle name="Note 11 3 2 20 2" xfId="45027" xr:uid="{80D8A634-52E8-4041-B865-1B5C29A2A405}"/>
    <cellStyle name="Note 11 3 2 21" xfId="24657" xr:uid="{AB9C7D19-039E-4C6B-AE8C-9C6FFA090B90}"/>
    <cellStyle name="Note 11 3 2 21 2" xfId="43802" xr:uid="{502CD7E7-1496-4A0E-B268-0829F40EABF5}"/>
    <cellStyle name="Note 11 3 2 22" xfId="17058" xr:uid="{6173835C-ADD9-47B9-B93B-95B37D0D489B}"/>
    <cellStyle name="Note 11 3 2 22 2" xfId="38400" xr:uid="{9EB9B820-4AC7-4320-85EE-D73B1FEEC610}"/>
    <cellStyle name="Note 11 3 2 23" xfId="27234" xr:uid="{E29CB6AA-7563-42D6-A276-227BCDB13763}"/>
    <cellStyle name="Note 11 3 2 23 2" xfId="45569" xr:uid="{62D7D4F2-EA8E-43CF-B70B-A319BBA719EF}"/>
    <cellStyle name="Note 11 3 2 24" xfId="29162" xr:uid="{0274AA6F-8DAB-4114-AFD0-831688920AF2}"/>
    <cellStyle name="Note 11 3 2 24 2" xfId="46690" xr:uid="{450D2491-DE4C-48F2-BDE7-DB01C8DE6621}"/>
    <cellStyle name="Note 11 3 2 25" xfId="25436" xr:uid="{4C7C29E6-A6BB-4F0A-8FB8-D98A891E7E17}"/>
    <cellStyle name="Note 11 3 2 25 2" xfId="44322" xr:uid="{8B861E75-0972-482F-AFD6-A0BFF220065D}"/>
    <cellStyle name="Note 11 3 2 26" xfId="23109" xr:uid="{9EC8A858-7DF2-47A8-B0A1-DA88374C3001}"/>
    <cellStyle name="Note 11 3 2 26 2" xfId="42720" xr:uid="{DBEA55AA-24A4-485E-BB21-62445DD1186B}"/>
    <cellStyle name="Note 11 3 2 27" xfId="27063" xr:uid="{BF89592B-09CB-4681-B0B7-A90DA1DA1204}"/>
    <cellStyle name="Note 11 3 2 27 2" xfId="45456" xr:uid="{0E849C0E-6FA6-4AA6-9D38-953819DCA027}"/>
    <cellStyle name="Note 11 3 2 28" xfId="6277" xr:uid="{97531B00-136C-4D76-BD08-58355350F257}"/>
    <cellStyle name="Note 11 3 2 3" xfId="12127" xr:uid="{F11CBC7B-24F5-48F4-900F-D7C50B09CA7B}"/>
    <cellStyle name="Note 11 3 2 3 2" xfId="34672" xr:uid="{18DC581C-0FCF-4FCB-A7C4-42884B667530}"/>
    <cellStyle name="Note 11 3 2 4" xfId="8309" xr:uid="{FB509216-9E84-4CD9-B911-E68030A5986E}"/>
    <cellStyle name="Note 11 3 2 4 2" xfId="32548" xr:uid="{2AF07C62-A7A2-4710-A07C-7FAD50C392F0}"/>
    <cellStyle name="Note 11 3 2 5" xfId="9121" xr:uid="{C6B7D203-6C96-4F5F-94BA-072414DA3489}"/>
    <cellStyle name="Note 11 3 2 5 2" xfId="33122" xr:uid="{9F75957B-B4A1-4018-A8A6-30ED377D02BE}"/>
    <cellStyle name="Note 11 3 2 6" xfId="13122" xr:uid="{20EC2B1A-A0DD-4CAC-B983-A8D0C1FAC8F5}"/>
    <cellStyle name="Note 11 3 2 6 2" xfId="35470" xr:uid="{3CBAE963-8787-43B7-AC13-6400340B4BB7}"/>
    <cellStyle name="Note 11 3 2 7" xfId="8678" xr:uid="{01751432-BBE1-43F5-AB7F-C7B0C3A9DCBA}"/>
    <cellStyle name="Note 11 3 2 7 2" xfId="32808" xr:uid="{4492B8A6-DB33-4B5F-BD76-F97C9721DA5C}"/>
    <cellStyle name="Note 11 3 2 8" xfId="12950" xr:uid="{C4D6AC1C-7EA2-4A89-8CA3-954AF3A697D5}"/>
    <cellStyle name="Note 11 3 2 8 2" xfId="35305" xr:uid="{0E8EBCF0-D399-40A3-BC97-9102B2F279E7}"/>
    <cellStyle name="Note 11 3 2 9" xfId="11962" xr:uid="{86DE6102-D990-4FC0-A831-8AA1F59F351D}"/>
    <cellStyle name="Note 11 3 2 9 2" xfId="34534" xr:uid="{B3B3F3F2-1009-4904-9814-4DE9857FD5F1}"/>
    <cellStyle name="Note 11 3 20" xfId="24829" xr:uid="{2B87DE86-AD5D-40D8-9130-2B69E6E05697}"/>
    <cellStyle name="Note 11 3 20 2" xfId="43969" xr:uid="{24EFD213-A5BA-47F6-8854-4E6BF508592E}"/>
    <cellStyle name="Note 11 3 21" xfId="20591" xr:uid="{5EE47F7D-2115-4D7F-82B6-6ED949A06B97}"/>
    <cellStyle name="Note 11 3 21 2" xfId="40951" xr:uid="{9FB6B816-C8B7-487C-B717-808FFCB469EB}"/>
    <cellStyle name="Note 11 3 22" xfId="22839" xr:uid="{8A9A39C7-1B78-4AB4-8DDF-F3DBC0D62338}"/>
    <cellStyle name="Note 11 3 22 2" xfId="42557" xr:uid="{85E888C3-ACBD-4AE3-B805-4D57779A658E}"/>
    <cellStyle name="Note 11 3 23" xfId="17854" xr:uid="{578F49BE-5C79-48A3-8210-405B5425DF0F}"/>
    <cellStyle name="Note 11 3 23 2" xfId="38970" xr:uid="{90D79196-D8BB-424E-9ED6-D1A715552FEC}"/>
    <cellStyle name="Note 11 3 24" xfId="22619" xr:uid="{B6800541-3551-4022-94B1-0185E1AF7270}"/>
    <cellStyle name="Note 11 3 24 2" xfId="42396" xr:uid="{79D7E744-9655-412C-A942-D915EDAFF6C7}"/>
    <cellStyle name="Note 11 3 25" xfId="18731" xr:uid="{8598E4F3-F897-4781-BCBC-E8D64860BF4C}"/>
    <cellStyle name="Note 11 3 25 2" xfId="39606" xr:uid="{58FAE0CA-AED6-4369-B5A3-F376CD145BCA}"/>
    <cellStyle name="Note 11 3 26" xfId="26576" xr:uid="{E2666757-9CFB-405D-B04A-E6C2596ECD7D}"/>
    <cellStyle name="Note 11 3 26 2" xfId="45141" xr:uid="{3C78370C-608F-4B97-90E8-73A62E1BEEC4}"/>
    <cellStyle name="Note 11 3 27" xfId="29718" xr:uid="{710A43D5-5E86-474D-9E65-90B788672AD9}"/>
    <cellStyle name="Note 11 3 27 2" xfId="47063" xr:uid="{A666CFD5-B66B-4864-B758-C12DD3583D20}"/>
    <cellStyle name="Note 11 3 28" xfId="28403" xr:uid="{0D9676BA-D476-4346-8F73-53476CA1E5AE}"/>
    <cellStyle name="Note 11 3 28 2" xfId="46250" xr:uid="{1CDE06A3-0313-4112-B0F8-731D3C9D6E49}"/>
    <cellStyle name="Note 11 3 29" xfId="6276" xr:uid="{CD9121FA-A134-422E-9BD2-3C385F3B98D7}"/>
    <cellStyle name="Note 11 3 3" xfId="8264" xr:uid="{A59CC101-AB8B-425B-A12B-69EEEB792358}"/>
    <cellStyle name="Note 11 3 3 2" xfId="32503" xr:uid="{AADF6589-B587-41E3-928F-C4B617BD2E86}"/>
    <cellStyle name="Note 11 3 4" xfId="9167" xr:uid="{6C8D2F79-166F-4994-9494-65ED8B7BC699}"/>
    <cellStyle name="Note 11 3 4 2" xfId="33161" xr:uid="{07EA6C6F-D33A-42F0-ADF5-E07C88D4363F}"/>
    <cellStyle name="Note 11 3 5" xfId="8310" xr:uid="{7C8158BB-FF34-4A67-AC5F-AFFBE8DE70DF}"/>
    <cellStyle name="Note 11 3 5 2" xfId="32549" xr:uid="{05207B58-1F9D-4B39-B558-5E67CDE3DF97}"/>
    <cellStyle name="Note 11 3 6" xfId="9122" xr:uid="{4549C299-083F-4297-9E44-2984C39F8496}"/>
    <cellStyle name="Note 11 3 6 2" xfId="33123" xr:uid="{F4B551AE-B403-44B5-93F0-47C02B04A664}"/>
    <cellStyle name="Note 11 3 7" xfId="10342" xr:uid="{8F598CDB-541B-45FA-A5AD-CA7E0D0041E2}"/>
    <cellStyle name="Note 11 3 7 2" xfId="33977" xr:uid="{42D5E72A-0396-4B8F-8C0C-D7495F4E3ACA}"/>
    <cellStyle name="Note 11 3 8" xfId="8679" xr:uid="{2C1B2B8A-9FD4-463A-9721-07CF4D23A16B}"/>
    <cellStyle name="Note 11 3 8 2" xfId="32809" xr:uid="{0D478AF2-BAFC-4654-AC08-2C269FD49205}"/>
    <cellStyle name="Note 11 3 9" xfId="12968" xr:uid="{B02CA523-7DF4-49DF-8953-52E5B44C7F02}"/>
    <cellStyle name="Note 11 3 9 2" xfId="35316" xr:uid="{3C7BB43B-7A67-4093-9C3A-84BB7F385C62}"/>
    <cellStyle name="Note 11 30" xfId="26798" xr:uid="{E91EB5E8-7DDB-43BA-A141-490C59E7B90D}"/>
    <cellStyle name="Note 11 30 2" xfId="45273" xr:uid="{A965F042-C3CF-4FE5-AA80-DDA0A497E090}"/>
    <cellStyle name="Note 11 31" xfId="20951" xr:uid="{1C1747AB-E569-420F-9520-E06D08F4B0AC}"/>
    <cellStyle name="Note 11 31 2" xfId="41252" xr:uid="{0793C00D-10C3-476A-BA20-75283EDD9E37}"/>
    <cellStyle name="Note 11 32" xfId="26578" xr:uid="{9A47D687-C8D1-49EF-8E94-81A29B350BE3}"/>
    <cellStyle name="Note 11 32 2" xfId="45143" xr:uid="{9C410E20-3DA8-4007-BCA6-DFD23E07FE3F}"/>
    <cellStyle name="Note 11 33" xfId="23112" xr:uid="{00E48E32-30F5-4C93-BB5F-99E2CF4D6838}"/>
    <cellStyle name="Note 11 33 2" xfId="42722" xr:uid="{2D3585F1-96C2-452B-828E-D02272E2E90C}"/>
    <cellStyle name="Note 11 34" xfId="28430" xr:uid="{423FA41F-9A79-438C-BF39-CA41E285F4B3}"/>
    <cellStyle name="Note 11 34 2" xfId="46277" xr:uid="{A6AB1C1B-A1E7-4AFC-A807-7EB6166583CB}"/>
    <cellStyle name="Note 11 35" xfId="6271" xr:uid="{0C5A188A-4187-4436-8AD7-1D1F09A1B736}"/>
    <cellStyle name="Note 11 4" xfId="2731" xr:uid="{5D1EDFF9-A4DC-4081-85D4-1C1E3815AB71}"/>
    <cellStyle name="Note 11 4 10" xfId="7551" xr:uid="{1EB5A9C2-2665-4423-96AE-9DCD5494BAE4}"/>
    <cellStyle name="Note 11 4 10 2" xfId="31869" xr:uid="{1D7C5366-977F-422E-B1C7-811E2E576890}"/>
    <cellStyle name="Note 11 4 11" xfId="10357" xr:uid="{080C5472-822C-41E9-9450-73979E0EC218}"/>
    <cellStyle name="Note 11 4 11 2" xfId="33992" xr:uid="{0F5D5DDE-3706-418E-BD9C-01E0B95B71ED}"/>
    <cellStyle name="Note 11 4 12" xfId="9611" xr:uid="{94521B82-4A6A-4CA2-AF9A-7C4F709E860F}"/>
    <cellStyle name="Note 11 4 12 2" xfId="33507" xr:uid="{08792D51-FCC8-489C-BEE8-D69080806E5F}"/>
    <cellStyle name="Note 11 4 13" xfId="15554" xr:uid="{9CAA8936-2E37-4181-9863-24F6D8B2B6EB}"/>
    <cellStyle name="Note 11 4 13 2" xfId="37219" xr:uid="{A3A06B94-ECBC-4CD3-A7A7-08881A2D376C}"/>
    <cellStyle name="Note 11 4 14" xfId="9638" xr:uid="{E37B7AB0-456A-418C-B19D-1F2A472A24EC}"/>
    <cellStyle name="Note 11 4 14 2" xfId="33533" xr:uid="{26933CB9-7135-41C7-B711-2CEE6BE199C3}"/>
    <cellStyle name="Note 11 4 15" xfId="19835" xr:uid="{8FFC9B60-AA06-4218-A0E5-6A5FD6CF9F6F}"/>
    <cellStyle name="Note 11 4 15 2" xfId="40448" xr:uid="{3D73A901-82A0-411F-AF01-544C260B50BA}"/>
    <cellStyle name="Note 11 4 16" xfId="9959" xr:uid="{EB5E087E-0004-4A7B-A2CE-EBF88DDDF615}"/>
    <cellStyle name="Note 11 4 16 2" xfId="33704" xr:uid="{91ADB4CB-9E49-4138-862C-0D9A355F9094}"/>
    <cellStyle name="Note 11 4 17" xfId="19685" xr:uid="{95736672-6623-463D-838D-213A1F22718C}"/>
    <cellStyle name="Note 11 4 17 2" xfId="40302" xr:uid="{EC9C8E3E-664E-43CC-A263-EBE3DA9068A8}"/>
    <cellStyle name="Note 11 4 18" xfId="16417" xr:uid="{1BA85D81-8D9C-420E-9FEC-C3C757A8F5D7}"/>
    <cellStyle name="Note 11 4 18 2" xfId="37925" xr:uid="{7DF0C1C5-064F-4A00-ACB8-734213AA2BAF}"/>
    <cellStyle name="Note 11 4 19" xfId="16852" xr:uid="{61658AF0-2775-4C71-A44B-40ED114EA4D3}"/>
    <cellStyle name="Note 11 4 19 2" xfId="38280" xr:uid="{900ED794-4293-412E-A9C9-78FB8FCF03E3}"/>
    <cellStyle name="Note 11 4 2" xfId="2732" xr:uid="{20AE6E2C-4B02-4516-8C05-13E2CCEFD6F5}"/>
    <cellStyle name="Note 11 4 2 10" xfId="13141" xr:uid="{DADF173A-4368-4F23-9D15-703B2470B4C2}"/>
    <cellStyle name="Note 11 4 2 10 2" xfId="35489" xr:uid="{DD6B7C9C-5206-451E-A5E4-3CCEE58B1729}"/>
    <cellStyle name="Note 11 4 2 11" xfId="9610" xr:uid="{36F042F6-A5BC-403C-87D4-A30EDC20BC4A}"/>
    <cellStyle name="Note 11 4 2 11 2" xfId="33506" xr:uid="{5441A786-5D11-4EBC-9F45-2A55D3B09BE3}"/>
    <cellStyle name="Note 11 4 2 12" xfId="14611" xr:uid="{BFEF9E11-3069-4BE5-8561-18437EC3525D}"/>
    <cellStyle name="Note 11 4 2 12 2" xfId="36523" xr:uid="{DA54D48D-762C-492F-AD8E-28626E289346}"/>
    <cellStyle name="Note 11 4 2 13" xfId="9639" xr:uid="{3703D3DE-3C2F-45BC-9280-CF4417F82893}"/>
    <cellStyle name="Note 11 4 2 13 2" xfId="33534" xr:uid="{0DC21EB0-BDC1-4081-BCD4-524FEC4B06C4}"/>
    <cellStyle name="Note 11 4 2 14" xfId="17994" xr:uid="{B352832E-97ED-415C-BAED-E52BAFF2882A}"/>
    <cellStyle name="Note 11 4 2 14 2" xfId="39090" xr:uid="{31F0D519-8756-491C-8CBB-E6918AC8E7D0}"/>
    <cellStyle name="Note 11 4 2 15" xfId="9987" xr:uid="{F4EA0C2E-AF45-46DD-A21D-E6940E2E7645}"/>
    <cellStyle name="Note 11 4 2 15 2" xfId="33732" xr:uid="{7DA8DEA6-7AC1-4223-B221-D7366A337FB7}"/>
    <cellStyle name="Note 11 4 2 16" xfId="21558" xr:uid="{2022F539-ED9E-446B-B1A9-D1EDDBEB98D7}"/>
    <cellStyle name="Note 11 4 2 16 2" xfId="41642" xr:uid="{C046C485-9126-4624-B88D-B5511A3B8301}"/>
    <cellStyle name="Note 11 4 2 17" xfId="15204" xr:uid="{B0C05722-2DA1-41D1-95FC-F272FB82F98B}"/>
    <cellStyle name="Note 11 4 2 17 2" xfId="36975" xr:uid="{CC94E541-EF7D-483A-B258-648F49033385}"/>
    <cellStyle name="Note 11 4 2 18" xfId="20604" xr:uid="{E092C775-B7F6-4B40-A143-A6A078966055}"/>
    <cellStyle name="Note 11 4 2 18 2" xfId="40964" xr:uid="{13410970-3525-4FD8-9777-419073BA75F5}"/>
    <cellStyle name="Note 11 4 2 19" xfId="22918" xr:uid="{C7AC489D-E2BB-41D8-ADD7-146E5CF50DE5}"/>
    <cellStyle name="Note 11 4 2 19 2" xfId="42633" xr:uid="{A479B757-169E-401B-901C-41D98052F562}"/>
    <cellStyle name="Note 11 4 2 2" xfId="8261" xr:uid="{EEB344EE-F8E8-4E6A-8413-26FB0C136109}"/>
    <cellStyle name="Note 11 4 2 2 2" xfId="32500" xr:uid="{A5B1C58F-CF06-4FDA-873E-23B22052D12D}"/>
    <cellStyle name="Note 11 4 2 20" xfId="26344" xr:uid="{9B342C76-BCB7-4D36-888E-3EB50AFFE1E2}"/>
    <cellStyle name="Note 11 4 2 20 2" xfId="45026" xr:uid="{C6A96F82-FE98-4637-9371-C26C3F408C7E}"/>
    <cellStyle name="Note 11 4 2 21" xfId="16930" xr:uid="{85E9C458-C4A3-4AF6-BAC2-A17934E1FEA5}"/>
    <cellStyle name="Note 11 4 2 21 2" xfId="38301" xr:uid="{4F74EA3A-25AC-424E-99E6-46479F096E5E}"/>
    <cellStyle name="Note 11 4 2 22" xfId="22111" xr:uid="{2C5E8A19-0241-4F25-BD62-01FF6F2B9029}"/>
    <cellStyle name="Note 11 4 2 22 2" xfId="41996" xr:uid="{F9D78F65-3DD2-48E3-8B93-7E22C91151E2}"/>
    <cellStyle name="Note 11 4 2 23" xfId="25664" xr:uid="{7DE57CBC-79AC-46E5-A1AB-5098A834DEE4}"/>
    <cellStyle name="Note 11 4 2 23 2" xfId="44508" xr:uid="{783A7133-996E-4962-87F4-3B926CBA6D06}"/>
    <cellStyle name="Note 11 4 2 24" xfId="26542" xr:uid="{0ECA3F31-99D1-499F-ABA6-EC8B7D8C33AD}"/>
    <cellStyle name="Note 11 4 2 24 2" xfId="45117" xr:uid="{4D3F25F4-6480-4D9E-9F18-1152A352DC9D}"/>
    <cellStyle name="Note 11 4 2 25" xfId="29420" xr:uid="{AA36804B-8C7A-4CAB-963F-EC22643A2742}"/>
    <cellStyle name="Note 11 4 2 25 2" xfId="46881" xr:uid="{42A7FBFC-04FF-4D48-8860-5BB88E293D8C}"/>
    <cellStyle name="Note 11 4 2 26" xfId="20450" xr:uid="{2362BCC2-563B-4870-9C46-643C7D839250}"/>
    <cellStyle name="Note 11 4 2 26 2" xfId="40847" xr:uid="{7EF7BFE2-6B37-4861-A911-E017F66391E9}"/>
    <cellStyle name="Note 11 4 2 27" xfId="25625" xr:uid="{D391F9F5-FD20-415C-9EBA-CBAE1114B9C8}"/>
    <cellStyle name="Note 11 4 2 27 2" xfId="44482" xr:uid="{D7755C5B-DC6B-42EA-9E03-2C504741F8EE}"/>
    <cellStyle name="Note 11 4 2 28" xfId="6279" xr:uid="{617397F5-4980-458A-8A15-D2E32A2D348C}"/>
    <cellStyle name="Note 11 4 2 3" xfId="9144" xr:uid="{AF01C1D1-2EEA-4DF1-B710-6101E2793998}"/>
    <cellStyle name="Note 11 4 2 3 2" xfId="33138" xr:uid="{FAB805B7-B11A-4387-882D-EE104B5442F9}"/>
    <cellStyle name="Note 11 4 2 4" xfId="8307" xr:uid="{6859A31C-4AB7-4451-AFED-1A3BD2DFD252}"/>
    <cellStyle name="Note 11 4 2 4 2" xfId="32546" xr:uid="{B597E712-631A-4B0F-9756-2EACADA474FF}"/>
    <cellStyle name="Note 11 4 2 5" xfId="12090" xr:uid="{C0738DB2-BC98-41A9-8C3E-87B718516700}"/>
    <cellStyle name="Note 11 4 2 5 2" xfId="34648" xr:uid="{2982F062-8A98-4E8E-A6FF-6FD77E2171EA}"/>
    <cellStyle name="Note 11 4 2 6" xfId="13121" xr:uid="{2A0E531F-2644-479F-9260-29D622A3E261}"/>
    <cellStyle name="Note 11 4 2 6 2" xfId="35469" xr:uid="{F792DA16-63E1-42B2-A5A8-A87DEF236B49}"/>
    <cellStyle name="Note 11 4 2 7" xfId="8676" xr:uid="{356D8E13-F948-4D99-B305-AE9A1E58028A}"/>
    <cellStyle name="Note 11 4 2 7 2" xfId="32806" xr:uid="{5BF12DE8-9104-475E-A14B-3985BF4B2F46}"/>
    <cellStyle name="Note 11 4 2 8" xfId="14991" xr:uid="{80A52FE6-8FDC-4DEB-BC86-140D57012036}"/>
    <cellStyle name="Note 11 4 2 8 2" xfId="36849" xr:uid="{A26383A7-4041-4828-A754-03E3A2EB8A4E}"/>
    <cellStyle name="Note 11 4 2 9" xfId="11961" xr:uid="{22079722-1DBA-401F-A61F-6C25ACD1FA83}"/>
    <cellStyle name="Note 11 4 2 9 2" xfId="34533" xr:uid="{3E4D0049-E78A-4265-BD8F-A2DE18035A0F}"/>
    <cellStyle name="Note 11 4 20" xfId="24828" xr:uid="{9C33D9EB-0397-4F5E-945D-1871B5D13485}"/>
    <cellStyle name="Note 11 4 20 2" xfId="43968" xr:uid="{76D803BD-E476-4CB8-A08C-F22E82F25360}"/>
    <cellStyle name="Note 11 4 21" xfId="16855" xr:uid="{19F61E3A-1B59-4F8C-9E39-453BAD46C976}"/>
    <cellStyle name="Note 11 4 21 2" xfId="38283" xr:uid="{D1AA4162-C6F5-4CE4-9D18-6AEFFBD79FF3}"/>
    <cellStyle name="Note 11 4 22" xfId="24641" xr:uid="{72512CB7-85AF-4D5B-9E26-5AB6B9A11843}"/>
    <cellStyle name="Note 11 4 22 2" xfId="43798" xr:uid="{76B11594-4674-4028-BCA1-C27B87E30956}"/>
    <cellStyle name="Note 11 4 23" xfId="23340" xr:uid="{FD6836CC-4B35-4744-880A-7888FB04B7BD}"/>
    <cellStyle name="Note 11 4 23 2" xfId="42905" xr:uid="{4603BF74-80C4-47B7-9DA2-FC7170C72E05}"/>
    <cellStyle name="Note 11 4 24" xfId="26144" xr:uid="{6AB458E3-223D-41C6-BDBA-14EC1D79242A}"/>
    <cellStyle name="Note 11 4 24 2" xfId="44885" xr:uid="{23F35699-71E1-43DF-9697-99E5161F4749}"/>
    <cellStyle name="Note 11 4 25" xfId="24033" xr:uid="{007E0BB4-17F5-493C-9044-98895F47110A}"/>
    <cellStyle name="Note 11 4 25 2" xfId="43410" xr:uid="{0E387FFF-4AB8-4FD4-8DFF-2802B7389363}"/>
    <cellStyle name="Note 11 4 26" xfId="29414" xr:uid="{12235438-E49E-4FFD-96A0-33A9364EED06}"/>
    <cellStyle name="Note 11 4 26 2" xfId="46875" xr:uid="{0672D2E3-55AA-4190-98B2-E10DC507D1F4}"/>
    <cellStyle name="Note 11 4 27" xfId="27726" xr:uid="{582CE4AC-2256-492E-A84F-378EC33473E7}"/>
    <cellStyle name="Note 11 4 27 2" xfId="45833" xr:uid="{47167940-9893-4FBC-8089-320CB7A5FE2E}"/>
    <cellStyle name="Note 11 4 28" xfId="28402" xr:uid="{C4C4C014-F1CE-4DFF-95FD-8D0660B9616F}"/>
    <cellStyle name="Note 11 4 28 2" xfId="46249" xr:uid="{2FAB1784-CC1F-4BD1-8BBF-F50AABF7D8D0}"/>
    <cellStyle name="Note 11 4 29" xfId="6278" xr:uid="{DE8B39A8-36FA-4B1B-A737-2F52F93F3CC7}"/>
    <cellStyle name="Note 11 4 3" xfId="8262" xr:uid="{25382BC4-B75C-420E-90B6-907BE09330C0}"/>
    <cellStyle name="Note 11 4 3 2" xfId="32501" xr:uid="{36CF6FC2-9A0B-4E9F-8AB3-06467B36125B}"/>
    <cellStyle name="Note 11 4 4" xfId="9143" xr:uid="{E1B00EA2-324D-48E3-94C6-79F4C18A8EB5}"/>
    <cellStyle name="Note 11 4 4 2" xfId="33137" xr:uid="{64BFA6F2-0BCE-434A-AE03-DC809DF0745D}"/>
    <cellStyle name="Note 11 4 5" xfId="8308" xr:uid="{08FEC2B1-B6B3-441C-9AD9-E25A1DFDACCD}"/>
    <cellStyle name="Note 11 4 5 2" xfId="32547" xr:uid="{3CB7A181-F0B9-4465-A30B-D152D63725A3}"/>
    <cellStyle name="Note 11 4 6" xfId="9120" xr:uid="{18D2463F-A56F-4E56-97F3-E32CE87D4CC5}"/>
    <cellStyle name="Note 11 4 6 2" xfId="33121" xr:uid="{0021753B-77CC-4294-AC84-097E00C6871B}"/>
    <cellStyle name="Note 11 4 7" xfId="10343" xr:uid="{4905CA29-865A-4046-B466-1F2D0BF61BB0}"/>
    <cellStyle name="Note 11 4 7 2" xfId="33978" xr:uid="{3B3131C9-E3F4-4EEC-A85F-4BE293427F91}"/>
    <cellStyle name="Note 11 4 8" xfId="8677" xr:uid="{06BAB097-BF1B-4D2E-B6FF-9A342C4C4AE9}"/>
    <cellStyle name="Note 11 4 8 2" xfId="32807" xr:uid="{13EE74B0-C37A-43C0-984B-AAC190DF4E46}"/>
    <cellStyle name="Note 11 4 9" xfId="13527" xr:uid="{39E58D5E-B4FE-4219-AF4D-FDC6F4899E0E}"/>
    <cellStyle name="Note 11 4 9 2" xfId="35770" xr:uid="{7BA817B7-D23B-4317-9402-20500B561DAB}"/>
    <cellStyle name="Note 11 5" xfId="2733" xr:uid="{4884F1AB-39FB-4C91-863F-A385B42F4408}"/>
    <cellStyle name="Note 11 5 10" xfId="7550" xr:uid="{7777006C-EFFE-4AE4-8337-84A7ACF9716F}"/>
    <cellStyle name="Note 11 5 10 2" xfId="31868" xr:uid="{243BBF72-226B-4898-A81C-71022A1FE5E5}"/>
    <cellStyle name="Note 11 5 11" xfId="10321" xr:uid="{FC33077D-DA4E-4F59-B3CB-792C96B9F6D1}"/>
    <cellStyle name="Note 11 5 11 2" xfId="33956" xr:uid="{DA002D86-A48C-4C4D-897F-D5707909876D}"/>
    <cellStyle name="Note 11 5 12" xfId="9609" xr:uid="{8698A788-E159-40C9-8312-BDBC77EADCE8}"/>
    <cellStyle name="Note 11 5 12 2" xfId="33505" xr:uid="{81C3A370-8475-4C0E-970E-137E24ABF851}"/>
    <cellStyle name="Note 11 5 13" xfId="12734" xr:uid="{C651FD13-97FD-4C11-B245-77B585692633}"/>
    <cellStyle name="Note 11 5 13 2" xfId="35143" xr:uid="{36F38ECD-0CBB-4A3B-A626-934E9A599931}"/>
    <cellStyle name="Note 11 5 14" xfId="9640" xr:uid="{5F0D6BBA-38D1-4BCB-BA81-DEE61837562A}"/>
    <cellStyle name="Note 11 5 14 2" xfId="33535" xr:uid="{CD49423E-4ACB-4DC1-82B0-B634731E389E}"/>
    <cellStyle name="Note 11 5 15" xfId="12650" xr:uid="{F79F53D4-D5CC-4F28-8872-03C4DC8EDE94}"/>
    <cellStyle name="Note 11 5 15 2" xfId="35076" xr:uid="{DD3F7066-88ED-42AD-AC80-E5EFD801E189}"/>
    <cellStyle name="Note 11 5 16" xfId="15042" xr:uid="{B90ADD1D-AAF4-4D73-BA18-F1B95CA3545A}"/>
    <cellStyle name="Note 11 5 16 2" xfId="36891" xr:uid="{E3BDF1EA-D7A0-486C-9EDF-11692FB09565}"/>
    <cellStyle name="Note 11 5 17" xfId="15287" xr:uid="{C6F7D141-9BB8-4111-9F58-612E59714817}"/>
    <cellStyle name="Note 11 5 17 2" xfId="37004" xr:uid="{CCC5B266-6E4D-4475-902F-DDB901D8EEB5}"/>
    <cellStyle name="Note 11 5 18" xfId="16416" xr:uid="{1EF3B9CC-117D-46C8-8380-74642E0F2FCF}"/>
    <cellStyle name="Note 11 5 18 2" xfId="37924" xr:uid="{94AE7592-BEB2-4A82-9BE0-A91E8167A625}"/>
    <cellStyle name="Note 11 5 19" xfId="18876" xr:uid="{63D827A3-15A3-4EE3-BCE1-CE246134727E}"/>
    <cellStyle name="Note 11 5 19 2" xfId="39710" xr:uid="{3298B6F4-B022-4D21-A211-6B6BACD0A675}"/>
    <cellStyle name="Note 11 5 2" xfId="2734" xr:uid="{810E54EF-4B44-490A-84FF-2D3FA3671EE8}"/>
    <cellStyle name="Note 11 5 2 10" xfId="13140" xr:uid="{F63A040B-C3CF-420D-B9B8-B521F0F30C0B}"/>
    <cellStyle name="Note 11 5 2 10 2" xfId="35488" xr:uid="{29CA5741-5BEA-48D5-817E-47A7BD2AE4D9}"/>
    <cellStyle name="Note 11 5 2 11" xfId="9608" xr:uid="{B7F7AAF2-BABC-425F-8CD5-DE720A8B16FF}"/>
    <cellStyle name="Note 11 5 2 11 2" xfId="33504" xr:uid="{7F7BD569-F83B-4808-9EDC-27E5E3749016}"/>
    <cellStyle name="Note 11 5 2 12" xfId="13641" xr:uid="{51FCC2A0-2C9F-4D66-8503-855D2B714C9A}"/>
    <cellStyle name="Note 11 5 2 12 2" xfId="35805" xr:uid="{FB10F0C7-375D-48DF-8967-2E62B3A533EC}"/>
    <cellStyle name="Note 11 5 2 13" xfId="13805" xr:uid="{F194ED8B-F14C-4896-8188-407F5CEC41D1}"/>
    <cellStyle name="Note 11 5 2 13 2" xfId="35932" xr:uid="{F884F9B3-07C0-4AEF-B5C2-4E755E305BE8}"/>
    <cellStyle name="Note 11 5 2 14" xfId="19834" xr:uid="{950F3321-8714-42C3-8B06-B8E7F2E48D1A}"/>
    <cellStyle name="Note 11 5 2 14 2" xfId="40447" xr:uid="{C0D54CD1-12B3-487F-A037-77B992F6CDBA}"/>
    <cellStyle name="Note 11 5 2 15" xfId="9988" xr:uid="{9033441D-016B-48DA-BBE1-3644FA58661E}"/>
    <cellStyle name="Note 11 5 2 15 2" xfId="33733" xr:uid="{48A9214A-1625-4BDA-9CCE-F91213E99A09}"/>
    <cellStyle name="Note 11 5 2 16" xfId="21557" xr:uid="{5D2D1733-D33E-4F00-A121-A09CD02230A0}"/>
    <cellStyle name="Note 11 5 2 16 2" xfId="41641" xr:uid="{82DC469F-FE3D-456C-B41C-E0A6003F974A}"/>
    <cellStyle name="Note 11 5 2 17" xfId="20298" xr:uid="{19104BB6-B810-4E2A-980F-CCEF9104AA9B}"/>
    <cellStyle name="Note 11 5 2 17 2" xfId="40735" xr:uid="{2E5B8051-235A-490B-9785-89AB2771A932}"/>
    <cellStyle name="Note 11 5 2 18" xfId="26338" xr:uid="{274BD4FA-9A95-4F7C-B8A8-0C63CEBD6C5D}"/>
    <cellStyle name="Note 11 5 2 18 2" xfId="45020" xr:uid="{9D6D83B4-A48D-44CD-8DE9-9A13CD8897BF}"/>
    <cellStyle name="Note 11 5 2 19" xfId="24812" xr:uid="{8CC07C05-A181-4685-B2B9-AFEEF4C5C63B}"/>
    <cellStyle name="Note 11 5 2 19 2" xfId="43952" xr:uid="{AEF0AD16-0065-40DB-8FB2-AAD28CA8DD76}"/>
    <cellStyle name="Note 11 5 2 2" xfId="8259" xr:uid="{FF74E069-DEE7-4442-B734-727272949F0D}"/>
    <cellStyle name="Note 11 5 2 2 2" xfId="32498" xr:uid="{66856CBC-957B-4DFC-A41C-AE0D3199B4C4}"/>
    <cellStyle name="Note 11 5 2 20" xfId="25925" xr:uid="{FE1C5E0F-DB32-4E7D-B21F-1611E462877D}"/>
    <cellStyle name="Note 11 5 2 20 2" xfId="44724" xr:uid="{A8D8523C-FA5D-429D-AC0E-C3AD6258D036}"/>
    <cellStyle name="Note 11 5 2 21" xfId="22838" xr:uid="{C0C74E81-B8F4-41E1-BF28-E89423D3B85B}"/>
    <cellStyle name="Note 11 5 2 21 2" xfId="42556" xr:uid="{F1B894DE-B2B0-432D-8A58-6E73305A7482}"/>
    <cellStyle name="Note 11 5 2 22" xfId="22577" xr:uid="{653EA245-FD4D-4B1D-8CF6-D42EF1C19130}"/>
    <cellStyle name="Note 11 5 2 22 2" xfId="42363" xr:uid="{619B3CF6-E7B8-45B3-9D2F-7FF4852D12F1}"/>
    <cellStyle name="Note 11 5 2 23" xfId="27233" xr:uid="{0E974FC9-F06F-4B1D-A496-65A59DF7B682}"/>
    <cellStyle name="Note 11 5 2 23 2" xfId="45568" xr:uid="{5563AC6C-2C78-428A-A20F-D35B5C0AA7DC}"/>
    <cellStyle name="Note 11 5 2 24" xfId="25869" xr:uid="{C4BDFA79-AE62-412D-95F9-B7EC646BC5EB}"/>
    <cellStyle name="Note 11 5 2 24 2" xfId="44686" xr:uid="{547B8841-3501-4428-9A9F-050DB54848CD}"/>
    <cellStyle name="Note 11 5 2 25" xfId="26575" xr:uid="{0F74ED14-01B2-4C32-BEDD-095CC9521A81}"/>
    <cellStyle name="Note 11 5 2 25 2" xfId="45140" xr:uid="{3B54651E-3FBD-45FF-A661-E48EB67C1E41}"/>
    <cellStyle name="Note 11 5 2 26" xfId="30939" xr:uid="{B113EE31-5B36-4088-B5AD-DF2BFD295BAB}"/>
    <cellStyle name="Note 11 5 2 26 2" xfId="47772" xr:uid="{4622E895-D2DA-4090-91BC-D74307308D89}"/>
    <cellStyle name="Note 11 5 2 27" xfId="28041" xr:uid="{CC37F398-AFA0-4535-A118-4A1F8DB90C7A}"/>
    <cellStyle name="Note 11 5 2 27 2" xfId="46039" xr:uid="{55ECCF1D-E8CE-4804-98BC-FA47E901C3FF}"/>
    <cellStyle name="Note 11 5 2 28" xfId="6281" xr:uid="{645CC362-5D51-4FCF-B716-12468BB28C47}"/>
    <cellStyle name="Note 11 5 2 3" xfId="9145" xr:uid="{197C2D08-0162-4095-A6C6-F08F943D3EA8}"/>
    <cellStyle name="Note 11 5 2 3 2" xfId="33139" xr:uid="{6BBD5EA1-F09D-4B69-A29D-9EFEF74AA584}"/>
    <cellStyle name="Note 11 5 2 4" xfId="8305" xr:uid="{DC1D98ED-F76D-4598-B499-B303A67FA90C}"/>
    <cellStyle name="Note 11 5 2 4 2" xfId="32544" xr:uid="{0A5F337D-816D-40D7-A706-35AD61775131}"/>
    <cellStyle name="Note 11 5 2 5" xfId="12091" xr:uid="{2BD818DF-DF30-42BD-98D6-ACA56DCA04AC}"/>
    <cellStyle name="Note 11 5 2 5 2" xfId="34649" xr:uid="{992ACAB2-A2B1-45AD-91A8-D612BB6FD42B}"/>
    <cellStyle name="Note 11 5 2 6" xfId="10344" xr:uid="{17F8F369-AB97-4349-9C59-69F09B09FEEB}"/>
    <cellStyle name="Note 11 5 2 6 2" xfId="33979" xr:uid="{6AEEBF67-9422-490A-A0F3-12765B1C437F}"/>
    <cellStyle name="Note 11 5 2 7" xfId="8674" xr:uid="{1056F56E-252F-41F4-AD24-9C090B1D78F4}"/>
    <cellStyle name="Note 11 5 2 7 2" xfId="32804" xr:uid="{E48C8AE0-9905-4D31-829B-26A8D01D17AB}"/>
    <cellStyle name="Note 11 5 2 8" xfId="13509" xr:uid="{147A4ADA-54AA-450B-8423-BD2267A51DA7}"/>
    <cellStyle name="Note 11 5 2 8 2" xfId="35761" xr:uid="{77046D43-7666-4596-9C61-CBAF7E5B4B6A}"/>
    <cellStyle name="Note 11 5 2 9" xfId="11960" xr:uid="{236AE5FC-DCDE-4963-801C-2BCDF171F46F}"/>
    <cellStyle name="Note 11 5 2 9 2" xfId="34532" xr:uid="{115C1F74-08A6-450D-BADC-832E3FEBB665}"/>
    <cellStyle name="Note 11 5 20" xfId="24827" xr:uid="{87C8D160-2B39-4F1A-B879-9FF482CC16F9}"/>
    <cellStyle name="Note 11 5 20 2" xfId="43967" xr:uid="{0F356B04-06A9-43A5-8F36-8BE709C3921F}"/>
    <cellStyle name="Note 11 5 21" xfId="20592" xr:uid="{A9FDCE4D-6EEC-458A-BA50-35B545E3213D}"/>
    <cellStyle name="Note 11 5 21 2" xfId="40952" xr:uid="{7D0F796B-CFB6-4B8A-A106-B34D4905F6E9}"/>
    <cellStyle name="Note 11 5 22" xfId="24656" xr:uid="{BD78CBB0-BA9E-4857-821C-37952103EFA2}"/>
    <cellStyle name="Note 11 5 22 2" xfId="43801" xr:uid="{8585CD99-CBC6-48BE-9BC7-3C162BA19EB0}"/>
    <cellStyle name="Note 11 5 23" xfId="20151" xr:uid="{08BBF230-D7DD-4D13-9BB0-02785CEA349B}"/>
    <cellStyle name="Note 11 5 23 2" xfId="40658" xr:uid="{62B4179A-A29F-40DE-875C-2F9E4A26D709}"/>
    <cellStyle name="Note 11 5 24" xfId="26143" xr:uid="{429EC303-4DEF-4CCB-9B99-0F08BE04B611}"/>
    <cellStyle name="Note 11 5 24 2" xfId="44884" xr:uid="{2F06FDDE-F786-4B76-BFA0-DFA6AB6BFB8E}"/>
    <cellStyle name="Note 11 5 25" xfId="22189" xr:uid="{00C542CA-7E61-4023-9F2D-7D65EA82EF87}"/>
    <cellStyle name="Note 11 5 25 2" xfId="42068" xr:uid="{C72482CD-D2BC-4750-869C-0CD45CF85657}"/>
    <cellStyle name="Note 11 5 26" xfId="28937" xr:uid="{607368C1-5C69-4DEA-A6EA-1438EC7FEC3D}"/>
    <cellStyle name="Note 11 5 26 2" xfId="46533" xr:uid="{CF29AA12-941D-4E4B-8D53-2D3E14EFB847}"/>
    <cellStyle name="Note 11 5 27" xfId="23108" xr:uid="{6F02B4A6-F2ED-4EB9-813D-54FE02C30A44}"/>
    <cellStyle name="Note 11 5 27 2" xfId="42719" xr:uid="{3AE727D9-17CA-437B-9592-5EF08062C4F5}"/>
    <cellStyle name="Note 11 5 28" xfId="29546" xr:uid="{511C2D5F-09ED-4D73-BB33-CA72628A19EE}"/>
    <cellStyle name="Note 11 5 28 2" xfId="46947" xr:uid="{7BBF252D-5ECE-42C1-BB00-28B02D739103}"/>
    <cellStyle name="Note 11 5 29" xfId="6280" xr:uid="{BA8382AE-39BC-4D44-A98F-453B081F594F}"/>
    <cellStyle name="Note 11 5 3" xfId="8260" xr:uid="{C47DB018-C08C-421F-B830-2BDAEC0583DF}"/>
    <cellStyle name="Note 11 5 3 2" xfId="32499" xr:uid="{589E6F89-7483-4571-A7A2-B0908E40FC28}"/>
    <cellStyle name="Note 11 5 4" xfId="12131" xr:uid="{772784B3-6B13-49B9-9F1F-0904FF4965D8}"/>
    <cellStyle name="Note 11 5 4 2" xfId="34676" xr:uid="{23C6CABD-917E-4E67-A1A7-EC436F1A3547}"/>
    <cellStyle name="Note 11 5 5" xfId="8306" xr:uid="{12F949B1-1B16-4C69-8CF4-4A76E477C9FF}"/>
    <cellStyle name="Note 11 5 5 2" xfId="32545" xr:uid="{54575801-DE55-493F-9293-11A0DC2F5FE2}"/>
    <cellStyle name="Note 11 5 6" xfId="12108" xr:uid="{A4AFB65C-FD53-4D23-971D-E89F675A62D0}"/>
    <cellStyle name="Note 11 5 6 2" xfId="34655" xr:uid="{DAEDF6F0-CD9A-49E4-AD22-CB9919212F6B}"/>
    <cellStyle name="Note 11 5 7" xfId="14343" xr:uid="{C3613890-467E-4C92-9EE5-9D2D03F527A3}"/>
    <cellStyle name="Note 11 5 7 2" xfId="36379" xr:uid="{1A4E342A-8C49-4143-A8C5-251C4FC785D0}"/>
    <cellStyle name="Note 11 5 8" xfId="8675" xr:uid="{83E5EEB9-3F3F-4ABB-A3A3-A80A998A0315}"/>
    <cellStyle name="Note 11 5 8 2" xfId="32805" xr:uid="{FEE01558-5F41-4797-A043-E021754AF30B}"/>
    <cellStyle name="Note 11 5 9" xfId="10507" xr:uid="{B7449DCA-8CB9-4F1C-BAA8-2892BB6C02FA}"/>
    <cellStyle name="Note 11 5 9 2" xfId="34142" xr:uid="{76DC8726-1A82-4D34-A72A-D1EAD695C97B}"/>
    <cellStyle name="Note 11 6" xfId="2735" xr:uid="{3CF33557-A8C7-40EF-810D-BB8C8DE5D5ED}"/>
    <cellStyle name="Note 11 6 10" xfId="7549" xr:uid="{7A04D07B-FD42-455D-892D-84ED2E75D93A}"/>
    <cellStyle name="Note 11 6 10 2" xfId="31867" xr:uid="{6A4B6BFD-6EE2-413F-BFD2-DD0DBD4F1355}"/>
    <cellStyle name="Note 11 6 11" xfId="10322" xr:uid="{016A8D8F-3A56-453D-9E5A-E544588C7827}"/>
    <cellStyle name="Note 11 6 11 2" xfId="33957" xr:uid="{9113DDFF-066A-4BFE-8F61-AC0FECCCBB94}"/>
    <cellStyle name="Note 11 6 12" xfId="14552" xr:uid="{10DA04FC-ADA1-4BCC-A8BF-0E1F6FBCA736}"/>
    <cellStyle name="Note 11 6 12 2" xfId="36483" xr:uid="{BA1FA0F1-70F7-4EFC-A160-3D08DCEAE02E}"/>
    <cellStyle name="Note 11 6 13" xfId="19250" xr:uid="{855494F2-5EE4-4C5D-AD65-02A392181F74}"/>
    <cellStyle name="Note 11 6 13 2" xfId="40039" xr:uid="{4582896B-E815-4D1E-B8DA-0D54D9142326}"/>
    <cellStyle name="Note 11 6 14" xfId="14334" xr:uid="{EC951A4D-5C90-4293-985C-9ED636BF6994}"/>
    <cellStyle name="Note 11 6 14 2" xfId="36374" xr:uid="{CFEDA3A3-E343-4E07-94D8-D738607AFCF8}"/>
    <cellStyle name="Note 11 6 15" xfId="17687" xr:uid="{6646267E-9EFA-4409-A8AC-4804CFB7E6B6}"/>
    <cellStyle name="Note 11 6 15 2" xfId="38872" xr:uid="{90EC289B-3CA7-4A10-BBD4-A62B7641FBB8}"/>
    <cellStyle name="Note 11 6 16" xfId="9989" xr:uid="{9F76B276-3BAC-45F9-9659-27A7EFED0E16}"/>
    <cellStyle name="Note 11 6 16 2" xfId="33734" xr:uid="{CE489643-4732-4800-9CF7-380988E61870}"/>
    <cellStyle name="Note 11 6 17" xfId="19684" xr:uid="{441928B3-4AA0-43E5-86AA-B6E983E99FF6}"/>
    <cellStyle name="Note 11 6 17 2" xfId="40301" xr:uid="{73B991E1-D422-45C7-9517-65819117AC07}"/>
    <cellStyle name="Note 11 6 18" xfId="16415" xr:uid="{33DAEC85-B15C-4FBD-A6CA-36DC48CD9644}"/>
    <cellStyle name="Note 11 6 18 2" xfId="37923" xr:uid="{C23C5E18-FD26-4D1E-B15C-47DCD93D8D89}"/>
    <cellStyle name="Note 11 6 19" xfId="20605" xr:uid="{12B51E40-3E48-44B3-BCD1-400CABF6E382}"/>
    <cellStyle name="Note 11 6 19 2" xfId="40965" xr:uid="{1E477717-12FA-4A0A-96B4-E134D236B6F6}"/>
    <cellStyle name="Note 11 6 2" xfId="2736" xr:uid="{CE485688-6B08-4D95-BB42-609EEFF6D376}"/>
    <cellStyle name="Note 11 6 2 10" xfId="13139" xr:uid="{970A1E59-4FB9-4D48-9A17-FFB137E129F9}"/>
    <cellStyle name="Note 11 6 2 10 2" xfId="35487" xr:uid="{5946ACE6-292B-40BB-8B58-99B71B00DBC6}"/>
    <cellStyle name="Note 11 6 2 11" xfId="9606" xr:uid="{3342FAB1-B74F-4E6C-9D0E-F402955CDA21}"/>
    <cellStyle name="Note 11 6 2 11 2" xfId="33502" xr:uid="{DA2C3EE2-3A4C-4A1C-8623-328B8CF31935}"/>
    <cellStyle name="Note 11 6 2 12" xfId="15559" xr:uid="{56C55725-1B52-44CA-A275-DD661BCF540A}"/>
    <cellStyle name="Note 11 6 2 12 2" xfId="37224" xr:uid="{7F7DAB19-23EB-4574-870A-CB94B540C7FC}"/>
    <cellStyle name="Note 11 6 2 13" xfId="9645" xr:uid="{C323D7AC-5A10-40EA-84B2-D1E50289B1CE}"/>
    <cellStyle name="Note 11 6 2 13 2" xfId="33537" xr:uid="{3FE4B99A-AC3C-42B3-BD19-A639DB2D8A8A}"/>
    <cellStyle name="Note 11 6 2 14" xfId="19833" xr:uid="{424BFE7D-C38A-497D-9F5B-C1CEAA43FCA9}"/>
    <cellStyle name="Note 11 6 2 14 2" xfId="40446" xr:uid="{A9D905F5-0D4C-414A-8C1F-A722B50A6E6B}"/>
    <cellStyle name="Note 11 6 2 15" xfId="15041" xr:uid="{3D7BD321-A51D-48C9-89C6-1D8847DA55D2}"/>
    <cellStyle name="Note 11 6 2 15 2" xfId="36890" xr:uid="{B3E2589A-58FD-4775-AC28-9C5B04143D97}"/>
    <cellStyle name="Note 11 6 2 16" xfId="21556" xr:uid="{00410646-92D6-49CD-A623-5104AF675126}"/>
    <cellStyle name="Note 11 6 2 16 2" xfId="41640" xr:uid="{BE2EF3EC-9AEB-44A6-A7DE-B5A11B520CF0}"/>
    <cellStyle name="Note 11 6 2 17" xfId="13986" xr:uid="{212E2C39-7A0E-4330-8B62-A90B82D8E069}"/>
    <cellStyle name="Note 11 6 2 17 2" xfId="36083" xr:uid="{2814CA96-A256-4234-8075-8B9BB647DD3F}"/>
    <cellStyle name="Note 11 6 2 18" xfId="26337" xr:uid="{FC5D0334-8D4A-4F81-87DB-387D42962672}"/>
    <cellStyle name="Note 11 6 2 18 2" xfId="45019" xr:uid="{A23B9911-5B80-4F69-96AF-8DFD090E9DC4}"/>
    <cellStyle name="Note 11 6 2 19" xfId="24826" xr:uid="{C2F54ACE-40D3-4A42-86BA-EBD7D33BF0BB}"/>
    <cellStyle name="Note 11 6 2 19 2" xfId="43966" xr:uid="{6CE0FD19-7CA8-4CEE-A44A-B5F08394A1C2}"/>
    <cellStyle name="Note 11 6 2 2" xfId="8257" xr:uid="{E9C0DF98-C3C2-4FAB-9604-754D8C44E987}"/>
    <cellStyle name="Note 11 6 2 2 2" xfId="32496" xr:uid="{5BCDE98C-20AA-4885-989E-28C7628B299A}"/>
    <cellStyle name="Note 11 6 2 20" xfId="26339" xr:uid="{308E21D3-23EE-48D8-B1CD-C80D74DAE777}"/>
    <cellStyle name="Note 11 6 2 20 2" xfId="45021" xr:uid="{249931D9-8BBB-4A9F-8D32-2BB2DD83F602}"/>
    <cellStyle name="Note 11 6 2 21" xfId="22317" xr:uid="{0351711F-7B3B-4147-BE35-260F9A6BE5E3}"/>
    <cellStyle name="Note 11 6 2 21 2" xfId="42172" xr:uid="{84261C08-3EF1-4B45-98B1-B61776605263}"/>
    <cellStyle name="Note 11 6 2 22" xfId="19413" xr:uid="{6ACF06F6-21BC-490C-8F64-81B4A99E7D9A}"/>
    <cellStyle name="Note 11 6 2 22 2" xfId="40134" xr:uid="{B55A9D9C-A45E-4811-9C54-9A46EDF57CA1}"/>
    <cellStyle name="Note 11 6 2 23" xfId="27232" xr:uid="{3BE8C31F-E261-4DE7-85DD-0831C67D0039}"/>
    <cellStyle name="Note 11 6 2 23 2" xfId="45567" xr:uid="{E336B08A-7EF6-4C1B-8083-5A78502CA2A6}"/>
    <cellStyle name="Note 11 6 2 24" xfId="28070" xr:uid="{5B57F5D9-1105-4B89-BFDE-1F883744C338}"/>
    <cellStyle name="Note 11 6 2 24 2" xfId="46055" xr:uid="{0AC6B460-E54F-47AF-BE5B-D568AE08614D}"/>
    <cellStyle name="Note 11 6 2 25" xfId="26574" xr:uid="{125A1A25-65A9-44D7-A221-DBD0AFFF83F6}"/>
    <cellStyle name="Note 11 6 2 25 2" xfId="45139" xr:uid="{B3FE63A2-8CB2-4A61-9580-550E23EECAD9}"/>
    <cellStyle name="Note 11 6 2 26" xfId="30938" xr:uid="{390B997E-920B-4498-9585-ED3B9CC38FA8}"/>
    <cellStyle name="Note 11 6 2 26 2" xfId="47771" xr:uid="{07D34E22-0633-4FBB-BF98-A8C2111EE4A2}"/>
    <cellStyle name="Note 11 6 2 27" xfId="27062" xr:uid="{50A8F005-4A77-469C-B187-0F5158AA6DD0}"/>
    <cellStyle name="Note 11 6 2 27 2" xfId="45455" xr:uid="{41C10D2A-5497-4CEE-93BC-43C600E41F54}"/>
    <cellStyle name="Note 11 6 2 28" xfId="6283" xr:uid="{B4ABD0E5-301B-4D34-B436-0A9658518181}"/>
    <cellStyle name="Note 11 6 2 3" xfId="9146" xr:uid="{376FD7B6-516A-4C43-AFD2-69426DFB9AE5}"/>
    <cellStyle name="Note 11 6 2 3 2" xfId="33140" xr:uid="{94E4315B-5C8C-484A-A4D7-F8C60F0DDAF1}"/>
    <cellStyle name="Note 11 6 2 4" xfId="8303" xr:uid="{782E68FC-09C2-4E3F-9F80-48EC7D56C2D0}"/>
    <cellStyle name="Note 11 6 2 4 2" xfId="32542" xr:uid="{A3679086-910A-480B-AF40-284CD44CC8FA}"/>
    <cellStyle name="Note 11 6 2 5" xfId="9119" xr:uid="{2DF29298-B6D7-4A75-A6CA-6272F92F721C}"/>
    <cellStyle name="Note 11 6 2 5 2" xfId="33120" xr:uid="{1254DB1C-50D8-4A8A-A2EC-F2570607CE70}"/>
    <cellStyle name="Note 11 6 2 6" xfId="10345" xr:uid="{A37E7C6B-7998-41F2-AEF5-E03A4D03B8D3}"/>
    <cellStyle name="Note 11 6 2 6 2" xfId="33980" xr:uid="{F88B9349-EF59-4DC2-BAA4-F3B7BE960227}"/>
    <cellStyle name="Note 11 6 2 7" xfId="8672" xr:uid="{DB098F76-4AC5-4488-96A8-F55DDA0F8AB0}"/>
    <cellStyle name="Note 11 6 2 7 2" xfId="32802" xr:uid="{4E6C0549-EF96-4206-A655-06F21354BEB3}"/>
    <cellStyle name="Note 11 6 2 8" xfId="12967" xr:uid="{65AF7248-CA01-4902-9AFB-FC80311C7756}"/>
    <cellStyle name="Note 11 6 2 8 2" xfId="35315" xr:uid="{10DA2AF6-2F37-4F30-A3F9-9A7E5C2D85A2}"/>
    <cellStyle name="Note 11 6 2 9" xfId="11959" xr:uid="{9FEFD11B-76B0-4CB3-91F7-6D2F5A42287E}"/>
    <cellStyle name="Note 11 6 2 9 2" xfId="34531" xr:uid="{6C22C132-0C00-4862-92A6-9F496F0F7733}"/>
    <cellStyle name="Note 11 6 20" xfId="22360" xr:uid="{3DAAB868-7C66-4869-A4E3-6AEFC35A8959}"/>
    <cellStyle name="Note 11 6 20 2" xfId="42214" xr:uid="{F77EC28E-DC49-4411-BBD0-81CFEB189CCE}"/>
    <cellStyle name="Note 11 6 21" xfId="18870" xr:uid="{B7247507-8D43-41D2-9634-7487F80B0855}"/>
    <cellStyle name="Note 11 6 21 2" xfId="39704" xr:uid="{8CC48F27-2A6A-49C8-BCFC-BECF2AD3D8B6}"/>
    <cellStyle name="Note 11 6 22" xfId="24655" xr:uid="{1D7AE5A2-05DA-4E5A-8E5A-D3340A7D4D2E}"/>
    <cellStyle name="Note 11 6 22 2" xfId="43800" xr:uid="{43CD4412-2ACF-47B7-BAF2-0839B2EEE16A}"/>
    <cellStyle name="Note 11 6 23" xfId="17855" xr:uid="{A0C92267-CFB6-4C14-BF67-63330839C9A4}"/>
    <cellStyle name="Note 11 6 23 2" xfId="38971" xr:uid="{28346414-8244-4DCE-BE45-D0A9D20B673C}"/>
    <cellStyle name="Note 11 6 24" xfId="26799" xr:uid="{3D7AF542-C2EA-4EC9-B712-EF1D7B43581F}"/>
    <cellStyle name="Note 11 6 24 2" xfId="45274" xr:uid="{9B92C137-6734-42A9-BC94-3D4C465858D5}"/>
    <cellStyle name="Note 11 6 25" xfId="24032" xr:uid="{0B0C6961-4B4F-488E-85F7-27078A124F2F}"/>
    <cellStyle name="Note 11 6 25 2" xfId="43409" xr:uid="{49DD6683-5A9D-458D-8497-7F84A6B9DD39}"/>
    <cellStyle name="Note 11 6 26" xfId="26433" xr:uid="{18B3B58F-B659-4F7C-9EAE-765A8AF23211}"/>
    <cellStyle name="Note 11 6 26 2" xfId="45065" xr:uid="{997C8167-6026-482A-BDDF-BFCB89E54F62}"/>
    <cellStyle name="Note 11 6 27" xfId="18803" xr:uid="{7AB72812-AA6B-4195-A843-7B2C00EB0612}"/>
    <cellStyle name="Note 11 6 27 2" xfId="39658" xr:uid="{4EEFE1F8-2737-489F-BBB7-4F46DAE19783}"/>
    <cellStyle name="Note 11 6 28" xfId="28400" xr:uid="{DD092000-EA85-4412-B15B-4502536ED2C9}"/>
    <cellStyle name="Note 11 6 28 2" xfId="46247" xr:uid="{85983511-6F55-417B-B8A4-76C15EE1B8A7}"/>
    <cellStyle name="Note 11 6 29" xfId="6282" xr:uid="{F19D261A-9E8C-4BA8-9B30-10127019087C}"/>
    <cellStyle name="Note 11 6 3" xfId="8258" xr:uid="{58C269B6-2FAF-48C0-B03F-A06A9475472C}"/>
    <cellStyle name="Note 11 6 3 2" xfId="32497" xr:uid="{5FF3A522-D059-4806-A5E9-4B070DE9821C}"/>
    <cellStyle name="Note 11 6 4" xfId="12132" xr:uid="{10AF61E4-A42E-4786-A236-03ECC8D52387}"/>
    <cellStyle name="Note 11 6 4 2" xfId="34677" xr:uid="{9EAAF580-E63C-415D-84F1-56C10180A976}"/>
    <cellStyle name="Note 11 6 5" xfId="8304" xr:uid="{449883C2-9065-4B11-8FE8-477E7BE871EB}"/>
    <cellStyle name="Note 11 6 5 2" xfId="32543" xr:uid="{AFB0C11D-ACFC-429A-A208-3D26F237A546}"/>
    <cellStyle name="Note 11 6 6" xfId="12110" xr:uid="{1DF891CC-58EE-4FF1-8F02-385CD078D2D9}"/>
    <cellStyle name="Note 11 6 6 2" xfId="34657" xr:uid="{7C920BCF-0261-4D25-9EFD-5D08912E4B99}"/>
    <cellStyle name="Note 11 6 7" xfId="13120" xr:uid="{9C284A83-25DD-46DD-B9D7-DF467FE93D2D}"/>
    <cellStyle name="Note 11 6 7 2" xfId="35468" xr:uid="{98C13BAF-8784-40DC-8A7C-140E1EE04FF8}"/>
    <cellStyle name="Note 11 6 8" xfId="8673" xr:uid="{5474722F-8B8E-458B-99C9-8D2FCB3CA7A1}"/>
    <cellStyle name="Note 11 6 8 2" xfId="32803" xr:uid="{0CF7FDCD-F960-4B12-BFBC-DD376C7A0EA2}"/>
    <cellStyle name="Note 11 6 9" xfId="14990" xr:uid="{B36B2844-7011-43BE-8B21-A4CD6A3B88E5}"/>
    <cellStyle name="Note 11 6 9 2" xfId="36848" xr:uid="{622DC409-BC1D-4069-97D8-21E97272CD07}"/>
    <cellStyle name="Note 11 7" xfId="2737" xr:uid="{8277B870-B831-4424-9262-A1E2B42018BB}"/>
    <cellStyle name="Note 11 7 10" xfId="7548" xr:uid="{1B28D706-FA48-4901-8197-89738E09F4C7}"/>
    <cellStyle name="Note 11 7 10 2" xfId="31866" xr:uid="{5840580A-87B5-4A05-A1CB-182B4C29657C}"/>
    <cellStyle name="Note 11 7 11" xfId="10323" xr:uid="{B67086D4-184B-4618-B921-79BFFD041C7D}"/>
    <cellStyle name="Note 11 7 11 2" xfId="33958" xr:uid="{28F4B584-4096-4B95-8CA8-2F9499A25C53}"/>
    <cellStyle name="Note 11 7 12" xfId="9605" xr:uid="{319562AD-CF97-4646-AE4F-D92F6CBC2258}"/>
    <cellStyle name="Note 11 7 12 2" xfId="33501" xr:uid="{6F3AB147-8126-45DD-9240-4774DE7A1208}"/>
    <cellStyle name="Note 11 7 13" xfId="13645" xr:uid="{A0E5209A-3C0C-4586-BFD7-B22D40CDA1C2}"/>
    <cellStyle name="Note 11 7 13 2" xfId="35809" xr:uid="{7E20B8A5-4F01-4A27-9DCE-A391631265D4}"/>
    <cellStyle name="Note 11 7 14" xfId="9646" xr:uid="{799A5931-63D6-40FA-9392-CE329E492CAF}"/>
    <cellStyle name="Note 11 7 14 2" xfId="33538" xr:uid="{65A3C9CF-1772-4CED-9CAE-157CC42A96FD}"/>
    <cellStyle name="Note 11 7 15" xfId="17993" xr:uid="{919E2430-E9DE-4604-9EF4-1326F3121672}"/>
    <cellStyle name="Note 11 7 15 2" xfId="39089" xr:uid="{A8E33AF9-0AAD-4751-A93A-71428473DB24}"/>
    <cellStyle name="Note 11 7 16" xfId="9990" xr:uid="{13C4FD35-74AE-4C10-8247-DB5F5112BA7D}"/>
    <cellStyle name="Note 11 7 16 2" xfId="33735" xr:uid="{FFD78CDA-CD29-4733-9F46-7D6365F04BEB}"/>
    <cellStyle name="Note 11 7 17" xfId="17697" xr:uid="{025B7BC3-3965-4561-B855-8632795A16A4}"/>
    <cellStyle name="Note 11 7 17 2" xfId="38882" xr:uid="{989A3ADD-1D3C-4098-9031-E56A3AAB8CE2}"/>
    <cellStyle name="Note 11 7 18" xfId="9944" xr:uid="{C02491B9-24BE-4323-AF55-1AD0C3B04DAE}"/>
    <cellStyle name="Note 11 7 18 2" xfId="33689" xr:uid="{79D89EE7-9E15-42D2-BC0C-B33EB0651B48}"/>
    <cellStyle name="Note 11 7 19" xfId="18538" xr:uid="{E65600F9-B574-4E2D-9D52-2442186C0573}"/>
    <cellStyle name="Note 11 7 19 2" xfId="39490" xr:uid="{B89FD46E-8A5E-4E90-B5D7-5C0B61F9D02E}"/>
    <cellStyle name="Note 11 7 2" xfId="2738" xr:uid="{2EC744F3-CD52-49B2-98D8-69D4342CA0AD}"/>
    <cellStyle name="Note 11 7 2 10" xfId="13138" xr:uid="{8FF839C3-25AC-4311-ACFF-935608496A9B}"/>
    <cellStyle name="Note 11 7 2 10 2" xfId="35486" xr:uid="{3D5CAAA9-D74A-46EB-81B2-81D68918A997}"/>
    <cellStyle name="Note 11 7 2 11" xfId="9604" xr:uid="{2969884B-7ACA-47F3-9447-937A474EA55E}"/>
    <cellStyle name="Note 11 7 2 11 2" xfId="33500" xr:uid="{B0F45C4A-E56B-4CC2-A94D-CED2C80AB82A}"/>
    <cellStyle name="Note 11 7 2 12" xfId="19249" xr:uid="{EFD3BD87-CAD4-48A1-9CE1-D42D42E7860F}"/>
    <cellStyle name="Note 11 7 2 12 2" xfId="40038" xr:uid="{2B1F01AF-C3BE-441A-B453-3E4754265E23}"/>
    <cellStyle name="Note 11 7 2 13" xfId="9647" xr:uid="{F11D2AA7-AE2C-42BC-A60D-492C20EE3556}"/>
    <cellStyle name="Note 11 7 2 13 2" xfId="33539" xr:uid="{E76434EA-6F9A-43D3-A41C-EDCBEA3F59F0}"/>
    <cellStyle name="Note 11 7 2 14" xfId="19832" xr:uid="{E8DC2345-F34B-4A73-9503-EC21F3671D99}"/>
    <cellStyle name="Note 11 7 2 14 2" xfId="40445" xr:uid="{2AD8661E-23FD-4072-9131-EF25C3AA10BB}"/>
    <cellStyle name="Note 11 7 2 15" xfId="10022" xr:uid="{15DA7E8B-7F71-483E-BC0A-851CE2B76143}"/>
    <cellStyle name="Note 11 7 2 15 2" xfId="33736" xr:uid="{02C1620F-554E-4F07-99B2-4C388AABD902}"/>
    <cellStyle name="Note 11 7 2 16" xfId="17702" xr:uid="{2B6C76C9-ED65-4DCE-BD9D-088B33CF6519}"/>
    <cellStyle name="Note 11 7 2 16 2" xfId="38883" xr:uid="{2341307C-C049-4C73-B9B1-DC718AFB2782}"/>
    <cellStyle name="Note 11 7 2 17" xfId="16414" xr:uid="{2DC619BA-1758-4113-9E24-074286A25A19}"/>
    <cellStyle name="Note 11 7 2 17 2" xfId="37922" xr:uid="{17D2C000-7304-4D75-BB03-871CF85A7D74}"/>
    <cellStyle name="Note 11 7 2 18" xfId="26336" xr:uid="{B8AE78D1-8D81-4A6D-B356-D5EAA611E256}"/>
    <cellStyle name="Note 11 7 2 18 2" xfId="45018" xr:uid="{7C274739-BD8E-442D-BEA1-2DB3F9A183AB}"/>
    <cellStyle name="Note 11 7 2 19" xfId="26566" xr:uid="{70351E2D-3A49-4BCE-B9F5-3ECEF5456F1A}"/>
    <cellStyle name="Note 11 7 2 19 2" xfId="45133" xr:uid="{C8598E2C-5399-4014-8C87-46B468E5E988}"/>
    <cellStyle name="Note 11 7 2 2" xfId="8255" xr:uid="{95E68DFF-4A0B-467F-A179-EB77E405D656}"/>
    <cellStyle name="Note 11 7 2 2 2" xfId="32494" xr:uid="{E59CEC2D-4336-481A-A99C-B5A347F24DF9}"/>
    <cellStyle name="Note 11 7 2 20" xfId="20593" xr:uid="{6CC09A44-00A7-4A82-B9DA-0DFAD66C6220}"/>
    <cellStyle name="Note 11 7 2 20 2" xfId="40953" xr:uid="{203C9438-2AA7-496B-9D45-7422781B38EF}"/>
    <cellStyle name="Note 11 7 2 21" xfId="24654" xr:uid="{CF685750-AE97-4EA3-857E-C91C8C3BFA8C}"/>
    <cellStyle name="Note 11 7 2 21 2" xfId="43799" xr:uid="{AEC65EC4-1970-46D8-A6C1-D3A7AD85C1C0}"/>
    <cellStyle name="Note 11 7 2 22" xfId="21185" xr:uid="{29E6355B-BA86-4B2F-AC2F-ED71795F0AE3}"/>
    <cellStyle name="Note 11 7 2 22 2" xfId="41378" xr:uid="{065FB450-E422-4656-8FFE-31E934FA5A3C}"/>
    <cellStyle name="Note 11 7 2 23" xfId="26142" xr:uid="{9F903B38-D710-4CA1-B419-136281D4CB8A}"/>
    <cellStyle name="Note 11 7 2 23 2" xfId="44883" xr:uid="{FB4B00D0-545A-4D70-88A7-444658425096}"/>
    <cellStyle name="Note 11 7 2 24" xfId="24031" xr:uid="{93DF487F-4A93-4C9A-BACE-B19C46A0C674}"/>
    <cellStyle name="Note 11 7 2 24 2" xfId="43408" xr:uid="{E9447413-425F-43AB-B68D-778F3A855CA4}"/>
    <cellStyle name="Note 11 7 2 25" xfId="25855" xr:uid="{2B57BEC3-5B7C-4D3D-9FB8-D7924BFEA73A}"/>
    <cellStyle name="Note 11 7 2 25 2" xfId="44673" xr:uid="{34F96E4E-AC50-43C1-B36B-ABA75CBE947D}"/>
    <cellStyle name="Note 11 7 2 26" xfId="30937" xr:uid="{51919419-796B-43A4-9191-0D36FAC67548}"/>
    <cellStyle name="Note 11 7 2 26 2" xfId="47770" xr:uid="{9A5628ED-953D-43CA-A9FC-A3FD28C609AE}"/>
    <cellStyle name="Note 11 7 2 27" xfId="26059" xr:uid="{6C783F07-8A1D-47F2-9F6F-F93BEEE9F2A6}"/>
    <cellStyle name="Note 11 7 2 27 2" xfId="44824" xr:uid="{3D7B783A-E338-494A-801C-2385E2E361E4}"/>
    <cellStyle name="Note 11 7 2 28" xfId="6285" xr:uid="{5E75BCAB-522C-47F2-AC2E-DEA39CE616FE}"/>
    <cellStyle name="Note 11 7 2 3" xfId="12130" xr:uid="{28BE8CAF-85D1-40D8-B210-E7436AA1B6A9}"/>
    <cellStyle name="Note 11 7 2 3 2" xfId="34675" xr:uid="{50261DE2-2EA7-470C-882C-5E423DC1D219}"/>
    <cellStyle name="Note 11 7 2 4" xfId="8301" xr:uid="{605381FB-A751-4C33-A1BA-557D761EACF2}"/>
    <cellStyle name="Note 11 7 2 4 2" xfId="32540" xr:uid="{C7A6A8A5-E961-4EA2-B13D-95FC5F104608}"/>
    <cellStyle name="Note 11 7 2 5" xfId="9117" xr:uid="{3C0E7871-12A0-46D4-86CF-A7B46E33F44F}"/>
    <cellStyle name="Note 11 7 2 5 2" xfId="33118" xr:uid="{9F92DC1E-C085-4F56-8E59-B8940D421F92}"/>
    <cellStyle name="Note 11 7 2 6" xfId="10346" xr:uid="{DBD6732A-830E-4973-B0A0-5D86F819B4AF}"/>
    <cellStyle name="Note 11 7 2 6 2" xfId="33981" xr:uid="{D90899F6-06D7-487F-A1F9-045FF442F4AE}"/>
    <cellStyle name="Note 11 7 2 7" xfId="8670" xr:uid="{8EFCA262-34BD-4482-A34E-84029600AA30}"/>
    <cellStyle name="Note 11 7 2 7 2" xfId="32800" xr:uid="{28F14614-7363-4050-B289-AFBA8112E5BC}"/>
    <cellStyle name="Note 11 7 2 8" xfId="14973" xr:uid="{AD57CF03-8763-44EE-8238-E0DB33463F96}"/>
    <cellStyle name="Note 11 7 2 8 2" xfId="36847" xr:uid="{05536026-03B6-4AE6-BD28-A938DBAC6E2D}"/>
    <cellStyle name="Note 11 7 2 9" xfId="7530" xr:uid="{09563DC8-F0D8-4604-B6F7-134801D1BA8A}"/>
    <cellStyle name="Note 11 7 2 9 2" xfId="31864" xr:uid="{3DE1A07A-01FD-42EB-8962-091E4B79CADD}"/>
    <cellStyle name="Note 11 7 20" xfId="26371" xr:uid="{3B6EC1A5-B33C-47FC-8D31-669BEA57643F}"/>
    <cellStyle name="Note 11 7 20 2" xfId="45050" xr:uid="{928CC39F-7B99-484C-933D-A83B4CC6C796}"/>
    <cellStyle name="Note 11 7 21" xfId="26342" xr:uid="{DC9D37BA-88FD-4057-A2E9-7A89091F40C4}"/>
    <cellStyle name="Note 11 7 21 2" xfId="45024" xr:uid="{8D65F8D3-33D2-4A75-99A2-47BE3F9226C8}"/>
    <cellStyle name="Note 11 7 22" xfId="25764" xr:uid="{E0D77853-CFFF-447E-8614-676628ADC85E}"/>
    <cellStyle name="Note 11 7 22 2" xfId="44601" xr:uid="{EA707685-D522-42D6-AC1A-48E00E294CED}"/>
    <cellStyle name="Note 11 7 23" xfId="20152" xr:uid="{AC17CD02-0674-4D6D-99CB-89214EC9EB30}"/>
    <cellStyle name="Note 11 7 23 2" xfId="40659" xr:uid="{A4B7BDEE-E5A4-40D1-8F09-3DAB559923A9}"/>
    <cellStyle name="Note 11 7 24" xfId="23779" xr:uid="{2A2FDCA2-1AAE-465E-BE37-46EC49F18744}"/>
    <cellStyle name="Note 11 7 24 2" xfId="43180" xr:uid="{2F0D6696-ACB4-4080-B0A3-CC67E4FD98F3}"/>
    <cellStyle name="Note 11 7 25" xfId="19478" xr:uid="{F0FEDC06-BFE3-497C-BCAF-F9D16FEBD431}"/>
    <cellStyle name="Note 11 7 25 2" xfId="40155" xr:uid="{C98D639C-DA41-48B3-8A99-81393E0C2E4C}"/>
    <cellStyle name="Note 11 7 26" xfId="26432" xr:uid="{3D4D4EE6-2CE5-4C99-8530-DFF6C23F9BE9}"/>
    <cellStyle name="Note 11 7 26 2" xfId="45064" xr:uid="{A7EB5F42-8839-4620-8341-FF7211822D14}"/>
    <cellStyle name="Note 11 7 27" xfId="23107" xr:uid="{EDB7D7A4-8BA6-40DA-846B-FD67459A2640}"/>
    <cellStyle name="Note 11 7 27 2" xfId="42718" xr:uid="{9901EE5D-E11B-4B78-95B3-5134E6CB4680}"/>
    <cellStyle name="Note 11 7 28" xfId="28399" xr:uid="{6F9257F4-4639-44FC-8A4B-08EC2AF8F122}"/>
    <cellStyle name="Note 11 7 28 2" xfId="46246" xr:uid="{CC5B579B-7EE3-41EF-90AC-E2B104E0EABF}"/>
    <cellStyle name="Note 11 7 29" xfId="6284" xr:uid="{36F2FC6F-83D8-4609-A04B-8C221A722A8C}"/>
    <cellStyle name="Note 11 7 3" xfId="8256" xr:uid="{84564631-AC2E-4D84-A552-4CD023B28647}"/>
    <cellStyle name="Note 11 7 3 2" xfId="32495" xr:uid="{4BEC8D8A-F62D-43FB-86C0-10528F8CB831}"/>
    <cellStyle name="Note 11 7 4" xfId="12133" xr:uid="{133E8B8B-6129-4088-A9F4-B8B327FA9E00}"/>
    <cellStyle name="Note 11 7 4 2" xfId="34678" xr:uid="{58954C31-A6FF-4AD9-B7C3-59F80F1011D6}"/>
    <cellStyle name="Note 11 7 5" xfId="8302" xr:uid="{82F4A245-947D-4041-A1EC-376E0E722CA6}"/>
    <cellStyle name="Note 11 7 5 2" xfId="32541" xr:uid="{AE9BE645-8A8F-43A4-B69A-81A4556B3AF0}"/>
    <cellStyle name="Note 11 7 6" xfId="9118" xr:uid="{5A43968F-988C-4F25-AAA5-7C93043EBF59}"/>
    <cellStyle name="Note 11 7 6 2" xfId="33119" xr:uid="{5BAF5568-7C7A-4688-9BCF-A913742926D0}"/>
    <cellStyle name="Note 11 7 7" xfId="13119" xr:uid="{7C035356-32F0-43D2-979B-A628F1ED7A19}"/>
    <cellStyle name="Note 11 7 7 2" xfId="35467" xr:uid="{74791803-3F24-4788-BDB2-C72B12AC42A9}"/>
    <cellStyle name="Note 11 7 8" xfId="8671" xr:uid="{56C86371-1129-4EED-9816-EEBCC9563004}"/>
    <cellStyle name="Note 11 7 8 2" xfId="32801" xr:uid="{729088EC-ADB9-40CF-9F50-40382B68242D}"/>
    <cellStyle name="Note 11 7 9" xfId="12959" xr:uid="{306584E0-A4E7-45FA-B87A-CB2761491D28}"/>
    <cellStyle name="Note 11 7 9 2" xfId="35314" xr:uid="{2B675ACC-9E0E-490C-A972-1EA0A46BE42E}"/>
    <cellStyle name="Note 11 8" xfId="2739" xr:uid="{691B4BA3-B1DC-4FB2-8E50-48B4CBFDD73E}"/>
    <cellStyle name="Note 11 8 10" xfId="10324" xr:uid="{A4285852-1D83-40B8-A95E-2EDE36706153}"/>
    <cellStyle name="Note 11 8 10 2" xfId="33959" xr:uid="{C3C6E559-1FF1-4D6B-86C8-514F3B647C2E}"/>
    <cellStyle name="Note 11 8 11" xfId="9603" xr:uid="{DAB36249-EACF-4FAF-AF67-9BC4E9D9AA6E}"/>
    <cellStyle name="Note 11 8 11 2" xfId="33499" xr:uid="{BBA8B978-4789-469A-B253-A8D2EF23B5A8}"/>
    <cellStyle name="Note 11 8 12" xfId="13839" xr:uid="{42D8EF4A-553B-4FB9-80EE-2323F3E8284B}"/>
    <cellStyle name="Note 11 8 12 2" xfId="35964" xr:uid="{C2F70C79-CE02-42FB-A13B-087FAE743930}"/>
    <cellStyle name="Note 11 8 13" xfId="9648" xr:uid="{082F149E-E60E-4E3A-B2D2-20BB41F5C46E}"/>
    <cellStyle name="Note 11 8 13 2" xfId="33540" xr:uid="{D4ACE208-191A-42AC-81DA-FAA2CCB211E1}"/>
    <cellStyle name="Note 11 8 14" xfId="12680" xr:uid="{BF9D3AB1-BBC6-4171-A601-F9BF9B11CB67}"/>
    <cellStyle name="Note 11 8 14 2" xfId="35098" xr:uid="{B201F1D9-4F0C-4CB6-832C-1F180BFD4AFB}"/>
    <cellStyle name="Note 11 8 15" xfId="10023" xr:uid="{973C223E-5FF4-4419-9DE5-F49AB909A36B}"/>
    <cellStyle name="Note 11 8 15 2" xfId="33737" xr:uid="{61FF2A30-05F5-4553-B10D-E623025CBE9C}"/>
    <cellStyle name="Note 11 8 16" xfId="21534" xr:uid="{7DDF4CA0-C90D-45A4-B34E-FE4EF75C900B}"/>
    <cellStyle name="Note 11 8 16 2" xfId="41639" xr:uid="{1426AF52-1DCC-478A-A493-14A4A7AA74F5}"/>
    <cellStyle name="Note 11 8 17" xfId="15863" xr:uid="{B6D69941-9E37-4BAE-8B67-316783F4CF4E}"/>
    <cellStyle name="Note 11 8 17 2" xfId="37462" xr:uid="{B00F858F-E0D0-4D5B-834D-7D73FA9D444C}"/>
    <cellStyle name="Note 11 8 18" xfId="18877" xr:uid="{5CEC5E45-5708-4142-A1AF-9BA28CD83EE3}"/>
    <cellStyle name="Note 11 8 18 2" xfId="39711" xr:uid="{CC6EE306-824E-4207-96BD-74C5CD198DEF}"/>
    <cellStyle name="Note 11 8 19" xfId="22917" xr:uid="{9C393951-CB67-4837-A1EF-AE6EBA551D38}"/>
    <cellStyle name="Note 11 8 19 2" xfId="42632" xr:uid="{19B88941-1471-4E64-B9EB-3EB95EF80CDF}"/>
    <cellStyle name="Note 11 8 2" xfId="8254" xr:uid="{50267E42-7695-4F0F-86CC-74A6A5EAFB69}"/>
    <cellStyle name="Note 11 8 2 2" xfId="32493" xr:uid="{3DE167BA-7D11-46EB-ADEB-CD08B0C1ACCF}"/>
    <cellStyle name="Note 11 8 20" xfId="26341" xr:uid="{184C9C2C-0A1E-480D-ADB7-C2CDD1170D24}"/>
    <cellStyle name="Note 11 8 20 2" xfId="45023" xr:uid="{22D81F35-CCBF-4FA3-B29F-BC3013B5F49F}"/>
    <cellStyle name="Note 11 8 21" xfId="25773" xr:uid="{79262F21-369D-4BF5-B3C5-AD3B0612DEEF}"/>
    <cellStyle name="Note 11 8 21 2" xfId="44602" xr:uid="{388F3A2B-FD73-4462-B22E-174540D476ED}"/>
    <cellStyle name="Note 11 8 22" xfId="22110" xr:uid="{3A88AB14-3DFE-4E67-9889-E510EE528B8E}"/>
    <cellStyle name="Note 11 8 22 2" xfId="41995" xr:uid="{AA8DE3D6-9B22-413C-B2EF-453CAC3F5DB6}"/>
    <cellStyle name="Note 11 8 23" xfId="27231" xr:uid="{26B11FD6-8AE9-4EFF-8629-F729C763B535}"/>
    <cellStyle name="Note 11 8 23 2" xfId="45566" xr:uid="{178392F5-CD80-44BB-B99C-7CE1D5D70412}"/>
    <cellStyle name="Note 11 8 24" xfId="30145" xr:uid="{CA948314-C34D-43C0-8E16-17AFD41EEEF8}"/>
    <cellStyle name="Note 11 8 24 2" xfId="47313" xr:uid="{6F28DF8E-58DD-411E-8631-376EE32320B6}"/>
    <cellStyle name="Note 11 8 25" xfId="25815" xr:uid="{E5A87FBB-7C69-4692-B097-2931092F8C5C}"/>
    <cellStyle name="Note 11 8 25 2" xfId="44641" xr:uid="{0D65D7DF-E002-4057-AF20-FB4C8FF51324}"/>
    <cellStyle name="Note 11 8 26" xfId="20449" xr:uid="{9E8115FC-1FEA-40F0-84F5-478E0195CB67}"/>
    <cellStyle name="Note 11 8 26 2" xfId="40846" xr:uid="{57CE7CF1-3561-44ED-8B7D-8665336F391C}"/>
    <cellStyle name="Note 11 8 27" xfId="28382" xr:uid="{EA6D7FE8-D642-436B-A75B-AE60D12F73B5}"/>
    <cellStyle name="Note 11 8 27 2" xfId="46231" xr:uid="{9D0DFE0A-AC30-43E7-9CE2-52405228202D}"/>
    <cellStyle name="Note 11 8 28" xfId="6286" xr:uid="{356E3443-D318-494D-890B-2865499C162F}"/>
    <cellStyle name="Note 11 8 3" xfId="9147" xr:uid="{58940E09-D0A6-44A0-89AE-CA1DB0261019}"/>
    <cellStyle name="Note 11 8 3 2" xfId="33141" xr:uid="{4AFE3677-738E-4EDE-973A-6DBABA5C45B6}"/>
    <cellStyle name="Note 11 8 4" xfId="8300" xr:uid="{870EF452-301D-4C07-BC67-512E8C131F12}"/>
    <cellStyle name="Note 11 8 4 2" xfId="32539" xr:uid="{DCD5CE81-9E3C-4ADF-9676-350E9034C770}"/>
    <cellStyle name="Note 11 8 5" xfId="9116" xr:uid="{45FD6D41-5584-48A6-B5B8-C9B8A0C8A7C4}"/>
    <cellStyle name="Note 11 8 5 2" xfId="33117" xr:uid="{40DABBA2-7696-4020-81FF-601F215CF850}"/>
    <cellStyle name="Note 11 8 6" xfId="10347" xr:uid="{79B03C25-E921-45C4-A64C-4E6422B34DEA}"/>
    <cellStyle name="Note 11 8 6 2" xfId="33982" xr:uid="{E95AF423-762B-47C6-942E-2C9A6A0475FF}"/>
    <cellStyle name="Note 11 8 7" xfId="8669" xr:uid="{D3534E03-7B8B-49AD-AD13-DFE88A68B1ED}"/>
    <cellStyle name="Note 11 8 7 2" xfId="32799" xr:uid="{BD8E56B1-8DBB-4850-9293-9F78D012E19C}"/>
    <cellStyle name="Note 11 8 8" xfId="10517" xr:uid="{3762D708-337C-41D7-9631-AC447ED014A2}"/>
    <cellStyle name="Note 11 8 8 2" xfId="34144" xr:uid="{8057B085-5672-4F4F-AF9F-C51A029AF971}"/>
    <cellStyle name="Note 11 8 9" xfId="7529" xr:uid="{B20EB306-713F-4C6B-85C4-1B95D01C156A}"/>
    <cellStyle name="Note 11 8 9 2" xfId="31863" xr:uid="{ED563018-C005-4DEF-993A-D361B7BC0EC3}"/>
    <cellStyle name="Note 11 9" xfId="8269" xr:uid="{85EA04A7-54B6-473C-A062-8D96A6944166}"/>
    <cellStyle name="Note 11 9 2" xfId="32508" xr:uid="{DFAD97D8-823C-477A-935F-F0543833B1A8}"/>
    <cellStyle name="Note 11_Sheet2" xfId="2740" xr:uid="{861A9E1D-239F-440D-B57A-C0AD293FBFD5}"/>
    <cellStyle name="Note 12" xfId="2741" xr:uid="{77BE7086-C836-4619-995A-F3DAC65CD934}"/>
    <cellStyle name="Note 12 10" xfId="9148" xr:uid="{1A0F18A2-1168-4CCB-AA19-19C5D628F50D}"/>
    <cellStyle name="Note 12 10 2" xfId="33142" xr:uid="{B81D3C6B-27F0-4807-86DB-18451C8AD614}"/>
    <cellStyle name="Note 12 11" xfId="8299" xr:uid="{68B3C56F-7B6F-41F8-B457-2677CCF6BB63}"/>
    <cellStyle name="Note 12 11 2" xfId="32538" xr:uid="{0016DF99-7F14-4BE6-ACFC-107C3DC07AB3}"/>
    <cellStyle name="Note 12 12" xfId="9115" xr:uid="{F1BB4057-F4FC-433F-BE67-65D1E5DE3874}"/>
    <cellStyle name="Note 12 12 2" xfId="33116" xr:uid="{F50041DC-ABF2-4DA2-BD70-84D30FE074D2}"/>
    <cellStyle name="Note 12 13" xfId="13118" xr:uid="{47B61B10-80E8-4873-8FF1-5E8EBC8CBAB4}"/>
    <cellStyle name="Note 12 13 2" xfId="35466" xr:uid="{66D9D5BD-E303-4EEF-832E-D085D20D1D36}"/>
    <cellStyle name="Note 12 14" xfId="8668" xr:uid="{DA7C8F96-1C3F-4B00-A8BF-ACEDBEB9E7E5}"/>
    <cellStyle name="Note 12 14 2" xfId="32798" xr:uid="{3CEB727D-C42E-40AA-805D-78033E9FE70C}"/>
    <cellStyle name="Note 12 15" xfId="12958" xr:uid="{415CAE47-C26F-4EAC-8EB3-BA71F1904D16}"/>
    <cellStyle name="Note 12 15 2" xfId="35313" xr:uid="{EDE7DE5D-CA2A-41D6-9B6C-B6971A69F120}"/>
    <cellStyle name="Note 12 16" xfId="15324" xr:uid="{2436FD6C-7F58-46D3-93A2-468509819561}"/>
    <cellStyle name="Note 12 16 2" xfId="37025" xr:uid="{1EDC665D-C828-42DC-827C-B1EEB337A732}"/>
    <cellStyle name="Note 12 17" xfId="10325" xr:uid="{50627425-93C6-4069-87EE-E1A5B185EB8F}"/>
    <cellStyle name="Note 12 17 2" xfId="33960" xr:uid="{E58A9B82-E1BF-4566-803F-FD505B01C5BE}"/>
    <cellStyle name="Note 12 18" xfId="9602" xr:uid="{35BC66D3-0541-4B8F-99CA-C7922A934DBB}"/>
    <cellStyle name="Note 12 18 2" xfId="33498" xr:uid="{2B05DA64-535C-4FDF-94E3-D2D514D12899}"/>
    <cellStyle name="Note 12 19" xfId="13653" xr:uid="{E9AB9AC8-8C88-4B51-B3DF-2B5A54DA8E73}"/>
    <cellStyle name="Note 12 19 2" xfId="35810" xr:uid="{C560A15E-DAF8-499C-8DE6-287B3F0EFC5F}"/>
    <cellStyle name="Note 12 2" xfId="2742" xr:uid="{EBA0D1E8-848C-4BF2-9DBE-D517A0A01FC5}"/>
    <cellStyle name="Note 12 2 10" xfId="14972" xr:uid="{40DE698E-8C96-4F5B-AB81-7C946AFC9608}"/>
    <cellStyle name="Note 12 2 10 2" xfId="36846" xr:uid="{26C90A41-63E5-428D-8F99-A2A68CC1C7CC}"/>
    <cellStyle name="Note 12 2 11" xfId="11918" xr:uid="{0B54F62B-CD0A-4109-BAC1-B6736E66D2C2}"/>
    <cellStyle name="Note 12 2 11 2" xfId="34529" xr:uid="{32F54B05-7700-45F5-A6C6-CA4EA340B533}"/>
    <cellStyle name="Note 12 2 12" xfId="14338" xr:uid="{729ADE08-88A9-40E7-88A3-0C8122F623C9}"/>
    <cellStyle name="Note 12 2 12 2" xfId="36378" xr:uid="{FF200415-E7FC-4E65-AB71-1AAFA2C1EAC2}"/>
    <cellStyle name="Note 12 2 13" xfId="19533" xr:uid="{50B8B89B-D9AA-4FF5-A734-199C48E12E5F}"/>
    <cellStyle name="Note 12 2 13 2" xfId="40201" xr:uid="{6157C9CA-2A7C-41B6-99EE-68BD6A6289D9}"/>
    <cellStyle name="Note 12 2 14" xfId="15567" xr:uid="{088BBDE5-EF97-4E7E-B8D9-246404BBEE1C}"/>
    <cellStyle name="Note 12 2 14 2" xfId="37225" xr:uid="{B1769AA6-8641-4DE5-939C-566671D22A85}"/>
    <cellStyle name="Note 12 2 15" xfId="9650" xr:uid="{E89975A6-46A0-4B4A-B2FB-D9796314AFAD}"/>
    <cellStyle name="Note 12 2 15 2" xfId="33542" xr:uid="{E1EF20C1-EE6B-4662-8D67-FB1D0AE69E8A}"/>
    <cellStyle name="Note 12 2 16" xfId="19831" xr:uid="{93C2A844-BDA3-44AF-98FF-0236E827DA86}"/>
    <cellStyle name="Note 12 2 16 2" xfId="40444" xr:uid="{FD936BB1-9D03-4715-BFA8-8A062EB71239}"/>
    <cellStyle name="Note 12 2 17" xfId="10026" xr:uid="{65CD1C31-7697-43F8-8D71-28FE76497FD8}"/>
    <cellStyle name="Note 12 2 17 2" xfId="33740" xr:uid="{C63B40A0-5AC2-4D00-ABA6-AE5AE89B8AF1}"/>
    <cellStyle name="Note 12 2 18" xfId="19661" xr:uid="{D3A572BE-93C6-4B0B-BB52-54817213E889}"/>
    <cellStyle name="Note 12 2 18 2" xfId="40300" xr:uid="{4CC36FD4-721A-4BBF-BC48-3CBFC1CC041E}"/>
    <cellStyle name="Note 12 2 19" xfId="12581" xr:uid="{B00B20AA-D326-4866-993E-A84E99A31EF0}"/>
    <cellStyle name="Note 12 2 19 2" xfId="35020" xr:uid="{AD7FAF8A-9077-46A7-A367-BD1BACCE4BD5}"/>
    <cellStyle name="Note 12 2 2" xfId="2743" xr:uid="{9E312BCF-D91D-4C81-A6CD-F507503D6474}"/>
    <cellStyle name="Note 12 2 2 10" xfId="7505" xr:uid="{7416D0AA-4C64-4106-8930-178027E5C135}"/>
    <cellStyle name="Note 12 2 2 10 2" xfId="31862" xr:uid="{2A83AA3F-613C-409D-BC80-61DE66A14F72}"/>
    <cellStyle name="Note 12 2 2 11" xfId="13137" xr:uid="{A6C71460-7A19-4776-AE5C-5AEC2E9F4151}"/>
    <cellStyle name="Note 12 2 2 11 2" xfId="35485" xr:uid="{3DA57E57-3968-4593-B0E9-C1B3028A001B}"/>
    <cellStyle name="Note 12 2 2 12" xfId="18398" xr:uid="{C44A9323-0870-4F50-9E1F-02219ACDA441}"/>
    <cellStyle name="Note 12 2 2 12 2" xfId="39409" xr:uid="{025477B3-1919-4D6F-880B-3BD8ED613C54}"/>
    <cellStyle name="Note 12 2 2 13" xfId="14598" xr:uid="{F8259399-328A-479D-B123-3FD42E6FDD93}"/>
    <cellStyle name="Note 12 2 2 13 2" xfId="36516" xr:uid="{4A527F2C-7778-41AD-94C5-721EC2BC56C6}"/>
    <cellStyle name="Note 12 2 2 14" xfId="9651" xr:uid="{ABF6C528-9FFD-4655-BBEF-AB58331DB0D3}"/>
    <cellStyle name="Note 12 2 2 14 2" xfId="33543" xr:uid="{6C1C0CCF-5CE6-42FB-8B51-95ABDBC96DE3}"/>
    <cellStyle name="Note 12 2 2 15" xfId="15732" xr:uid="{F7F3F3B1-422E-49D3-AF8F-A46C1B0A7E66}"/>
    <cellStyle name="Note 12 2 2 15 2" xfId="37361" xr:uid="{9744F9B8-9FDD-48AC-9B34-FFDC8EFE573A}"/>
    <cellStyle name="Note 12 2 2 16" xfId="10028" xr:uid="{82DE0070-D271-4FD4-9221-929EBB743E03}"/>
    <cellStyle name="Note 12 2 2 16 2" xfId="33741" xr:uid="{64F54019-4080-4E4D-A239-8486F7A84262}"/>
    <cellStyle name="Note 12 2 2 17" xfId="21510" xr:uid="{C07C69F0-0402-4A27-A42C-3AA4F4BDAA5E}"/>
    <cellStyle name="Note 12 2 2 17 2" xfId="41637" xr:uid="{4D8AD9F6-C0F4-4A3C-9060-CC65E2F40D71}"/>
    <cellStyle name="Note 12 2 2 18" xfId="23288" xr:uid="{3009731E-D80D-4B22-8F5C-8771EC3A559D}"/>
    <cellStyle name="Note 12 2 2 18 2" xfId="42862" xr:uid="{5BC019C9-8153-4580-8332-C0EA80B48447}"/>
    <cellStyle name="Note 12 2 2 19" xfId="18878" xr:uid="{C9B67B3B-22C2-4703-9A4B-2323BD5BE0BF}"/>
    <cellStyle name="Note 12 2 2 19 2" xfId="39712" xr:uid="{86B4211D-3A97-4A59-83EC-8479FCD549AF}"/>
    <cellStyle name="Note 12 2 2 2" xfId="2744" xr:uid="{D66E55DC-88E5-44FD-956E-A8C1E6EC5485}"/>
    <cellStyle name="Note 12 2 2 2 10" xfId="10326" xr:uid="{B862516D-2373-4F51-9320-56E3EFBED7CF}"/>
    <cellStyle name="Note 12 2 2 2 10 2" xfId="33961" xr:uid="{DAEA6A0E-2271-4C8F-BBED-D462381B63C0}"/>
    <cellStyle name="Note 12 2 2 2 11" xfId="18411" xr:uid="{B4A8730F-BD11-4BEF-AF96-03F9DF20019A}"/>
    <cellStyle name="Note 12 2 2 2 11 2" xfId="39422" xr:uid="{361DBD5F-FDFA-4264-9ACE-58FC261B7E3C}"/>
    <cellStyle name="Note 12 2 2 2 12" xfId="12728" xr:uid="{D944D0CA-8264-4AB5-9AF6-F85A163D9A4B}"/>
    <cellStyle name="Note 12 2 2 2 12 2" xfId="35140" xr:uid="{35F8DC09-B57B-4C12-B2C5-E8D564F322BD}"/>
    <cellStyle name="Note 12 2 2 2 13" xfId="9687" xr:uid="{F93A56D1-AA01-4A18-8F55-02CE9E503E52}"/>
    <cellStyle name="Note 12 2 2 2 13 2" xfId="33569" xr:uid="{FD9B4915-10DC-4D52-B689-A49B57C3C06E}"/>
    <cellStyle name="Note 12 2 2 2 14" xfId="19830" xr:uid="{D0954599-F97D-4473-9EBF-11A779D806BB}"/>
    <cellStyle name="Note 12 2 2 2 14 2" xfId="40443" xr:uid="{855B47D8-9158-4920-8237-90099704BEF8}"/>
    <cellStyle name="Note 12 2 2 2 15" xfId="10060" xr:uid="{E9E6F2C1-7554-469B-B7B4-9CE3BD816C8B}"/>
    <cellStyle name="Note 12 2 2 2 15 2" xfId="33772" xr:uid="{9BB9FF79-E8E1-4345-A1DE-E18791B2E396}"/>
    <cellStyle name="Note 12 2 2 2 16" xfId="17708" xr:uid="{06FD2355-755F-4024-A499-23F361E8E279}"/>
    <cellStyle name="Note 12 2 2 2 16 2" xfId="38884" xr:uid="{855C117B-5C88-46E6-90EA-02179F04A584}"/>
    <cellStyle name="Note 12 2 2 2 17" xfId="15862" xr:uid="{4D4F0F3F-75A9-4A25-B9C6-1FF53295E013}"/>
    <cellStyle name="Note 12 2 2 2 17 2" xfId="37461" xr:uid="{423D34BE-510D-4D43-AF89-FF92AB39529A}"/>
    <cellStyle name="Note 12 2 2 2 18" xfId="21756" xr:uid="{F110B297-C37F-402E-BB47-655C59460365}"/>
    <cellStyle name="Note 12 2 2 2 18 2" xfId="41776" xr:uid="{9E10758B-0B6A-4DAF-95A3-9C5262A85674}"/>
    <cellStyle name="Note 12 2 2 2 19" xfId="26554" xr:uid="{E204CE1C-E5E6-4680-9C50-AAA33C0C7754}"/>
    <cellStyle name="Note 12 2 2 2 19 2" xfId="45123" xr:uid="{0CC14A3E-321F-43DA-B993-83FD97CEC9E5}"/>
    <cellStyle name="Note 12 2 2 2 2" xfId="8249" xr:uid="{3B2BC136-5544-4269-BEB4-FEDDD0552862}"/>
    <cellStyle name="Note 12 2 2 2 2 2" xfId="32489" xr:uid="{3AC1A3E3-A84B-43DF-BDC6-47587C17AF96}"/>
    <cellStyle name="Note 12 2 2 2 20" xfId="19216" xr:uid="{03B2F5F1-A62F-4A08-B706-F0E579D75841}"/>
    <cellStyle name="Note 12 2 2 2 20 2" xfId="40024" xr:uid="{C3B7E15F-F114-48CE-9D85-2392E82EB1AE}"/>
    <cellStyle name="Note 12 2 2 2 21" xfId="20133" xr:uid="{4FDA779C-F797-4911-8EAB-8068B41EFAA5}"/>
    <cellStyle name="Note 12 2 2 2 21 2" xfId="40641" xr:uid="{EB25D26A-65C5-485B-B330-688A3947A565}"/>
    <cellStyle name="Note 12 2 2 2 22" xfId="19412" xr:uid="{427538A3-A7C0-46F5-A119-6F0C13F477ED}"/>
    <cellStyle name="Note 12 2 2 2 22 2" xfId="40133" xr:uid="{66059A87-B85A-49B9-AD6D-75DDD0AE9EBE}"/>
    <cellStyle name="Note 12 2 2 2 23" xfId="27229" xr:uid="{25FA5039-2379-47B4-AB56-EF87E3BD79C7}"/>
    <cellStyle name="Note 12 2 2 2 23 2" xfId="45564" xr:uid="{1A6B2EEB-DEAA-484B-914E-9D07C1F2C7A1}"/>
    <cellStyle name="Note 12 2 2 2 24" xfId="24030" xr:uid="{2866DF1B-7F50-437F-BBF9-D9A2F2B167D3}"/>
    <cellStyle name="Note 12 2 2 2 24 2" xfId="43407" xr:uid="{4C86E887-8034-43B1-B552-AB04F0ABA346}"/>
    <cellStyle name="Note 12 2 2 2 25" xfId="23417" xr:uid="{64B783E7-2CB7-4215-9254-DC95987D3758}"/>
    <cellStyle name="Note 12 2 2 2 25 2" xfId="42934" xr:uid="{FB3CD673-55BF-4902-B5E9-AEA687981B3F}"/>
    <cellStyle name="Note 12 2 2 2 26" xfId="23075" xr:uid="{5E5DD311-7EC3-4A81-85FA-9ED4AFB2F55C}"/>
    <cellStyle name="Note 12 2 2 2 26 2" xfId="42698" xr:uid="{0F4A4FD6-10B7-48DD-A434-669FF83E48CC}"/>
    <cellStyle name="Note 12 2 2 2 27" xfId="31064" xr:uid="{70E20B0F-D80C-4906-B22C-E79EE01FB641}"/>
    <cellStyle name="Note 12 2 2 2 27 2" xfId="47794" xr:uid="{4B8B7140-C4FA-4F3B-B960-9BFBF851F5DC}"/>
    <cellStyle name="Note 12 2 2 2 28" xfId="6290" xr:uid="{7AEA18C5-7251-4C7D-A2CD-40851C61C9A4}"/>
    <cellStyle name="Note 12 2 2 2 3" xfId="9150" xr:uid="{927754EC-D916-4B3A-AA76-8873A7F4FB48}"/>
    <cellStyle name="Note 12 2 2 2 3 2" xfId="33144" xr:uid="{D63CF5D1-76A1-4343-9FC6-2DCF27408A20}"/>
    <cellStyle name="Note 12 2 2 2 4" xfId="8296" xr:uid="{252D3C49-9A31-4972-947E-FEDEBCDF1A55}"/>
    <cellStyle name="Note 12 2 2 2 4 2" xfId="32535" xr:uid="{5F8235CE-7353-4804-9EE7-ADD56DD1D417}"/>
    <cellStyle name="Note 12 2 2 2 5" xfId="9112" xr:uid="{D65F0F02-AF3B-4F31-8ECB-7F96348A2024}"/>
    <cellStyle name="Note 12 2 2 2 5 2" xfId="33113" xr:uid="{91F2A6D8-D833-415B-AFB0-2E974F04FEDE}"/>
    <cellStyle name="Note 12 2 2 2 6" xfId="13116" xr:uid="{654575ED-9CB5-4C54-9098-8CCF75927853}"/>
    <cellStyle name="Note 12 2 2 2 6 2" xfId="35464" xr:uid="{DE05E235-6E50-46F4-887B-B11B6D1E5EFC}"/>
    <cellStyle name="Note 12 2 2 2 7" xfId="8620" xr:uid="{B3D34D88-2844-49FC-8952-199AC7A4FD36}"/>
    <cellStyle name="Note 12 2 2 2 7 2" xfId="32795" xr:uid="{2D8C96D1-9F60-4BAF-945F-BD84A92C1E7A}"/>
    <cellStyle name="Note 12 2 2 2 8" xfId="14971" xr:uid="{E06FB37F-8752-45D9-8857-D27A80072DE8}"/>
    <cellStyle name="Note 12 2 2 2 8 2" xfId="36845" xr:uid="{9C7E1A88-BBA0-4D93-881F-A004C882A0B7}"/>
    <cellStyle name="Note 12 2 2 2 9" xfId="11917" xr:uid="{7829E02B-17BF-4931-BE9F-954938C4BA90}"/>
    <cellStyle name="Note 12 2 2 2 9 2" xfId="34528" xr:uid="{65999BDE-9F98-467A-8E63-B3708B298212}"/>
    <cellStyle name="Note 12 2 2 20" xfId="26370" xr:uid="{D9AF51AE-3CC9-4D39-83F5-FCE052B87095}"/>
    <cellStyle name="Note 12 2 2 20 2" xfId="45049" xr:uid="{CACC1A5E-4C0A-4617-9045-21897055EDD8}"/>
    <cellStyle name="Note 12 2 2 21" xfId="26938" xr:uid="{A1E0858A-7C8A-4E74-9072-1CD853A992E8}"/>
    <cellStyle name="Note 12 2 2 21 2" xfId="45352" xr:uid="{A6A06F82-3EF0-42FA-A462-0434727C4223}"/>
    <cellStyle name="Note 12 2 2 22" xfId="24615" xr:uid="{A4CAD9AA-21E5-436B-8CA3-ED962D1A027F}"/>
    <cellStyle name="Note 12 2 2 22 2" xfId="43797" xr:uid="{254BCDF7-827D-4F4D-B59B-1DE89C763DDB}"/>
    <cellStyle name="Note 12 2 2 23" xfId="22109" xr:uid="{7D8C7071-BAF6-4EFC-824F-EBD623F4C0FE}"/>
    <cellStyle name="Note 12 2 2 23 2" xfId="41994" xr:uid="{FE554EFF-490F-41A6-9964-7DABA1012E9D}"/>
    <cellStyle name="Note 12 2 2 24" xfId="26135" xr:uid="{A5D4A821-C07F-49C4-96FD-2AEE0745222A}"/>
    <cellStyle name="Note 12 2 2 24 2" xfId="44876" xr:uid="{CE5483A2-101F-42D0-B7C1-B277D66EBC87}"/>
    <cellStyle name="Note 12 2 2 25" xfId="30320" xr:uid="{B4159C87-4004-494E-99B0-314919239205}"/>
    <cellStyle name="Note 12 2 2 25 2" xfId="47468" xr:uid="{051F1AAC-4436-4F64-837D-76C8EB2F1DCB}"/>
    <cellStyle name="Note 12 2 2 26" xfId="23701" xr:uid="{E6F80FB0-7AA5-4FB9-8FFC-86DF74E9B68D}"/>
    <cellStyle name="Note 12 2 2 26 2" xfId="43119" xr:uid="{D11436B0-A211-4467-81F1-70329CD1151A}"/>
    <cellStyle name="Note 12 2 2 27" xfId="23106" xr:uid="{F3E845B1-E2EF-4616-BF19-DFCF2BFBD5ED}"/>
    <cellStyle name="Note 12 2 2 27 2" xfId="42717" xr:uid="{E322FA1A-7030-4D84-BC0C-2A7A24882B22}"/>
    <cellStyle name="Note 12 2 2 28" xfId="30951" xr:uid="{14FDAE1C-203D-488A-B5C6-F88392E3606F}"/>
    <cellStyle name="Note 12 2 2 28 2" xfId="47775" xr:uid="{B7B9D6E2-08F8-437F-AFD9-0CC532AB371B}"/>
    <cellStyle name="Note 12 2 2 29" xfId="6289" xr:uid="{FE135735-C60D-4236-9CDB-7436E75CDD6F}"/>
    <cellStyle name="Note 12 2 2 3" xfId="8250" xr:uid="{9D760DE9-0E17-4C5A-8CB2-4487DAE0D1E1}"/>
    <cellStyle name="Note 12 2 2 3 2" xfId="32490" xr:uid="{C48D0AD7-751E-4893-ADFB-6204A512B4F1}"/>
    <cellStyle name="Note 12 2 2 4" xfId="12135" xr:uid="{807BF5F0-BD6E-4FB1-AECE-15FB60FB271E}"/>
    <cellStyle name="Note 12 2 2 4 2" xfId="34680" xr:uid="{2F0BD4B4-D0E1-4150-917D-BA69B7ECC8BB}"/>
    <cellStyle name="Note 12 2 2 5" xfId="8297" xr:uid="{6CA0BE87-569D-4878-BF35-4DE8B236DD24}"/>
    <cellStyle name="Note 12 2 2 5 2" xfId="32536" xr:uid="{D3C38D48-D365-4AD9-89B6-185FC3058186}"/>
    <cellStyle name="Note 12 2 2 6" xfId="9113" xr:uid="{4D6840DF-E889-4FDF-916F-D8FB71010F5D}"/>
    <cellStyle name="Note 12 2 2 6 2" xfId="33114" xr:uid="{60B04778-D925-4602-82D0-D717117CB865}"/>
    <cellStyle name="Note 12 2 2 7" xfId="10349" xr:uid="{834A8F9C-2396-480D-BCC5-42FE65D07ED9}"/>
    <cellStyle name="Note 12 2 2 7 2" xfId="33984" xr:uid="{B6628E04-FCAA-4E37-9ADC-54F00A8CE723}"/>
    <cellStyle name="Note 12 2 2 8" xfId="8621" xr:uid="{E3752457-9E6E-4579-A132-C8570156897F}"/>
    <cellStyle name="Note 12 2 2 8 2" xfId="32796" xr:uid="{1A32C56B-BEDC-4FD3-98A7-5358956762F1}"/>
    <cellStyle name="Note 12 2 2 9" xfId="10518" xr:uid="{E39A3930-30AB-46ED-B11D-B414C3D25431}"/>
    <cellStyle name="Note 12 2 2 9 2" xfId="34145" xr:uid="{8AD770A8-3CCA-429A-BD91-3FAF121E9122}"/>
    <cellStyle name="Note 12 2 20" xfId="20607" xr:uid="{287C6A2C-63B3-42B8-8021-6FE8D27EB8B5}"/>
    <cellStyle name="Note 12 2 20 2" xfId="40967" xr:uid="{F7782628-0BEE-41C2-A162-0790D36E5BD9}"/>
    <cellStyle name="Note 12 2 21" xfId="24825" xr:uid="{2F86A1BC-4926-4230-B72E-242350CB082C}"/>
    <cellStyle name="Note 12 2 21 2" xfId="43965" xr:uid="{6D3FD446-B5D1-4424-81D3-F8D30B2D889A}"/>
    <cellStyle name="Note 12 2 22" xfId="20594" xr:uid="{D444B50B-17E1-4148-87FB-AE11B8964A11}"/>
    <cellStyle name="Note 12 2 22 2" xfId="40954" xr:uid="{A54E2128-B5AD-4C4F-AEE4-9C9FC67C9ABC}"/>
    <cellStyle name="Note 12 2 23" xfId="24591" xr:uid="{566AA42C-A3AD-4EA2-BD27-0521A8FF3F32}"/>
    <cellStyle name="Note 12 2 23 2" xfId="43773" xr:uid="{233158DC-1A55-467A-88D8-154E585F66A5}"/>
    <cellStyle name="Note 12 2 24" xfId="21186" xr:uid="{DEFC70AC-F667-4E7F-B48E-EFB79CF0CCEC}"/>
    <cellStyle name="Note 12 2 24 2" xfId="41379" xr:uid="{B0747FC6-3306-456B-902E-978501E4D4F1}"/>
    <cellStyle name="Note 12 2 25" xfId="26141" xr:uid="{3EFCCAF2-3318-486E-8EC6-9991181852D9}"/>
    <cellStyle name="Note 12 2 25 2" xfId="44882" xr:uid="{5BFE0DEA-6D90-4BDB-BBBA-92559A6E300E}"/>
    <cellStyle name="Note 12 2 26" xfId="18732" xr:uid="{2FA1E26C-8221-4E20-B2AB-40136E9DEDB8}"/>
    <cellStyle name="Note 12 2 26 2" xfId="39607" xr:uid="{17B51563-44C0-4AAD-B38D-FEE0CBD0F341}"/>
    <cellStyle name="Note 12 2 27" xfId="25513" xr:uid="{15261E99-C19F-4397-822B-230B1776B63C}"/>
    <cellStyle name="Note 12 2 27 2" xfId="44389" xr:uid="{547C2902-4447-44AB-B4AD-E42757692621}"/>
    <cellStyle name="Note 12 2 28" xfId="30093" xr:uid="{423EC19E-A5A4-4386-A695-1124902B50F8}"/>
    <cellStyle name="Note 12 2 28 2" xfId="47289" xr:uid="{6D489B58-2B9F-4918-9AB0-C980042BB508}"/>
    <cellStyle name="Note 12 2 29" xfId="27061" xr:uid="{A1D20460-7AB1-4D68-8D9E-AABBB84A3FD5}"/>
    <cellStyle name="Note 12 2 29 2" xfId="45454" xr:uid="{F7683745-C638-4B02-823B-B48EDC173B0F}"/>
    <cellStyle name="Note 12 2 3" xfId="2745" xr:uid="{EE5EE6E1-F82D-49E6-83D3-26C537FF7CA2}"/>
    <cellStyle name="Note 12 2 3 10" xfId="13136" xr:uid="{1EAE7C15-0D8C-41A2-ADC2-149F45942336}"/>
    <cellStyle name="Note 12 2 3 10 2" xfId="35484" xr:uid="{FB175736-77D2-4D0C-A6A1-C3BC0D0445C9}"/>
    <cellStyle name="Note 12 2 3 11" xfId="18400" xr:uid="{D3B6DB64-9ED2-4BA2-9E46-CDA56D4362AC}"/>
    <cellStyle name="Note 12 2 3 11 2" xfId="39411" xr:uid="{855AD671-86A7-41CB-88E2-17B084359190}"/>
    <cellStyle name="Note 12 2 3 12" xfId="13654" xr:uid="{60E03441-4A3D-4041-8B71-D85208F5063A}"/>
    <cellStyle name="Note 12 2 3 12 2" xfId="35811" xr:uid="{55B7DC1D-3AEF-4528-A22E-66B352711D03}"/>
    <cellStyle name="Note 12 2 3 13" xfId="9652" xr:uid="{C5C97C7A-F713-41B5-9146-21BDECBCE719}"/>
    <cellStyle name="Note 12 2 3 13 2" xfId="33544" xr:uid="{3501A2A8-6BDB-465E-A2CC-ADC9A7C2C264}"/>
    <cellStyle name="Note 12 2 3 14" xfId="17991" xr:uid="{BE7B1773-A9B0-4EC8-AFC5-22DFE1726336}"/>
    <cellStyle name="Note 12 2 3 14 2" xfId="39087" xr:uid="{564DB094-BA7C-4905-BD73-8CE111149A44}"/>
    <cellStyle name="Note 12 2 3 15" xfId="21628" xr:uid="{B060BB68-7B16-4C3F-9BAB-E0BB1450AFC1}"/>
    <cellStyle name="Note 12 2 3 15 2" xfId="41704" xr:uid="{197DCEF8-765C-46B5-BF35-018BCD157468}"/>
    <cellStyle name="Note 12 2 3 16" xfId="21509" xr:uid="{1EB95D07-4E1C-4114-8B17-B00AFD7CAAC0}"/>
    <cellStyle name="Note 12 2 3 16 2" xfId="41636" xr:uid="{16010AD8-4989-4CE3-ADB6-26668AFB03A8}"/>
    <cellStyle name="Note 12 2 3 17" xfId="16412" xr:uid="{0202FC5A-75BF-4A0D-BE25-071277F9E1D7}"/>
    <cellStyle name="Note 12 2 3 17 2" xfId="37920" xr:uid="{CF7DD45F-0D87-4EF4-9D52-691D9C448F4B}"/>
    <cellStyle name="Note 12 2 3 18" xfId="20608" xr:uid="{543235DD-175D-4B9C-B526-49CF6D26AC03}"/>
    <cellStyle name="Note 12 2 3 18 2" xfId="40968" xr:uid="{1393A8A1-2A96-4191-992F-2673394A5F7B}"/>
    <cellStyle name="Note 12 2 3 19" xfId="26369" xr:uid="{9D77A429-0F5A-4926-8874-FDAC6AE7184B}"/>
    <cellStyle name="Note 12 2 3 19 2" xfId="45048" xr:uid="{F7D55629-8418-4C02-B8C8-2145569F0BA4}"/>
    <cellStyle name="Note 12 2 3 2" xfId="8248" xr:uid="{72134DDE-60D6-41BA-8506-BEF352F6EEF5}"/>
    <cellStyle name="Note 12 2 3 2 2" xfId="32488" xr:uid="{172B4086-589D-432B-BFC4-1084B7F7A2CC}"/>
    <cellStyle name="Note 12 2 3 20" xfId="19217" xr:uid="{D56A9832-37FA-4126-A0FB-3A9B2C101E62}"/>
    <cellStyle name="Note 12 2 3 20 2" xfId="40025" xr:uid="{8A838E0E-E392-4115-B5FC-B7D6E0AF9B67}"/>
    <cellStyle name="Note 12 2 3 21" xfId="25775" xr:uid="{AC9AA85F-8B03-432F-A9C3-2B8F13AA8528}"/>
    <cellStyle name="Note 12 2 3 21 2" xfId="44604" xr:uid="{776ED325-4DD1-42B4-A270-0A50B63CD574}"/>
    <cellStyle name="Note 12 2 3 22" xfId="20153" xr:uid="{9DD064D9-C0D9-42B7-AB3B-582BD9D9010B}"/>
    <cellStyle name="Note 12 2 3 22 2" xfId="40660" xr:uid="{21475B0E-03F2-4009-88B6-26B01E365E1F}"/>
    <cellStyle name="Note 12 2 3 23" xfId="21029" xr:uid="{CC2B90C2-6822-4479-ACB7-F8D51C7F11A3}"/>
    <cellStyle name="Note 12 2 3 23 2" xfId="41282" xr:uid="{E43A22E1-67BB-4E78-A92E-D2C4B50D6B6B}"/>
    <cellStyle name="Note 12 2 3 24" xfId="22190" xr:uid="{F994B862-961F-4A3B-8B32-B9DBB35CD662}"/>
    <cellStyle name="Note 12 2 3 24 2" xfId="42069" xr:uid="{D53A5C58-38BE-474C-8638-279456EEF7B8}"/>
    <cellStyle name="Note 12 2 3 25" xfId="23668" xr:uid="{CFCDFB98-EF0C-44E0-BF50-63C767734E07}"/>
    <cellStyle name="Note 12 2 3 25 2" xfId="43091" xr:uid="{E34A4A79-0C62-4BCA-80D2-2AF400DD36D9}"/>
    <cellStyle name="Note 12 2 3 26" xfId="30092" xr:uid="{86DBC737-D618-4601-B795-B8BC413EBC22}"/>
    <cellStyle name="Note 12 2 3 26 2" xfId="47288" xr:uid="{558D3188-6B1B-4CE6-9712-DC359406424E}"/>
    <cellStyle name="Note 12 2 3 27" xfId="28397" xr:uid="{EA3E9560-F95B-4B90-86C7-BB39077E1052}"/>
    <cellStyle name="Note 12 2 3 27 2" xfId="46244" xr:uid="{1C19CDAD-2287-43F5-9BC1-1631010B1647}"/>
    <cellStyle name="Note 12 2 3 28" xfId="6291" xr:uid="{1B2D68DE-53A6-420B-92B6-9F790AE28EF2}"/>
    <cellStyle name="Note 12 2 3 3" xfId="12136" xr:uid="{79850984-B01F-4135-8142-0913F29A16F3}"/>
    <cellStyle name="Note 12 2 3 3 2" xfId="34681" xr:uid="{D57A80B2-4972-48F6-8D80-39B5FEE4DF73}"/>
    <cellStyle name="Note 12 2 3 4" xfId="8295" xr:uid="{5A8140DA-DB32-4ABC-BCAC-F46492E655CB}"/>
    <cellStyle name="Note 12 2 3 4 2" xfId="32534" xr:uid="{C2DE6B99-9234-4250-AA03-F1337A45A451}"/>
    <cellStyle name="Note 12 2 3 5" xfId="9111" xr:uid="{6114AAE7-FA5E-4A4C-A000-22A86BB3B602}"/>
    <cellStyle name="Note 12 2 3 5 2" xfId="33112" xr:uid="{9C7B84FB-3390-4469-989F-84D726229BB9}"/>
    <cellStyle name="Note 12 2 3 6" xfId="10350" xr:uid="{B17BBC96-05A3-4CA2-A053-FFD1CB20975C}"/>
    <cellStyle name="Note 12 2 3 6 2" xfId="33985" xr:uid="{188F8226-6B7D-4D3E-8808-3735E641B12C}"/>
    <cellStyle name="Note 12 2 3 7" xfId="8619" xr:uid="{96455C80-569B-404F-A2D5-673D03E99880}"/>
    <cellStyle name="Note 12 2 3 7 2" xfId="32794" xr:uid="{88B34048-B9B4-4A69-8F0A-E6C28BDA10A7}"/>
    <cellStyle name="Note 12 2 3 8" xfId="12957" xr:uid="{2C0683B9-5858-4D8C-9FE3-2B6189207BE2}"/>
    <cellStyle name="Note 12 2 3 8 2" xfId="35312" xr:uid="{AB67021A-6EAC-4FF4-9C49-06CACFA6F445}"/>
    <cellStyle name="Note 12 2 3 9" xfId="7504" xr:uid="{20242681-7F7C-43DE-AD96-A513DF119DCC}"/>
    <cellStyle name="Note 12 2 3 9 2" xfId="31861" xr:uid="{AA6109EA-2A12-4858-9943-AEAC07E265BF}"/>
    <cellStyle name="Note 12 2 30" xfId="6288" xr:uid="{D48FA71D-B4CA-46D9-8FDF-A15DC9E29A8F}"/>
    <cellStyle name="Note 12 2 4" xfId="8251" xr:uid="{ADFF8E9D-152B-4899-B812-9B8B5DFFFD31}"/>
    <cellStyle name="Note 12 2 4 2" xfId="32491" xr:uid="{2E193C1A-A472-4C01-971F-1A13FAB878F9}"/>
    <cellStyle name="Note 12 2 5" xfId="9149" xr:uid="{49C78583-1A32-4C87-913E-C55D8F25B74E}"/>
    <cellStyle name="Note 12 2 5 2" xfId="33143" xr:uid="{2685F799-46A8-4047-BF2E-1ECAFB2ACD40}"/>
    <cellStyle name="Note 12 2 6" xfId="8298" xr:uid="{027912AF-7050-452E-A883-FC110D620A28}"/>
    <cellStyle name="Note 12 2 6 2" xfId="32537" xr:uid="{4B81D649-5A66-4F59-B4CD-DE4145C53278}"/>
    <cellStyle name="Note 12 2 7" xfId="9114" xr:uid="{8199623A-22F2-4F8D-B79C-45A50A97CD4D}"/>
    <cellStyle name="Note 12 2 7 2" xfId="33115" xr:uid="{DB3B5132-16FE-4C20-AB56-56557B7A5920}"/>
    <cellStyle name="Note 12 2 8" xfId="10348" xr:uid="{5A8D8E49-1D6F-44E5-9E03-54C820FEE57E}"/>
    <cellStyle name="Note 12 2 8 2" xfId="33983" xr:uid="{20EE41C4-B222-4ED1-8132-C3FAC29DECE4}"/>
    <cellStyle name="Note 12 2 9" xfId="8622" xr:uid="{30C000D4-26E0-4ECE-B306-F4AF73FC752D}"/>
    <cellStyle name="Note 12 2 9 2" xfId="32797" xr:uid="{D4A2F5E3-E6B1-4CF7-B856-B5099F629F28}"/>
    <cellStyle name="Note 12 2_Sheet2" xfId="2746" xr:uid="{D4E8F9D3-6038-48E5-B417-C8D44B461E9C}"/>
    <cellStyle name="Note 12 20" xfId="9649" xr:uid="{68C060EC-09A7-4E1C-BDC7-CBF7D8E40CA4}"/>
    <cellStyle name="Note 12 20 2" xfId="33541" xr:uid="{2915F717-5D42-47C0-9763-84E86857A867}"/>
    <cellStyle name="Note 12 21" xfId="17992" xr:uid="{F24FE018-F5BC-4A37-8B56-5B562A6E9B46}"/>
    <cellStyle name="Note 12 21 2" xfId="39088" xr:uid="{3BE2DD42-2825-4F08-80FD-7598BC21133C}"/>
    <cellStyle name="Note 12 22" xfId="10025" xr:uid="{B3BF6A96-4D85-4FCB-9BE8-FC5168CA5235}"/>
    <cellStyle name="Note 12 22 2" xfId="33739" xr:uid="{B3CF98FA-6523-4999-B7CC-9DCAC1D35D65}"/>
    <cellStyle name="Note 12 23" xfId="21533" xr:uid="{D785D65F-A24F-413D-8E42-49E2A6CFFBD2}"/>
    <cellStyle name="Note 12 23 2" xfId="41638" xr:uid="{8ED27DD5-F28A-4CA6-9C1B-14FCC668D76C}"/>
    <cellStyle name="Note 12 24" xfId="16398" xr:uid="{C983F40A-C02C-41FA-B135-6BFD37D2EB3A}"/>
    <cellStyle name="Note 12 24 2" xfId="37907" xr:uid="{8BF68BEF-D14F-459B-9D87-2692AECDD602}"/>
    <cellStyle name="Note 12 25" xfId="15374" xr:uid="{E38F1B75-3F67-4625-9B4E-EF62224899EF}"/>
    <cellStyle name="Note 12 25 2" xfId="37074" xr:uid="{2394B5B9-E4F5-4505-98E3-1372DAA4BFB6}"/>
    <cellStyle name="Note 12 26" xfId="18780" xr:uid="{D6D8ABFB-DF2F-4726-AF58-EF2DDD997A9D}"/>
    <cellStyle name="Note 12 26 2" xfId="39647" xr:uid="{6835A8BB-793D-4F8F-A465-15155F87F801}"/>
    <cellStyle name="Note 12 27" xfId="26340" xr:uid="{2201D746-68CD-49C1-91AD-86A4BBD09754}"/>
    <cellStyle name="Note 12 27 2" xfId="45022" xr:uid="{EBD65F8F-F760-4A37-90C4-E46B033FCB21}"/>
    <cellStyle name="Note 12 28" xfId="22818" xr:uid="{028BD0F4-0424-4E95-9628-9DAF70ED0CF1}"/>
    <cellStyle name="Note 12 28 2" xfId="42554" xr:uid="{F6818EC0-5CBB-471F-A975-819AAA8CF038}"/>
    <cellStyle name="Note 12 29" xfId="17856" xr:uid="{F69F3012-ADB0-47CA-9DAB-728DE42C2751}"/>
    <cellStyle name="Note 12 29 2" xfId="38972" xr:uid="{CF680A46-8833-42F8-A003-9A089B57B06F}"/>
    <cellStyle name="Note 12 3" xfId="2747" xr:uid="{1613BDF2-888E-4EEC-8B1E-02D3D2DC2F0C}"/>
    <cellStyle name="Note 12 3 10" xfId="7503" xr:uid="{ADADD0D0-4F1F-46E1-B548-4D6B1B5EE98F}"/>
    <cellStyle name="Note 12 3 10 2" xfId="31860" xr:uid="{0AA970DD-F1C6-472F-BE66-6367B48C2CC5}"/>
    <cellStyle name="Note 12 3 11" xfId="17548" xr:uid="{6473D1A2-0CA4-4E61-8C0F-108295A58C8D}"/>
    <cellStyle name="Note 12 3 11 2" xfId="38795" xr:uid="{EBEDDA34-A3B2-48FF-A5AE-6B95362AD801}"/>
    <cellStyle name="Note 12 3 12" xfId="14117" xr:uid="{E5EA36F8-E15F-444A-AA72-1237A3E2AF16}"/>
    <cellStyle name="Note 12 3 12 2" xfId="36210" xr:uid="{0443ED3E-2BBE-492A-A183-509F172AFFF0}"/>
    <cellStyle name="Note 12 3 13" xfId="15568" xr:uid="{E5F58735-826F-44C5-8F54-D503AC596574}"/>
    <cellStyle name="Note 12 3 13 2" xfId="37226" xr:uid="{76096CA9-B52D-4841-B16D-554098B8C386}"/>
    <cellStyle name="Note 12 3 14" xfId="9654" xr:uid="{43809BC4-DC26-4C46-924A-53F21347C626}"/>
    <cellStyle name="Note 12 3 14 2" xfId="33546" xr:uid="{69DA477A-1E17-496E-B49B-442D2045629B}"/>
    <cellStyle name="Note 12 3 15" xfId="13922" xr:uid="{78F7CE82-D001-457B-85B0-327698CFAF26}"/>
    <cellStyle name="Note 12 3 15 2" xfId="36033" xr:uid="{2C788FD9-C30C-4F6B-8F5E-7EC586719042}"/>
    <cellStyle name="Note 12 3 16" xfId="21629" xr:uid="{29722F39-EE1F-4275-A7F1-B9DFF824083E}"/>
    <cellStyle name="Note 12 3 16 2" xfId="41705" xr:uid="{3E5A0F98-37F7-422E-9BCD-A0AE90DEF0C4}"/>
    <cellStyle name="Note 12 3 17" xfId="21508" xr:uid="{C9540834-E31F-49FF-8DE4-1DF96EB83D0F}"/>
    <cellStyle name="Note 12 3 17 2" xfId="41635" xr:uid="{E33840B2-61CF-4260-8288-BA2E396A25B0}"/>
    <cellStyle name="Note 12 3 18" xfId="16411" xr:uid="{ADD99376-095A-4934-8AB6-389E2DB2323B}"/>
    <cellStyle name="Note 12 3 18 2" xfId="37919" xr:uid="{4564A73A-1B45-40D6-AEDE-9F20310A7896}"/>
    <cellStyle name="Note 12 3 19" xfId="16851" xr:uid="{017299C1-28B2-4770-9669-0FD0E60CC255}"/>
    <cellStyle name="Note 12 3 19 2" xfId="38279" xr:uid="{37306894-5E34-473A-A172-F390D21BA3F4}"/>
    <cellStyle name="Note 12 3 2" xfId="2748" xr:uid="{4AA86559-4155-402B-AC30-7086E9D11777}"/>
    <cellStyle name="Note 12 3 2 10" xfId="17550" xr:uid="{EC215CEF-84E7-431D-ABF5-14414A544876}"/>
    <cellStyle name="Note 12 3 2 10 2" xfId="38797" xr:uid="{84AE2701-1599-43B6-9A06-DEC00613CD02}"/>
    <cellStyle name="Note 12 3 2 11" xfId="14172" xr:uid="{19FFCF5C-E34A-4128-91BB-02B91F01E7E9}"/>
    <cellStyle name="Note 12 3 2 11 2" xfId="36225" xr:uid="{77115789-21A2-4B89-89FB-BC49323E147F}"/>
    <cellStyle name="Note 12 3 2 12" xfId="14597" xr:uid="{EBBE3491-4E5C-464F-9B10-E904D04677CB}"/>
    <cellStyle name="Note 12 3 2 12 2" xfId="36515" xr:uid="{456B1FB9-F65C-4883-BA18-74C0DC86CB12}"/>
    <cellStyle name="Note 12 3 2 13" xfId="9655" xr:uid="{D60AB047-48D2-4B30-86F5-467718BCE8C1}"/>
    <cellStyle name="Note 12 3 2 13 2" xfId="33547" xr:uid="{E22E1B46-2DE5-43EC-B33D-AD12F3008B0A}"/>
    <cellStyle name="Note 12 3 2 14" xfId="19829" xr:uid="{C83E383C-B901-423C-BC0B-71BC43D58714}"/>
    <cellStyle name="Note 12 3 2 14 2" xfId="40442" xr:uid="{9A607F32-E6B3-4627-92FF-EC6A55EB5AA9}"/>
    <cellStyle name="Note 12 3 2 15" xfId="10029" xr:uid="{7081AC3D-A93A-4B48-81AC-DD6E19943513}"/>
    <cellStyle name="Note 12 3 2 15 2" xfId="33742" xr:uid="{23CECD7B-6573-4D71-968F-EAEDD655EDB4}"/>
    <cellStyle name="Note 12 3 2 16" xfId="21490" xr:uid="{B8A1581B-7821-46FD-91BF-B4FA902E6A6F}"/>
    <cellStyle name="Note 12 3 2 16 2" xfId="41617" xr:uid="{98A045F1-663C-4BC0-B477-BC80A8DB32AB}"/>
    <cellStyle name="Note 12 3 2 17" xfId="16410" xr:uid="{8544045E-DD64-419C-A65D-9AA0FAC063ED}"/>
    <cellStyle name="Note 12 3 2 17 2" xfId="37918" xr:uid="{0CD85880-D9C4-4827-8B8E-6C6E25DDE7E2}"/>
    <cellStyle name="Note 12 3 2 18" xfId="20609" xr:uid="{1CE2E3AF-AB51-4371-BEAC-E20AE3BA58E2}"/>
    <cellStyle name="Note 12 3 2 18 2" xfId="40969" xr:uid="{1D0BAE14-C061-48AF-BBCE-E70FED7EC0C0}"/>
    <cellStyle name="Note 12 3 2 19" xfId="26557" xr:uid="{89DFE41A-70FC-47A5-8DD7-0333D627069C}"/>
    <cellStyle name="Note 12 3 2 19 2" xfId="45126" xr:uid="{EA9B16CD-9FB9-49C6-AAAC-8DCAE7C314FC}"/>
    <cellStyle name="Note 12 3 2 2" xfId="8246" xr:uid="{23D81CB1-EDC7-40FD-A45C-3461904D2263}"/>
    <cellStyle name="Note 12 3 2 2 2" xfId="32486" xr:uid="{B5BE321C-8C8F-4BA8-94F9-C8D4DF45F889}"/>
    <cellStyle name="Note 12 3 2 20" xfId="17210" xr:uid="{9EB040AA-ECFB-4BD1-A3C5-CAA7E42330D2}"/>
    <cellStyle name="Note 12 3 2 20 2" xfId="38539" xr:uid="{5C0A9975-60D9-4E30-8637-29A73DDC7E99}"/>
    <cellStyle name="Note 12 3 2 21" xfId="25774" xr:uid="{ABB5C10C-EE46-40B2-A016-AC8735A34E59}"/>
    <cellStyle name="Note 12 3 2 21 2" xfId="44603" xr:uid="{8E4BBD6A-FA07-4004-AFD0-E9ED0A5C5C5D}"/>
    <cellStyle name="Note 12 3 2 22" xfId="17057" xr:uid="{E425C181-2424-45F6-8E54-C6BDF82809E1}"/>
    <cellStyle name="Note 12 3 2 22 2" xfId="38399" xr:uid="{C1CF6494-0462-4A59-A721-033151192C55}"/>
    <cellStyle name="Note 12 3 2 23" xfId="27228" xr:uid="{D0DC3A3B-B92C-4978-A01E-4869E595D9A2}"/>
    <cellStyle name="Note 12 3 2 23 2" xfId="45563" xr:uid="{22D9A323-2B36-45C4-B5A8-DC616D4D1F13}"/>
    <cellStyle name="Note 12 3 2 24" xfId="24028" xr:uid="{EF04C428-C033-4C9C-BE27-5D04BBCDCD84}"/>
    <cellStyle name="Note 12 3 2 24 2" xfId="43405" xr:uid="{7A21D651-AF43-4B38-8483-90E48F30D742}"/>
    <cellStyle name="Note 12 3 2 25" xfId="29747" xr:uid="{C54C7C00-84F2-4D92-8D3B-3BD47DA1DC36}"/>
    <cellStyle name="Note 12 3 2 25 2" xfId="47068" xr:uid="{AA89AA22-2465-47E7-98BD-F26364660395}"/>
    <cellStyle name="Note 12 3 2 26" xfId="20448" xr:uid="{3B949CE8-E913-4F7A-8926-FA7C697F74E7}"/>
    <cellStyle name="Note 12 3 2 26 2" xfId="40845" xr:uid="{8DB4ACA4-E37C-48AA-855A-17CC01B5F9F6}"/>
    <cellStyle name="Note 12 3 2 27" xfId="29548" xr:uid="{3C71DC13-CFFB-4FCA-B588-433B114E09B3}"/>
    <cellStyle name="Note 12 3 2 27 2" xfId="46949" xr:uid="{857E9EB8-8EBD-4216-B505-A5B78688473F}"/>
    <cellStyle name="Note 12 3 2 28" xfId="6293" xr:uid="{FF4C0457-42DC-462D-9C3A-EA29C8EDDED7}"/>
    <cellStyle name="Note 12 3 2 3" xfId="12134" xr:uid="{FC5BB234-EF89-4A29-A3A1-E982DCFAF6CF}"/>
    <cellStyle name="Note 12 3 2 3 2" xfId="34679" xr:uid="{FF6ED583-6B82-4FF2-A8D7-F276FB3FB78D}"/>
    <cellStyle name="Note 12 3 2 4" xfId="8293" xr:uid="{3BD20053-0922-415E-BA14-5EDA0F7DDE0D}"/>
    <cellStyle name="Note 12 3 2 4 2" xfId="32532" xr:uid="{B0C0F5BF-0E3D-4D8C-8020-5E0972C8B48D}"/>
    <cellStyle name="Note 12 3 2 5" xfId="9109" xr:uid="{61E05E43-170D-4226-93C5-937229C96143}"/>
    <cellStyle name="Note 12 3 2 5 2" xfId="33110" xr:uid="{A330C35B-47D6-40F6-BC84-45641E6A7BFC}"/>
    <cellStyle name="Note 12 3 2 6" xfId="13115" xr:uid="{4C5D7D8C-74CF-4899-97BF-FABC3F1EEE7C}"/>
    <cellStyle name="Note 12 3 2 6 2" xfId="35463" xr:uid="{47E29C67-8C6B-4CE3-9C72-42796EEA8C4F}"/>
    <cellStyle name="Note 12 3 2 7" xfId="8617" xr:uid="{E97810EB-6C46-4849-8C84-8508FB4FFB09}"/>
    <cellStyle name="Note 12 3 2 7 2" xfId="32792" xr:uid="{5C3214F7-3834-40BD-AB01-5934D95B50D2}"/>
    <cellStyle name="Note 12 3 2 8" xfId="10529" xr:uid="{6D5A41CF-2CE8-469F-8E92-4EC4DBB72D4B}"/>
    <cellStyle name="Note 12 3 2 8 2" xfId="34156" xr:uid="{ACC606A0-CE92-4D0F-B9F4-013D73CF6A7A}"/>
    <cellStyle name="Note 12 3 2 9" xfId="7442" xr:uid="{E81118EB-B980-4EB2-963F-FCE30774D7C9}"/>
    <cellStyle name="Note 12 3 2 9 2" xfId="31800" xr:uid="{EE7ED247-C65A-4C55-B30D-C04075B6300F}"/>
    <cellStyle name="Note 12 3 20" xfId="25940" xr:uid="{149E6A36-CD40-4A62-8DF5-0E5B34F0EDC5}"/>
    <cellStyle name="Note 12 3 20 2" xfId="44731" xr:uid="{F4EAE8BF-BD18-42E6-B6C9-06142FD5911D}"/>
    <cellStyle name="Note 12 3 21" xfId="19218" xr:uid="{2518B369-2443-4B8A-B8F0-2E1D6C47E5AC}"/>
    <cellStyle name="Note 12 3 21 2" xfId="40026" xr:uid="{6FA47453-BB5E-421F-A019-EC48DFF18384}"/>
    <cellStyle name="Note 12 3 22" xfId="22817" xr:uid="{5B4FE9B5-D9B9-445D-92A7-46B65D9AB9ED}"/>
    <cellStyle name="Note 12 3 22 2" xfId="42553" xr:uid="{56F91945-3875-4A13-B7EC-0C05D75CC044}"/>
    <cellStyle name="Note 12 3 23" xfId="22108" xr:uid="{77BE8B1B-A2DB-4E99-91F5-52D3ECF8DA90}"/>
    <cellStyle name="Note 12 3 23 2" xfId="41993" xr:uid="{24ECC606-BE22-4DE4-A9DA-43D0CBA29FF2}"/>
    <cellStyle name="Note 12 3 24" xfId="26140" xr:uid="{369064E1-5825-48E3-9AC0-7C281C76A41A}"/>
    <cellStyle name="Note 12 3 24 2" xfId="44881" xr:uid="{E17CDC28-A4AA-4F1E-99DC-4EA387BEE3EA}"/>
    <cellStyle name="Note 12 3 25" xfId="24029" xr:uid="{05BE5E7C-39ED-41D9-9392-C479EE139D2D}"/>
    <cellStyle name="Note 12 3 25 2" xfId="43406" xr:uid="{E0C4B3F1-4140-42FF-A275-845F167DD7A9}"/>
    <cellStyle name="Note 12 3 26" xfId="28938" xr:uid="{0D2C40A2-4B5C-440A-8FD7-0F9E948FE991}"/>
    <cellStyle name="Note 12 3 26 2" xfId="46534" xr:uid="{1387E593-D0D7-4084-860E-CEB28060A00B}"/>
    <cellStyle name="Note 12 3 27" xfId="28238" xr:uid="{994F4621-5AAF-479A-BA83-C01FE6FA453A}"/>
    <cellStyle name="Note 12 3 27 2" xfId="46113" xr:uid="{41725E36-7F6E-4764-A99D-9926DDF31EFD}"/>
    <cellStyle name="Note 12 3 28" xfId="23756" xr:uid="{32F65325-CDFB-4195-B6B6-113BE0E007D8}"/>
    <cellStyle name="Note 12 3 28 2" xfId="43167" xr:uid="{9CE225AE-B7CF-40C1-A816-454E970AF73C}"/>
    <cellStyle name="Note 12 3 29" xfId="6292" xr:uid="{132771A8-521B-4065-88D1-0A33FCA34A1E}"/>
    <cellStyle name="Note 12 3 3" xfId="8247" xr:uid="{31E031F2-7F91-448E-A132-33AD5AE3E947}"/>
    <cellStyle name="Note 12 3 3 2" xfId="32487" xr:uid="{740259B4-322D-42C3-968D-EBFAD92D1579}"/>
    <cellStyle name="Note 12 3 4" xfId="12137" xr:uid="{70C00927-DA3A-4B97-9B6F-AAFFDE0C52E5}"/>
    <cellStyle name="Note 12 3 4 2" xfId="34682" xr:uid="{A106D6AF-14F9-4B3A-9FEF-51D3BCFCB82D}"/>
    <cellStyle name="Note 12 3 5" xfId="8294" xr:uid="{AC0FD67C-3C8E-4EC1-AD4F-E7CCF7C9AE54}"/>
    <cellStyle name="Note 12 3 5 2" xfId="32533" xr:uid="{8FCCD60A-E7E4-4173-81CB-53B173F55FEA}"/>
    <cellStyle name="Note 12 3 6" xfId="9110" xr:uid="{83EC1427-2C42-4F78-A7B3-CB1D8A404CE4}"/>
    <cellStyle name="Note 12 3 6 2" xfId="33111" xr:uid="{514051AF-650A-45CA-9F81-A39094ECE2C9}"/>
    <cellStyle name="Note 12 3 7" xfId="10351" xr:uid="{C2654534-894F-4E02-A530-40B818495E5C}"/>
    <cellStyle name="Note 12 3 7 2" xfId="33986" xr:uid="{3D3B96BA-7E36-4511-AA5C-8B336AC72A89}"/>
    <cellStyle name="Note 12 3 8" xfId="8618" xr:uid="{CE197089-B98D-40C9-B353-A0A4DE208AA5}"/>
    <cellStyle name="Note 12 3 8 2" xfId="32793" xr:uid="{0D0BC958-F368-4A8D-AD7F-A93F34B4724A}"/>
    <cellStyle name="Note 12 3 9" xfId="10519" xr:uid="{10A3C78A-845C-4801-86F5-407891EA920D}"/>
    <cellStyle name="Note 12 3 9 2" xfId="34146" xr:uid="{14ACD920-41CF-4AD5-92DC-2CE849998D96}"/>
    <cellStyle name="Note 12 30" xfId="27230" xr:uid="{7D67D65D-57A0-4B1A-A93B-CD3D5D3F8393}"/>
    <cellStyle name="Note 12 30 2" xfId="45565" xr:uid="{CCDAF0AA-1D59-4486-9BD0-6598A94BF8AA}"/>
    <cellStyle name="Note 12 31" xfId="18567" xr:uid="{18E06A3D-70B2-422A-B0A3-853A2D89A428}"/>
    <cellStyle name="Note 12 31 2" xfId="39511" xr:uid="{CB2D4529-8016-4E48-B7FD-03ECA5793C16}"/>
    <cellStyle name="Note 12 32" xfId="29419" xr:uid="{7CFC4C62-1E3C-4256-AB9A-50115487BDAC}"/>
    <cellStyle name="Note 12 32 2" xfId="46880" xr:uid="{1DFFD3A7-85D7-45D9-99C6-4813347A2977}"/>
    <cellStyle name="Note 12 33" xfId="15404" xr:uid="{3E916EDE-73DB-4663-8477-AE344F6ACDC5}"/>
    <cellStyle name="Note 12 33 2" xfId="37098" xr:uid="{5BDD89D9-6D03-47C9-944C-935774914108}"/>
    <cellStyle name="Note 12 34" xfId="28398" xr:uid="{A4FFEC21-F45A-452D-94D8-51F107DAE82D}"/>
    <cellStyle name="Note 12 34 2" xfId="46245" xr:uid="{F1CE3426-AFF0-491A-9372-3A90FFEE0CBC}"/>
    <cellStyle name="Note 12 35" xfId="6287" xr:uid="{B59F1065-D547-4F80-B520-DD0D25D0FEE7}"/>
    <cellStyle name="Note 12 4" xfId="2749" xr:uid="{7DD591F9-26DC-497A-A6A3-259EBE27D1D6}"/>
    <cellStyle name="Note 12 4 10" xfId="11916" xr:uid="{A03D32B5-BC73-4965-AA9F-8B7A0A0201E9}"/>
    <cellStyle name="Note 12 4 10 2" xfId="34527" xr:uid="{83F4F86F-59B9-45A1-A4F6-7E54030B3D9C}"/>
    <cellStyle name="Note 12 4 11" xfId="12153" xr:uid="{C05BEF85-0832-49A6-8E5C-671FED5DFC0A}"/>
    <cellStyle name="Note 12 4 11 2" xfId="34698" xr:uid="{F146A7D3-1D27-4617-9058-AD908D270C2E}"/>
    <cellStyle name="Note 12 4 12" xfId="12393" xr:uid="{445077D5-502D-4BA2-A67B-2C2F8B67B6A4}"/>
    <cellStyle name="Note 12 4 12 2" xfId="34880" xr:uid="{BC5C9275-CFCC-4E54-B9C1-BEDEE6C84800}"/>
    <cellStyle name="Note 12 4 13" xfId="13843" xr:uid="{088D6F41-1510-4359-AD25-D56A4BE9B87C}"/>
    <cellStyle name="Note 12 4 13 2" xfId="35966" xr:uid="{ADD09930-2C60-41AD-B880-BC24979EB6FC}"/>
    <cellStyle name="Note 12 4 14" xfId="9656" xr:uid="{1AE51691-EE5E-4C3F-9FF7-FF4135C1F6BF}"/>
    <cellStyle name="Note 12 4 14 2" xfId="33548" xr:uid="{0AC26961-2845-4888-B8B9-987F492E63A7}"/>
    <cellStyle name="Note 12 4 15" xfId="17990" xr:uid="{E5D22066-2420-46B0-90A5-BC90D4A169E1}"/>
    <cellStyle name="Note 12 4 15 2" xfId="39086" xr:uid="{EF875DB0-359D-447A-B1BD-6BDCA6C7C642}"/>
    <cellStyle name="Note 12 4 16" xfId="21630" xr:uid="{58859F33-2A78-4028-98CC-D51CBB539FBA}"/>
    <cellStyle name="Note 12 4 16 2" xfId="41706" xr:uid="{51F81439-034C-4317-BBFF-106F2B41B455}"/>
    <cellStyle name="Note 12 4 17" xfId="15290" xr:uid="{AE7F3DF5-1AA1-4675-B008-60DFD0D76685}"/>
    <cellStyle name="Note 12 4 17 2" xfId="37005" xr:uid="{4BBCF392-6320-4DEB-928A-FB5A393D5F9B}"/>
    <cellStyle name="Note 12 4 18" xfId="15860" xr:uid="{F3677B2C-402E-49B7-B8AA-157CB97D17F9}"/>
    <cellStyle name="Note 12 4 18 2" xfId="37460" xr:uid="{C9AA8984-1AEF-422A-B1EA-798EDDE8EEC6}"/>
    <cellStyle name="Note 12 4 19" xfId="26332" xr:uid="{17D966F5-2C9F-4698-97A1-1C541D3CD908}"/>
    <cellStyle name="Note 12 4 19 2" xfId="45014" xr:uid="{8917E65C-5469-47A3-B333-509E5DD86C5F}"/>
    <cellStyle name="Note 12 4 2" xfId="2750" xr:uid="{D0DF210E-F1F7-408D-AD80-239F74F2750C}"/>
    <cellStyle name="Note 12 4 2 10" xfId="14803" xr:uid="{883A69BE-FAE6-485E-A32D-B9FA5C25F24C}"/>
    <cellStyle name="Note 12 4 2 10 2" xfId="36678" xr:uid="{18536FC9-0654-4A13-B390-5B443C4EDE73}"/>
    <cellStyle name="Note 12 4 2 11" xfId="14171" xr:uid="{4A87F2A2-11DC-4461-B246-5004625D565B}"/>
    <cellStyle name="Note 12 4 2 11 2" xfId="36224" xr:uid="{75703E5F-3DC5-4EA1-BB92-530767CE42ED}"/>
    <cellStyle name="Note 12 4 2 12" xfId="13655" xr:uid="{0B2F564C-E44A-47D9-8CCB-40AA9639589B}"/>
    <cellStyle name="Note 12 4 2 12 2" xfId="35812" xr:uid="{145D45E6-4D0D-4A4C-9500-9696E18828A9}"/>
    <cellStyle name="Note 12 4 2 13" xfId="9657" xr:uid="{299D5D6D-94E2-4205-87D5-1E57632E2CA4}"/>
    <cellStyle name="Note 12 4 2 13 2" xfId="33549" xr:uid="{4466C4A5-1CF1-4598-A6F5-06030188DF49}"/>
    <cellStyle name="Note 12 4 2 14" xfId="19828" xr:uid="{291A327D-7E13-41CE-9D88-DD6B2DB50A77}"/>
    <cellStyle name="Note 12 4 2 14 2" xfId="40441" xr:uid="{165A8F20-AC83-4452-9EC5-7922EB24B2C9}"/>
    <cellStyle name="Note 12 4 2 15" xfId="21627" xr:uid="{325D242B-CF44-47EF-BDA3-7C08A7F20C5A}"/>
    <cellStyle name="Note 12 4 2 15 2" xfId="41703" xr:uid="{B8822690-83DE-4AD8-A000-A1301DA0E75F}"/>
    <cellStyle name="Note 12 4 2 16" xfId="21507" xr:uid="{8EAB9F65-9B1D-4657-8EF7-A0090FB82BA7}"/>
    <cellStyle name="Note 12 4 2 16 2" xfId="41634" xr:uid="{A8502EE2-A528-401A-8EE6-F22007F20EF9}"/>
    <cellStyle name="Note 12 4 2 17" xfId="13985" xr:uid="{533A4842-7B8C-4846-8CB6-585799B00A1C}"/>
    <cellStyle name="Note 12 4 2 17 2" xfId="36082" xr:uid="{A9D5608F-55B6-493B-BFD6-5C00E3377273}"/>
    <cellStyle name="Note 12 4 2 18" xfId="26335" xr:uid="{84FD767F-D60E-4E42-AEC9-173F9DAE9590}"/>
    <cellStyle name="Note 12 4 2 18 2" xfId="45017" xr:uid="{6DDDA2F8-7B27-43BE-9193-BAA0CB3E6062}"/>
    <cellStyle name="Note 12 4 2 19" xfId="24824" xr:uid="{29FC66C2-BD33-4964-A47D-06906C3EE6D8}"/>
    <cellStyle name="Note 12 4 2 19 2" xfId="43964" xr:uid="{158C66C1-48C1-4F93-8B58-95F30FBD6A5D}"/>
    <cellStyle name="Note 12 4 2 2" xfId="8244" xr:uid="{C74863D9-992C-45D1-A24A-C69228AC1047}"/>
    <cellStyle name="Note 12 4 2 2 2" xfId="32484" xr:uid="{BDECC587-60F2-4855-8A91-C7EEE0D4A0EA}"/>
    <cellStyle name="Note 12 4 2 20" xfId="24927" xr:uid="{A6E3F4CB-D658-409E-8060-5589A0B45150}"/>
    <cellStyle name="Note 12 4 2 20 2" xfId="44010" xr:uid="{CC6D6B24-C6BB-4F08-8FB8-5F95B98AF297}"/>
    <cellStyle name="Note 12 4 2 21" xfId="22307" xr:uid="{F533A6C0-5651-4C89-A1C6-D67FD477751A}"/>
    <cellStyle name="Note 12 4 2 21 2" xfId="42171" xr:uid="{DD16182B-C04A-4860-9F31-CE59462445DA}"/>
    <cellStyle name="Note 12 4 2 22" xfId="17877" xr:uid="{E96A46E9-DD86-4D72-B71A-5BBE8D83ABBE}"/>
    <cellStyle name="Note 12 4 2 22 2" xfId="38993" xr:uid="{797C37F7-F060-473E-95E7-B68F18F25F45}"/>
    <cellStyle name="Note 12 4 2 23" xfId="27227" xr:uid="{DB12534F-AC55-4E32-8995-DECE04883D40}"/>
    <cellStyle name="Note 12 4 2 23 2" xfId="45562" xr:uid="{7C336C81-ACB1-47EF-9159-981E5F4E852E}"/>
    <cellStyle name="Note 12 4 2 24" xfId="20322" xr:uid="{86F52261-D9A8-40C8-B143-437C6E2F82DE}"/>
    <cellStyle name="Note 12 4 2 24 2" xfId="40755" xr:uid="{3DCBA9E9-0E7C-45B2-892B-8F811025D520}"/>
    <cellStyle name="Note 12 4 2 25" xfId="24435" xr:uid="{1B08DD9C-0550-4D1B-936C-2FD75D34247A}"/>
    <cellStyle name="Note 12 4 2 25 2" xfId="43647" xr:uid="{A9FCD7D1-6DE0-4A5B-AB5D-4A5C98153EA6}"/>
    <cellStyle name="Note 12 4 2 26" xfId="30936" xr:uid="{6FC75A17-334D-4384-A54C-7D18F3174992}"/>
    <cellStyle name="Note 12 4 2 26 2" xfId="47769" xr:uid="{74636203-2D9A-4823-B935-687E70914AAF}"/>
    <cellStyle name="Note 12 4 2 27" xfId="31060" xr:uid="{43BD9A80-3EEC-463F-962C-ABA5A1493C95}"/>
    <cellStyle name="Note 12 4 2 27 2" xfId="47790" xr:uid="{C4B5DC8D-E573-476C-8904-E50AD84036B6}"/>
    <cellStyle name="Note 12 4 2 28" xfId="6295" xr:uid="{EFFE9783-F01B-4821-88BE-9A316BAD47BF}"/>
    <cellStyle name="Note 12 4 2 3" xfId="9152" xr:uid="{869C6664-E76F-42B9-8CAC-E2387DFA811D}"/>
    <cellStyle name="Note 12 4 2 3 2" xfId="33146" xr:uid="{9D6862F6-F6D7-4C7F-A943-48BA56C7516A}"/>
    <cellStyle name="Note 12 4 2 4" xfId="8291" xr:uid="{2162F461-3613-4E3E-AB01-CA2827AA482C}"/>
    <cellStyle name="Note 12 4 2 4 2" xfId="32530" xr:uid="{2CF47AA9-21FF-4069-A880-4BF396F8C6DC}"/>
    <cellStyle name="Note 12 4 2 5" xfId="9107" xr:uid="{F2CE9EA6-53D3-4131-9525-AEF5AA4D064F}"/>
    <cellStyle name="Note 12 4 2 5 2" xfId="33108" xr:uid="{45FC85A5-09BC-4A93-A158-8FFC47DFF5B0}"/>
    <cellStyle name="Note 12 4 2 6" xfId="13114" xr:uid="{6B8E6729-ED91-4C8F-AF29-B18C6735D956}"/>
    <cellStyle name="Note 12 4 2 6 2" xfId="35462" xr:uid="{9711CD25-516C-4879-A623-14199ECD7BA5}"/>
    <cellStyle name="Note 12 4 2 7" xfId="8615" xr:uid="{A41827AF-0DC6-431C-9222-DB7C90B188D0}"/>
    <cellStyle name="Note 12 4 2 7 2" xfId="32790" xr:uid="{36AB78F5-C49C-4B7B-9218-FFFC28A7277F}"/>
    <cellStyle name="Note 12 4 2 8" xfId="12956" xr:uid="{8DE954D9-54C2-4B37-9A4B-8D9709392103}"/>
    <cellStyle name="Note 12 4 2 8 2" xfId="35311" xr:uid="{AA567C06-F9FB-4E1D-BF2C-A7BBBB845AC3}"/>
    <cellStyle name="Note 12 4 2 9" xfId="7502" xr:uid="{ECC48A47-FA72-43B2-B586-71E51108F627}"/>
    <cellStyle name="Note 12 4 2 9 2" xfId="31859" xr:uid="{C7721DBC-DA2F-4595-9911-D379A52789DC}"/>
    <cellStyle name="Note 12 4 20" xfId="22359" xr:uid="{B5FC9C2D-0C20-409C-A4EC-341C79362182}"/>
    <cellStyle name="Note 12 4 20 2" xfId="42213" xr:uid="{0722E7EF-0314-45EC-9B40-4F831DD31151}"/>
    <cellStyle name="Note 12 4 21" xfId="19219" xr:uid="{8C15777B-AAA2-4B67-9DA9-9C5A1C5A6160}"/>
    <cellStyle name="Note 12 4 21 2" xfId="40027" xr:uid="{590A71C6-613E-42D6-B4DE-832FE55D25F6}"/>
    <cellStyle name="Note 12 4 22" xfId="24614" xr:uid="{971F7A42-B84F-49B9-9C92-993FD0FDDB72}"/>
    <cellStyle name="Note 12 4 22 2" xfId="43796" xr:uid="{B822D807-2D0F-43A8-A719-491AF3CA5986}"/>
    <cellStyle name="Note 12 4 23" xfId="21227" xr:uid="{A3D34F32-620B-4B8C-9978-D2F81A719463}"/>
    <cellStyle name="Note 12 4 23 2" xfId="41420" xr:uid="{2BB01D06-B0C7-4EC3-BC1D-9D6E045A235B}"/>
    <cellStyle name="Note 12 4 24" xfId="25663" xr:uid="{33CA67E1-1353-4A0D-A833-44BFE4519AF8}"/>
    <cellStyle name="Note 12 4 24 2" xfId="44507" xr:uid="{79209DD4-0A68-4197-89AA-89371237649D}"/>
    <cellStyle name="Note 12 4 25" xfId="30319" xr:uid="{83C64869-2216-4546-9481-4E24BDBC1821}"/>
    <cellStyle name="Note 12 4 25 2" xfId="47467" xr:uid="{4CDA6DD7-C856-449B-8930-DCE698032768}"/>
    <cellStyle name="Note 12 4 26" xfId="29682" xr:uid="{DE3F4E80-ED69-4D45-BBE1-723E8460D9F7}"/>
    <cellStyle name="Note 12 4 26 2" xfId="47037" xr:uid="{90D18031-5F09-4934-8148-131E517D40F6}"/>
    <cellStyle name="Note 12 4 27" xfId="30933" xr:uid="{1E1630B5-85C9-4ED4-AFAF-1EE11DC35956}"/>
    <cellStyle name="Note 12 4 27 2" xfId="47766" xr:uid="{DF5153B8-6612-407E-A695-B6443A5B6468}"/>
    <cellStyle name="Note 12 4 28" xfId="30950" xr:uid="{056BE6FD-7820-48D0-B75A-FBA9FF27FF2A}"/>
    <cellStyle name="Note 12 4 28 2" xfId="47774" xr:uid="{F84AF122-99C3-4D24-A27A-A77E779008CE}"/>
    <cellStyle name="Note 12 4 29" xfId="6294" xr:uid="{4189CCF4-11C0-4044-B8AE-C91CE94D2D44}"/>
    <cellStyle name="Note 12 4 3" xfId="8245" xr:uid="{848E624B-B3E9-42A5-B048-EAB681F609F8}"/>
    <cellStyle name="Note 12 4 3 2" xfId="32485" xr:uid="{CEE2E482-8E8B-4FB0-A207-7A5E8C01D01C}"/>
    <cellStyle name="Note 12 4 4" xfId="9151" xr:uid="{8F6244F8-4548-4A0A-AFBB-08B82021ED5F}"/>
    <cellStyle name="Note 12 4 4 2" xfId="33145" xr:uid="{31DBA82C-6D15-4FF7-B0B4-97987B1B0769}"/>
    <cellStyle name="Note 12 4 5" xfId="8292" xr:uid="{C51DE4BD-D7D6-48D7-A59B-7A3DA8B01BA0}"/>
    <cellStyle name="Note 12 4 5 2" xfId="32531" xr:uid="{5AD856E6-60EA-4F42-9B80-F4666030F5A7}"/>
    <cellStyle name="Note 12 4 6" xfId="9108" xr:uid="{CCBC1C16-388A-4530-ADEE-FC2423FC83EA}"/>
    <cellStyle name="Note 12 4 6 2" xfId="33109" xr:uid="{AA2A8D6E-C304-4DC9-98CA-DD2C4BC78313}"/>
    <cellStyle name="Note 12 4 7" xfId="10352" xr:uid="{6187A7C1-1444-40FA-A608-9C125B15AA04}"/>
    <cellStyle name="Note 12 4 7 2" xfId="33987" xr:uid="{DBFAB285-226F-45CE-A555-09ED60B6EFA6}"/>
    <cellStyle name="Note 12 4 8" xfId="8616" xr:uid="{658497C8-4B96-4255-B8F1-9736E717B4FF}"/>
    <cellStyle name="Note 12 4 8 2" xfId="32791" xr:uid="{25F15AC0-F64B-4E38-AD23-87FF4E17A4D2}"/>
    <cellStyle name="Note 12 4 9" xfId="14970" xr:uid="{96455125-9BA7-4D65-B8A9-FD77A613B77A}"/>
    <cellStyle name="Note 12 4 9 2" xfId="36844" xr:uid="{8A293698-99DE-401B-B30F-97276B2CEF75}"/>
    <cellStyle name="Note 12 5" xfId="2751" xr:uid="{FE176E17-4C5F-41CE-AAE2-1AF72A1FF670}"/>
    <cellStyle name="Note 12 5 10" xfId="11915" xr:uid="{7425D052-4385-4468-B212-F8E0694219A8}"/>
    <cellStyle name="Note 12 5 10 2" xfId="34526" xr:uid="{D326F618-8CD9-4998-9CAA-76F3F63553E4}"/>
    <cellStyle name="Note 12 5 11" xfId="12154" xr:uid="{4E2F4016-E059-4F2F-871F-FC7CDD58B74D}"/>
    <cellStyle name="Note 12 5 11 2" xfId="34699" xr:uid="{54604D6D-3CAB-4CD3-A432-128E66045CEE}"/>
    <cellStyle name="Note 12 5 12" xfId="12394" xr:uid="{6F596565-DCAF-408D-BEC6-1FC3759EDC89}"/>
    <cellStyle name="Note 12 5 12 2" xfId="34881" xr:uid="{F7729A5A-D531-425A-8DEB-6A162A2B5CD2}"/>
    <cellStyle name="Note 12 5 13" xfId="20261" xr:uid="{628292F4-4872-4998-AD5B-882F5971BFCE}"/>
    <cellStyle name="Note 12 5 13 2" xfId="40703" xr:uid="{F99CEB22-65C7-4641-9120-656F2DBD991F}"/>
    <cellStyle name="Note 12 5 14" xfId="9658" xr:uid="{4FB79A29-1F9E-4A5D-9417-662D6276FA20}"/>
    <cellStyle name="Note 12 5 14 2" xfId="33550" xr:uid="{A73B0880-6BC8-4A00-B6E9-5FEE7565E3AD}"/>
    <cellStyle name="Note 12 5 15" xfId="15731" xr:uid="{2585AB52-A98C-435B-A6AF-F837C69968A9}"/>
    <cellStyle name="Note 12 5 15 2" xfId="37360" xr:uid="{918D275C-8427-4887-8A5E-FF09DF5BDEF6}"/>
    <cellStyle name="Note 12 5 16" xfId="10064" xr:uid="{C2F2E701-7B66-4B07-BB75-637658BC592A}"/>
    <cellStyle name="Note 12 5 16 2" xfId="33776" xr:uid="{1C716188-DFB6-4BEE-A00B-CA764F703F46}"/>
    <cellStyle name="Note 12 5 17" xfId="20884" xr:uid="{86135649-8D12-4864-9EB9-0610B45C755D}"/>
    <cellStyle name="Note 12 5 17 2" xfId="41194" xr:uid="{79EDB116-EB30-4DB4-9FD7-717B953A6FF1}"/>
    <cellStyle name="Note 12 5 18" xfId="15852" xr:uid="{52A01711-34AA-422E-BC0E-52002F8F482C}"/>
    <cellStyle name="Note 12 5 18 2" xfId="37452" xr:uid="{C964ED7B-44D2-4B13-8BE7-252EC7B75A7D}"/>
    <cellStyle name="Note 12 5 19" xfId="18879" xr:uid="{E66739CE-989F-4E24-9B7C-4E3C961D8E48}"/>
    <cellStyle name="Note 12 5 19 2" xfId="39713" xr:uid="{541CD455-AC75-4648-8933-12E1C38153E1}"/>
    <cellStyle name="Note 12 5 2" xfId="2752" xr:uid="{40D2AB84-4450-4C86-9DDE-4C84CC214CAF}"/>
    <cellStyle name="Note 12 5 2 10" xfId="15980" xr:uid="{AAFCFC71-6DA6-4BF2-9549-2F6CFAF9A0A7}"/>
    <cellStyle name="Note 12 5 2 10 2" xfId="37571" xr:uid="{EF634578-C4D5-4E5F-B16C-D16CDE9918E0}"/>
    <cellStyle name="Note 12 5 2 11" xfId="18678" xr:uid="{51D6AE5C-22D1-463B-BB87-B55C6E733B74}"/>
    <cellStyle name="Note 12 5 2 11 2" xfId="39560" xr:uid="{D1BAAAFC-40C4-4F93-9247-580C1FC1453D}"/>
    <cellStyle name="Note 12 5 2 12" xfId="13851" xr:uid="{23F8D878-9D93-4CEF-9B0B-71B3537D412E}"/>
    <cellStyle name="Note 12 5 2 12 2" xfId="35974" xr:uid="{5031FBF9-951F-4CF7-99D2-F5E0AD2B0A26}"/>
    <cellStyle name="Note 12 5 2 13" xfId="9694" xr:uid="{7FF56354-06B0-447C-806A-F7F684FB0911}"/>
    <cellStyle name="Note 12 5 2 13 2" xfId="33570" xr:uid="{0CC4C369-B37F-40F0-9A68-1A32ABA868F3}"/>
    <cellStyle name="Note 12 5 2 14" xfId="19827" xr:uid="{B92CEB7E-9C27-4A05-9F06-1F546730FDAD}"/>
    <cellStyle name="Note 12 5 2 14 2" xfId="40440" xr:uid="{114E5B51-2DEE-49B5-BF2D-0D47EB16FD26}"/>
    <cellStyle name="Note 12 5 2 15" xfId="16696" xr:uid="{00B6904D-C92B-4DAA-9D18-96BF863475E7}"/>
    <cellStyle name="Note 12 5 2 15 2" xfId="38187" xr:uid="{6FED8243-38C0-4FCB-AFFA-AB1E4075795C}"/>
    <cellStyle name="Note 12 5 2 16" xfId="21506" xr:uid="{03BDF24D-384F-4013-A7DD-D38D2899EA87}"/>
    <cellStyle name="Note 12 5 2 16 2" xfId="41633" xr:uid="{FDE858FB-834E-42EB-9B64-B201AC89727F}"/>
    <cellStyle name="Note 12 5 2 17" xfId="15859" xr:uid="{FA7D4FFE-0EB9-4BDE-AB33-B966F7CF6653}"/>
    <cellStyle name="Note 12 5 2 17 2" xfId="37459" xr:uid="{C090EE86-3F28-4F82-8C0D-18F48DCA1655}"/>
    <cellStyle name="Note 12 5 2 18" xfId="26334" xr:uid="{38A7F2A7-DFC2-48E6-B0AB-BD2BC7B05AA6}"/>
    <cellStyle name="Note 12 5 2 18 2" xfId="45016" xr:uid="{4D1FA2B4-CFC1-43D7-9D70-09A560B0CAD9}"/>
    <cellStyle name="Note 12 5 2 19" xfId="26568" xr:uid="{CA7BD85E-B6D4-4AB1-B1CC-896292393CA0}"/>
    <cellStyle name="Note 12 5 2 19 2" xfId="45134" xr:uid="{4888A500-274A-40FF-9311-FCDB833CA281}"/>
    <cellStyle name="Note 12 5 2 2" xfId="8242" xr:uid="{C2313CEE-FE2D-4774-9CB7-B8DE66308895}"/>
    <cellStyle name="Note 12 5 2 2 2" xfId="32482" xr:uid="{75869DB1-0EB5-43C8-A55F-9FB99E2BB7F8}"/>
    <cellStyle name="Note 12 5 2 20" xfId="19220" xr:uid="{4ABA8218-6AF4-40F3-B6BF-3EE3B301C19C}"/>
    <cellStyle name="Note 12 5 2 20 2" xfId="40028" xr:uid="{D70B7625-FED6-4068-8314-BA5751285941}"/>
    <cellStyle name="Note 12 5 2 21" xfId="27576" xr:uid="{CB0C82D5-BC08-40EA-8B95-45C4B3BC90DD}"/>
    <cellStyle name="Note 12 5 2 21 2" xfId="45725" xr:uid="{5A95C8A3-CD57-4AB1-A89F-1477ADE3FDED}"/>
    <cellStyle name="Note 12 5 2 22" xfId="21228" xr:uid="{479FD0F0-389D-4CF2-86DB-57B4BF7A91B9}"/>
    <cellStyle name="Note 12 5 2 22 2" xfId="41421" xr:uid="{9FF1DE6F-389F-435A-A2AA-4A45702FF79F}"/>
    <cellStyle name="Note 12 5 2 23" xfId="27226" xr:uid="{90608E08-1510-4299-8F6E-A48708CC05C3}"/>
    <cellStyle name="Note 12 5 2 23 2" xfId="45561" xr:uid="{91335E00-47C4-4D16-B2C4-D415D115295A}"/>
    <cellStyle name="Note 12 5 2 24" xfId="30316" xr:uid="{055271BF-BF50-49F2-8CDF-644DC2275455}"/>
    <cellStyle name="Note 12 5 2 24 2" xfId="47464" xr:uid="{D0A74ADC-6B5F-4030-A164-6624A63DAD35}"/>
    <cellStyle name="Note 12 5 2 25" xfId="30429" xr:uid="{1D5AD459-BD48-4BB9-A532-02535D9BDB6E}"/>
    <cellStyle name="Note 12 5 2 25 2" xfId="47484" xr:uid="{09D74AF2-D276-47B6-A22B-2EB57C83AE9F}"/>
    <cellStyle name="Note 12 5 2 26" xfId="30935" xr:uid="{10838FA5-4A32-484E-8200-F46461F9FC24}"/>
    <cellStyle name="Note 12 5 2 26 2" xfId="47768" xr:uid="{0BFB9CE4-83F4-431F-902C-238B666BADBB}"/>
    <cellStyle name="Note 12 5 2 27" xfId="31061" xr:uid="{1AFE98D9-7B48-4F67-A3C5-1E953D38795C}"/>
    <cellStyle name="Note 12 5 2 27 2" xfId="47791" xr:uid="{E7D4CF8B-D074-456A-9720-C4993A4C8167}"/>
    <cellStyle name="Note 12 5 2 28" xfId="6297" xr:uid="{3B84F1DE-FE3A-43A1-91F2-F7931DDCE4B5}"/>
    <cellStyle name="Note 12 5 2 3" xfId="9154" xr:uid="{D442E083-9587-4EAD-ACDB-396342C3D8D6}"/>
    <cellStyle name="Note 12 5 2 3 2" xfId="33148" xr:uid="{0F4E9FEE-2F4A-4296-87CF-C970CD4583AC}"/>
    <cellStyle name="Note 12 5 2 4" xfId="8288" xr:uid="{EF420E60-1437-48A8-AC99-691E5A5DD117}"/>
    <cellStyle name="Note 12 5 2 4 2" xfId="32527" xr:uid="{24152C8B-75DA-49CD-A5BC-5BDF4C09C106}"/>
    <cellStyle name="Note 12 5 2 5" xfId="9131" xr:uid="{7DD0C975-7E22-482E-9CDB-D563C225A4CD}"/>
    <cellStyle name="Note 12 5 2 5 2" xfId="33132" xr:uid="{804B95FA-D044-4098-9D8A-E942863D976B}"/>
    <cellStyle name="Note 12 5 2 6" xfId="13113" xr:uid="{25D8D12F-34FB-48C9-BD56-C4C5A099239C}"/>
    <cellStyle name="Note 12 5 2 6 2" xfId="35461" xr:uid="{75621DA5-45CC-4228-8170-0E9B5128052E}"/>
    <cellStyle name="Note 12 5 2 7" xfId="8613" xr:uid="{0E56D90C-7F81-4C17-99BC-4280CA6A50F9}"/>
    <cellStyle name="Note 12 5 2 7 2" xfId="32788" xr:uid="{6E6C0E05-1A50-4097-AD51-EA9F52B6B5C8}"/>
    <cellStyle name="Note 12 5 2 8" xfId="10520" xr:uid="{59689E17-F8D0-4C1F-8498-6701565EAB54}"/>
    <cellStyle name="Note 12 5 2 8 2" xfId="34147" xr:uid="{4D785DD9-F85E-43B3-9E59-9602938AF544}"/>
    <cellStyle name="Note 12 5 2 9" xfId="7501" xr:uid="{0DDF8075-0329-499F-8B36-466B8FA4699D}"/>
    <cellStyle name="Note 12 5 2 9 2" xfId="31858" xr:uid="{5CE5164E-AFC8-44B5-BE1C-90DD16649D46}"/>
    <cellStyle name="Note 12 5 20" xfId="26549" xr:uid="{3C625C6E-C7E7-4EC6-B202-20F12CB217D3}"/>
    <cellStyle name="Note 12 5 20 2" xfId="45122" xr:uid="{75EC5801-C6B0-4E4E-8DCB-6223E7F8C836}"/>
    <cellStyle name="Note 12 5 21" xfId="16049" xr:uid="{4102BBF1-A20E-4607-870D-7720C0F8BE05}"/>
    <cellStyle name="Note 12 5 21 2" xfId="37627" xr:uid="{0A6121E6-0047-4DA7-94D8-48E32F21A8CD}"/>
    <cellStyle name="Note 12 5 22" xfId="24613" xr:uid="{5505D9E2-EB5C-4037-AD26-773C3E7FD80A}"/>
    <cellStyle name="Note 12 5 22 2" xfId="43795" xr:uid="{4076A516-AB07-4FC7-BE03-FF6E5AF51453}"/>
    <cellStyle name="Note 12 5 23" xfId="17802" xr:uid="{54C306AB-CAB9-4672-A8F2-659DDF03D8A6}"/>
    <cellStyle name="Note 12 5 23 2" xfId="38927" xr:uid="{A855B3B9-DE18-4B55-AAE7-E4AD92DC8DA0}"/>
    <cellStyle name="Note 12 5 24" xfId="26139" xr:uid="{BFF0A243-15F4-4993-8C1D-10700BD559A9}"/>
    <cellStyle name="Note 12 5 24 2" xfId="44880" xr:uid="{F315EE5F-CB15-4BE6-A435-F9859514EF1F}"/>
    <cellStyle name="Note 12 5 25" xfId="24027" xr:uid="{061AD98C-0FF5-4EDC-99BA-48A5E35D932A}"/>
    <cellStyle name="Note 12 5 25 2" xfId="43404" xr:uid="{25B26096-EBB4-4CC8-A10A-63899107FF9B}"/>
    <cellStyle name="Note 12 5 26" xfId="21122" xr:uid="{25DBD1C5-4DCB-41BF-94CB-F54C1C674EED}"/>
    <cellStyle name="Note 12 5 26 2" xfId="41329" xr:uid="{E568E179-983C-4784-9AC1-DAD045317339}"/>
    <cellStyle name="Note 12 5 27" xfId="29717" xr:uid="{9F19B329-7D40-467A-8BF4-1F762B77EE15}"/>
    <cellStyle name="Note 12 5 27 2" xfId="47062" xr:uid="{0B9BA9C3-CE29-4C99-9EDD-A2BFF0774C60}"/>
    <cellStyle name="Note 12 5 28" xfId="30949" xr:uid="{4A88432C-F91A-45C7-9F3E-797862FDFAAD}"/>
    <cellStyle name="Note 12 5 28 2" xfId="47773" xr:uid="{D556B641-9774-4D6A-BD9F-CF7378530FB2}"/>
    <cellStyle name="Note 12 5 29" xfId="6296" xr:uid="{38E18C7B-9D75-4556-9B4B-3D4B668F6462}"/>
    <cellStyle name="Note 12 5 3" xfId="8243" xr:uid="{FA08D9BC-3BE5-4FDB-B391-69A38054F96F}"/>
    <cellStyle name="Note 12 5 3 2" xfId="32483" xr:uid="{B9CBAE58-8118-4E30-8BDD-9761308CA88A}"/>
    <cellStyle name="Note 12 5 4" xfId="9153" xr:uid="{ED48E384-B649-4584-962D-ECF839634446}"/>
    <cellStyle name="Note 12 5 4 2" xfId="33147" xr:uid="{4DAFF529-9527-4927-A7F2-7C74D908CB6B}"/>
    <cellStyle name="Note 12 5 5" xfId="8290" xr:uid="{FEE2BE64-6499-4676-9CEE-DD3C7A8F3DC7}"/>
    <cellStyle name="Note 12 5 5 2" xfId="32529" xr:uid="{9DAC2937-E775-47D4-8E8F-21DC7110A37A}"/>
    <cellStyle name="Note 12 5 6" xfId="9106" xr:uid="{57C26547-67A8-49F8-AFB2-1687B722A8A3}"/>
    <cellStyle name="Note 12 5 6 2" xfId="33107" xr:uid="{3E8C13F3-A00F-4456-B582-0941EABE08AB}"/>
    <cellStyle name="Note 12 5 7" xfId="10353" xr:uid="{2B91B8A2-EF83-472C-8240-A51E25076350}"/>
    <cellStyle name="Note 12 5 7 2" xfId="33988" xr:uid="{54C70BEF-1BDD-4DE0-BB95-0A3EF244D05B}"/>
    <cellStyle name="Note 12 5 8" xfId="8614" xr:uid="{EE3C88A9-623C-4448-B422-504D1C4D415C}"/>
    <cellStyle name="Note 12 5 8 2" xfId="32789" xr:uid="{11230331-FC9C-42B1-8532-0C5714B49F49}"/>
    <cellStyle name="Note 12 5 9" xfId="14969" xr:uid="{11578F92-24A7-4BB6-A00E-04D577713C95}"/>
    <cellStyle name="Note 12 5 9 2" xfId="36843" xr:uid="{57A41764-28B0-467C-BD67-9C812C2B5D05}"/>
    <cellStyle name="Note 12 6" xfId="2753" xr:uid="{67424E71-C357-4A2B-95BB-1FEE8B0FEABE}"/>
    <cellStyle name="Note 12 6 10" xfId="11914" xr:uid="{2FD2EFB4-681A-4380-B1C7-5366C10A84C2}"/>
    <cellStyle name="Note 12 6 10 2" xfId="34525" xr:uid="{FF36223A-458D-455F-938C-37714F85A58D}"/>
    <cellStyle name="Note 12 6 11" xfId="15992" xr:uid="{81922A7E-784D-490F-9B22-B1CF94CC36D9}"/>
    <cellStyle name="Note 12 6 11 2" xfId="37575" xr:uid="{BA9565F8-2C00-4E75-A8FF-1990A78A786B}"/>
    <cellStyle name="Note 12 6 12" xfId="15183" xr:uid="{9F28E22C-2D51-49CE-80CB-B2E560F4DEB2}"/>
    <cellStyle name="Note 12 6 12 2" xfId="36967" xr:uid="{2047EA24-3E2B-4342-8536-196306C46B85}"/>
    <cellStyle name="Note 12 6 13" xfId="16027" xr:uid="{B8A94157-DAEF-48F1-B61E-EC135E8A356F}"/>
    <cellStyle name="Note 12 6 13 2" xfId="37610" xr:uid="{565E8990-9120-4E5B-B277-8A0FF51EFC58}"/>
    <cellStyle name="Note 12 6 14" xfId="9626" xr:uid="{55346603-2687-4072-8359-011BA6C75D46}"/>
    <cellStyle name="Note 12 6 14 2" xfId="33521" xr:uid="{7B2DAEAE-38E2-46C0-808E-B4448E4CCF13}"/>
    <cellStyle name="Note 12 6 15" xfId="17989" xr:uid="{6D63F291-1188-47F0-8082-C766BD8C9231}"/>
    <cellStyle name="Note 12 6 15 2" xfId="39085" xr:uid="{03FCC75E-8CFB-4A8B-8832-AC8F88F28CCA}"/>
    <cellStyle name="Note 12 6 16" xfId="21631" xr:uid="{251334D4-94B8-40CA-8481-218214D4B5AA}"/>
    <cellStyle name="Note 12 6 16 2" xfId="41707" xr:uid="{6BFF1C93-3915-4372-AAED-7E39F5BF47A1}"/>
    <cellStyle name="Note 12 6 17" xfId="20883" xr:uid="{0A3E985A-7F13-4855-9F09-77F26BFDB8D3}"/>
    <cellStyle name="Note 12 6 17 2" xfId="41193" xr:uid="{17F3EFBD-4DFB-4C34-A5AB-3764C8180521}"/>
    <cellStyle name="Note 12 6 18" xfId="16408" xr:uid="{226D6494-564E-4B9F-BA26-1D2D3765B7EB}"/>
    <cellStyle name="Note 12 6 18 2" xfId="37917" xr:uid="{573B0F90-ADAB-4A13-B59A-DFBC23DB0515}"/>
    <cellStyle name="Note 12 6 19" xfId="20610" xr:uid="{FE83AE04-81EB-498B-86DF-11489EBFD0C6}"/>
    <cellStyle name="Note 12 6 19 2" xfId="40970" xr:uid="{9653EF2D-34DC-4123-B541-4A612D0A838A}"/>
    <cellStyle name="Note 12 6 2" xfId="2754" xr:uid="{4EB80CCF-14E4-4BC6-A0B0-86E72F6751FD}"/>
    <cellStyle name="Note 12 6 2 10" xfId="14802" xr:uid="{0D531559-22CF-4544-AB49-D4025749F83B}"/>
    <cellStyle name="Note 12 6 2 10 2" xfId="36677" xr:uid="{C662572D-9415-4B1F-962A-04CB162FBE69}"/>
    <cellStyle name="Note 12 6 2 11" xfId="14170" xr:uid="{2FFBD200-9846-4E00-A926-915CD0790232}"/>
    <cellStyle name="Note 12 6 2 11 2" xfId="36223" xr:uid="{F609566A-BB98-4D08-AB12-C2E84F8F285A}"/>
    <cellStyle name="Note 12 6 2 12" xfId="15171" xr:uid="{55A757BC-CDE3-4ABA-A33A-94B081A2F4CE}"/>
    <cellStyle name="Note 12 6 2 12 2" xfId="36959" xr:uid="{1E46FDED-00C5-49EE-ACB1-33AA5583F9BE}"/>
    <cellStyle name="Note 12 6 2 13" xfId="9659" xr:uid="{C8E2561C-8836-4741-B9A5-53AEB3DA07FA}"/>
    <cellStyle name="Note 12 6 2 13 2" xfId="33551" xr:uid="{3297F432-1A41-4117-9E5E-3CE7FAB6C60B}"/>
    <cellStyle name="Note 12 6 2 14" xfId="19826" xr:uid="{2B13C16A-859C-46A8-82FF-F889AB17304F}"/>
    <cellStyle name="Note 12 6 2 14 2" xfId="40439" xr:uid="{66E09A92-8E58-4D36-8F8E-F5294F2D9F4E}"/>
    <cellStyle name="Note 12 6 2 15" xfId="10032" xr:uid="{CA462347-8B64-4506-9D50-6A839C3D43EA}"/>
    <cellStyle name="Note 12 6 2 15 2" xfId="33744" xr:uid="{754FF57B-9C6E-4CA5-B461-F67DEE6EB801}"/>
    <cellStyle name="Note 12 6 2 16" xfId="21505" xr:uid="{465D4CAE-B9B7-4490-B7DB-D62B7C49F568}"/>
    <cellStyle name="Note 12 6 2 16 2" xfId="41632" xr:uid="{FB9AA92C-203A-4CF0-8926-A8CFF92CFDF3}"/>
    <cellStyle name="Note 12 6 2 17" xfId="15851" xr:uid="{9F408C52-4F8D-409C-A56F-29391430D7F3}"/>
    <cellStyle name="Note 12 6 2 17 2" xfId="37451" xr:uid="{B3F8C759-5432-4CDB-878B-CAAAA8ED27E1}"/>
    <cellStyle name="Note 12 6 2 18" xfId="26333" xr:uid="{836D2707-3A84-43BE-8950-120B632CCA60}"/>
    <cellStyle name="Note 12 6 2 18 2" xfId="45015" xr:uid="{1754004F-6DF4-4D24-9688-B0F89F493394}"/>
    <cellStyle name="Note 12 6 2 19" xfId="24823" xr:uid="{FA5A4A2B-8F18-477F-A22E-C5D709F72950}"/>
    <cellStyle name="Note 12 6 2 19 2" xfId="43963" xr:uid="{9D33063D-5C29-40FF-A3E2-2D2448D26C15}"/>
    <cellStyle name="Note 12 6 2 2" xfId="8240" xr:uid="{23F1C3CD-CDE8-4231-AE5E-BFF0E24C8D4A}"/>
    <cellStyle name="Note 12 6 2 2 2" xfId="32480" xr:uid="{21360570-0BE3-4B4C-B422-E62BE114B1CA}"/>
    <cellStyle name="Note 12 6 2 20" xfId="17211" xr:uid="{A92F5550-EC0F-4001-A86A-D5AB6C799DAA}"/>
    <cellStyle name="Note 12 6 2 20 2" xfId="38540" xr:uid="{D44B8738-1AF7-406A-BFF0-9C47FC695DFA}"/>
    <cellStyle name="Note 12 6 2 21" xfId="22816" xr:uid="{8D4230A2-DF40-42F6-A73D-568123F4DE98}"/>
    <cellStyle name="Note 12 6 2 21 2" xfId="42552" xr:uid="{079E261E-A52E-475C-B687-DB428F5641EF}"/>
    <cellStyle name="Note 12 6 2 22" xfId="19390" xr:uid="{056D42B5-ED3E-4944-88D3-944273F30F89}"/>
    <cellStyle name="Note 12 6 2 22 2" xfId="40111" xr:uid="{DB918614-D683-426D-87F3-E2F1B2CF41B8}"/>
    <cellStyle name="Note 12 6 2 23" xfId="27618" xr:uid="{6DB1DABE-30C2-424B-BB19-77AAEF4A163F}"/>
    <cellStyle name="Note 12 6 2 23 2" xfId="45760" xr:uid="{D5D26F86-CF9D-4578-B873-4BB93660329B}"/>
    <cellStyle name="Note 12 6 2 24" xfId="30318" xr:uid="{30361F11-8B1F-4517-81C0-52681C02BE75}"/>
    <cellStyle name="Note 12 6 2 24 2" xfId="47466" xr:uid="{F6435051-868A-4236-A983-49D0ED954EA4}"/>
    <cellStyle name="Note 12 6 2 25" xfId="25448" xr:uid="{57B41EFC-CD75-42D1-BC83-403729DE2028}"/>
    <cellStyle name="Note 12 6 2 25 2" xfId="44334" xr:uid="{F45D7A8F-7AC0-424F-B80B-291C90C05DB8}"/>
    <cellStyle name="Note 12 6 2 26" xfId="30934" xr:uid="{E1C85403-15AC-4716-9DFF-87B176CD7857}"/>
    <cellStyle name="Note 12 6 2 26 2" xfId="47767" xr:uid="{183E8C67-7BDC-402A-B91E-E65F12C5BB13}"/>
    <cellStyle name="Note 12 6 2 27" xfId="31062" xr:uid="{A8BFDD83-124D-46FF-AA61-FA5296A4DFA0}"/>
    <cellStyle name="Note 12 6 2 27 2" xfId="47792" xr:uid="{DD37C382-9AEF-4A16-A581-2ADFAE00D762}"/>
    <cellStyle name="Note 12 6 2 28" xfId="6299" xr:uid="{45B0E50F-689F-47EA-BB9F-011372CEBD32}"/>
    <cellStyle name="Note 12 6 2 3" xfId="9156" xr:uid="{DD54971A-0BC0-402F-9680-5BBD2040E42D}"/>
    <cellStyle name="Note 12 6 2 3 2" xfId="33150" xr:uid="{DF2BAD10-529D-48C0-8CDB-1D9F7C6677B0}"/>
    <cellStyle name="Note 12 6 2 4" xfId="13637" xr:uid="{993786A9-E587-4771-929C-1B4C9055AFCC}"/>
    <cellStyle name="Note 12 6 2 4 2" xfId="35802" xr:uid="{B8E274D4-5FBC-4620-91ED-512985175EC9}"/>
    <cellStyle name="Note 12 6 2 5" xfId="9104" xr:uid="{56AF669A-A629-4FED-B8D1-323E566F624C}"/>
    <cellStyle name="Note 12 6 2 5 2" xfId="33105" xr:uid="{6B8731AC-926D-49D0-8187-53ED50AA3C9F}"/>
    <cellStyle name="Note 12 6 2 6" xfId="10354" xr:uid="{385349AC-CE41-4BBB-B25F-2DD9E8802526}"/>
    <cellStyle name="Note 12 6 2 6 2" xfId="33989" xr:uid="{DFFB4A11-BC30-43E6-BC8B-8292CF2C47D0}"/>
    <cellStyle name="Note 12 6 2 7" xfId="8611" xr:uid="{B01A34C3-DD2D-4E16-9F17-CDEED4F3CCF5}"/>
    <cellStyle name="Note 12 6 2 7 2" xfId="32786" xr:uid="{38014F9D-C8E3-4D21-8356-70FF1A0D4E52}"/>
    <cellStyle name="Note 12 6 2 8" xfId="12955" xr:uid="{B2875BCC-C6F9-45B1-AE33-4C15CF875C02}"/>
    <cellStyle name="Note 12 6 2 8 2" xfId="35310" xr:uid="{4568E0C6-3777-4765-87B6-AD1B1ED4A27F}"/>
    <cellStyle name="Note 12 6 2 9" xfId="7500" xr:uid="{1E12525C-C333-45FB-92C0-09D51B6F583D}"/>
    <cellStyle name="Note 12 6 2 9 2" xfId="31857" xr:uid="{F4F2FFB6-C2A8-4BF4-AFC9-2B96BD9B2308}"/>
    <cellStyle name="Note 12 6 20" xfId="26564" xr:uid="{11511E8F-D5E0-44B3-8A1E-EFBCEF43E5FF}"/>
    <cellStyle name="Note 12 6 20 2" xfId="45131" xr:uid="{564C6154-2207-4033-A1BE-D9197B3DCD18}"/>
    <cellStyle name="Note 12 6 21" xfId="17153" xr:uid="{30542DF2-ED01-407E-903A-6C276B95EAE3}"/>
    <cellStyle name="Note 12 6 21 2" xfId="38482" xr:uid="{702F05CC-3310-4284-937B-2DFAA9C950D4}"/>
    <cellStyle name="Note 12 6 22" xfId="24612" xr:uid="{967BABA5-F391-4384-B94E-A83C59483222}"/>
    <cellStyle name="Note 12 6 22 2" xfId="43794" xr:uid="{D2381EB9-1C1E-4FD2-8F25-A4A48816F804}"/>
    <cellStyle name="Note 12 6 23" xfId="20174" xr:uid="{67DB8FFE-F2F5-4D3F-BE7F-CDD75E24B9AD}"/>
    <cellStyle name="Note 12 6 23 2" xfId="40681" xr:uid="{037AF5D1-1236-40D7-A751-2E2763B0850B}"/>
    <cellStyle name="Note 12 6 24" xfId="29672" xr:uid="{D641EBCD-C076-4A05-BE1F-C75717B93688}"/>
    <cellStyle name="Note 12 6 24 2" xfId="47032" xr:uid="{26D77B2C-FC8A-4215-B48A-01B75D6941E4}"/>
    <cellStyle name="Note 12 6 25" xfId="18733" xr:uid="{749BB998-B815-4702-864B-BEA252D94F75}"/>
    <cellStyle name="Note 12 6 25 2" xfId="39608" xr:uid="{27A6E25A-3F03-44C9-A8A3-B9969724D6DB}"/>
    <cellStyle name="Note 12 6 26" xfId="24260" xr:uid="{407DE466-D131-4588-BBF5-89192BE0E97C}"/>
    <cellStyle name="Note 12 6 26 2" xfId="43573" xr:uid="{3D253593-5144-4928-8BFD-25C561D4AABA}"/>
    <cellStyle name="Note 12 6 27" xfId="23105" xr:uid="{7806AC3E-E323-4976-9B18-9854FC4D1FCE}"/>
    <cellStyle name="Note 12 6 27 2" xfId="42716" xr:uid="{99A3343B-54F1-44B9-AAF3-FD87B2D32C36}"/>
    <cellStyle name="Note 12 6 28" xfId="30926" xr:uid="{AF80524C-DEFE-41D9-965A-8CAC0D93AB7D}"/>
    <cellStyle name="Note 12 6 28 2" xfId="47762" xr:uid="{A0F595DD-40C9-45F4-A2B2-ECFC58A052A2}"/>
    <cellStyle name="Note 12 6 29" xfId="6298" xr:uid="{E3572877-E951-44CE-9CF6-316905C370EA}"/>
    <cellStyle name="Note 12 6 3" xfId="8241" xr:uid="{5B260069-4FA1-4864-A5D4-BC8695CE6520}"/>
    <cellStyle name="Note 12 6 3 2" xfId="32481" xr:uid="{E91E94B4-6BA3-4D0A-B192-CBFC398BB4AC}"/>
    <cellStyle name="Note 12 6 4" xfId="9155" xr:uid="{DCF0E178-7C04-41AA-8B4D-B87BA68BC415}"/>
    <cellStyle name="Note 12 6 4 2" xfId="33149" xr:uid="{1659BD8D-0505-45C9-98D3-BD48C5DAECD3}"/>
    <cellStyle name="Note 12 6 5" xfId="8287" xr:uid="{81EFB13D-034C-428D-B8AC-81D86271D2F5}"/>
    <cellStyle name="Note 12 6 5 2" xfId="32526" xr:uid="{062BDAE0-DDB7-41C0-AE11-BC9EA1D7C6F2}"/>
    <cellStyle name="Note 12 6 6" xfId="9105" xr:uid="{3B9B4EB3-F960-4213-AD7E-3BD48014537E}"/>
    <cellStyle name="Note 12 6 6 2" xfId="33106" xr:uid="{0EA60B64-C336-425B-BD07-00408496BC6E}"/>
    <cellStyle name="Note 12 6 7" xfId="13095" xr:uid="{F655ADA6-5A3D-494F-B7A4-5C69036B1DFB}"/>
    <cellStyle name="Note 12 6 7 2" xfId="35443" xr:uid="{C608FF19-7603-4EDB-9ACE-BCC20565C077}"/>
    <cellStyle name="Note 12 6 8" xfId="8612" xr:uid="{D497C00B-9384-42CF-91C6-96691931BB89}"/>
    <cellStyle name="Note 12 6 8 2" xfId="32787" xr:uid="{B109CD75-0E0F-4842-A4F4-C7192A2FFF7E}"/>
    <cellStyle name="Note 12 6 9" xfId="14968" xr:uid="{D7C6DA6C-4D11-431E-B9E7-50F9D927B927}"/>
    <cellStyle name="Note 12 6 9 2" xfId="36842" xr:uid="{67267E4B-1FE7-4986-BC38-700F845C9D8C}"/>
    <cellStyle name="Note 12 7" xfId="2755" xr:uid="{A5AC8A5E-F8B8-49EE-AE01-D39A0D72A9E4}"/>
    <cellStyle name="Note 12 7 10" xfId="11913" xr:uid="{E4A51AC9-C050-4D4B-9E75-9363F0556F94}"/>
    <cellStyle name="Note 12 7 10 2" xfId="34524" xr:uid="{50B973F0-A63A-4B49-B1C4-53553B44AA1E}"/>
    <cellStyle name="Note 12 7 11" xfId="17832" xr:uid="{44D07A69-5277-4AE3-A83F-BA1E9FBC154E}"/>
    <cellStyle name="Note 12 7 11 2" xfId="38951" xr:uid="{F0E14609-0647-43C0-B61C-CBF4DD02DCC8}"/>
    <cellStyle name="Note 12 7 12" xfId="12446" xr:uid="{F4CD1FAB-7F4C-433C-8C7D-227A7F92CE90}"/>
    <cellStyle name="Note 12 7 12 2" xfId="34893" xr:uid="{61DFB7F3-DEF4-41CA-9CA1-DED769EF753E}"/>
    <cellStyle name="Note 12 7 13" xfId="14596" xr:uid="{48564645-9D9E-4988-992D-B9EF829A85A4}"/>
    <cellStyle name="Note 12 7 13 2" xfId="36514" xr:uid="{FF3276D4-B763-415B-85BE-333CE4ED0C8C}"/>
    <cellStyle name="Note 12 7 14" xfId="16458" xr:uid="{32C784BF-C631-41BB-90F9-1A62E99EC916}"/>
    <cellStyle name="Note 12 7 14 2" xfId="37951" xr:uid="{5F01BA3A-73E4-4DF4-9CEF-D7C79C4F3DF2}"/>
    <cellStyle name="Note 12 7 15" xfId="19365" xr:uid="{D23B3187-0228-49ED-B22E-A601362D3AB2}"/>
    <cellStyle name="Note 12 7 15 2" xfId="40091" xr:uid="{D83264DF-C35F-4040-A44B-34CCE65E4654}"/>
    <cellStyle name="Note 12 7 16" xfId="18416" xr:uid="{C6F0FAF8-1E20-46B6-9398-361539BD7AEE}"/>
    <cellStyle name="Note 12 7 16 2" xfId="39427" xr:uid="{AC33C2D6-19BE-4D55-B072-BCBE8861D086}"/>
    <cellStyle name="Note 12 7 17" xfId="19660" xr:uid="{6261ED93-4A21-4C85-80C9-71146C55D75F}"/>
    <cellStyle name="Note 12 7 17 2" xfId="40299" xr:uid="{E48D93B8-48FE-4144-8A56-68E162E80D26}"/>
    <cellStyle name="Note 12 7 18" xfId="13984" xr:uid="{84A84556-EB7B-409D-8097-3C408669DB70}"/>
    <cellStyle name="Note 12 7 18 2" xfId="36081" xr:uid="{526B3129-ACB5-4235-99D5-7D3A4FE2ED16}"/>
    <cellStyle name="Note 12 7 19" xfId="16850" xr:uid="{AB691787-AE71-4CF5-9EA1-C4E6D97574B2}"/>
    <cellStyle name="Note 12 7 19 2" xfId="38278" xr:uid="{CF526DF4-518F-44F0-ABCF-7CDE8BA2A4B1}"/>
    <cellStyle name="Note 12 7 2" xfId="2756" xr:uid="{9431F4D6-D28A-4348-9770-AB502676B299}"/>
    <cellStyle name="Note 12 7 2 10" xfId="12155" xr:uid="{9867F209-A2A4-4B42-8A2D-6EB4CE910A13}"/>
    <cellStyle name="Note 12 7 2 10 2" xfId="34700" xr:uid="{E90EC9E3-5DAB-433B-94AD-18B795533F99}"/>
    <cellStyle name="Note 12 7 2 11" xfId="12395" xr:uid="{ED6EBAA9-BA13-46BC-8660-1211A4B7125F}"/>
    <cellStyle name="Note 12 7 2 11 2" xfId="34882" xr:uid="{38F6F776-7E57-47FD-9624-F61E840D884E}"/>
    <cellStyle name="Note 12 7 2 12" xfId="15570" xr:uid="{83E11E62-D96D-4C0F-ABE1-17B6F63284EA}"/>
    <cellStyle name="Note 12 7 2 12 2" xfId="37228" xr:uid="{B4DEF43A-DF5E-49E9-9E53-6987C21251CD}"/>
    <cellStyle name="Note 12 7 2 13" xfId="9660" xr:uid="{8A46ACAB-FD05-4E14-B754-96F57FE2D90B}"/>
    <cellStyle name="Note 12 7 2 13 2" xfId="33552" xr:uid="{9D13019F-A01D-4EC7-8BBB-96928E850C3E}"/>
    <cellStyle name="Note 12 7 2 14" xfId="19825" xr:uid="{44025B5C-947D-4E27-AC0E-0FC707827187}"/>
    <cellStyle name="Note 12 7 2 14 2" xfId="40438" xr:uid="{5AC37703-F70D-4EB9-ACA8-9BAB6517C777}"/>
    <cellStyle name="Note 12 7 2 15" xfId="18417" xr:uid="{733D0AB9-32DC-449C-9162-D0A3239EA546}"/>
    <cellStyle name="Note 12 7 2 15 2" xfId="39428" xr:uid="{A61818F1-5203-4FC0-80B4-46CC011A32B4}"/>
    <cellStyle name="Note 12 7 2 16" xfId="21504" xr:uid="{90266332-B5B0-4825-BCF4-C779A8CF567A}"/>
    <cellStyle name="Note 12 7 2 16 2" xfId="41631" xr:uid="{F0162F44-5BBB-4468-BE03-EC82E7B09F30}"/>
    <cellStyle name="Note 12 7 2 17" xfId="16407" xr:uid="{E730D1B7-7FCA-4181-99AB-2E2C86C56A34}"/>
    <cellStyle name="Note 12 7 2 17 2" xfId="37916" xr:uid="{640EAC8D-9778-4B8E-B837-583AF495E272}"/>
    <cellStyle name="Note 12 7 2 18" xfId="20611" xr:uid="{6C484F54-9676-4A05-BBCD-EE7543E5EBE2}"/>
    <cellStyle name="Note 12 7 2 18 2" xfId="40971" xr:uid="{CC8ED414-2B3B-40CA-A3E4-71C3D26EA732}"/>
    <cellStyle name="Note 12 7 2 19" xfId="24822" xr:uid="{7FE752D5-F8F6-4640-9D1D-AB85C2A2CF1F}"/>
    <cellStyle name="Note 12 7 2 19 2" xfId="43962" xr:uid="{9E8D4ADB-39BF-4570-ABE2-94B61CC343C3}"/>
    <cellStyle name="Note 12 7 2 2" xfId="8238" xr:uid="{2BE63269-99CE-415A-BC9A-DB24FD17594D}"/>
    <cellStyle name="Note 12 7 2 2 2" xfId="32478" xr:uid="{043585EA-C112-4CBB-AD1D-37DDAE0B30D5}"/>
    <cellStyle name="Note 12 7 2 20" xfId="15682" xr:uid="{F8DF0902-B037-4446-9056-28D655514143}"/>
    <cellStyle name="Note 12 7 2 20 2" xfId="37319" xr:uid="{06CE04AD-D118-4D50-A1F7-CAF61ED3A627}"/>
    <cellStyle name="Note 12 7 2 21" xfId="21790" xr:uid="{09717962-4237-4018-A66E-EA92C36E7556}"/>
    <cellStyle name="Note 12 7 2 21 2" xfId="41787" xr:uid="{49393893-8440-4684-B8A9-6D332D22E02E}"/>
    <cellStyle name="Note 12 7 2 22" xfId="21229" xr:uid="{209167A4-D903-40FC-8801-1EA556D643B1}"/>
    <cellStyle name="Note 12 7 2 22 2" xfId="41422" xr:uid="{4DC48000-777E-40BA-A444-08D1C07ABD6C}"/>
    <cellStyle name="Note 12 7 2 23" xfId="25662" xr:uid="{73AA3462-9281-4C35-A90B-FDF62AB10D7A}"/>
    <cellStyle name="Note 12 7 2 23 2" xfId="44506" xr:uid="{87853A11-5358-466F-87DE-E9CAF2FF8D6E}"/>
    <cellStyle name="Note 12 7 2 24" xfId="30317" xr:uid="{C7ECCCC9-6772-49BF-AC2D-5294E6CF868E}"/>
    <cellStyle name="Note 12 7 2 24 2" xfId="47465" xr:uid="{0DF7BAAE-0451-4795-9A9C-3EB41C5D4246}"/>
    <cellStyle name="Note 12 7 2 25" xfId="23564" xr:uid="{7F805BA6-E17D-45A6-919C-06A2F09BED5A}"/>
    <cellStyle name="Note 12 7 2 25 2" xfId="43000" xr:uid="{AAA66229-E2D5-4931-804B-6903C1BD72A3}"/>
    <cellStyle name="Note 12 7 2 26" xfId="21779" xr:uid="{E12E9851-8808-4923-9177-039FA1BF394E}"/>
    <cellStyle name="Note 12 7 2 26 2" xfId="41779" xr:uid="{835B411B-F905-4F39-86B1-ACA8A8891676}"/>
    <cellStyle name="Note 12 7 2 27" xfId="28381" xr:uid="{AB44D62A-9AA8-4F6C-9FD8-6C756EED3B40}"/>
    <cellStyle name="Note 12 7 2 27 2" xfId="46230" xr:uid="{4EE3F224-88CA-4A80-9812-E817A6066752}"/>
    <cellStyle name="Note 12 7 2 28" xfId="6301" xr:uid="{915B972A-E966-4861-9399-679C33DDF167}"/>
    <cellStyle name="Note 12 7 2 3" xfId="9158" xr:uid="{148C6B0A-47F2-46B1-AA19-6FE1C335DB41}"/>
    <cellStyle name="Note 12 7 2 3 2" xfId="33152" xr:uid="{D8666231-282A-45C3-AD05-C724E15BEAE8}"/>
    <cellStyle name="Note 12 7 2 4" xfId="7895" xr:uid="{6FC9E031-77B9-4DE9-B743-4246BA7FD894}"/>
    <cellStyle name="Note 12 7 2 4 2" xfId="32144" xr:uid="{20A544E3-ED95-41C0-B4EA-8B9BF9626DAA}"/>
    <cellStyle name="Note 12 7 2 5" xfId="9102" xr:uid="{80A554E1-2851-4F80-8C9D-224645976E2C}"/>
    <cellStyle name="Note 12 7 2 5 2" xfId="33103" xr:uid="{2FF12A4A-F77E-41B9-ACBC-D1DA1D95D253}"/>
    <cellStyle name="Note 12 7 2 6" xfId="10355" xr:uid="{A1838D5A-FCFD-4C62-A1D0-0CC9DE447CA6}"/>
    <cellStyle name="Note 12 7 2 6 2" xfId="33990" xr:uid="{E1332385-C2E5-4F1E-8FBB-B6EBE1FDCF03}"/>
    <cellStyle name="Note 12 7 2 7" xfId="8609" xr:uid="{A0DDC0FF-01F5-4DDC-8AEB-A7B0B5D3A733}"/>
    <cellStyle name="Note 12 7 2 7 2" xfId="32784" xr:uid="{BB080EE7-5BCB-41DA-864A-493207F04D34}"/>
    <cellStyle name="Note 12 7 2 8" xfId="10556" xr:uid="{76987FFE-F1B4-443B-83E4-8932B98B4DB4}"/>
    <cellStyle name="Note 12 7 2 8 2" xfId="34182" xr:uid="{6ECB31CA-3DB3-4B07-8A1D-FA7C438EDE35}"/>
    <cellStyle name="Note 12 7 2 9" xfId="7499" xr:uid="{BEA5CA47-3B90-4F08-85CF-A51A12F5F6CC}"/>
    <cellStyle name="Note 12 7 2 9 2" xfId="31856" xr:uid="{22D4808B-7A4B-4B9C-BE07-3EBAC3BAF7DF}"/>
    <cellStyle name="Note 12 7 20" xfId="20398" xr:uid="{91340F6D-BD2F-4839-9C21-0BE485A6FFA5}"/>
    <cellStyle name="Note 12 7 20 2" xfId="40820" xr:uid="{AEAC3E48-67CD-4DCB-8156-AB50ECEBAF0B}"/>
    <cellStyle name="Note 12 7 21" xfId="19221" xr:uid="{DF222434-4281-4131-AC16-1E141D56005C}"/>
    <cellStyle name="Note 12 7 21 2" xfId="40029" xr:uid="{50F4320A-5168-4E28-885B-0C19D86BFF80}"/>
    <cellStyle name="Note 12 7 22" xfId="24611" xr:uid="{3059A2E8-05DA-4CC6-B690-58C351E6DC6A}"/>
    <cellStyle name="Note 12 7 22 2" xfId="43793" xr:uid="{B6379963-ED8C-4847-9A38-AFA0393B6955}"/>
    <cellStyle name="Note 12 7 23" xfId="22065" xr:uid="{BDB394ED-51BC-4CC3-B160-C2C760C5B522}"/>
    <cellStyle name="Note 12 7 23 2" xfId="41950" xr:uid="{7397132C-BE27-4478-B226-65425C65B0FE}"/>
    <cellStyle name="Note 12 7 24" xfId="27225" xr:uid="{90AAABC0-87B8-402D-9FCB-27109B6BAB34}"/>
    <cellStyle name="Note 12 7 24 2" xfId="45560" xr:uid="{44E4594E-19AE-4D8A-A9A5-D8BA952EB204}"/>
    <cellStyle name="Note 12 7 25" xfId="16949" xr:uid="{ECE17194-BE08-4C33-ADDD-D280A20B276A}"/>
    <cellStyle name="Note 12 7 25 2" xfId="38319" xr:uid="{3E2CA7B8-FE12-4336-AD4B-244B393EECDA}"/>
    <cellStyle name="Note 12 7 26" xfId="25161" xr:uid="{A988C3E6-643A-4AA6-A252-195ADD6DDAED}"/>
    <cellStyle name="Note 12 7 26 2" xfId="44105" xr:uid="{97791790-62CA-4532-8812-208EBFF74DF4}"/>
    <cellStyle name="Note 12 7 27" xfId="29811" xr:uid="{A3E9BE0C-505A-448E-BE62-034DCEA4E940}"/>
    <cellStyle name="Note 12 7 27 2" xfId="47130" xr:uid="{EB964401-6F3C-42D7-84C5-ACF4057248A7}"/>
    <cellStyle name="Note 12 7 28" xfId="29334" xr:uid="{AD70AA79-864A-4D71-985F-02E95647CD09}"/>
    <cellStyle name="Note 12 7 28 2" xfId="46812" xr:uid="{7E1E3298-D4AA-43EC-9634-FB52F78D50E1}"/>
    <cellStyle name="Note 12 7 29" xfId="6300" xr:uid="{3A9D8C31-F5A2-4F07-BE10-F563B6920025}"/>
    <cellStyle name="Note 12 7 3" xfId="8239" xr:uid="{05F65689-3A0C-4D14-9107-CB12696BCB55}"/>
    <cellStyle name="Note 12 7 3 2" xfId="32479" xr:uid="{D955F892-C430-47B0-BEAF-C5AF55F49EAE}"/>
    <cellStyle name="Note 12 7 4" xfId="9157" xr:uid="{EDF9BF6D-7208-4CBB-A601-D50A29F78ECD}"/>
    <cellStyle name="Note 12 7 4 2" xfId="33151" xr:uid="{ED5B2034-EEDF-4563-A9C9-3B2FCC7F59CC}"/>
    <cellStyle name="Note 12 7 5" xfId="7896" xr:uid="{154E0689-4B8C-4FA6-92DB-C47AE45FDB93}"/>
    <cellStyle name="Note 12 7 5 2" xfId="32145" xr:uid="{65807F6F-7FB6-4F08-BE39-5B0A8166568B}"/>
    <cellStyle name="Note 12 7 6" xfId="9103" xr:uid="{5BD63D4A-1C9A-42DC-90DD-4AC9118F7CE3}"/>
    <cellStyle name="Note 12 7 6 2" xfId="33104" xr:uid="{4119DB10-A8FA-4519-8933-DCB9E83CC924}"/>
    <cellStyle name="Note 12 7 7" xfId="13112" xr:uid="{BED8BA71-841E-4723-8260-7980416B8DC6}"/>
    <cellStyle name="Note 12 7 7 2" xfId="35460" xr:uid="{93CE6976-ED74-4142-8D62-6AA189F9C007}"/>
    <cellStyle name="Note 12 7 8" xfId="8610" xr:uid="{0BBF3056-F014-420A-ACA1-CE770BBD89D0}"/>
    <cellStyle name="Note 12 7 8 2" xfId="32785" xr:uid="{F65E57FB-9F65-4E1C-AF09-71F02B0E0D23}"/>
    <cellStyle name="Note 12 7 9" xfId="10521" xr:uid="{827F00AE-21FD-479E-97B9-B2055EDCC8C4}"/>
    <cellStyle name="Note 12 7 9 2" xfId="34148" xr:uid="{56EB422B-0CA1-429A-8132-72099A44FA32}"/>
    <cellStyle name="Note 12 8" xfId="2757" xr:uid="{56A11450-1C26-4F7A-A3B1-CA1A7433DF87}"/>
    <cellStyle name="Note 12 8 10" xfId="15317" xr:uid="{3B1F09A5-9A90-4FAD-AD36-0D49CBA42D03}"/>
    <cellStyle name="Note 12 8 10 2" xfId="37021" xr:uid="{A1199CB9-FB16-46CD-959E-2C3AE973C11F}"/>
    <cellStyle name="Note 12 8 11" xfId="14169" xr:uid="{47A67A52-091D-4540-A0A2-EE1D540B95C5}"/>
    <cellStyle name="Note 12 8 11 2" xfId="36222" xr:uid="{A6070937-D174-413D-9CF2-038D88D29957}"/>
    <cellStyle name="Note 12 8 12" xfId="12723" xr:uid="{49436A9B-A40A-45BB-956F-A6D6DC01A8EF}"/>
    <cellStyle name="Note 12 8 12 2" xfId="35135" xr:uid="{FB9F06C9-1B6A-4F7A-8861-74D92864C55B}"/>
    <cellStyle name="Note 12 8 13" xfId="9661" xr:uid="{8B0A3BDF-AA88-43BF-BB55-12CDED954B64}"/>
    <cellStyle name="Note 12 8 13 2" xfId="33553" xr:uid="{95A44FD4-3D41-43C5-BBCD-12AC28952FD8}"/>
    <cellStyle name="Note 12 8 14" xfId="12648" xr:uid="{A0EB1464-035C-4069-B9FB-A47C6C4ADA65}"/>
    <cellStyle name="Note 12 8 14 2" xfId="35074" xr:uid="{A931B8D3-E8A4-41FA-9FCB-865CFFABF43F}"/>
    <cellStyle name="Note 12 8 15" xfId="10033" xr:uid="{157F0A5A-9B06-412D-BEB7-D1D8D85C71B3}"/>
    <cellStyle name="Note 12 8 15 2" xfId="33745" xr:uid="{2C9A988F-DAE6-47D6-8E27-A6B3C25C5306}"/>
    <cellStyle name="Note 12 8 16" xfId="17709" xr:uid="{DB6BA23D-01D2-49B5-8B4D-3A0FB88E32EF}"/>
    <cellStyle name="Note 12 8 16 2" xfId="38885" xr:uid="{A038E99B-D8ED-4D8A-B0D3-FBAD0A401BBE}"/>
    <cellStyle name="Note 12 8 17" xfId="15858" xr:uid="{18E50AA2-EE53-4CFE-BB4A-7D82258F9332}"/>
    <cellStyle name="Note 12 8 17 2" xfId="37458" xr:uid="{1F3C1620-8E5B-415D-BD23-223D0DE9BB23}"/>
    <cellStyle name="Note 12 8 18" xfId="20612" xr:uid="{006A3683-E796-461C-9ABE-52CDF5310485}"/>
    <cellStyle name="Note 12 8 18 2" xfId="40972" xr:uid="{26F4C5DC-1C5D-425A-AB61-D7BABFB8FB14}"/>
    <cellStyle name="Note 12 8 19" xfId="16154" xr:uid="{0207DD58-7E84-4D59-B013-FDF9F87CF5E6}"/>
    <cellStyle name="Note 12 8 19 2" xfId="37716" xr:uid="{20CA15BE-C556-424A-BC95-464B13BA1DA3}"/>
    <cellStyle name="Note 12 8 2" xfId="8237" xr:uid="{55675972-3CF0-469B-AB29-F6C39AC9DF20}"/>
    <cellStyle name="Note 12 8 2 2" xfId="32477" xr:uid="{91F9A3D5-9F24-4DBD-854F-0B649B008FDB}"/>
    <cellStyle name="Note 12 8 20" xfId="19222" xr:uid="{2A1AD4A9-4E29-46F8-B182-2A49DEDE9276}"/>
    <cellStyle name="Note 12 8 20 2" xfId="40030" xr:uid="{F394629A-9A9A-46F6-A1FD-60B5E05045B8}"/>
    <cellStyle name="Note 12 8 21" xfId="24599" xr:uid="{AE8DAC87-A2A8-4EFA-B294-617DDDFD9C9B}"/>
    <cellStyle name="Note 12 8 21 2" xfId="43781" xr:uid="{049F069E-A20D-4D44-80F4-38666ED77D98}"/>
    <cellStyle name="Note 12 8 22" xfId="17878" xr:uid="{B9952749-A08B-4E9D-AA92-62B5AF2B03DC}"/>
    <cellStyle name="Note 12 8 22 2" xfId="38994" xr:uid="{E864510D-6200-4DB7-8085-56D82BCB6CC6}"/>
    <cellStyle name="Note 12 8 23" xfId="27224" xr:uid="{887649A9-16D6-482D-A40F-79C606AFA314}"/>
    <cellStyle name="Note 12 8 23 2" xfId="45559" xr:uid="{7DE941A7-D4B1-4E9B-8BE8-68B7A30D7396}"/>
    <cellStyle name="Note 12 8 24" xfId="22191" xr:uid="{7020AD50-03F7-42AC-A955-616F356EB3CB}"/>
    <cellStyle name="Note 12 8 24 2" xfId="42070" xr:uid="{846F1659-428B-4598-AF97-D5FF39EC51A9}"/>
    <cellStyle name="Note 12 8 25" xfId="25514" xr:uid="{374D9256-CD4C-4480-A52A-BC1BD88852BB}"/>
    <cellStyle name="Note 12 8 25 2" xfId="44390" xr:uid="{1CC83F67-9C95-4D36-9344-83598719E49F}"/>
    <cellStyle name="Note 12 8 26" xfId="18786" xr:uid="{69E4D242-A41D-426B-96C7-929CFBBB4FFF}"/>
    <cellStyle name="Note 12 8 26 2" xfId="39649" xr:uid="{2D5BC097-DAB5-44E3-A308-FE1609D3F438}"/>
    <cellStyle name="Note 12 8 27" xfId="31055" xr:uid="{FAC1EECE-EBFA-4E98-85B9-B6453DECCB9C}"/>
    <cellStyle name="Note 12 8 27 2" xfId="47789" xr:uid="{474E026B-0760-4D06-B012-86DCE28A8739}"/>
    <cellStyle name="Note 12 8 28" xfId="6302" xr:uid="{BA271A38-BBA6-4253-AFA2-FC7FB607A7AE}"/>
    <cellStyle name="Note 12 8 3" xfId="9159" xr:uid="{A8A91DFB-F69D-42E8-921B-24CAD8D82540}"/>
    <cellStyle name="Note 12 8 3 2" xfId="33153" xr:uid="{B37817B3-AB38-45AC-822A-8173861A20F2}"/>
    <cellStyle name="Note 12 8 4" xfId="7814" xr:uid="{5B39AED6-1150-4176-B1D3-4273A7732DAC}"/>
    <cellStyle name="Note 12 8 4 2" xfId="32109" xr:uid="{8E0EA291-6418-475C-BC5C-E2EB885BB00D}"/>
    <cellStyle name="Note 12 8 5" xfId="9101" xr:uid="{AC082C6C-1372-437E-AED2-A93646C7B771}"/>
    <cellStyle name="Note 12 8 5 2" xfId="33102" xr:uid="{EFEF790D-7C3A-4FEC-81AE-CE4FDBA1D2EF}"/>
    <cellStyle name="Note 12 8 6" xfId="13111" xr:uid="{85297AF3-A5A6-420E-B5E2-564D119BE151}"/>
    <cellStyle name="Note 12 8 6 2" xfId="35459" xr:uid="{B8DA03A8-BC7D-45B8-8E8E-BF65880E1E81}"/>
    <cellStyle name="Note 12 8 7" xfId="15052" xr:uid="{EF0A2AAA-3BFE-442D-91D3-89F3B7769A4F}"/>
    <cellStyle name="Note 12 8 7 2" xfId="36898" xr:uid="{51FDF883-3F35-4BAD-B268-72DB898E5832}"/>
    <cellStyle name="Note 12 8 8" xfId="16953" xr:uid="{B88E9331-1523-4B1E-BFB1-C7992B738F41}"/>
    <cellStyle name="Note 12 8 8 2" xfId="38323" xr:uid="{A63D14BB-CE81-4A54-A497-AB291F3B13CC}"/>
    <cellStyle name="Note 12 8 9" xfId="17064" xr:uid="{61F76814-F75E-4877-8FA1-2CA0E02AE09F}"/>
    <cellStyle name="Note 12 8 9 2" xfId="38406" xr:uid="{DEA8E312-EE16-49D7-BAEC-248A754B0AE6}"/>
    <cellStyle name="Note 12 9" xfId="8252" xr:uid="{5A266F7F-4BED-45D9-98D2-48E38CBCA25F}"/>
    <cellStyle name="Note 12 9 2" xfId="32492" xr:uid="{DA9C20C0-B1A8-4F66-84FC-5DBDAF439280}"/>
    <cellStyle name="Note 12_Sheet2" xfId="2758" xr:uid="{75F7EC7F-F0C7-4F83-9320-93A0914B2109}"/>
    <cellStyle name="Note 13" xfId="2759" xr:uid="{6702B9D8-40FE-4BEA-B3AB-FEA4D4B32212}"/>
    <cellStyle name="Note 13 10" xfId="9160" xr:uid="{D8352991-7D91-4D55-AF69-4EF3679643D7}"/>
    <cellStyle name="Note 13 10 2" xfId="33154" xr:uid="{A7994A83-FA14-4BAE-A01C-CB53EE9380FB}"/>
    <cellStyle name="Note 13 11" xfId="7894" xr:uid="{67E209EC-B1B4-4DEB-AB7C-27E002B9100B}"/>
    <cellStyle name="Note 13 11 2" xfId="32143" xr:uid="{518F78C5-F205-4927-9615-835095999439}"/>
    <cellStyle name="Note 13 12" xfId="12116" xr:uid="{55A2A3FE-9E29-44DD-9781-D4185051120D}"/>
    <cellStyle name="Note 13 12 2" xfId="34663" xr:uid="{852D2DE4-CE90-4EF6-BC94-9F34D6CAAC00}"/>
    <cellStyle name="Note 13 13" xfId="13110" xr:uid="{7593F51A-7889-4D67-BBC4-3F25B096032F}"/>
    <cellStyle name="Note 13 13 2" xfId="35458" xr:uid="{D00FAA89-6B00-49FB-99C9-0E2AA0997136}"/>
    <cellStyle name="Note 13 14" xfId="15053" xr:uid="{B7497C86-3525-4B24-BB90-BCC0476BB6A6}"/>
    <cellStyle name="Note 13 14 2" xfId="36899" xr:uid="{A1C7DC88-C492-4B46-8653-5C2A52F9A18B}"/>
    <cellStyle name="Note 13 15" xfId="14966" xr:uid="{D1C8A294-DA2C-4784-96FC-9AC326E9FEDB}"/>
    <cellStyle name="Note 13 15 2" xfId="36840" xr:uid="{05CF85C2-6A0A-43A9-9372-1032F151B4F2}"/>
    <cellStyle name="Note 13 16" xfId="11911" xr:uid="{8E3877FE-D5C2-4797-B039-9AA91D3A5DCD}"/>
    <cellStyle name="Note 13 16 2" xfId="34522" xr:uid="{90EEBC57-F3CE-4A31-B0D2-F5E9270D5D49}"/>
    <cellStyle name="Note 13 17" xfId="12157" xr:uid="{681BA67C-3E60-4639-818C-34D84522F2EF}"/>
    <cellStyle name="Note 13 17 2" xfId="34702" xr:uid="{98C34E3F-35E4-47FF-ABE0-FB23B0AD4CF3}"/>
    <cellStyle name="Note 13 18" xfId="12396" xr:uid="{D358F1C3-49F7-4697-9DBD-08CF01D1F693}"/>
    <cellStyle name="Note 13 18 2" xfId="34883" xr:uid="{4819DF22-9F73-4729-B3EA-E15F42088207}"/>
    <cellStyle name="Note 13 19" xfId="12727" xr:uid="{3AFDE35E-95DF-4A31-8865-18438043CE5F}"/>
    <cellStyle name="Note 13 19 2" xfId="35139" xr:uid="{1BC072BC-F736-42F7-8FF5-71B590E01D9E}"/>
    <cellStyle name="Note 13 2" xfId="2760" xr:uid="{2E4902E1-D4AC-4682-A4A5-2F1DBCD71406}"/>
    <cellStyle name="Note 13 2 10" xfId="10522" xr:uid="{9C3358C8-FE61-4B9D-94AD-D538A9A9BF9E}"/>
    <cellStyle name="Note 13 2 10 2" xfId="34149" xr:uid="{2F364BDD-6660-4A82-B08F-A11E3BAA7C78}"/>
    <cellStyle name="Note 13 2 11" xfId="7498" xr:uid="{E19BB5A5-11C1-4866-AB4C-A963CCD274CB}"/>
    <cellStyle name="Note 13 2 11 2" xfId="31855" xr:uid="{08934A02-ED55-4BFF-818B-D7681F14D7D9}"/>
    <cellStyle name="Note 13 2 12" xfId="14801" xr:uid="{ECD8A4BE-DE37-45E7-8800-6DAD9EE49E70}"/>
    <cellStyle name="Note 13 2 12 2" xfId="36676" xr:uid="{1403CC67-B6E5-440C-967D-4D14042ED896}"/>
    <cellStyle name="Note 13 2 13" xfId="14168" xr:uid="{4C448E8E-FB08-4A17-8468-08B4141559E9}"/>
    <cellStyle name="Note 13 2 13 2" xfId="36221" xr:uid="{364D4165-4CAE-4DDF-A927-D77D66E58180}"/>
    <cellStyle name="Note 13 2 14" xfId="14595" xr:uid="{88725DE1-9995-4DFD-AC05-87722C08CAD8}"/>
    <cellStyle name="Note 13 2 14 2" xfId="36513" xr:uid="{949F43A3-D55F-4674-B7A7-0191108B7149}"/>
    <cellStyle name="Note 13 2 15" xfId="9663" xr:uid="{06AB1669-0841-415D-AA88-E9E85BD683F2}"/>
    <cellStyle name="Note 13 2 15 2" xfId="33555" xr:uid="{C24E6FE3-49D3-4DB9-B15E-AC5A56D09B7D}"/>
    <cellStyle name="Note 13 2 16" xfId="15730" xr:uid="{9C4ACAAE-1107-40C3-AB61-4322CDADD7FB}"/>
    <cellStyle name="Note 13 2 16 2" xfId="37359" xr:uid="{394A7790-FEB2-4CC5-852C-25CCC37EC595}"/>
    <cellStyle name="Note 13 2 17" xfId="20018" xr:uid="{2504213F-AF7F-4331-A40C-7F9CF9D6FC32}"/>
    <cellStyle name="Note 13 2 17 2" xfId="40584" xr:uid="{D58DE0D1-8E73-4142-9C46-42B82D092408}"/>
    <cellStyle name="Note 13 2 18" xfId="20882" xr:uid="{9D2C2FA0-D011-497F-B13C-010C224E664D}"/>
    <cellStyle name="Note 13 2 18 2" xfId="41192" xr:uid="{462DE4C0-DD0C-4AD8-BD68-312BF4FC53DF}"/>
    <cellStyle name="Note 13 2 19" xfId="16406" xr:uid="{9B14679E-984D-4CCF-AE51-EA3F595E1A9D}"/>
    <cellStyle name="Note 13 2 19 2" xfId="37915" xr:uid="{E9BD731B-E795-4319-B375-A4D430BB00C3}"/>
    <cellStyle name="Note 13 2 2" xfId="2761" xr:uid="{89140EE3-3FF0-4004-8ED5-ECEABC0E8150}"/>
    <cellStyle name="Note 13 2 2 10" xfId="11910" xr:uid="{C4950489-A868-4AE4-837B-F64391089C89}"/>
    <cellStyle name="Note 13 2 2 10 2" xfId="34521" xr:uid="{E5D5ADE0-B76B-4850-9148-4D366127E30C}"/>
    <cellStyle name="Note 13 2 2 11" xfId="12158" xr:uid="{4743D17B-9749-4356-9C0B-3BE0112B4BD6}"/>
    <cellStyle name="Note 13 2 2 11 2" xfId="34703" xr:uid="{C4FE2AB2-8FA4-4328-A452-DA1A17DAA365}"/>
    <cellStyle name="Note 13 2 2 12" xfId="12397" xr:uid="{47743B52-A6E6-4D0B-871A-07FC3B0FE587}"/>
    <cellStyle name="Note 13 2 2 12 2" xfId="34884" xr:uid="{07A69924-D05D-48C1-9CFE-F9222F3E62B0}"/>
    <cellStyle name="Note 13 2 2 13" xfId="15571" xr:uid="{1077EECF-A70F-49F6-8FEC-B606B6B0174F}"/>
    <cellStyle name="Note 13 2 2 13 2" xfId="37229" xr:uid="{313015A4-7AD0-4CCA-8011-0FB8C96D1DCD}"/>
    <cellStyle name="Note 13 2 2 14" xfId="15301" xr:uid="{9E12E861-1302-4C0C-8683-67C6BA176204}"/>
    <cellStyle name="Note 13 2 2 14 2" xfId="37012" xr:uid="{9512A512-0653-450A-8549-562BB68E196E}"/>
    <cellStyle name="Note 13 2 2 15" xfId="19822" xr:uid="{60A26884-1277-458D-B46A-9E8FD43650DD}"/>
    <cellStyle name="Note 13 2 2 15 2" xfId="40435" xr:uid="{C220084C-1035-4920-80F6-EEA56E60BFA3}"/>
    <cellStyle name="Note 13 2 2 16" xfId="21632" xr:uid="{407DBDD6-22A3-4D7C-BC25-53B791378AA0}"/>
    <cellStyle name="Note 13 2 2 16 2" xfId="41708" xr:uid="{89C0817E-0069-4B67-84A9-F3E229056329}"/>
    <cellStyle name="Note 13 2 2 17" xfId="15703" xr:uid="{220285A5-012C-4794-928B-A297BAC59D6F}"/>
    <cellStyle name="Note 13 2 2 17 2" xfId="37337" xr:uid="{F8A944D5-4DD8-4454-8A28-64D1A444319F}"/>
    <cellStyle name="Note 13 2 2 18" xfId="15857" xr:uid="{76DA2395-FBEA-49E6-84A6-67DD79C89268}"/>
    <cellStyle name="Note 13 2 2 18 2" xfId="37457" xr:uid="{C2DD683E-A2D3-4542-A775-F47A7B4936C6}"/>
    <cellStyle name="Note 13 2 2 19" xfId="20613" xr:uid="{AD65839F-7065-439D-BAFE-7B772900CC29}"/>
    <cellStyle name="Note 13 2 2 19 2" xfId="40973" xr:uid="{18C95117-6A84-4C83-93E4-D80366163A82}"/>
    <cellStyle name="Note 13 2 2 2" xfId="2762" xr:uid="{5C90976B-EEE5-45E3-87C6-368FB39BF11C}"/>
    <cellStyle name="Note 13 2 2 2 10" xfId="14800" xr:uid="{047234D0-8B0D-46D7-9C9F-78256A8A5D13}"/>
    <cellStyle name="Note 13 2 2 2 10 2" xfId="36675" xr:uid="{E648AE4F-66C9-4B1F-B35C-C8D2A66D8B70}"/>
    <cellStyle name="Note 13 2 2 2 11" xfId="13467" xr:uid="{460C4530-A838-4214-B928-12978BE9032B}"/>
    <cellStyle name="Note 13 2 2 2 11 2" xfId="35727" xr:uid="{0D6F19BC-08F5-4C6A-B5E9-F906B953DEDD}"/>
    <cellStyle name="Note 13 2 2 2 12" xfId="13656" xr:uid="{38238C2D-4D7B-4EA7-9F31-00BE7065B3B5}"/>
    <cellStyle name="Note 13 2 2 2 12 2" xfId="35813" xr:uid="{4699F535-8261-4A2F-9FBD-488284E29D13}"/>
    <cellStyle name="Note 13 2 2 2 13" xfId="9634" xr:uid="{257E7E0D-7C32-43EC-8513-A6F48113F980}"/>
    <cellStyle name="Note 13 2 2 2 13 2" xfId="33529" xr:uid="{770BDA74-0CFE-4EEF-94A3-F188F690A9C2}"/>
    <cellStyle name="Note 13 2 2 2 14" xfId="17987" xr:uid="{4D0D817B-19DA-4C7C-AF4B-54E50386BD5F}"/>
    <cellStyle name="Note 13 2 2 2 14 2" xfId="39083" xr:uid="{82AD569D-A5BC-48C5-9285-F002E7DA76B4}"/>
    <cellStyle name="Note 13 2 2 2 15" xfId="18415" xr:uid="{DEA256C8-94BB-4387-8A5D-6980D7441D78}"/>
    <cellStyle name="Note 13 2 2 2 15 2" xfId="39426" xr:uid="{5842D4C3-FB64-4E38-AA2D-22980C76B942}"/>
    <cellStyle name="Note 13 2 2 2 16" xfId="21502" xr:uid="{A99E184F-22A1-4118-AC7F-323AFA0A05DB}"/>
    <cellStyle name="Note 13 2 2 2 16 2" xfId="41629" xr:uid="{3E246DF1-4651-4751-97A5-A91CA9C5877E}"/>
    <cellStyle name="Note 13 2 2 2 17" xfId="16405" xr:uid="{E03FCFE9-2BEB-40F2-A233-C2BF12632C1A}"/>
    <cellStyle name="Note 13 2 2 2 17 2" xfId="37914" xr:uid="{C5E01670-CBAD-4BCB-B3E8-84A9204E5210}"/>
    <cellStyle name="Note 13 2 2 2 18" xfId="15375" xr:uid="{8215CD6F-38EA-469A-A899-059A6EDA758A}"/>
    <cellStyle name="Note 13 2 2 2 18 2" xfId="37075" xr:uid="{E183FD05-A62D-4B24-B0A5-966941FD8A29}"/>
    <cellStyle name="Note 13 2 2 2 19" xfId="24820" xr:uid="{474562EC-E055-44E1-A36E-FC099E761451}"/>
    <cellStyle name="Note 13 2 2 2 19 2" xfId="43960" xr:uid="{B3785D75-3061-49F6-81A5-AE7B5AF4A180}"/>
    <cellStyle name="Note 13 2 2 2 2" xfId="8233" xr:uid="{9B9F40E0-2F4C-46B6-B385-D7918B10EC47}"/>
    <cellStyle name="Note 13 2 2 2 2 2" xfId="32473" xr:uid="{A7F99550-11C4-447A-AC45-40BA7142DE7C}"/>
    <cellStyle name="Note 13 2 2 2 20" xfId="19225" xr:uid="{7B6DCC33-BB2F-4586-B89E-C309ADE2525C}"/>
    <cellStyle name="Note 13 2 2 2 20 2" xfId="40032" xr:uid="{8889CA66-6440-4DEF-ADAE-B594556A586B}"/>
    <cellStyle name="Note 13 2 2 2 21" xfId="24597" xr:uid="{CF2957D2-6959-4686-94AB-C1F9AF92182B}"/>
    <cellStyle name="Note 13 2 2 2 21 2" xfId="43779" xr:uid="{B10C88C8-85A0-4027-AF90-3E5CE15CAB1C}"/>
    <cellStyle name="Note 13 2 2 2 22" xfId="17046" xr:uid="{E4C240F1-515C-4540-9F1D-42D0D6562A75}"/>
    <cellStyle name="Note 13 2 2 2 22 2" xfId="38388" xr:uid="{17C817FC-E6DA-48F9-8467-EC9633508A57}"/>
    <cellStyle name="Note 13 2 2 2 23" xfId="27222" xr:uid="{EEC0B8B9-5180-4724-B2B9-97E7B02B5487}"/>
    <cellStyle name="Note 13 2 2 2 23 2" xfId="45557" xr:uid="{55882B99-14E1-4C71-8256-56B9DECBD3C7}"/>
    <cellStyle name="Note 13 2 2 2 24" xfId="23925" xr:uid="{A20A10F4-D85E-4995-8BDE-E39B0482439A}"/>
    <cellStyle name="Note 13 2 2 2 24 2" xfId="43302" xr:uid="{B9C8EFBA-48F4-47F0-A497-6A173BE18E1E}"/>
    <cellStyle name="Note 13 2 2 2 25" xfId="24257" xr:uid="{63AD307A-E9AA-4A35-95FF-14FC8CBBEFB1}"/>
    <cellStyle name="Note 13 2 2 2 25 2" xfId="43570" xr:uid="{76BE4E2D-AF5C-428A-997B-9D0CD34C8209}"/>
    <cellStyle name="Note 13 2 2 2 26" xfId="23101" xr:uid="{72BEAD17-0513-4E8A-A814-CDF7644B84C5}"/>
    <cellStyle name="Note 13 2 2 2 26 2" xfId="42714" xr:uid="{85184B31-6D3C-4055-83D3-60CEA5E5FA4E}"/>
    <cellStyle name="Note 13 2 2 2 27" xfId="27047" xr:uid="{A7F11EF7-1734-4E0F-9B9E-618E623E4DC8}"/>
    <cellStyle name="Note 13 2 2 2 27 2" xfId="45447" xr:uid="{8119860C-63ED-45C3-869F-8AA5A66D76EA}"/>
    <cellStyle name="Note 13 2 2 2 28" xfId="6306" xr:uid="{61E7BCDC-A3BD-45CF-86D0-9C9FF9D22AC4}"/>
    <cellStyle name="Note 13 2 2 2 3" xfId="9163" xr:uid="{1311FFAC-A493-4316-8AB7-E4BBAEECF003}"/>
    <cellStyle name="Note 13 2 2 2 3 2" xfId="33157" xr:uid="{5800405E-A419-4B88-9A5B-838909C18B33}"/>
    <cellStyle name="Note 13 2 2 2 4" xfId="7891" xr:uid="{93839468-841C-4C20-BC83-2E2333870250}"/>
    <cellStyle name="Note 13 2 2 2 4 2" xfId="32140" xr:uid="{77283642-9166-4EF9-A9CC-7B678C3BA4B1}"/>
    <cellStyle name="Note 13 2 2 2 5" xfId="9098" xr:uid="{C71B0025-2A0E-4282-81ED-4B7F62849CD8}"/>
    <cellStyle name="Note 13 2 2 2 5 2" xfId="33099" xr:uid="{EF6DE229-C78D-42FF-8C27-9A59E8D10AA6}"/>
    <cellStyle name="Note 13 2 2 2 6" xfId="13109" xr:uid="{E90D0922-B1E0-41F3-B4B3-1AA944E0C56C}"/>
    <cellStyle name="Note 13 2 2 2 6 2" xfId="35457" xr:uid="{79BE2048-EDF1-42B3-B3BD-EDC71A5B7BA3}"/>
    <cellStyle name="Note 13 2 2 2 7" xfId="15051" xr:uid="{F27A41DA-90DD-44F1-B0C4-7791FB52060C}"/>
    <cellStyle name="Note 13 2 2 2 7 2" xfId="36897" xr:uid="{7175AFD1-7113-44E7-B0D8-94D5B7E3F71C}"/>
    <cellStyle name="Note 13 2 2 2 8" xfId="12954" xr:uid="{E4E6043A-048D-4732-ACA3-9692EEB9BEA2}"/>
    <cellStyle name="Note 13 2 2 2 8 2" xfId="35309" xr:uid="{59010086-936C-4A09-B046-E59823F8FF87}"/>
    <cellStyle name="Note 13 2 2 2 9" xfId="7497" xr:uid="{2EFF233A-0C24-48A8-A15E-C0E3978DDA54}"/>
    <cellStyle name="Note 13 2 2 2 9 2" xfId="31854" xr:uid="{8859A10C-8DD0-4C9D-8D4E-1B846E6F9732}"/>
    <cellStyle name="Note 13 2 2 20" xfId="21786" xr:uid="{D43B8380-C000-42CF-B0F8-09E91B7E97F4}"/>
    <cellStyle name="Note 13 2 2 20 2" xfId="41784" xr:uid="{DBBA1F6F-5C60-446F-BDAD-FA19EE200D91}"/>
    <cellStyle name="Note 13 2 2 21" xfId="19224" xr:uid="{187A6C72-E488-45AB-BC88-043DB6110F26}"/>
    <cellStyle name="Note 13 2 2 21 2" xfId="40031" xr:uid="{E8EE3239-D41D-432F-8117-FC3892D025CD}"/>
    <cellStyle name="Note 13 2 2 22" xfId="21791" xr:uid="{FE772325-34ED-4D42-8AD4-9C4501ED52A8}"/>
    <cellStyle name="Note 13 2 2 22 2" xfId="41788" xr:uid="{DDCB47D8-4F31-44E4-B422-D02FE3294E69}"/>
    <cellStyle name="Note 13 2 2 23" xfId="21182" xr:uid="{2670A327-C98D-4BAE-9972-199F25CE286B}"/>
    <cellStyle name="Note 13 2 2 23 2" xfId="41375" xr:uid="{B06C675C-F8A9-49EA-AF7F-4247F85D1C81}"/>
    <cellStyle name="Note 13 2 2 24" xfId="22620" xr:uid="{628ABE92-EA53-4575-A14D-09F6C17F0803}"/>
    <cellStyle name="Note 13 2 2 24 2" xfId="42397" xr:uid="{2F224F6A-8CCF-4B24-81C4-70F25AEAC7B2}"/>
    <cellStyle name="Note 13 2 2 25" xfId="27603" xr:uid="{33E1F666-BEEF-426D-9B88-9DDEC3B05086}"/>
    <cellStyle name="Note 13 2 2 25 2" xfId="45752" xr:uid="{4C3C7174-1004-4558-9A2A-1A83B3373E47}"/>
    <cellStyle name="Note 13 2 2 26" xfId="24434" xr:uid="{AE2608D4-FC03-458A-A41D-C13811F03F0A}"/>
    <cellStyle name="Note 13 2 2 26 2" xfId="43646" xr:uid="{6F7F52B7-6046-4F0D-9161-51DA31C93198}"/>
    <cellStyle name="Note 13 2 2 27" xfId="16147" xr:uid="{F5FD00E1-9337-4C36-B836-7EE25CB20CA5}"/>
    <cellStyle name="Note 13 2 2 27 2" xfId="37712" xr:uid="{73E50E6B-CE96-4479-942C-C5352A782684}"/>
    <cellStyle name="Note 13 2 2 28" xfId="28369" xr:uid="{EC00FA02-4F4E-4C63-B97D-831971F0A988}"/>
    <cellStyle name="Note 13 2 2 28 2" xfId="46229" xr:uid="{36DBA3AB-F8AB-4753-B157-4B25284ECD8D}"/>
    <cellStyle name="Note 13 2 2 29" xfId="6305" xr:uid="{610E8F3A-5331-4785-A697-EFEB896F5ACB}"/>
    <cellStyle name="Note 13 2 2 3" xfId="8234" xr:uid="{A1B2C77A-6BC7-447B-82DF-B3EF746868EC}"/>
    <cellStyle name="Note 13 2 2 3 2" xfId="32474" xr:uid="{431C8AFF-132A-4AEC-9EE1-5F7A83692AAA}"/>
    <cellStyle name="Note 13 2 2 4" xfId="9162" xr:uid="{73412A3A-8225-47FE-8598-8DB900205444}"/>
    <cellStyle name="Note 13 2 2 4 2" xfId="33156" xr:uid="{722AF030-1694-47DB-A9F3-D93FC825944B}"/>
    <cellStyle name="Note 13 2 2 5" xfId="7892" xr:uid="{D588F8E6-C012-43C8-8C62-072A64458CDF}"/>
    <cellStyle name="Note 13 2 2 5 2" xfId="32141" xr:uid="{0C050801-C4D8-4AFB-B259-3D862AA51C08}"/>
    <cellStyle name="Note 13 2 2 6" xfId="12115" xr:uid="{587B904F-D4E6-4768-82BA-438BDA5C161D}"/>
    <cellStyle name="Note 13 2 2 6 2" xfId="34662" xr:uid="{C17F5DD3-7108-4ACA-B2C6-A43B7BB70612}"/>
    <cellStyle name="Note 13 2 2 7" xfId="13628" xr:uid="{33B2172C-9700-45C7-A183-6A9599A15002}"/>
    <cellStyle name="Note 13 2 2 7 2" xfId="35793" xr:uid="{D4F0E435-1947-477C-9ACE-67DBFA361F25}"/>
    <cellStyle name="Note 13 2 2 8" xfId="15054" xr:uid="{3E263E61-0132-4623-B19E-75D750828234}"/>
    <cellStyle name="Note 13 2 2 8 2" xfId="36900" xr:uid="{48F8C791-129A-4015-8027-AB728370DB6D}"/>
    <cellStyle name="Note 13 2 2 9" xfId="14965" xr:uid="{96F30F8C-031B-4A15-A07B-F4ADEF120A9C}"/>
    <cellStyle name="Note 13 2 2 9 2" xfId="36839" xr:uid="{D3C4F6EA-1718-48CF-9D0A-409AFED9FFAD}"/>
    <cellStyle name="Note 13 2 20" xfId="20118" xr:uid="{DDED33BD-7034-43D0-8C9C-A84B1DBE0DB7}"/>
    <cellStyle name="Note 13 2 20 2" xfId="40631" xr:uid="{4ED56DFB-FCF2-4C64-91E6-1F9D3C437EDD}"/>
    <cellStyle name="Note 13 2 21" xfId="22358" xr:uid="{0BDBED6F-6E1F-4E4C-98C9-8F1D3491A800}"/>
    <cellStyle name="Note 13 2 21 2" xfId="42212" xr:uid="{37F1B32B-3364-4A16-93CC-6A9FE410622B}"/>
    <cellStyle name="Note 13 2 22" xfId="16815" xr:uid="{5836BED5-D58D-49B8-B1EC-B5092A4C51E0}"/>
    <cellStyle name="Note 13 2 22 2" xfId="38243" xr:uid="{50CC398F-9E52-4937-AE8C-3B884218463D}"/>
    <cellStyle name="Note 13 2 23" xfId="24598" xr:uid="{DB41D05E-2DBD-4B62-8A87-E1663256343D}"/>
    <cellStyle name="Note 13 2 23 2" xfId="43780" xr:uid="{D56DEE97-E88F-4622-A3B9-BC36DBD2A66B}"/>
    <cellStyle name="Note 13 2 24" xfId="29518" xr:uid="{86CE0432-4AA6-4BC7-859A-DBEB3FDA3493}"/>
    <cellStyle name="Note 13 2 24 2" xfId="46926" xr:uid="{FCA853A8-723D-4B8A-98F1-0C58DA4A0155}"/>
    <cellStyle name="Note 13 2 25" xfId="27223" xr:uid="{B59D1DF2-080B-44E0-8174-F3846DB7E1BB}"/>
    <cellStyle name="Note 13 2 25 2" xfId="45558" xr:uid="{C188E106-3429-410D-A8FF-660473386869}"/>
    <cellStyle name="Note 13 2 26" xfId="24025" xr:uid="{FA4A7AA5-E1D7-4F57-8DD4-A8E5D948E50C}"/>
    <cellStyle name="Note 13 2 26 2" xfId="43402" xr:uid="{5FE2B156-BF8D-4505-B529-57B1433C2297}"/>
    <cellStyle name="Note 13 2 27" xfId="21950" xr:uid="{11E24182-E414-411C-A260-808590E81B6E}"/>
    <cellStyle name="Note 13 2 27 2" xfId="41863" xr:uid="{A1001CDA-AB71-41B7-8524-07008A6D254D}"/>
    <cellStyle name="Note 13 2 28" xfId="23102" xr:uid="{9C9430EA-603B-4156-9566-10FCE67FB4F3}"/>
    <cellStyle name="Note 13 2 28 2" xfId="42715" xr:uid="{4A59872C-7C79-479A-8DF1-28130269E4C3}"/>
    <cellStyle name="Note 13 2 29" xfId="29551" xr:uid="{8AEC0AB5-985F-4CEF-AB81-4140D68830DE}"/>
    <cellStyle name="Note 13 2 29 2" xfId="46951" xr:uid="{321DE756-45AE-45CB-8421-F458C7655DC6}"/>
    <cellStyle name="Note 13 2 3" xfId="2763" xr:uid="{0DB1F7B7-5582-4889-84B4-2554267DFE27}"/>
    <cellStyle name="Note 13 2 3 10" xfId="12159" xr:uid="{E39734DA-BF4E-48C6-A455-27920BAA8E92}"/>
    <cellStyle name="Note 13 2 3 10 2" xfId="34704" xr:uid="{EFD01DE6-2D35-4535-9D37-C620942518D8}"/>
    <cellStyle name="Note 13 2 3 11" xfId="13466" xr:uid="{FE9E00C8-729C-4848-8BE6-6BE090FBAA46}"/>
    <cellStyle name="Note 13 2 3 11 2" xfId="35726" xr:uid="{4DBA1B50-3ED7-44E4-8ADF-86F574338997}"/>
    <cellStyle name="Note 13 2 3 12" xfId="13844" xr:uid="{A447033F-A3F2-4344-838C-39ECEB00BE56}"/>
    <cellStyle name="Note 13 2 3 12 2" xfId="35967" xr:uid="{CB113DAD-516A-445B-AD49-7BDD7DBE58EF}"/>
    <cellStyle name="Note 13 2 3 13" xfId="16167" xr:uid="{7A2BE81E-B476-4E82-911F-3C436EB1BB3D}"/>
    <cellStyle name="Note 13 2 3 13 2" xfId="37729" xr:uid="{12BEC769-7D29-4A25-A3B4-DCC0ABEFCD9F}"/>
    <cellStyle name="Note 13 2 3 14" xfId="19821" xr:uid="{F509E4CB-7711-44C3-BB1D-AD2779B7E7C6}"/>
    <cellStyle name="Note 13 2 3 14 2" xfId="40434" xr:uid="{7CE42465-94C1-45D1-9D49-5B61C2EC33CA}"/>
    <cellStyle name="Note 13 2 3 15" xfId="21633" xr:uid="{7197421A-F0A2-4722-982F-B7F590E2718F}"/>
    <cellStyle name="Note 13 2 3 15 2" xfId="41709" xr:uid="{5D2554DE-D70C-4053-9CBA-36E40E7AB291}"/>
    <cellStyle name="Note 13 2 3 16" xfId="17710" xr:uid="{02042843-8BD7-4E03-BD9D-14F678403FEA}"/>
    <cellStyle name="Note 13 2 3 16 2" xfId="38886" xr:uid="{CAC105E5-41D4-415D-A7AD-63310075980D}"/>
    <cellStyle name="Note 13 2 3 17" xfId="13983" xr:uid="{E7BC5378-CB58-44CF-A060-005AAF375007}"/>
    <cellStyle name="Note 13 2 3 17 2" xfId="36080" xr:uid="{0DE02322-6577-4E34-A292-A730640692EE}"/>
    <cellStyle name="Note 13 2 3 18" xfId="15373" xr:uid="{54B093B1-B87E-49E9-8CB2-F047C052A97C}"/>
    <cellStyle name="Note 13 2 3 18 2" xfId="37073" xr:uid="{DD7783B4-3A35-4060-A842-0809A826545C}"/>
    <cellStyle name="Note 13 2 3 19" xfId="22914" xr:uid="{7EEBAC7B-C7A8-4432-A725-86D6CEFE8B41}"/>
    <cellStyle name="Note 13 2 3 19 2" xfId="42630" xr:uid="{C2563A3C-4EFA-499F-B207-9670A3EE1833}"/>
    <cellStyle name="Note 13 2 3 2" xfId="8232" xr:uid="{355D7FFA-C229-4886-823A-6A9DB3F2015D}"/>
    <cellStyle name="Note 13 2 3 2 2" xfId="32472" xr:uid="{B1254436-A986-486F-9529-DF9C2B8F0187}"/>
    <cellStyle name="Note 13 2 3 20" xfId="14539" xr:uid="{2D8BDD43-E06B-486E-BE07-F52E76B20935}"/>
    <cellStyle name="Note 13 2 3 20 2" xfId="36472" xr:uid="{71AE5297-3898-4CA7-8C22-CCCF966618A1}"/>
    <cellStyle name="Note 13 2 3 21" xfId="22301" xr:uid="{F98D08E5-88E6-49F5-8A65-78FE1823B55A}"/>
    <cellStyle name="Note 13 2 3 21 2" xfId="42165" xr:uid="{53F71D16-F54D-4E2F-9CB0-78B1EAAF8305}"/>
    <cellStyle name="Note 13 2 3 22" xfId="22064" xr:uid="{120CFD5B-E407-4DE8-9687-F94CEEAFC872}"/>
    <cellStyle name="Note 13 2 3 22 2" xfId="41949" xr:uid="{3F5698EF-F849-450E-8BE7-58EA10314955}"/>
    <cellStyle name="Note 13 2 3 23" xfId="26138" xr:uid="{05FB0487-9EEE-4326-AD87-C0E0466EAF3E}"/>
    <cellStyle name="Note 13 2 3 23 2" xfId="44879" xr:uid="{0E8C357B-41DD-4C7F-8EB9-67D9442B16FC}"/>
    <cellStyle name="Note 13 2 3 24" xfId="28794" xr:uid="{143213F5-528B-4FDC-AF6F-5F9732CBE378}"/>
    <cellStyle name="Note 13 2 3 24 2" xfId="46469" xr:uid="{093230E6-6578-4ECC-AABC-4A83EDD0D6B0}"/>
    <cellStyle name="Note 13 2 3 25" xfId="22654" xr:uid="{C72786F6-F49C-4385-BC7A-4A45B0B6CC9C}"/>
    <cellStyle name="Note 13 2 3 25 2" xfId="42425" xr:uid="{E505ADEF-937D-480E-B80A-55578FB2DCF1}"/>
    <cellStyle name="Note 13 2 3 26" xfId="20446" xr:uid="{1893340B-4B3B-4AC2-8F9F-9CDA93130F22}"/>
    <cellStyle name="Note 13 2 3 26 2" xfId="40843" xr:uid="{2C5329EF-F4B0-43FF-A094-39D32CBBA489}"/>
    <cellStyle name="Note 13 2 3 27" xfId="25619" xr:uid="{A61E98C5-7248-4C2C-9F3E-A19BD6C0B691}"/>
    <cellStyle name="Note 13 2 3 27 2" xfId="44478" xr:uid="{99C59431-0272-4FF2-AE16-4FD7FDE9F401}"/>
    <cellStyle name="Note 13 2 3 28" xfId="6307" xr:uid="{2CA466B3-C818-4C5B-8D80-51FA6D362D45}"/>
    <cellStyle name="Note 13 2 3 3" xfId="9164" xr:uid="{5FE49150-628B-4AAB-B006-86FDDC92EFF0}"/>
    <cellStyle name="Note 13 2 3 3 2" xfId="33158" xr:uid="{C5B55608-29FC-46BE-97D3-ADB517370200}"/>
    <cellStyle name="Note 13 2 3 4" xfId="7890" xr:uid="{41F45460-9A9C-4A13-B774-E7AD0CE85F82}"/>
    <cellStyle name="Note 13 2 3 4 2" xfId="32139" xr:uid="{1DDD6F25-7556-48C7-AA31-353C97927F8E}"/>
    <cellStyle name="Note 13 2 3 5" xfId="9522" xr:uid="{3138D607-8EE5-4B48-A4CE-25D4C92962A1}"/>
    <cellStyle name="Note 13 2 3 5 2" xfId="33461" xr:uid="{F1608782-B8AB-46AB-A67C-F23C62781C9F}"/>
    <cellStyle name="Note 13 2 3 6" xfId="10358" xr:uid="{80D74B92-C692-4097-ACEA-3D1F574BBC2E}"/>
    <cellStyle name="Note 13 2 3 6 2" xfId="33993" xr:uid="{F0041F8F-5B80-41BA-8DDD-E8403453D86C}"/>
    <cellStyle name="Note 13 2 3 7" xfId="8606" xr:uid="{D442B7F8-80D6-4BB2-B1E5-267155E4BC8F}"/>
    <cellStyle name="Note 13 2 3 7 2" xfId="32781" xr:uid="{8FE70A40-AEA8-4026-9243-C45D06442F01}"/>
    <cellStyle name="Note 13 2 3 8" xfId="14949" xr:uid="{6450DC43-A1C2-411F-B103-5ED311EDB9F0}"/>
    <cellStyle name="Note 13 2 3 8 2" xfId="36823" xr:uid="{4F67EECE-AB84-4C8B-A8D6-7256B9B39093}"/>
    <cellStyle name="Note 13 2 3 9" xfId="11814" xr:uid="{C517F9F0-4BE3-4720-989E-903596A44BFD}"/>
    <cellStyle name="Note 13 2 3 9 2" xfId="34426" xr:uid="{4650E4AA-5868-49C9-89F7-246F2B1DFD72}"/>
    <cellStyle name="Note 13 2 30" xfId="6304" xr:uid="{B3E09A24-E220-4D63-9BD5-F307B13BF12B}"/>
    <cellStyle name="Note 13 2 4" xfId="8235" xr:uid="{D07B2155-11FC-42C1-AB03-B69F9E472199}"/>
    <cellStyle name="Note 13 2 4 2" xfId="32475" xr:uid="{C66D8935-7B28-49E8-89B6-E7E745472043}"/>
    <cellStyle name="Note 13 2 5" xfId="9161" xr:uid="{C3950C83-9E40-454E-91FA-C517C0E66B2B}"/>
    <cellStyle name="Note 13 2 5 2" xfId="33155" xr:uid="{96ED1F3E-C74E-42E9-BFEF-91A30BD19BDC}"/>
    <cellStyle name="Note 13 2 6" xfId="7893" xr:uid="{68D19896-C2E6-4C5E-B016-CE8FA5A9F9AC}"/>
    <cellStyle name="Note 13 2 6 2" xfId="32142" xr:uid="{A34E7B2E-BE57-470D-A655-6CBF88742A69}"/>
    <cellStyle name="Note 13 2 7" xfId="9099" xr:uid="{674FC693-6879-4AD6-9ED8-5E714B8FE152}"/>
    <cellStyle name="Note 13 2 7 2" xfId="33100" xr:uid="{4034629F-410E-4D45-A42A-D793CFF80DC5}"/>
    <cellStyle name="Note 13 2 8" xfId="10356" xr:uid="{BC080E2F-3EF9-418B-A8EE-0B9176D7FC28}"/>
    <cellStyle name="Note 13 2 8 2" xfId="33991" xr:uid="{AE7A1186-A67C-45DA-8179-431016FDDFB3}"/>
    <cellStyle name="Note 13 2 9" xfId="8607" xr:uid="{C57B796B-2A61-4A19-ACCC-AE98BFF54874}"/>
    <cellStyle name="Note 13 2 9 2" xfId="32782" xr:uid="{BDE5D425-FDAB-49C3-A3C0-95C910A7F815}"/>
    <cellStyle name="Note 13 2_Sheet2" xfId="2764" xr:uid="{88E1F5A9-96DB-4019-A495-3A7D9C1B95D6}"/>
    <cellStyle name="Note 13 20" xfId="9662" xr:uid="{C16D518A-A8B0-46EB-94B7-4428F165DFB5}"/>
    <cellStyle name="Note 13 20 2" xfId="33554" xr:uid="{482AC190-4812-4958-8512-FD4A302A1A38}"/>
    <cellStyle name="Note 13 21" xfId="19823" xr:uid="{4BD15677-DC3D-45CD-B1AA-4A954ADDFEB6}"/>
    <cellStyle name="Note 13 21 2" xfId="40436" xr:uid="{4B2B3937-B18C-4E40-B00B-98B57CED29C3}"/>
    <cellStyle name="Note 13 22" xfId="18418" xr:uid="{B36D69D4-710D-457C-9F63-8CF3022CC3EB}"/>
    <cellStyle name="Note 13 22 2" xfId="39429" xr:uid="{483B3563-2C12-4D8D-A49B-BCDA5C76B3B6}"/>
    <cellStyle name="Note 13 23" xfId="19659" xr:uid="{E4D899A5-8FBE-4496-B46E-9F3B069F1C1A}"/>
    <cellStyle name="Note 13 23 2" xfId="40298" xr:uid="{2EF4E32F-3147-4DB1-98C4-B31256193376}"/>
    <cellStyle name="Note 13 24" xfId="12584" xr:uid="{9B374E5A-FB1B-45B4-BE26-98DC1E3A8A1C}"/>
    <cellStyle name="Note 13 24 2" xfId="35023" xr:uid="{1B6E0D60-3EF1-4F3A-A5C0-695C1E6486CF}"/>
    <cellStyle name="Note 13 25" xfId="25187" xr:uid="{5BF394ED-A01B-48D0-8D21-E0F74FDA5B5D}"/>
    <cellStyle name="Note 13 25 2" xfId="44129" xr:uid="{AAB559AC-A5D0-4876-AC28-474A51ED76C8}"/>
    <cellStyle name="Note 13 26" xfId="24821" xr:uid="{21DFEB9C-F4EC-424A-B7F9-BB49B246AEA3}"/>
    <cellStyle name="Note 13 26 2" xfId="43961" xr:uid="{3003BABB-EC73-4743-96E5-E18E70DA59F7}"/>
    <cellStyle name="Note 13 27" xfId="24340" xr:uid="{EAFDBFEF-6453-432B-B77E-9B318A4A6312}"/>
    <cellStyle name="Note 13 27 2" xfId="43601" xr:uid="{5AA0DB0C-3B1B-469E-A39C-A0AF852ED718}"/>
    <cellStyle name="Note 13 28" xfId="16931" xr:uid="{AD155CA5-7850-42EF-A5EA-BE7B8D263948}"/>
    <cellStyle name="Note 13 28 2" xfId="38302" xr:uid="{442EB5A7-4812-4176-91B9-7C824AE0DDDE}"/>
    <cellStyle name="Note 13 29" xfId="29438" xr:uid="{52A32F00-731D-43FF-9D86-ADEC94ECDC7D}"/>
    <cellStyle name="Note 13 29 2" xfId="46899" xr:uid="{2454C70C-6F40-4B0E-BC39-D94212913DBA}"/>
    <cellStyle name="Note 13 3" xfId="2765" xr:uid="{BC8BC106-A90B-4052-A257-128EB8741961}"/>
    <cellStyle name="Note 13 3 10" xfId="7496" xr:uid="{73427EFF-D4DA-4FEC-AC3B-74B143DC9F14}"/>
    <cellStyle name="Note 13 3 10 2" xfId="31853" xr:uid="{62FDC31E-2A8F-4321-AB22-738E07A04FC1}"/>
    <cellStyle name="Note 13 3 11" xfId="14799" xr:uid="{05A3D0E0-B09D-4052-A6DB-6A80EE692FAA}"/>
    <cellStyle name="Note 13 3 11 2" xfId="36674" xr:uid="{C9407105-E5FD-46C6-9944-42E6EB325FDF}"/>
    <cellStyle name="Note 13 3 12" xfId="12398" xr:uid="{4737DEA7-E8F3-423D-99BD-9EC41EDD5453}"/>
    <cellStyle name="Note 13 3 12 2" xfId="34885" xr:uid="{D7879491-B25C-4855-AED7-5704908F40DF}"/>
    <cellStyle name="Note 13 3 13" xfId="15572" xr:uid="{8EB89157-AF91-40C9-B460-26E30720ED36}"/>
    <cellStyle name="Note 13 3 13 2" xfId="37230" xr:uid="{84B66268-E082-4102-9DFF-E4ED67C3F065}"/>
    <cellStyle name="Note 13 3 14" xfId="9665" xr:uid="{CE45D4D5-5288-495F-BE33-D8B0583CC470}"/>
    <cellStyle name="Note 13 3 14 2" xfId="33557" xr:uid="{93F63D8F-A0AB-4203-87B5-7FD0C52DABA4}"/>
    <cellStyle name="Note 13 3 15" xfId="15727" xr:uid="{12A360E0-4A11-439E-BCE0-5DA21C654EB1}"/>
    <cellStyle name="Note 13 3 15 2" xfId="37356" xr:uid="{696AAF1E-3BB1-474C-9667-CAF4B0CA25F2}"/>
    <cellStyle name="Note 13 3 16" xfId="20019" xr:uid="{5B1DDC84-A837-4863-8C8F-1DD401B2A62C}"/>
    <cellStyle name="Note 13 3 16 2" xfId="40585" xr:uid="{D40C055C-C3AA-420F-8F96-9A191BB0EDD1}"/>
    <cellStyle name="Note 13 3 17" xfId="21501" xr:uid="{6A8007FA-4F11-4880-9E58-A999D8C05314}"/>
    <cellStyle name="Note 13 3 17 2" xfId="41628" xr:uid="{DF6F18F2-DCD1-47ED-9DC5-F67420B52180}"/>
    <cellStyle name="Note 13 3 18" xfId="15856" xr:uid="{BA68D7FF-29B5-4C46-A771-67E79A054DB8}"/>
    <cellStyle name="Note 13 3 18 2" xfId="37456" xr:uid="{5BD1CDED-247A-4C79-8AB1-D89459EFB990}"/>
    <cellStyle name="Note 13 3 19" xfId="24908" xr:uid="{5CF90D15-607B-4B15-9D08-468B14A6D04F}"/>
    <cellStyle name="Note 13 3 19 2" xfId="43994" xr:uid="{F26ECC38-1545-49D5-8FFB-FDB5574977A1}"/>
    <cellStyle name="Note 13 3 2" xfId="2766" xr:uid="{F2487FFE-C0DB-4968-B57E-F6583341A80C}"/>
    <cellStyle name="Note 13 3 2 10" xfId="12160" xr:uid="{7875698B-FD28-48F9-AF1D-869A96C7C98F}"/>
    <cellStyle name="Note 13 3 2 10 2" xfId="34705" xr:uid="{BA725F45-15C0-449C-8EEE-923879A3C90B}"/>
    <cellStyle name="Note 13 3 2 11" xfId="14167" xr:uid="{09288167-A96E-4B96-82CF-2C3EDDBB4DC2}"/>
    <cellStyle name="Note 13 3 2 11 2" xfId="36220" xr:uid="{C6C443C3-6076-4E72-8E91-D40EAAE5412A}"/>
    <cellStyle name="Note 13 3 2 12" xfId="14424" xr:uid="{2CCD8F61-F68A-44F2-8E9E-D38C4FE760AC}"/>
    <cellStyle name="Note 13 3 2 12 2" xfId="36413" xr:uid="{A814533C-B8EA-463B-AC1B-55E5E722FE3F}"/>
    <cellStyle name="Note 13 3 2 13" xfId="9666" xr:uid="{7C19C450-EC94-45D3-9486-0593D61F5544}"/>
    <cellStyle name="Note 13 3 2 13 2" xfId="33558" xr:uid="{5B4F52E4-2A59-4C11-9030-C53ED444869B}"/>
    <cellStyle name="Note 13 3 2 14" xfId="17688" xr:uid="{646C7BF4-9A58-4985-B9EC-E18C9106FBE5}"/>
    <cellStyle name="Note 13 3 2 14 2" xfId="38873" xr:uid="{DA244F87-B622-40C3-A30F-20A6D98C410E}"/>
    <cellStyle name="Note 13 3 2 15" xfId="21634" xr:uid="{8577229D-45AF-4DBD-8F54-0CF3732AA5B6}"/>
    <cellStyle name="Note 13 3 2 15 2" xfId="41710" xr:uid="{0D1FD80A-1273-411F-ACBB-33A0A9147911}"/>
    <cellStyle name="Note 13 3 2 16" xfId="12882" xr:uid="{24641EEE-9B22-4769-AB6D-20C0FFC39C1D}"/>
    <cellStyle name="Note 13 3 2 16 2" xfId="35242" xr:uid="{2A888CBB-2246-4BFD-8050-1E389CAB19FB}"/>
    <cellStyle name="Note 13 3 2 17" xfId="16404" xr:uid="{49F02FAE-9A37-49EF-8DFC-9857E6E63E76}"/>
    <cellStyle name="Note 13 3 2 17 2" xfId="37913" xr:uid="{1BDB20D2-BAF8-4185-B27B-49163437A19C}"/>
    <cellStyle name="Note 13 3 2 18" xfId="24918" xr:uid="{CD4FA0B9-0C26-4352-9A83-EEE35A6EBC25}"/>
    <cellStyle name="Note 13 3 2 18 2" xfId="44004" xr:uid="{E7ED2E4A-F99E-4910-8494-F938B4620805}"/>
    <cellStyle name="Note 13 3 2 19" xfId="24819" xr:uid="{D7580EE8-BE68-4BDF-B3B2-35C1DDB57609}"/>
    <cellStyle name="Note 13 3 2 19 2" xfId="43959" xr:uid="{561951A9-69B8-4607-B77B-670C05090C5A}"/>
    <cellStyle name="Note 13 3 2 2" xfId="8230" xr:uid="{6F3280C2-5605-43A4-9FFA-0D0E0C2112AC}"/>
    <cellStyle name="Note 13 3 2 2 2" xfId="32470" xr:uid="{A8B526F1-E917-465C-AC78-1DB65C539A70}"/>
    <cellStyle name="Note 13 3 2 20" xfId="19226" xr:uid="{192E8D40-5AE3-4718-BF65-02753C3173A4}"/>
    <cellStyle name="Note 13 3 2 20 2" xfId="40033" xr:uid="{BDC65664-1D12-465A-BF0E-D067451DDF97}"/>
    <cellStyle name="Note 13 3 2 21" xfId="24596" xr:uid="{792C5759-CDEE-43C4-9BE1-B9A084CCE464}"/>
    <cellStyle name="Note 13 3 2 21 2" xfId="43778" xr:uid="{E8FB4CC5-E40A-42CE-ABFE-8FA922DFA31A}"/>
    <cellStyle name="Note 13 3 2 22" xfId="21199" xr:uid="{2056CE58-475E-4277-AB45-ABF6F7677635}"/>
    <cellStyle name="Note 13 3 2 22 2" xfId="41392" xr:uid="{6D7A2436-FB21-4799-8944-7D409F769581}"/>
    <cellStyle name="Note 13 3 2 23" xfId="26123" xr:uid="{21533098-074B-4114-A356-32AFD7E58E23}"/>
    <cellStyle name="Note 13 3 2 23 2" xfId="44866" xr:uid="{8E10AE9F-DDD2-4F52-9F6F-EC193C8DC76D}"/>
    <cellStyle name="Note 13 3 2 24" xfId="16951" xr:uid="{B4962E4F-F932-4F5B-AA40-F3A193E6E39A}"/>
    <cellStyle name="Note 13 3 2 24 2" xfId="38321" xr:uid="{12E10650-CCCB-4DF1-B4AD-49ABB50B7EF4}"/>
    <cellStyle name="Note 13 3 2 25" xfId="25515" xr:uid="{937AB84A-5AA4-4E33-B899-697060A93E4D}"/>
    <cellStyle name="Note 13 3 2 25 2" xfId="44391" xr:uid="{015FFDC9-AD8D-4BBC-A986-82824AA754F2}"/>
    <cellStyle name="Note 13 3 2 26" xfId="23100" xr:uid="{C23B7986-443F-4A38-A486-5AE5A35CA8CC}"/>
    <cellStyle name="Note 13 3 2 26 2" xfId="42713" xr:uid="{AB8D2A0D-BF15-4F61-B68A-D26951725089}"/>
    <cellStyle name="Note 13 3 2 27" xfId="22643" xr:uid="{8A31F6E4-E25C-4C7A-911E-ADE16A45028A}"/>
    <cellStyle name="Note 13 3 2 27 2" xfId="42415" xr:uid="{6CBEADD6-C910-4029-8C1A-F2F3AD99B7DE}"/>
    <cellStyle name="Note 13 3 2 28" xfId="6309" xr:uid="{D8E34F2D-DE67-4A44-B81B-B364DB84DCFB}"/>
    <cellStyle name="Note 13 3 2 3" xfId="9166" xr:uid="{F3923AD8-3CDB-4C96-85B9-2FE8A37E8D96}"/>
    <cellStyle name="Note 13 3 2 3 2" xfId="33160" xr:uid="{16106EC0-BF95-4873-A782-98392BB23A78}"/>
    <cellStyle name="Note 13 3 2 4" xfId="7888" xr:uid="{49886814-902B-4AFC-8231-A6C3CFED799F}"/>
    <cellStyle name="Note 13 3 2 4 2" xfId="32137" xr:uid="{460B623E-A524-4479-B54D-7244A56A70C8}"/>
    <cellStyle name="Note 13 3 2 5" xfId="9096" xr:uid="{7530AD84-E094-4525-A2D0-62A2D22DE077}"/>
    <cellStyle name="Note 13 3 2 5 2" xfId="33097" xr:uid="{4F1A76D4-34F6-4F87-8701-75D5AB682FD6}"/>
    <cellStyle name="Note 13 3 2 6" xfId="13108" xr:uid="{C274DD3E-0D34-48C4-9E0E-192D55439CCB}"/>
    <cellStyle name="Note 13 3 2 6 2" xfId="35456" xr:uid="{939F2D80-5869-4BC0-8F4B-0F698ACC5735}"/>
    <cellStyle name="Note 13 3 2 7" xfId="15055" xr:uid="{7CA377EE-3DE0-49B0-9450-11DFCF242793}"/>
    <cellStyle name="Note 13 3 2 7 2" xfId="36901" xr:uid="{83AAD319-CBD9-438B-9B49-93193DBE1DCE}"/>
    <cellStyle name="Note 13 3 2 8" xfId="14964" xr:uid="{044D3511-E61E-4CF3-945C-98E5E860FB1B}"/>
    <cellStyle name="Note 13 3 2 8 2" xfId="36838" xr:uid="{10098194-C4CF-4248-8D1E-950B910D1B43}"/>
    <cellStyle name="Note 13 3 2 9" xfId="11909" xr:uid="{92F8A9D7-3CE4-4D69-A0B9-A436F709FDFA}"/>
    <cellStyle name="Note 13 3 2 9 2" xfId="34520" xr:uid="{179DAFF6-13B7-4B49-B42C-A40A62FA1C8C}"/>
    <cellStyle name="Note 13 3 20" xfId="16925" xr:uid="{5E07DF2E-88B4-4FD1-9C7E-610A6A7664E9}"/>
    <cellStyle name="Note 13 3 20 2" xfId="38296" xr:uid="{35EC607A-7039-4A98-A1E4-6FE25D0C42F0}"/>
    <cellStyle name="Note 13 3 21" xfId="17213" xr:uid="{8EFA9B27-6D99-43D0-9295-515A037943FD}"/>
    <cellStyle name="Note 13 3 21 2" xfId="38542" xr:uid="{5BD56114-F0EF-44FC-B97F-2C5966960C00}"/>
    <cellStyle name="Note 13 3 22" xfId="20374" xr:uid="{2D36B978-84C8-46FD-B6A7-E6B35EF7D39D}"/>
    <cellStyle name="Note 13 3 22 2" xfId="40801" xr:uid="{A0B49CC3-F757-4E53-91A5-89BB1E3F13A4}"/>
    <cellStyle name="Note 13 3 23" xfId="22057" xr:uid="{A1A6078F-78A6-4865-AD4E-23D8D51346C5}"/>
    <cellStyle name="Note 13 3 23 2" xfId="41942" xr:uid="{D8E20128-C3B2-4942-BB2D-772129E01FDA}"/>
    <cellStyle name="Note 13 3 24" xfId="23539" xr:uid="{6E2CD636-48D9-4E8D-A442-39D560CCE1D5}"/>
    <cellStyle name="Note 13 3 24 2" xfId="42985" xr:uid="{8B258494-A129-44D5-BED1-538B10A68F68}"/>
    <cellStyle name="Note 13 3 25" xfId="23924" xr:uid="{F96D00DA-1969-4384-93F7-566BC0F40BDA}"/>
    <cellStyle name="Note 13 3 25 2" xfId="43301" xr:uid="{32211410-A3A6-4BE3-B344-D66F96FAA7AE}"/>
    <cellStyle name="Note 13 3 26" xfId="25817" xr:uid="{8276D73B-6811-42F3-9F64-E66C6475C2AE}"/>
    <cellStyle name="Note 13 3 26 2" xfId="44643" xr:uid="{64ABCB07-1BE1-44B6-8EF8-460330BD7453}"/>
    <cellStyle name="Note 13 3 27" xfId="18802" xr:uid="{370D0A13-6F94-4BB6-9447-95362466588C}"/>
    <cellStyle name="Note 13 3 27 2" xfId="39657" xr:uid="{D284D6DE-098C-4E84-8582-F35C47394FB8}"/>
    <cellStyle name="Note 13 3 28" xfId="28368" xr:uid="{A8C57E74-0EE7-4607-87F4-C99310E7D204}"/>
    <cellStyle name="Note 13 3 28 2" xfId="46228" xr:uid="{F1D2C6A8-92EA-4B6B-8140-B35591F800E4}"/>
    <cellStyle name="Note 13 3 29" xfId="6308" xr:uid="{9435BA37-4870-4CDD-9A69-F814B0BCF4FF}"/>
    <cellStyle name="Note 13 3 3" xfId="8231" xr:uid="{765E62F6-B5A5-4B03-954B-E5364A450982}"/>
    <cellStyle name="Note 13 3 3 2" xfId="32471" xr:uid="{E9E6F49E-0B3E-4B3C-BD3E-250B78281673}"/>
    <cellStyle name="Note 13 3 4" xfId="9165" xr:uid="{71F5D09E-219F-43D7-9CD5-A273AAA1492C}"/>
    <cellStyle name="Note 13 3 4 2" xfId="33159" xr:uid="{8434A740-99DD-42E0-AEE9-E4FB5875DCC4}"/>
    <cellStyle name="Note 13 3 5" xfId="7889" xr:uid="{9950730C-88C6-472D-AEE1-2DDF0DBB55ED}"/>
    <cellStyle name="Note 13 3 5 2" xfId="32138" xr:uid="{F30D3587-4689-4C11-B053-5F51D5002FD4}"/>
    <cellStyle name="Note 13 3 6" xfId="9097" xr:uid="{925A2FB9-26BD-4EF4-B3CA-1D94996CC722}"/>
    <cellStyle name="Note 13 3 6 2" xfId="33098" xr:uid="{E16360F2-8DAA-4D15-AC2D-511810438A71}"/>
    <cellStyle name="Note 13 3 7" xfId="10359" xr:uid="{C5E90874-8703-4204-9075-46828CF63722}"/>
    <cellStyle name="Note 13 3 7 2" xfId="33994" xr:uid="{ED7FAA34-139C-4109-975F-84AB610297C2}"/>
    <cellStyle name="Note 13 3 8" xfId="8604" xr:uid="{0290DC48-82A3-4B7A-99E1-AC5317469399}"/>
    <cellStyle name="Note 13 3 8 2" xfId="32780" xr:uid="{6C171BA0-02D8-4A20-BBCE-AC3F2C10E8FC}"/>
    <cellStyle name="Note 13 3 9" xfId="10523" xr:uid="{CC2A4E1A-BA11-46DA-8F9D-6E70514D497A}"/>
    <cellStyle name="Note 13 3 9 2" xfId="34150" xr:uid="{A2A8892E-68E1-4874-BF63-F541D44A6B4A}"/>
    <cellStyle name="Note 13 30" xfId="27206" xr:uid="{B29D27FF-1332-4D45-AADF-8E415F71DD46}"/>
    <cellStyle name="Note 13 30 2" xfId="45541" xr:uid="{6FEEE0AC-CE13-4EDE-BC40-4C5E092B5752}"/>
    <cellStyle name="Note 13 31" xfId="28795" xr:uid="{E4EC66E5-0FDA-4C17-A46D-C36A430EC732}"/>
    <cellStyle name="Note 13 31 2" xfId="46470" xr:uid="{6B811F33-5D7B-4698-BEA3-DD7193B7A711}"/>
    <cellStyle name="Note 13 32" xfId="29387" xr:uid="{FBB57CA5-6481-41AC-BD66-DC6F5A2F2B7F}"/>
    <cellStyle name="Note 13 32 2" xfId="46854" xr:uid="{7AEA1F98-4636-4218-B9E4-E70DBC3D0410}"/>
    <cellStyle name="Note 13 33" xfId="20447" xr:uid="{668E3F8F-60E6-4B04-990B-1FCA394F36CD}"/>
    <cellStyle name="Note 13 33 2" xfId="40844" xr:uid="{B0994576-0EDD-4C2A-BA09-C2204AA8DB09}"/>
    <cellStyle name="Note 13 34" xfId="31063" xr:uid="{D786810C-C081-4AF9-B2D1-2A920631356B}"/>
    <cellStyle name="Note 13 34 2" xfId="47793" xr:uid="{5F9EA1DD-36E3-43CE-B629-42AD9970522C}"/>
    <cellStyle name="Note 13 35" xfId="6303" xr:uid="{155B4245-BBD7-40E0-A339-E32580807911}"/>
    <cellStyle name="Note 13 4" xfId="2767" xr:uid="{59252D36-DEE6-4360-B90A-31A61EED58EC}"/>
    <cellStyle name="Note 13 4 10" xfId="7495" xr:uid="{F00EAF5D-2BF8-4C7C-856C-52034D5DC7E7}"/>
    <cellStyle name="Note 13 4 10 2" xfId="31852" xr:uid="{AAF4B404-9C94-4581-A5C7-9C9329F0E498}"/>
    <cellStyle name="Note 13 4 11" xfId="14798" xr:uid="{4D15F3F8-9EB7-404A-B6F2-B5853251051A}"/>
    <cellStyle name="Note 13 4 11 2" xfId="36673" xr:uid="{ABF6E26A-DC2D-4A11-9116-CD1A99437EDD}"/>
    <cellStyle name="Note 13 4 12" xfId="12399" xr:uid="{96049B9E-2600-4EBA-BD9D-EA4880E160C3}"/>
    <cellStyle name="Note 13 4 12 2" xfId="34886" xr:uid="{872779E7-EA12-4241-8DD5-85657FF73D9D}"/>
    <cellStyle name="Note 13 4 13" xfId="13495" xr:uid="{F04F95C5-A3FA-4474-A1D3-61D876677809}"/>
    <cellStyle name="Note 13 4 13 2" xfId="35749" xr:uid="{8F44EF2A-ADA1-4ECB-BD7B-0CBBE13BB22F}"/>
    <cellStyle name="Note 13 4 14" xfId="9667" xr:uid="{9E63F1C8-556B-40B5-96B7-5C746C71BABF}"/>
    <cellStyle name="Note 13 4 14 2" xfId="33559" xr:uid="{5B65B05B-4FF8-42FF-AD6E-A6D4EEBCA2FA}"/>
    <cellStyle name="Note 13 4 15" xfId="19820" xr:uid="{85E8E367-D048-48EB-AF73-F2BEC240B198}"/>
    <cellStyle name="Note 13 4 15 2" xfId="40433" xr:uid="{00849D82-2A11-4C35-AE30-0344E64425D3}"/>
    <cellStyle name="Note 13 4 16" xfId="20016" xr:uid="{B3FC3F41-F340-4FD4-BFF0-01FBB319F84C}"/>
    <cellStyle name="Note 13 4 16 2" xfId="40582" xr:uid="{3E57DB68-D7A9-453E-9E05-738629D7EB1D}"/>
    <cellStyle name="Note 13 4 17" xfId="21500" xr:uid="{E61C513D-CEF4-4ADE-AC96-4506CAE45BCE}"/>
    <cellStyle name="Note 13 4 17 2" xfId="41627" xr:uid="{CC673804-BA58-4F52-B11B-5A9E798D6552}"/>
    <cellStyle name="Note 13 4 18" xfId="12585" xr:uid="{3F1636C5-4CEF-4775-AC83-03EDAAD5D68C}"/>
    <cellStyle name="Note 13 4 18 2" xfId="35024" xr:uid="{328FC9BC-5724-43BD-8123-AFE1321B2693}"/>
    <cellStyle name="Note 13 4 19" xfId="24906" xr:uid="{BFC1E10A-05BC-49B6-BE86-49D28A919655}"/>
    <cellStyle name="Note 13 4 19 2" xfId="43992" xr:uid="{4AD2ACF1-C559-4BE6-BFD6-734B46C71D7C}"/>
    <cellStyle name="Note 13 4 2" xfId="2768" xr:uid="{273D9284-E005-4250-AFCF-AF3C7D46B5CB}"/>
    <cellStyle name="Note 13 4 2 10" xfId="12161" xr:uid="{FA810038-1C95-4D6B-A4B4-CA5A393AAB99}"/>
    <cellStyle name="Note 13 4 2 10 2" xfId="34706" xr:uid="{60F86FDC-3296-4E77-8C42-2999ADBCE5C2}"/>
    <cellStyle name="Note 13 4 2 11" xfId="12802" xr:uid="{F5873F1D-CCFC-41D3-A539-9C91CFD8A158}"/>
    <cellStyle name="Note 13 4 2 11 2" xfId="35200" xr:uid="{DE63A818-E0DA-4BAE-B15C-92A322C706B3}"/>
    <cellStyle name="Note 13 4 2 12" xfId="16028" xr:uid="{8D0AEC67-EE1B-4818-BA38-EBD5DE91F670}"/>
    <cellStyle name="Note 13 4 2 12 2" xfId="37611" xr:uid="{1DB477EF-0AD6-43FD-8772-F7DA25CAE8D9}"/>
    <cellStyle name="Note 13 4 2 13" xfId="9668" xr:uid="{FDE7BE05-DB37-439B-8735-2E7ECC9BA7A8}"/>
    <cellStyle name="Note 13 4 2 13 2" xfId="33560" xr:uid="{A44F4C8C-5AFD-4814-9295-30B04D9A30AC}"/>
    <cellStyle name="Note 13 4 2 14" xfId="17986" xr:uid="{9567A430-4EDB-45CC-BC91-426B3209C781}"/>
    <cellStyle name="Note 13 4 2 14 2" xfId="39082" xr:uid="{85B8117C-7E8A-4AE4-8C36-E4B8122CB58B}"/>
    <cellStyle name="Note 13 4 2 15" xfId="16698" xr:uid="{A441886D-0FDA-4944-A568-1352C327C9E9}"/>
    <cellStyle name="Note 13 4 2 15 2" xfId="38188" xr:uid="{540D7C32-6EB8-45ED-8C3A-573484D42C8D}"/>
    <cellStyle name="Note 13 4 2 16" xfId="19658" xr:uid="{48083FD7-1D8E-438C-97FE-8A729292F5F2}"/>
    <cellStyle name="Note 13 4 2 16 2" xfId="40297" xr:uid="{47B73EC1-FF09-4D89-95BF-EAFC87E576E8}"/>
    <cellStyle name="Note 13 4 2 17" xfId="16403" xr:uid="{EB83B870-5E80-44D7-B92B-4A126FA045ED}"/>
    <cellStyle name="Note 13 4 2 17 2" xfId="37912" xr:uid="{0226FBFD-0A79-464A-A24F-496C12365DFD}"/>
    <cellStyle name="Note 13 4 2 18" xfId="24919" xr:uid="{0B793A73-4A8D-490D-B08F-2E0A1B1D5841}"/>
    <cellStyle name="Note 13 4 2 18 2" xfId="44005" xr:uid="{C59E275B-F67D-49B9-B9B7-703286C67F50}"/>
    <cellStyle name="Note 13 4 2 19" xfId="24818" xr:uid="{38076D0D-AF7B-4EF1-8AFD-DCEA2FDD3C60}"/>
    <cellStyle name="Note 13 4 2 19 2" xfId="43958" xr:uid="{DE661072-53DE-4B51-B8B7-026CB4193355}"/>
    <cellStyle name="Note 13 4 2 2" xfId="8228" xr:uid="{3CA6CCB3-9608-41D6-AEFC-BA03B2C951F1}"/>
    <cellStyle name="Note 13 4 2 2 2" xfId="32468" xr:uid="{4B790010-A4F9-4D0F-AF6E-E1BF4A44BFC8}"/>
    <cellStyle name="Note 13 4 2 20" xfId="13898" xr:uid="{E1E9758E-0AE2-4612-9F4F-8F18C44A6C81}"/>
    <cellStyle name="Note 13 4 2 20 2" xfId="36013" xr:uid="{B9B114F9-9753-475D-8C1E-4B5C10ECFC52}"/>
    <cellStyle name="Note 13 4 2 21" xfId="24595" xr:uid="{ACC12DA9-5CEC-48B6-9C51-234AC0145B02}"/>
    <cellStyle name="Note 13 4 2 21 2" xfId="43777" xr:uid="{0647EC86-0AC3-4261-9150-9CA22C427CEA}"/>
    <cellStyle name="Note 13 4 2 22" xfId="21236" xr:uid="{0C59C6E1-9CB8-46CC-875F-F45BD28A6D48}"/>
    <cellStyle name="Note 13 4 2 22 2" xfId="41428" xr:uid="{E69109DA-18B4-47E4-AB3A-F1EEBC0528D5}"/>
    <cellStyle name="Note 13 4 2 23" xfId="26137" xr:uid="{9826BA60-7884-44DA-AA09-88489A1E5F13}"/>
    <cellStyle name="Note 13 4 2 23 2" xfId="44878" xr:uid="{2A7F5CD9-6B95-4003-A886-AF85935C596C}"/>
    <cellStyle name="Note 13 4 2 24" xfId="19502" xr:uid="{B4340C38-167D-4F84-A8F2-3AF9DE75517C}"/>
    <cellStyle name="Note 13 4 2 24 2" xfId="40179" xr:uid="{854BAC2E-2A50-4580-A8E9-40410DE46DDD}"/>
    <cellStyle name="Note 13 4 2 25" xfId="29746" xr:uid="{EB242634-9FCB-401C-B18A-E8879B57D29C}"/>
    <cellStyle name="Note 13 4 2 25 2" xfId="47067" xr:uid="{EB5D1F82-83BD-46E2-BD30-004710C5E5AB}"/>
    <cellStyle name="Note 13 4 2 26" xfId="15405" xr:uid="{D7345872-E026-4CDD-9902-2569D4BA5FF5}"/>
    <cellStyle name="Note 13 4 2 26 2" xfId="37099" xr:uid="{4FE89F6B-D649-4A29-8923-E258E63E02A4}"/>
    <cellStyle name="Note 13 4 2 27" xfId="27039" xr:uid="{408665EE-B6DE-4F32-B391-1D08DA8BF6ED}"/>
    <cellStyle name="Note 13 4 2 27 2" xfId="45440" xr:uid="{3C555143-C0BE-47D0-8802-8A1D98177FE7}"/>
    <cellStyle name="Note 13 4 2 28" xfId="6311" xr:uid="{27FED3F9-34A4-446E-A6F2-4F1B32887652}"/>
    <cellStyle name="Note 13 4 2 3" xfId="9169" xr:uid="{E4922F7C-6C6C-48A7-9814-D1640441F416}"/>
    <cellStyle name="Note 13 4 2 3 2" xfId="33163" xr:uid="{71605C06-1DBF-4A1C-B4AB-58C82EF4A23D}"/>
    <cellStyle name="Note 13 4 2 4" xfId="7886" xr:uid="{2085D4D2-0C33-424A-9FE1-F3E5CE8B1A91}"/>
    <cellStyle name="Note 13 4 2 4 2" xfId="32135" xr:uid="{7476076D-95E6-47EA-9220-8D3CC91F4D3E}"/>
    <cellStyle name="Note 13 4 2 5" xfId="9094" xr:uid="{C8DB12D5-93FF-4CFF-8007-7763B0E4629C}"/>
    <cellStyle name="Note 13 4 2 5 2" xfId="33095" xr:uid="{32ED7FBA-F8B9-4171-81DC-DDA0FF5FC958}"/>
    <cellStyle name="Note 13 4 2 6" xfId="13107" xr:uid="{D0CA86A6-E9DB-4508-9BBA-099A5EDC49D4}"/>
    <cellStyle name="Note 13 4 2 6 2" xfId="35455" xr:uid="{FC9DC800-ECC4-43E2-8D39-B7735972B65D}"/>
    <cellStyle name="Note 13 4 2 7" xfId="13367" xr:uid="{5D8B1A0F-00E8-4E1B-B217-DE7D13D7898D}"/>
    <cellStyle name="Note 13 4 2 7 2" xfId="35674" xr:uid="{65257EEF-FA75-46F9-BE7E-4CD8B30512F1}"/>
    <cellStyle name="Note 13 4 2 8" xfId="14963" xr:uid="{8C500339-5AD9-4BE8-8C7C-90EA746D98F6}"/>
    <cellStyle name="Note 13 4 2 8 2" xfId="36837" xr:uid="{618BFBA9-897B-4B29-BDB5-FE57FEB49D60}"/>
    <cellStyle name="Note 13 4 2 9" xfId="11908" xr:uid="{52A73978-1558-4D2E-BB85-D29960C8DDDD}"/>
    <cellStyle name="Note 13 4 2 9 2" xfId="34519" xr:uid="{C7C91498-9DDD-48A8-9D5E-EC38BA84617C}"/>
    <cellStyle name="Note 13 4 20" xfId="22913" xr:uid="{BC861E14-F5AA-4B8E-86CD-98D6872D803D}"/>
    <cellStyle name="Note 13 4 20 2" xfId="42629" xr:uid="{25133548-E50F-472D-8522-E9CF99D71203}"/>
    <cellStyle name="Note 13 4 21" xfId="16265" xr:uid="{7BC90C9F-39CB-4047-9944-AC53C0D0AA08}"/>
    <cellStyle name="Note 13 4 21 2" xfId="37802" xr:uid="{C1FA8486-329B-4DA9-ADB9-FDEFBBED491B}"/>
    <cellStyle name="Note 13 4 22" xfId="21792" xr:uid="{66299789-ED5F-42E8-A478-F408ED9F33DB}"/>
    <cellStyle name="Note 13 4 22 2" xfId="41789" xr:uid="{A852F617-DBE3-4301-A7AF-7F03BEFCB235}"/>
    <cellStyle name="Note 13 4 23" xfId="17043" xr:uid="{FB320643-24C8-49ED-935A-F25ACD64BE0C}"/>
    <cellStyle name="Note 13 4 23 2" xfId="38385" xr:uid="{D05A425A-C577-4F49-AC91-46A05923DCC1}"/>
    <cellStyle name="Note 13 4 24" xfId="27221" xr:uid="{20F9C25D-3DA5-44CD-94C7-7D9E5FAA6DE6}"/>
    <cellStyle name="Note 13 4 24 2" xfId="45556" xr:uid="{456D60A5-40B6-4388-AD50-DED1E44D1690}"/>
    <cellStyle name="Note 13 4 25" xfId="23923" xr:uid="{C4DE1DE4-EBFE-477D-B4F1-8138161FEE90}"/>
    <cellStyle name="Note 13 4 25 2" xfId="43300" xr:uid="{764E68E6-DA4C-4E74-A050-57CADA0AF493}"/>
    <cellStyle name="Note 13 4 26" xfId="23669" xr:uid="{F1643ED6-D47C-457D-8F56-10C3B049DBD6}"/>
    <cellStyle name="Note 13 4 26 2" xfId="43092" xr:uid="{43DFB1A7-8A78-41A2-9155-D2FAC224B0A5}"/>
    <cellStyle name="Note 13 4 27" xfId="22445" xr:uid="{9637F378-D81F-48D6-B864-ED75D6D0444D}"/>
    <cellStyle name="Note 13 4 27 2" xfId="42248" xr:uid="{1D1A3A5B-EE5E-44F7-AB8A-20D75AB36C84}"/>
    <cellStyle name="Note 13 4 28" xfId="29341" xr:uid="{28A8C554-B238-404A-932E-128E701F1240}"/>
    <cellStyle name="Note 13 4 28 2" xfId="46814" xr:uid="{3FABBCEF-E9A3-4EEA-9EAD-620CEA6FDD37}"/>
    <cellStyle name="Note 13 4 29" xfId="6310" xr:uid="{E2CC77D6-6186-4C1E-9714-0B07BEDAD61A}"/>
    <cellStyle name="Note 13 4 3" xfId="8229" xr:uid="{DAFD8507-E5BD-4721-BB73-27BB1854EAA4}"/>
    <cellStyle name="Note 13 4 3 2" xfId="32469" xr:uid="{490D0072-82C0-44F4-8C12-637A6D7A725E}"/>
    <cellStyle name="Note 13 4 4" xfId="9168" xr:uid="{1B43F0E6-AE4B-4998-8B26-282DF44B4D67}"/>
    <cellStyle name="Note 13 4 4 2" xfId="33162" xr:uid="{929E68F3-E8DC-44EC-9B07-54B92BAB8EDC}"/>
    <cellStyle name="Note 13 4 5" xfId="7887" xr:uid="{671E0AC4-784C-486F-A3F1-A3E6BA56DFFA}"/>
    <cellStyle name="Note 13 4 5 2" xfId="32136" xr:uid="{7A1D9066-0158-4C67-865C-B0EB245C9CB5}"/>
    <cellStyle name="Note 13 4 6" xfId="9095" xr:uid="{8BF94D91-6221-4810-8EDE-5EBDB0CC4368}"/>
    <cellStyle name="Note 13 4 6 2" xfId="33096" xr:uid="{5F4FD82A-F100-4D00-8FEE-9F4A6C7CD0CC}"/>
    <cellStyle name="Note 13 4 7" xfId="10360" xr:uid="{77566747-4251-4A75-B1AF-FCB0E6FB309D}"/>
    <cellStyle name="Note 13 4 7 2" xfId="33995" xr:uid="{3488564B-2EA2-4C1C-AEB3-933E1A69A57F}"/>
    <cellStyle name="Note 13 4 8" xfId="8593" xr:uid="{8417C05C-2974-455C-BA0A-7589B08E3385}"/>
    <cellStyle name="Note 13 4 8 2" xfId="32779" xr:uid="{961DBB78-CC33-413B-8683-264AFA4CDE07}"/>
    <cellStyle name="Note 13 4 9" xfId="12953" xr:uid="{3C8158A7-A070-435F-A6E6-BEA68C95703F}"/>
    <cellStyle name="Note 13 4 9 2" xfId="35308" xr:uid="{25193876-31DA-4D3A-A91A-5D0D0C35BF15}"/>
    <cellStyle name="Note 13 5" xfId="2769" xr:uid="{9A6898DB-215B-4BD7-8D09-C2DAA30557C0}"/>
    <cellStyle name="Note 13 5 10" xfId="7494" xr:uid="{C3C3AF91-1945-49A3-9E3F-AD01B0538D9B}"/>
    <cellStyle name="Note 13 5 10 2" xfId="31851" xr:uid="{893F0579-42A7-4A66-9DF8-35E9F5C101A6}"/>
    <cellStyle name="Note 13 5 11" xfId="15982" xr:uid="{7AFD8B32-21B7-41D8-BCC0-3BFCC93A1B42}"/>
    <cellStyle name="Note 13 5 11 2" xfId="37572" xr:uid="{D8F9768D-1C83-4EC5-AE13-1C2F2E6376FD}"/>
    <cellStyle name="Note 13 5 12" xfId="14166" xr:uid="{ED127709-BA67-4137-BB01-9681DDBC6404}"/>
    <cellStyle name="Note 13 5 12 2" xfId="36219" xr:uid="{CB40960A-0F67-4ECA-8D6A-11B61F7AC16D}"/>
    <cellStyle name="Note 13 5 13" xfId="15573" xr:uid="{EF902E78-316C-4447-8CC6-2BB93A7FF1D6}"/>
    <cellStyle name="Note 13 5 13 2" xfId="37231" xr:uid="{EA10F09D-B6E8-4FF6-A2AC-1FE8848B2ED8}"/>
    <cellStyle name="Note 13 5 14" xfId="9669" xr:uid="{0FEE6F61-9F81-4C91-B8AF-7E6D67CF090C}"/>
    <cellStyle name="Note 13 5 14 2" xfId="33561" xr:uid="{C3B77862-0243-4638-B9DA-B4AE0EB68204}"/>
    <cellStyle name="Note 13 5 15" xfId="19819" xr:uid="{B2F898E9-4AA0-41B4-A920-11D0BAEB6007}"/>
    <cellStyle name="Note 13 5 15 2" xfId="40432" xr:uid="{81F4B8FF-80CB-4B46-881B-D8424103A7BC}"/>
    <cellStyle name="Note 13 5 16" xfId="16695" xr:uid="{5F3D975B-16BA-45FF-8AF3-D9EBC53B6DDE}"/>
    <cellStyle name="Note 13 5 16 2" xfId="38186" xr:uid="{DB5A8B2E-9578-429A-89ED-C6B841FFD8DA}"/>
    <cellStyle name="Note 13 5 17" xfId="21499" xr:uid="{6538D990-DAD9-4A96-B8E4-5085FB9CF8C9}"/>
    <cellStyle name="Note 13 5 17 2" xfId="41626" xr:uid="{7522F188-B568-4F19-BFBF-267B78653F99}"/>
    <cellStyle name="Note 13 5 18" xfId="15855" xr:uid="{125E39B0-F8FA-4378-B434-AA4F3ADF7A5D}"/>
    <cellStyle name="Note 13 5 18 2" xfId="37455" xr:uid="{9D81F383-ACA4-47CC-86D6-11FD3D0FAD89}"/>
    <cellStyle name="Note 13 5 19" xfId="25183" xr:uid="{170AADDC-0B06-4B25-8A1E-CFCDB178A5C0}"/>
    <cellStyle name="Note 13 5 19 2" xfId="44125" xr:uid="{000A70C8-C8AD-4631-B39C-172D1CE3CD23}"/>
    <cellStyle name="Note 13 5 2" xfId="2770" xr:uid="{FB96E080-8D02-49EE-9F24-1E2325E431AF}"/>
    <cellStyle name="Note 13 5 2 10" xfId="12198" xr:uid="{E651953B-3C6E-43F0-9442-08EB2E3A24BE}"/>
    <cellStyle name="Note 13 5 2 10 2" xfId="34708" xr:uid="{A7B143B2-ABBF-4822-9B29-E6C660147807}"/>
    <cellStyle name="Note 13 5 2 11" xfId="14165" xr:uid="{7B72C1DD-6254-4E62-88B8-7140BE6A6D8E}"/>
    <cellStyle name="Note 13 5 2 11 2" xfId="36218" xr:uid="{1D63AFEB-7358-48BE-A297-DBA023F3AA4A}"/>
    <cellStyle name="Note 13 5 2 12" xfId="14594" xr:uid="{C779E9A1-E07B-42F9-80AB-7E44A7FDAE44}"/>
    <cellStyle name="Note 13 5 2 12 2" xfId="36512" xr:uid="{279B9BE2-76AB-4DA2-B364-AE4CD9338904}"/>
    <cellStyle name="Note 13 5 2 13" xfId="9670" xr:uid="{0598B54F-F117-4B60-A8DF-7322BCA65A89}"/>
    <cellStyle name="Note 13 5 2 13 2" xfId="33562" xr:uid="{F0387F08-0D1A-4E68-A803-63A8C0D3EB27}"/>
    <cellStyle name="Note 13 5 2 14" xfId="19366" xr:uid="{518C1E80-A9DC-4A78-9272-6847BB83837B}"/>
    <cellStyle name="Note 13 5 2 14 2" xfId="40092" xr:uid="{6B3658E6-BE72-45D6-B8CF-6E440F414D57}"/>
    <cellStyle name="Note 13 5 2 15" xfId="20020" xr:uid="{B6858163-0E59-4DA2-91BE-9857B8E2BAA8}"/>
    <cellStyle name="Note 13 5 2 15 2" xfId="40586" xr:uid="{507A0688-10A0-4BD2-8062-52411AA66FE6}"/>
    <cellStyle name="Note 13 5 2 16" xfId="17711" xr:uid="{ECBC7B90-E89B-4845-858E-9677034F48DD}"/>
    <cellStyle name="Note 13 5 2 16 2" xfId="38887" xr:uid="{3622D501-58E0-47DA-9174-C8D10D2E3E0F}"/>
    <cellStyle name="Note 13 5 2 17" xfId="16402" xr:uid="{0A1DD478-B18F-4D93-8490-9A53F0D5BA68}"/>
    <cellStyle name="Note 13 5 2 17 2" xfId="37911" xr:uid="{BBC243FC-D2AC-4AB4-91CD-653C281E3B7F}"/>
    <cellStyle name="Note 13 5 2 18" xfId="20614" xr:uid="{87DA8905-4D43-4013-AE75-91E6893D78D9}"/>
    <cellStyle name="Note 13 5 2 18 2" xfId="40974" xr:uid="{C51FAA69-49C0-4468-B5E8-C7EE2677F2A3}"/>
    <cellStyle name="Note 13 5 2 19" xfId="24817" xr:uid="{594A8105-F137-4D7E-88BE-809D36617FA2}"/>
    <cellStyle name="Note 13 5 2 19 2" xfId="43957" xr:uid="{69BE7BDE-0DB0-4401-A444-CFB2118A9418}"/>
    <cellStyle name="Note 13 5 2 2" xfId="8226" xr:uid="{788F86DD-2AD4-4C52-9EEB-A4AC5D29FCB4}"/>
    <cellStyle name="Note 13 5 2 2 2" xfId="32466" xr:uid="{363D1ABE-7530-4A18-8257-3BC9CACAB0EE}"/>
    <cellStyle name="Note 13 5 2 20" xfId="19227" xr:uid="{EB3BED99-84B0-4F22-8000-57C1E6843777}"/>
    <cellStyle name="Note 13 5 2 20 2" xfId="40034" xr:uid="{CCF6F981-F761-495E-9356-C573EE605859}"/>
    <cellStyle name="Note 13 5 2 21" xfId="24594" xr:uid="{3EBF0A58-69AA-4625-8ED7-F47361724ADD}"/>
    <cellStyle name="Note 13 5 2 21 2" xfId="43776" xr:uid="{18723F5D-7033-4E3A-8C00-4F66190CC9C3}"/>
    <cellStyle name="Note 13 5 2 22" xfId="17798" xr:uid="{8F67492A-A7EF-4A6A-BE0C-6829E8CDD27C}"/>
    <cellStyle name="Note 13 5 2 22 2" xfId="38923" xr:uid="{2E514038-F8F9-4170-964D-FE584206340A}"/>
    <cellStyle name="Note 13 5 2 23" xfId="25661" xr:uid="{74F242F6-70F5-4378-8CAE-FC52AFC91AF1}"/>
    <cellStyle name="Note 13 5 2 23 2" xfId="44505" xr:uid="{2FE3FA70-1A2C-4C8F-BC35-0DED688AAB37}"/>
    <cellStyle name="Note 13 5 2 24" xfId="23921" xr:uid="{BCBFAE0E-92C5-45A5-8C08-1209A2BDC171}"/>
    <cellStyle name="Note 13 5 2 24 2" xfId="43298" xr:uid="{6A3D984E-1C19-4F4D-80EB-D652E59C7373}"/>
    <cellStyle name="Note 13 5 2 25" xfId="24433" xr:uid="{B2F757FA-91CD-4A66-A6C1-78D1AFF0A939}"/>
    <cellStyle name="Note 13 5 2 25 2" xfId="43645" xr:uid="{BAB8F809-B108-4160-9958-1239D8A87A9E}"/>
    <cellStyle name="Note 13 5 2 26" xfId="22425" xr:uid="{E65CBBE6-E267-4A6E-A38A-DF9F0DB51BFF}"/>
    <cellStyle name="Note 13 5 2 26 2" xfId="42238" xr:uid="{8F70A961-B4F6-49D7-8FC4-3A09130241AD}"/>
    <cellStyle name="Note 13 5 2 27" xfId="28367" xr:uid="{77219310-BC88-4B92-879F-0C85E90291F5}"/>
    <cellStyle name="Note 13 5 2 27 2" xfId="46227" xr:uid="{A95E48BD-231E-405F-9527-7C726457EFAE}"/>
    <cellStyle name="Note 13 5 2 28" xfId="6313" xr:uid="{4172F9D9-A874-4EAD-888B-37FECED9B012}"/>
    <cellStyle name="Note 13 5 2 3" xfId="9171" xr:uid="{3BBA90C9-F5F5-4C67-991A-23F2E69787D8}"/>
    <cellStyle name="Note 13 5 2 3 2" xfId="33165" xr:uid="{D2617D9E-5798-489D-AA88-1CBE221AA0E1}"/>
    <cellStyle name="Note 13 5 2 4" xfId="7884" xr:uid="{53A45461-CD92-44E4-B449-2C9C9EAE21A6}"/>
    <cellStyle name="Note 13 5 2 4 2" xfId="32133" xr:uid="{E7729784-227E-498A-A287-076AEBBA4A41}"/>
    <cellStyle name="Note 13 5 2 5" xfId="9091" xr:uid="{34093D48-19DB-400B-9715-5F6FD2C6C1E2}"/>
    <cellStyle name="Note 13 5 2 5 2" xfId="33092" xr:uid="{16387351-0EC5-4314-AA12-8E638D96455B}"/>
    <cellStyle name="Note 13 5 2 6" xfId="13106" xr:uid="{0DFA934E-76C3-42F8-A452-128699DAA68A}"/>
    <cellStyle name="Note 13 5 2 6 2" xfId="35454" xr:uid="{7A8D77D9-737B-46E0-A4B7-CE41D0C5DB9C}"/>
    <cellStyle name="Note 13 5 2 7" xfId="13368" xr:uid="{759F8CF0-C377-4C90-BBB1-3CA22A45587B}"/>
    <cellStyle name="Note 13 5 2 7 2" xfId="35675" xr:uid="{46E872CD-A53D-488D-9450-04C9B1F9715F}"/>
    <cellStyle name="Note 13 5 2 8" xfId="14962" xr:uid="{A12D2A8E-B5FA-49E1-933B-84AD6AE3C1CF}"/>
    <cellStyle name="Note 13 5 2 8 2" xfId="36836" xr:uid="{671C6476-E306-42AD-B472-E3CC1DC9FE5E}"/>
    <cellStyle name="Note 13 5 2 9" xfId="11907" xr:uid="{1FC7ABC3-733B-44ED-9749-A266943DDDD8}"/>
    <cellStyle name="Note 13 5 2 9 2" xfId="34518" xr:uid="{5CC05DEA-0802-43D1-8D7E-FD9B9F175DAB}"/>
    <cellStyle name="Note 13 5 20" xfId="22357" xr:uid="{5F358484-4A45-4BFA-8EEA-B910030541DE}"/>
    <cellStyle name="Note 13 5 20 2" xfId="42211" xr:uid="{B037AEED-0CDD-4D8B-8F5C-F6BB6BE24A93}"/>
    <cellStyle name="Note 13 5 21" xfId="17205" xr:uid="{627B7FA2-F2F3-4562-869E-3AE1BD354484}"/>
    <cellStyle name="Note 13 5 21 2" xfId="38534" xr:uid="{B8B662B7-B7A8-49F8-9FE7-E0D6A95C9C02}"/>
    <cellStyle name="Note 13 5 22" xfId="22300" xr:uid="{EDE5F247-39A0-4955-BDA2-08B7CAD2E393}"/>
    <cellStyle name="Note 13 5 22 2" xfId="42164" xr:uid="{287792F3-8646-4ED7-8ED0-27709C861CAD}"/>
    <cellStyle name="Note 13 5 23" xfId="22056" xr:uid="{FFD630DC-125B-427A-AF43-592A488F0A84}"/>
    <cellStyle name="Note 13 5 23 2" xfId="41941" xr:uid="{5C08E6CF-55D4-42BE-BF98-09174D5B8D0C}"/>
    <cellStyle name="Note 13 5 24" xfId="27220" xr:uid="{772E3FE8-2D9C-4715-835F-D535E6E81CDE}"/>
    <cellStyle name="Note 13 5 24 2" xfId="45555" xr:uid="{63C3B94F-A842-431B-9ED6-78CE0D1FA726}"/>
    <cellStyle name="Note 13 5 25" xfId="23922" xr:uid="{B191E8A6-0835-4D74-A1A7-BBB05233F91E}"/>
    <cellStyle name="Note 13 5 25 2" xfId="43299" xr:uid="{9F0B9CF2-F322-4781-981F-63B9998D4CC5}"/>
    <cellStyle name="Note 13 5 26" xfId="23572" xr:uid="{74A906DE-6258-4C53-9C7C-6A8875F4C54D}"/>
    <cellStyle name="Note 13 5 26 2" xfId="43007" xr:uid="{E12B0CBB-03EF-4E98-A101-3AF81747EAC9}"/>
    <cellStyle name="Note 13 5 27" xfId="23098" xr:uid="{1A184E59-5745-4C31-A2CA-14B40990AA2A}"/>
    <cellStyle name="Note 13 5 27 2" xfId="42711" xr:uid="{F2645994-AFEC-4141-807F-987DA097AFDB}"/>
    <cellStyle name="Note 13 5 28" xfId="29564" xr:uid="{1D75C0C3-C0CA-43C2-9E4F-2411E10AF0DF}"/>
    <cellStyle name="Note 13 5 28 2" xfId="46959" xr:uid="{21055CD6-5E5B-42A8-9BA2-D3ADB12CB3FE}"/>
    <cellStyle name="Note 13 5 29" xfId="6312" xr:uid="{0CBE162F-0D05-4DE1-A39C-289C7B18BFD4}"/>
    <cellStyle name="Note 13 5 3" xfId="8227" xr:uid="{8E7604DB-5FEF-488B-98A7-E54114B8484F}"/>
    <cellStyle name="Note 13 5 3 2" xfId="32467" xr:uid="{09EF153C-D88F-44E2-9AA9-C3B2095535AC}"/>
    <cellStyle name="Note 13 5 4" xfId="9170" xr:uid="{492A5040-7316-44B1-B3C2-256A0DE0EA43}"/>
    <cellStyle name="Note 13 5 4 2" xfId="33164" xr:uid="{31B04337-C265-4959-B201-CB57EFD97C41}"/>
    <cellStyle name="Note 13 5 5" xfId="7885" xr:uid="{2D9AC58E-DDF6-403E-B9CC-96A65C7120CC}"/>
    <cellStyle name="Note 13 5 5 2" xfId="32134" xr:uid="{02296EBE-12B9-46E9-BD8C-AA7FC0ED8384}"/>
    <cellStyle name="Note 13 5 6" xfId="9092" xr:uid="{CB34223E-66C6-4E87-99B2-A9BF629ABA5D}"/>
    <cellStyle name="Note 13 5 6 2" xfId="33093" xr:uid="{B832A913-4D86-46B7-B14B-6EF3CB226CFF}"/>
    <cellStyle name="Note 13 5 7" xfId="10361" xr:uid="{59D6B999-8F60-4DDA-ADA6-2EA7741A51B6}"/>
    <cellStyle name="Note 13 5 7 2" xfId="33996" xr:uid="{A13AB94F-786B-431C-9C19-8A2103F9A1E4}"/>
    <cellStyle name="Note 13 5 8" xfId="8592" xr:uid="{A022DD26-DEAD-4E1A-8F23-2E9D24B36FFD}"/>
    <cellStyle name="Note 13 5 8 2" xfId="32778" xr:uid="{B4F66513-1A42-43A0-9EF2-2A0AAED6DE87}"/>
    <cellStyle name="Note 13 5 9" xfId="10524" xr:uid="{94670C6F-22DB-480B-A9FA-591E4F1B4027}"/>
    <cellStyle name="Note 13 5 9 2" xfId="34151" xr:uid="{A3C38CB1-9D8F-45A1-8146-44A21F6FFD17}"/>
    <cellStyle name="Note 13 6" xfId="2771" xr:uid="{BDDD5702-AAFF-4AF0-9AB9-87C5C1C43B45}"/>
    <cellStyle name="Note 13 6 10" xfId="7493" xr:uid="{56AA9B40-7B01-4EBB-B8EC-4E44764BD70D}"/>
    <cellStyle name="Note 13 6 10 2" xfId="31850" xr:uid="{1DD3FCA4-1C99-493C-BC48-47654B1EDFA5}"/>
    <cellStyle name="Note 13 6 11" xfId="14797" xr:uid="{753BDF2F-37FF-49B0-9A89-4B9607927D31}"/>
    <cellStyle name="Note 13 6 11 2" xfId="36672" xr:uid="{C4D3B688-3060-41AB-83C7-7DB87A387F0E}"/>
    <cellStyle name="Note 13 6 12" xfId="14144" xr:uid="{05791806-C734-411F-81D8-152AB7E3F702}"/>
    <cellStyle name="Note 13 6 12 2" xfId="36217" xr:uid="{4A2E30A8-AF4E-4050-B9E4-AF25B5AF82FE}"/>
    <cellStyle name="Note 13 6 13" xfId="12726" xr:uid="{DB32D5B2-1C4A-4042-9254-85ECC9574FBD}"/>
    <cellStyle name="Note 13 6 13 2" xfId="35138" xr:uid="{EA9F871B-EDA0-4D23-AE3C-9972EBBDA9B3}"/>
    <cellStyle name="Note 13 6 14" xfId="17833" xr:uid="{446B6E75-D9FD-41BE-8BF7-719B6E9A1B2D}"/>
    <cellStyle name="Note 13 6 14 2" xfId="38952" xr:uid="{21D95FBF-2FB3-474D-A8A5-E6D18E4F6861}"/>
    <cellStyle name="Note 13 6 15" xfId="19818" xr:uid="{8CEB6B18-3245-40F5-82E3-18F3187C7431}"/>
    <cellStyle name="Note 13 6 15 2" xfId="40431" xr:uid="{5968E520-B1B7-45C0-97D1-DBF04A1FFF6C}"/>
    <cellStyle name="Note 13 6 16" xfId="18419" xr:uid="{2A2D5688-6431-4447-BF73-D67B6279FA01}"/>
    <cellStyle name="Note 13 6 16 2" xfId="39430" xr:uid="{7D2C1D1A-47A3-4329-9A02-00823FA1936E}"/>
    <cellStyle name="Note 13 6 17" xfId="21498" xr:uid="{161928F0-4A53-4EDC-9FE6-B82BD619ED10}"/>
    <cellStyle name="Note 13 6 17 2" xfId="41625" xr:uid="{0021756A-CCC0-4B63-AD32-6D0C8EA68937}"/>
    <cellStyle name="Note 13 6 18" xfId="13982" xr:uid="{5BAFD6B6-7225-4092-B06A-BD8A21AE6E4E}"/>
    <cellStyle name="Note 13 6 18 2" xfId="36079" xr:uid="{887CC87F-5C8D-40A7-A730-5F8B05526EC0}"/>
    <cellStyle name="Note 13 6 19" xfId="18881" xr:uid="{FE337F77-0CC0-49D3-BD0B-29CA63D50C63}"/>
    <cellStyle name="Note 13 6 19 2" xfId="39714" xr:uid="{A2A148F3-115E-45BF-8DB2-1E002C604004}"/>
    <cellStyle name="Note 13 6 2" xfId="2772" xr:uid="{9A0E1720-3707-4F7C-AC46-A6B872ADEB67}"/>
    <cellStyle name="Note 13 6 2 10" xfId="12162" xr:uid="{A44AB860-C193-4A90-84F3-A9F030EA693C}"/>
    <cellStyle name="Note 13 6 2 10 2" xfId="34707" xr:uid="{632655DE-B1F3-4C40-A66F-D5079572950A}"/>
    <cellStyle name="Note 13 6 2 11" xfId="12422" xr:uid="{7F8A1C2A-56D5-4963-A802-2785B196ACD2}"/>
    <cellStyle name="Note 13 6 2 11 2" xfId="34889" xr:uid="{0CC265FE-963F-4700-AEBF-160F2201A332}"/>
    <cellStyle name="Note 13 6 2 12" xfId="13657" xr:uid="{49C512A0-C90F-4A23-8396-F3FB3092F7E9}"/>
    <cellStyle name="Note 13 6 2 12 2" xfId="35814" xr:uid="{3C7C4D43-C5A7-4905-A50E-1FCC1201C4F0}"/>
    <cellStyle name="Note 13 6 2 13" xfId="16952" xr:uid="{9A80FCAF-04FA-4FB2-B5DC-6ABA419E8544}"/>
    <cellStyle name="Note 13 6 2 13 2" xfId="38322" xr:uid="{737544F1-CA5D-4E08-ACE9-275BD19CBB2B}"/>
    <cellStyle name="Note 13 6 2 14" xfId="13921" xr:uid="{84D1FCE8-8578-4D9F-8E37-77C91C6A29D7}"/>
    <cellStyle name="Note 13 6 2 14 2" xfId="36032" xr:uid="{9C63D040-725F-43D9-83A8-F6753DAA8A19}"/>
    <cellStyle name="Note 13 6 2 15" xfId="10034" xr:uid="{C1BD0922-0473-4A3C-B9F4-2F3BC27AAAF9}"/>
    <cellStyle name="Note 13 6 2 15 2" xfId="33746" xr:uid="{B1BF9899-27D2-4B0D-A939-7C7BB944454D}"/>
    <cellStyle name="Note 13 6 2 16" xfId="19657" xr:uid="{EE702583-9EF5-4D3A-BCDE-C5273674CC0C}"/>
    <cellStyle name="Note 13 6 2 16 2" xfId="40296" xr:uid="{DCB5C0EB-B3BE-4349-84BF-A4DD1166CE91}"/>
    <cellStyle name="Note 13 6 2 17" xfId="16401" xr:uid="{771E5612-D846-4715-8EA1-8048CBC63327}"/>
    <cellStyle name="Note 13 6 2 17 2" xfId="37910" xr:uid="{2CBDF29F-7D48-44F5-8CA0-AFBCE6F19C68}"/>
    <cellStyle name="Note 13 6 2 18" xfId="20615" xr:uid="{2E3FE460-1BD8-4456-B9C8-250C3638C330}"/>
    <cellStyle name="Note 13 6 2 18 2" xfId="40975" xr:uid="{1B94A117-D520-4256-BA70-C7AE070D8E28}"/>
    <cellStyle name="Note 13 6 2 19" xfId="24816" xr:uid="{F80983BB-216E-4873-802E-AA5B3FAB806F}"/>
    <cellStyle name="Note 13 6 2 19 2" xfId="43956" xr:uid="{4FE93EEA-9528-4338-B600-BF10EDC59A3D}"/>
    <cellStyle name="Note 13 6 2 2" xfId="8224" xr:uid="{78BDD772-E8C6-4D01-A881-C8F37FA074F4}"/>
    <cellStyle name="Note 13 6 2 2 2" xfId="32464" xr:uid="{9462C0C8-9DB5-48A3-9978-3EF7F4ABBB56}"/>
    <cellStyle name="Note 13 6 2 20" xfId="18212" xr:uid="{7754F6CF-8690-4CC3-999B-64E7D9EA286A}"/>
    <cellStyle name="Note 13 6 2 20 2" xfId="39250" xr:uid="{B478E218-8AC8-4EDA-B93E-5DB7241BD1AB}"/>
    <cellStyle name="Note 13 6 2 21" xfId="24593" xr:uid="{1159FFC2-9E42-416F-A849-37D8A0B5C50C}"/>
    <cellStyle name="Note 13 6 2 21 2" xfId="43775" xr:uid="{E0AD9413-58A9-4AB5-B465-5CB02F027EDC}"/>
    <cellStyle name="Note 13 6 2 22" xfId="22055" xr:uid="{9F628434-90A3-4963-A226-58F50DCBCF04}"/>
    <cellStyle name="Note 13 6 2 22 2" xfId="41940" xr:uid="{1420118C-E453-40DD-BD77-02D494320BD4}"/>
    <cellStyle name="Note 13 6 2 23" xfId="26136" xr:uid="{D6362478-B143-41DA-9A74-9CADF8EEC2E3}"/>
    <cellStyle name="Note 13 6 2 23 2" xfId="44877" xr:uid="{5816FE42-3B4E-4E9A-8A76-DD46F9630EFA}"/>
    <cellStyle name="Note 13 6 2 24" xfId="21000" xr:uid="{5647375E-8D9A-4471-B7B3-5DE03BA8A538}"/>
    <cellStyle name="Note 13 6 2 24 2" xfId="41258" xr:uid="{E84B2E60-1978-4609-B708-B8A22AA7A4BE}"/>
    <cellStyle name="Note 13 6 2 25" xfId="25030" xr:uid="{EFEAD1FF-720D-4510-AA1A-66C7172483F1}"/>
    <cellStyle name="Note 13 6 2 25 2" xfId="44063" xr:uid="{9D62AD59-73F6-42B7-BFB6-237FBCCF141C}"/>
    <cellStyle name="Note 13 6 2 26" xfId="23097" xr:uid="{13C02978-9E27-46DD-9EB4-5F9823FE9BA9}"/>
    <cellStyle name="Note 13 6 2 26 2" xfId="42710" xr:uid="{AE0C402D-CDBA-4AFC-A6AF-0E3411B83160}"/>
    <cellStyle name="Note 13 6 2 27" xfId="27046" xr:uid="{64D1860A-BA9C-494F-A3EC-9A6CA7EF2D07}"/>
    <cellStyle name="Note 13 6 2 27 2" xfId="45446" xr:uid="{B8AC6790-E98E-4294-859A-431B783A91CF}"/>
    <cellStyle name="Note 13 6 2 28" xfId="6315" xr:uid="{1FB7555A-D672-4B7D-B42A-8E941ECBF095}"/>
    <cellStyle name="Note 13 6 2 3" xfId="9173" xr:uid="{6EA5FA0E-4BE6-4635-9EE4-BF940F5BE6EE}"/>
    <cellStyle name="Note 13 6 2 3 2" xfId="33167" xr:uid="{5FF29CE1-6530-4DB5-A2CC-E1045C20AB3F}"/>
    <cellStyle name="Note 13 6 2 4" xfId="7882" xr:uid="{EE2FF4F6-F51D-4252-B63D-7F66B1458AA3}"/>
    <cellStyle name="Note 13 6 2 4 2" xfId="32131" xr:uid="{8B40F82E-7692-4F88-9B4C-E35BAA7B9C11}"/>
    <cellStyle name="Note 13 6 2 5" xfId="9090" xr:uid="{8FCD1C37-4336-4E37-B3DD-33A7381D897A}"/>
    <cellStyle name="Note 13 6 2 5 2" xfId="33091" xr:uid="{FB01F1F9-3C43-49C0-A206-F7FBA8D132C5}"/>
    <cellStyle name="Note 13 6 2 6" xfId="10393" xr:uid="{B5A4AB02-4775-416E-A238-C1D47B6FA67A}"/>
    <cellStyle name="Note 13 6 2 6 2" xfId="34028" xr:uid="{ABB1D6EA-4A42-4C37-A624-AE1DCD139582}"/>
    <cellStyle name="Note 13 6 2 7" xfId="13369" xr:uid="{3385CCAC-97B8-4A0B-A70C-EB8601ABD666}"/>
    <cellStyle name="Note 13 6 2 7 2" xfId="35676" xr:uid="{9F67BC1A-2514-461C-8C36-83C190255F66}"/>
    <cellStyle name="Note 13 6 2 8" xfId="14961" xr:uid="{AF984CE5-C469-482D-AB1F-41493284D50A}"/>
    <cellStyle name="Note 13 6 2 8 2" xfId="36835" xr:uid="{F23663EC-766F-4855-8F03-236231D71803}"/>
    <cellStyle name="Note 13 6 2 9" xfId="11906" xr:uid="{897ACAC4-6328-452F-A2F4-B5BB99BA4A4D}"/>
    <cellStyle name="Note 13 6 2 9 2" xfId="34517" xr:uid="{B68DCFF8-64C2-4878-913B-1620487F8415}"/>
    <cellStyle name="Note 13 6 20" xfId="22912" xr:uid="{4CB7C6A8-A616-487E-8687-DF6803119B2E}"/>
    <cellStyle name="Note 13 6 20 2" xfId="42628" xr:uid="{4DCA2AA2-CCD8-41C8-9E83-5DED498B50AF}"/>
    <cellStyle name="Note 13 6 21" xfId="15210" xr:uid="{BB868354-1627-46D8-8479-1681BF2E7D4C}"/>
    <cellStyle name="Note 13 6 21 2" xfId="36980" xr:uid="{AB1D7D58-9B8E-4E51-BE77-A9079A70B8E3}"/>
    <cellStyle name="Note 13 6 22" xfId="20257" xr:uid="{6934FBE3-9683-4824-9BC6-7F6F91B8C5A9}"/>
    <cellStyle name="Note 13 6 22 2" xfId="40699" xr:uid="{B360C8A0-AD8F-4368-A357-E5CA5AE42DD1}"/>
    <cellStyle name="Note 13 6 23" xfId="21237" xr:uid="{6C0BBE32-FD87-4C74-8B7D-0386C68BB529}"/>
    <cellStyle name="Note 13 6 23 2" xfId="41429" xr:uid="{59D39DFD-6CF3-44C8-AB09-ADA6FC572708}"/>
    <cellStyle name="Note 13 6 24" xfId="27219" xr:uid="{47F018B2-7264-42DA-A7BB-8E9547E9D503}"/>
    <cellStyle name="Note 13 6 24 2" xfId="45554" xr:uid="{9BFBBCD8-A0DE-4F61-A1A7-19FA2F1E867F}"/>
    <cellStyle name="Note 13 6 25" xfId="27008" xr:uid="{2E0AF009-1B39-48BE-AFB5-DA46253C08D3}"/>
    <cellStyle name="Note 13 6 25 2" xfId="45414" xr:uid="{A140FE04-9022-44B2-AFE1-586EDB111800}"/>
    <cellStyle name="Note 13 6 26" xfId="23565" xr:uid="{B027D3EA-F015-4023-B7F7-3127A13DCA28}"/>
    <cellStyle name="Note 13 6 26 2" xfId="43001" xr:uid="{F9FFACD4-7640-4BD3-9CBE-BE0655F794AE}"/>
    <cellStyle name="Note 13 6 27" xfId="22444" xr:uid="{F2861A8C-1053-43DF-9A6C-78003EBCE962}"/>
    <cellStyle name="Note 13 6 27 2" xfId="42247" xr:uid="{D3F66513-59BA-4FE3-940A-A780855E106D}"/>
    <cellStyle name="Note 13 6 28" xfId="29560" xr:uid="{7B481D41-BB9D-4867-9686-56B01A89FCC7}"/>
    <cellStyle name="Note 13 6 28 2" xfId="46956" xr:uid="{6E53F071-80C1-4686-912B-5527B4DBF3B8}"/>
    <cellStyle name="Note 13 6 29" xfId="6314" xr:uid="{4DCF7BAC-935D-4836-890C-C46640AA8D23}"/>
    <cellStyle name="Note 13 6 3" xfId="8225" xr:uid="{B1635230-3DB6-42E8-B541-8F439AA70BC3}"/>
    <cellStyle name="Note 13 6 3 2" xfId="32465" xr:uid="{D4EAEE34-FA2C-482D-9E86-C8D457491B39}"/>
    <cellStyle name="Note 13 6 4" xfId="9172" xr:uid="{E31A63D9-02DA-40D5-9EB2-90355FE80044}"/>
    <cellStyle name="Note 13 6 4 2" xfId="33166" xr:uid="{1CB72250-C81E-49BE-8E58-2E08C2CDFD04}"/>
    <cellStyle name="Note 13 6 5" xfId="7883" xr:uid="{8850E761-6702-451C-AA79-CAD7CB247FA8}"/>
    <cellStyle name="Note 13 6 5 2" xfId="32132" xr:uid="{0243037A-8884-4036-A349-7927E5FAEFC9}"/>
    <cellStyle name="Note 13 6 6" xfId="12114" xr:uid="{5A2E0D64-3662-44F3-A55F-DE0DAEB45106}"/>
    <cellStyle name="Note 13 6 6 2" xfId="34661" xr:uid="{0267658A-79EF-4425-8A6A-EED346AA4725}"/>
    <cellStyle name="Note 13 6 7" xfId="10362" xr:uid="{4B5269AD-8826-4440-91A2-878F943CB706}"/>
    <cellStyle name="Note 13 6 7 2" xfId="33997" xr:uid="{755DFC9B-EE6C-4F89-B8BB-21A6C1458EF3}"/>
    <cellStyle name="Note 13 6 8" xfId="8591" xr:uid="{6229E423-BF2D-4EE5-8AC2-BD1CE6F64779}"/>
    <cellStyle name="Note 13 6 8 2" xfId="32777" xr:uid="{CDDD944A-2C5D-40E1-915D-1A1ED40D3F42}"/>
    <cellStyle name="Note 13 6 9" xfId="12952" xr:uid="{B20EB429-F139-4C66-AE56-49CE86238887}"/>
    <cellStyle name="Note 13 6 9 2" xfId="35307" xr:uid="{0277F0D1-C600-4AC9-A271-E6CBAF402A0A}"/>
    <cellStyle name="Note 13 7" xfId="2773" xr:uid="{9C877C89-9D28-46BD-B862-D589E21F63A3}"/>
    <cellStyle name="Note 13 7 10" xfId="7492" xr:uid="{0C829456-1205-4DF1-889D-6387E3E2ADA0}"/>
    <cellStyle name="Note 13 7 10 2" xfId="31849" xr:uid="{A9E3E7A3-6C36-49BD-8E00-00AFEE54D46B}"/>
    <cellStyle name="Note 13 7 11" xfId="14796" xr:uid="{7E86CED0-5808-4B31-9703-B98C37760B0B}"/>
    <cellStyle name="Note 13 7 11 2" xfId="36671" xr:uid="{4A3EEBAD-BEF0-4AC0-8ABA-B9A7F6A933BC}"/>
    <cellStyle name="Note 13 7 12" xfId="14143" xr:uid="{B999FC56-90BE-4289-9237-17820A098D01}"/>
    <cellStyle name="Note 13 7 12 2" xfId="36216" xr:uid="{8D76CF93-7685-4B2F-87D0-6F4C59F797C9}"/>
    <cellStyle name="Note 13 7 13" xfId="15574" xr:uid="{2869FBAF-8679-4C38-994C-5421D0FC1B06}"/>
    <cellStyle name="Note 13 7 13 2" xfId="37232" xr:uid="{0AC1F28F-35DA-4B96-871F-3E2162286BA0}"/>
    <cellStyle name="Note 13 7 14" xfId="17825" xr:uid="{1649AFEB-3957-4764-86CD-EEAA0DEABA86}"/>
    <cellStyle name="Note 13 7 14 2" xfId="38946" xr:uid="{9058A566-EA47-445B-8ABC-0E7F61E91711}"/>
    <cellStyle name="Note 13 7 15" xfId="19817" xr:uid="{1898548C-3954-4D9D-9D4E-09D9A8ABD59D}"/>
    <cellStyle name="Note 13 7 15 2" xfId="40430" xr:uid="{4D510F1F-0260-4F69-B37B-DC0317291223}"/>
    <cellStyle name="Note 13 7 16" xfId="10035" xr:uid="{59FEB3C1-BAF9-484E-9616-29556513F23C}"/>
    <cellStyle name="Note 13 7 16 2" xfId="33747" xr:uid="{20CDC4AA-8BA9-41C4-A891-947A5FE29B83}"/>
    <cellStyle name="Note 13 7 17" xfId="21497" xr:uid="{9CF6645B-7BCD-4F81-A109-FAEBAD74F1A3}"/>
    <cellStyle name="Note 13 7 17 2" xfId="41624" xr:uid="{A1308911-78B9-4307-BF64-A68955F1CFB5}"/>
    <cellStyle name="Note 13 7 18" xfId="12605" xr:uid="{18EFBB3D-8624-45EB-9AB1-63F40617A10C}"/>
    <cellStyle name="Note 13 7 18 2" xfId="35037" xr:uid="{4F094399-1B75-430A-BDF1-7BF576EE4DF5}"/>
    <cellStyle name="Note 13 7 19" xfId="24910" xr:uid="{221EFAC8-3371-4C04-A5BF-95F6F62728DE}"/>
    <cellStyle name="Note 13 7 19 2" xfId="43996" xr:uid="{3912BDE1-9E53-4B08-BCBC-FC9D02BADB1E}"/>
    <cellStyle name="Note 13 7 2" xfId="2774" xr:uid="{775CED0D-CE50-413E-A6C4-F6792F51FB9D}"/>
    <cellStyle name="Note 13 7 2 10" xfId="15987" xr:uid="{4C2F14A3-F723-4CCB-A4D6-91D57AC57F5E}"/>
    <cellStyle name="Note 13 7 2 10 2" xfId="37573" xr:uid="{446ADB0C-CA83-4DA0-8582-622D804C9C2D}"/>
    <cellStyle name="Note 13 7 2 11" xfId="14122" xr:uid="{488487AD-0436-4DC8-B176-137CBCE2DD35}"/>
    <cellStyle name="Note 13 7 2 11 2" xfId="36215" xr:uid="{E0950D52-9E68-4057-8A60-5BAB8B47A31B}"/>
    <cellStyle name="Note 13 7 2 12" xfId="14593" xr:uid="{9F2CEC92-CD50-467A-8A4A-96EC16619944}"/>
    <cellStyle name="Note 13 7 2 12 2" xfId="36511" xr:uid="{0CF1C25A-372F-4A79-8004-673892562A97}"/>
    <cellStyle name="Note 13 7 2 13" xfId="16975" xr:uid="{E675B70D-9104-4821-A8AF-426AB8958932}"/>
    <cellStyle name="Note 13 7 2 13 2" xfId="38336" xr:uid="{720BA646-2AB5-4D2D-ABD1-96ACD6D2DF44}"/>
    <cellStyle name="Note 13 7 2 14" xfId="17985" xr:uid="{06AE51BB-6BF3-4F22-A369-C08737CA4460}"/>
    <cellStyle name="Note 13 7 2 14 2" xfId="39081" xr:uid="{FFD42790-62D5-407A-9501-848280417703}"/>
    <cellStyle name="Note 13 7 2 15" xfId="16699" xr:uid="{8D69720A-25E8-4DCA-8F73-8F5A7649020D}"/>
    <cellStyle name="Note 13 7 2 15 2" xfId="38189" xr:uid="{DEDEBB73-0449-4532-8210-A8911C118FDD}"/>
    <cellStyle name="Note 13 7 2 16" xfId="12663" xr:uid="{0B8B8C13-2C41-41C8-994A-5D65E0EFB233}"/>
    <cellStyle name="Note 13 7 2 16 2" xfId="35087" xr:uid="{00BA97B1-C4BA-40B5-B2FA-2F6264161A9E}"/>
    <cellStyle name="Note 13 7 2 17" xfId="16400" xr:uid="{4BA6D598-8679-4037-A5C5-0FE559F0BE2C}"/>
    <cellStyle name="Note 13 7 2 17 2" xfId="37909" xr:uid="{29477839-2E31-41CF-8950-FDC9EE292D58}"/>
    <cellStyle name="Note 13 7 2 18" xfId="20117" xr:uid="{F28D524F-B09E-4D76-AEBF-767F1132DF59}"/>
    <cellStyle name="Note 13 7 2 18 2" xfId="40630" xr:uid="{919E6AC4-EC2C-40EB-BED3-70700621D67C}"/>
    <cellStyle name="Note 13 7 2 19" xfId="24815" xr:uid="{5468305A-04CE-4E83-A136-06FD82CE1FC7}"/>
    <cellStyle name="Note 13 7 2 19 2" xfId="43955" xr:uid="{60FD1ECB-5F5B-4ABF-A778-127A8E0587DD}"/>
    <cellStyle name="Note 13 7 2 2" xfId="8222" xr:uid="{0027FB2C-D38C-4EB4-90F5-788013B3D826}"/>
    <cellStyle name="Note 13 7 2 2 2" xfId="32462" xr:uid="{C98926C2-4AF8-4C75-AD27-E7790AE6D8DF}"/>
    <cellStyle name="Note 13 7 2 20" xfId="18211" xr:uid="{DF06DBA9-6F30-43B5-91F2-CF83FC3D8130}"/>
    <cellStyle name="Note 13 7 2 20 2" xfId="39249" xr:uid="{24F65D4E-D266-4C6E-9683-4B29C669F27C}"/>
    <cellStyle name="Note 13 7 2 21" xfId="25779" xr:uid="{1910CDDD-5E3A-4B7D-91CA-E47AE3C1159A}"/>
    <cellStyle name="Note 13 7 2 21 2" xfId="44608" xr:uid="{5F8EC5CB-9FE8-4979-A9C3-3BE92E9FF7D6}"/>
    <cellStyle name="Note 13 7 2 22" xfId="17042" xr:uid="{F33E0CE9-FD4C-43F3-B763-A393948D0F47}"/>
    <cellStyle name="Note 13 7 2 22 2" xfId="38384" xr:uid="{54AB4E48-1885-4D56-A2B1-F695BA20E274}"/>
    <cellStyle name="Note 13 7 2 23" xfId="23777" xr:uid="{813FD550-298F-4802-80D8-EE95759189FE}"/>
    <cellStyle name="Note 13 7 2 23 2" xfId="43178" xr:uid="{15CBF110-6714-4A45-B0C7-6E33AAF65E93}"/>
    <cellStyle name="Note 13 7 2 24" xfId="27007" xr:uid="{DE8CC70A-CB97-424A-8357-5C4AF141AE98}"/>
    <cellStyle name="Note 13 7 2 24 2" xfId="45413" xr:uid="{246B55D2-6C1D-413A-AE9B-FF38F0659584}"/>
    <cellStyle name="Note 13 7 2 25" xfId="25160" xr:uid="{76FB31D7-47A8-4D94-BBFA-FA66C4EA00EE}"/>
    <cellStyle name="Note 13 7 2 25 2" xfId="44104" xr:uid="{D536AA84-6915-479D-BAD4-591CF088BF4F}"/>
    <cellStyle name="Note 13 7 2 26" xfId="16933" xr:uid="{87111E27-BBC0-4DB6-9437-FA15AE4620B4}"/>
    <cellStyle name="Note 13 7 2 26 2" xfId="38304" xr:uid="{756253CD-E46D-41A1-81F8-62688A5B3D0F}"/>
    <cellStyle name="Note 13 7 2 27" xfId="26051" xr:uid="{C2283B5A-DD21-4CF4-9A00-A4782AE4672C}"/>
    <cellStyle name="Note 13 7 2 27 2" xfId="44820" xr:uid="{AFCB9129-89BB-42AC-B94D-6E9B3EF426B9}"/>
    <cellStyle name="Note 13 7 2 28" xfId="6317" xr:uid="{EDD6C2A1-CFEA-4F46-A24B-9839A2A1FF5A}"/>
    <cellStyle name="Note 13 7 2 3" xfId="9175" xr:uid="{E75CC5D1-6264-4F9C-98ED-A2E1517F64EC}"/>
    <cellStyle name="Note 13 7 2 3 2" xfId="33169" xr:uid="{B121EAD3-6399-4B52-B655-7D89FCCDD387}"/>
    <cellStyle name="Note 13 7 2 4" xfId="7880" xr:uid="{447FF18A-AAA9-4459-A479-C9D743804C9F}"/>
    <cellStyle name="Note 13 7 2 4 2" xfId="32129" xr:uid="{8DEFC221-4976-4045-B19E-72FD6D94221E}"/>
    <cellStyle name="Note 13 7 2 5" xfId="12113" xr:uid="{8FF0A787-0DC1-442D-BA5E-29348782AE74}"/>
    <cellStyle name="Note 13 7 2 5 2" xfId="34660" xr:uid="{9A41AABB-24CA-4DB9-8F56-FF782674A99E}"/>
    <cellStyle name="Note 13 7 2 6" xfId="10363" xr:uid="{B5E62FC0-D80E-47CC-BC1F-E1517C91D342}"/>
    <cellStyle name="Note 13 7 2 6 2" xfId="33998" xr:uid="{1F57424F-10E7-49BE-83C3-52235AA3FFFE}"/>
    <cellStyle name="Note 13 7 2 7" xfId="15056" xr:uid="{9D093C2D-FCFC-4F78-82EA-D28186C9FAB6}"/>
    <cellStyle name="Note 13 7 2 7 2" xfId="36902" xr:uid="{E200682C-37EE-4746-AFC2-9EB288C51603}"/>
    <cellStyle name="Note 13 7 2 8" xfId="14960" xr:uid="{E349FB10-823B-432A-9F7A-801036BF46E9}"/>
    <cellStyle name="Note 13 7 2 8 2" xfId="36834" xr:uid="{A0B02543-C48A-4565-8219-5774D7758369}"/>
    <cellStyle name="Note 13 7 2 9" xfId="7491" xr:uid="{F6B1E0FA-A07C-4043-9A5A-7253182F219D}"/>
    <cellStyle name="Note 13 7 2 9 2" xfId="31848" xr:uid="{A86A1DF1-550B-4875-8D2D-B3565827540E}"/>
    <cellStyle name="Note 13 7 20" xfId="20397" xr:uid="{CC68E573-8A22-4755-B326-175C4E2AF3D1}"/>
    <cellStyle name="Note 13 7 20 2" xfId="40819" xr:uid="{D1680429-479F-434D-8788-3328B573FE64}"/>
    <cellStyle name="Note 13 7 21" xfId="16262" xr:uid="{5CDC0AC2-C336-4EF9-86A8-3760FC7F1CBF}"/>
    <cellStyle name="Note 13 7 21 2" xfId="37801" xr:uid="{C17D7123-91A1-4582-BAF6-4308D5FB5D33}"/>
    <cellStyle name="Note 13 7 22" xfId="16157" xr:uid="{071F301C-7B12-42F8-B8B1-CFA85B7D4D34}"/>
    <cellStyle name="Note 13 7 22 2" xfId="37719" xr:uid="{A18C7C09-7F09-4342-B88C-3BF090C5FF9E}"/>
    <cellStyle name="Note 13 7 23" xfId="21184" xr:uid="{DD063527-2086-4215-A6FB-04CBAAAC879F}"/>
    <cellStyle name="Note 13 7 23 2" xfId="41377" xr:uid="{8174C943-804D-4DE0-B095-2BF71AC1C3DF}"/>
    <cellStyle name="Note 13 7 24" xfId="27218" xr:uid="{231F8335-7B9E-4C01-9AA0-FFA0D64DFD35}"/>
    <cellStyle name="Note 13 7 24 2" xfId="45553" xr:uid="{B23E6C59-F455-468A-B270-8651F88E4E51}"/>
    <cellStyle name="Note 13 7 25" xfId="23920" xr:uid="{D6CE41C5-7459-4453-BAC0-688D21F89C5B}"/>
    <cellStyle name="Note 13 7 25 2" xfId="43297" xr:uid="{B9B3E7E5-A14A-4D21-A2CE-2D8034ECA565}"/>
    <cellStyle name="Note 13 7 26" xfId="25450" xr:uid="{E0E2DEF0-6BA4-4B56-8A81-49DAF316E02F}"/>
    <cellStyle name="Note 13 7 26 2" xfId="44336" xr:uid="{8C5B5775-E8AC-454D-B984-7A5F54D7A0D6}"/>
    <cellStyle name="Note 13 7 27" xfId="24142" xr:uid="{DE4FE789-0C3E-42FF-9415-16E0A3FB505B}"/>
    <cellStyle name="Note 13 7 27 2" xfId="43511" xr:uid="{F5ABDDD9-28A5-4937-A674-0636D202BFDB}"/>
    <cellStyle name="Note 13 7 28" xfId="28366" xr:uid="{AE0CD5CE-0BF9-46FC-817C-A61FCD1D1E5C}"/>
    <cellStyle name="Note 13 7 28 2" xfId="46226" xr:uid="{DE6D3D7B-5D5F-41D4-AC99-DD02594B94F6}"/>
    <cellStyle name="Note 13 7 29" xfId="6316" xr:uid="{3DAE438F-FC1F-4D11-AFC4-62CFC5FA1D65}"/>
    <cellStyle name="Note 13 7 3" xfId="8223" xr:uid="{51678ED8-9AB3-424E-8C59-02A4DF8A77E8}"/>
    <cellStyle name="Note 13 7 3 2" xfId="32463" xr:uid="{B59BC0A5-3973-4FCD-ABBF-C60E5B300935}"/>
    <cellStyle name="Note 13 7 4" xfId="9174" xr:uid="{3663149D-D107-4F89-A4DF-A98BCCBEA83E}"/>
    <cellStyle name="Note 13 7 4 2" xfId="33168" xr:uid="{BF8D6F68-B7EF-4335-88F9-970D4A8DD6EE}"/>
    <cellStyle name="Note 13 7 5" xfId="7881" xr:uid="{26146251-D239-4ED4-B062-C8A5407B51D4}"/>
    <cellStyle name="Note 13 7 5 2" xfId="32130" xr:uid="{17C32CD4-A20E-4F3D-A404-CA8F63B72C80}"/>
    <cellStyle name="Note 13 7 6" xfId="12111" xr:uid="{FE38E327-6E46-495F-AC8D-37CAAFDAF42C}"/>
    <cellStyle name="Note 13 7 6 2" xfId="34658" xr:uid="{F6D6EFC8-9357-4820-8C1E-94E3E97ED4A2}"/>
    <cellStyle name="Note 13 7 7" xfId="13105" xr:uid="{03FCF8BA-9F6A-4554-986B-A8B861E614FE}"/>
    <cellStyle name="Note 13 7 7 2" xfId="35453" xr:uid="{080F3752-B120-4863-8F29-B2C5519FF0B1}"/>
    <cellStyle name="Note 13 7 8" xfId="13366" xr:uid="{246F2B5B-AE96-47C8-BEDC-6550F501F6DD}"/>
    <cellStyle name="Note 13 7 8 2" xfId="35673" xr:uid="{9CA32D1D-E8EB-4E4C-8136-591320DECB9B}"/>
    <cellStyle name="Note 13 7 9" xfId="10525" xr:uid="{B8A0D7D3-CC6C-4DE6-B868-E538026E77D6}"/>
    <cellStyle name="Note 13 7 9 2" xfId="34152" xr:uid="{8850B5DF-8D86-4B82-83FF-BAB5AC121D82}"/>
    <cellStyle name="Note 13 8" xfId="2775" xr:uid="{1F6BF42D-46F9-4B95-8E11-A093B653A032}"/>
    <cellStyle name="Note 13 8 10" xfId="14776" xr:uid="{4909467E-312B-49EC-8CF8-77D399111611}"/>
    <cellStyle name="Note 13 8 10 2" xfId="36669" xr:uid="{B98855A7-86DB-45B0-9E8C-E6110CEA5E06}"/>
    <cellStyle name="Note 13 8 11" xfId="12443" xr:uid="{D1C14841-3FEE-4C18-A4A0-5874281FE956}"/>
    <cellStyle name="Note 13 8 11 2" xfId="34890" xr:uid="{35C7924E-D8C4-4B05-BA71-5DD43A646854}"/>
    <cellStyle name="Note 13 8 12" xfId="13845" xr:uid="{F01F57DD-E12B-4DB1-9A04-CE817F8B0439}"/>
    <cellStyle name="Note 13 8 12 2" xfId="35968" xr:uid="{2B4C2170-45C4-4EFC-9802-8F96A7A0D6C6}"/>
    <cellStyle name="Note 13 8 13" xfId="9671" xr:uid="{ED3905BA-EF06-4216-81C5-4D61E5E3F49E}"/>
    <cellStyle name="Note 13 8 13 2" xfId="33563" xr:uid="{5945D486-1E5B-45ED-9E2D-F7A3C2B7154D}"/>
    <cellStyle name="Note 13 8 14" xfId="19816" xr:uid="{D0B3C9C8-6445-447F-8761-8E1CFC2AA201}"/>
    <cellStyle name="Note 13 8 14 2" xfId="40429" xr:uid="{9BEADAD1-5F62-42A6-A802-53F82577ABFF}"/>
    <cellStyle name="Note 13 8 15" xfId="10036" xr:uid="{30AEA505-24CD-4E92-A2AC-5005519568B4}"/>
    <cellStyle name="Note 13 8 15 2" xfId="33748" xr:uid="{97A9B00D-40FD-40B1-8050-A80152914AB1}"/>
    <cellStyle name="Note 13 8 16" xfId="21496" xr:uid="{86A403B2-8FEF-4F10-AC0F-F7F08D7FB8DE}"/>
    <cellStyle name="Note 13 8 16 2" xfId="41623" xr:uid="{8FA9E0A6-456B-4F17-8418-3A3E2F80DA68}"/>
    <cellStyle name="Note 13 8 17" xfId="15854" xr:uid="{0DDF0C93-E087-48AF-8589-82584D018221}"/>
    <cellStyle name="Note 13 8 17 2" xfId="37454" xr:uid="{A95ECF23-7DDB-4183-BE1A-F4E43AF48770}"/>
    <cellStyle name="Note 13 8 18" xfId="16849" xr:uid="{6F735F30-B116-44CF-AB18-50C3D7F73178}"/>
    <cellStyle name="Note 13 8 18 2" xfId="38277" xr:uid="{39C50DB3-61CB-4858-8B98-6E28B34F55F6}"/>
    <cellStyle name="Note 13 8 19" xfId="22911" xr:uid="{8AE0ACFF-68A6-4A16-B3F0-E3761D43FC9E}"/>
    <cellStyle name="Note 13 8 19 2" xfId="42627" xr:uid="{9E3C1A43-367B-4F5D-AA84-0B1EDBAC674B}"/>
    <cellStyle name="Note 13 8 2" xfId="8221" xr:uid="{00ACED4A-CD8B-4466-B350-991EF971AC35}"/>
    <cellStyle name="Note 13 8 2 2" xfId="32461" xr:uid="{1072E233-9547-4417-B761-8B70635FB0A7}"/>
    <cellStyle name="Note 13 8 20" xfId="15789" xr:uid="{0F00E7D8-5FA8-4384-A465-AE628CD62C3F}"/>
    <cellStyle name="Note 13 8 20 2" xfId="37405" xr:uid="{F2624289-851F-406A-A2CA-3CCF6CAE2F40}"/>
    <cellStyle name="Note 13 8 21" xfId="18559" xr:uid="{FAED45FB-8E69-4531-87E9-5EA0D4AE2F47}"/>
    <cellStyle name="Note 13 8 21 2" xfId="39503" xr:uid="{752DC6E6-D591-40AB-94B4-A47A0AEA7A3C}"/>
    <cellStyle name="Note 13 8 22" xfId="20179" xr:uid="{82B035BE-6351-4DFC-8ECE-4AF6A4F7D1FA}"/>
    <cellStyle name="Note 13 8 22 2" xfId="40686" xr:uid="{DB5E4775-5E1B-4483-80D0-C8025A28A322}"/>
    <cellStyle name="Note 13 8 23" xfId="27217" xr:uid="{BD0F761D-DAE2-4E5E-A6DF-C55CC38C5AAB}"/>
    <cellStyle name="Note 13 8 23 2" xfId="45552" xr:uid="{2238829C-430E-47E6-8DAA-532FBC64E60D}"/>
    <cellStyle name="Note 13 8 24" xfId="28793" xr:uid="{7C8BB39D-C01A-4B63-8EAD-DA550E968630}"/>
    <cellStyle name="Note 13 8 24 2" xfId="46468" xr:uid="{1FB79B10-D527-4D95-8AA3-E9FD6AD94DEC}"/>
    <cellStyle name="Note 13 8 25" xfId="24258" xr:uid="{98127370-64DB-4B65-9FA2-9D0BB26B06A3}"/>
    <cellStyle name="Note 13 8 25 2" xfId="43571" xr:uid="{0DC8569A-DA8C-4C2E-BADC-5103E9A246A9}"/>
    <cellStyle name="Note 13 8 26" xfId="20444" xr:uid="{ED2A14D2-3373-4316-85E7-097F7402C4BC}"/>
    <cellStyle name="Note 13 8 26 2" xfId="40841" xr:uid="{4EA04AEC-D0F1-4AA9-8D7B-07BC6FCEFFCF}"/>
    <cellStyle name="Note 13 8 27" xfId="30118" xr:uid="{E91BA1A3-9DE0-44FE-B891-377472B0F92C}"/>
    <cellStyle name="Note 13 8 27 2" xfId="47292" xr:uid="{97A99FFA-7598-42B0-8B6F-46284F12A1E4}"/>
    <cellStyle name="Note 13 8 28" xfId="6318" xr:uid="{6D6A5F55-D2E8-40C8-B837-6200C0A822D0}"/>
    <cellStyle name="Note 13 8 3" xfId="9176" xr:uid="{E1E6DF2D-016B-4FD2-BCD9-7EAC0C892F79}"/>
    <cellStyle name="Note 13 8 3 2" xfId="33170" xr:uid="{B09B51FB-76E8-4593-8DEF-C0F85FCF5E85}"/>
    <cellStyle name="Note 13 8 4" xfId="7879" xr:uid="{F3A5B8E8-6A32-4C85-AAD1-0977990D9290}"/>
    <cellStyle name="Note 13 8 4 2" xfId="32128" xr:uid="{B2EFD5B4-FA69-4C65-AE99-C4FED8DEBA60}"/>
    <cellStyle name="Note 13 8 5" xfId="9089" xr:uid="{5DCE032C-B74C-4DD4-9A3B-A56CC668C616}"/>
    <cellStyle name="Note 13 8 5 2" xfId="33090" xr:uid="{EF2F7581-0A14-4405-9245-97B48180E030}"/>
    <cellStyle name="Note 13 8 6" xfId="13104" xr:uid="{1ACBBB8E-281A-4082-BC62-582AFF3E8A66}"/>
    <cellStyle name="Note 13 8 6 2" xfId="35452" xr:uid="{6ADD5A86-A5A3-4087-A9A9-6C06740C0F26}"/>
    <cellStyle name="Note 13 8 7" xfId="8590" xr:uid="{299AB18D-F1A2-4024-81F7-905AC9194106}"/>
    <cellStyle name="Note 13 8 7 2" xfId="32776" xr:uid="{5F09B8AC-CF23-4E64-B6BA-035F761EDBF7}"/>
    <cellStyle name="Note 13 8 8" xfId="12951" xr:uid="{1B74F15D-179B-4ABB-81D2-5C11484314EE}"/>
    <cellStyle name="Note 13 8 8 2" xfId="35306" xr:uid="{7473809A-2F81-45E2-943D-BA39FF9BB679}"/>
    <cellStyle name="Note 13 8 9" xfId="11904" xr:uid="{BA4BF03F-5B75-4355-B90E-6E04A52DDB44}"/>
    <cellStyle name="Note 13 8 9 2" xfId="34516" xr:uid="{9DB240DE-64F5-4709-9AC6-D96CC523ADDD}"/>
    <cellStyle name="Note 13 9" xfId="8236" xr:uid="{94ACD7BF-49E8-4F7C-BCF8-29267872A886}"/>
    <cellStyle name="Note 13 9 2" xfId="32476" xr:uid="{3BDDDD4B-3908-4509-92C8-884A2DD1C736}"/>
    <cellStyle name="Note 13_Sheet2" xfId="2776" xr:uid="{F2764C58-F3FC-4E3A-9BED-A7D0E984AD40}"/>
    <cellStyle name="Note 14" xfId="2777" xr:uid="{6DD48425-2468-4B10-99F6-74304EF77224}"/>
    <cellStyle name="Note 14 10" xfId="9177" xr:uid="{259CB8F0-7F4D-440B-AFBD-5FDB391962FB}"/>
    <cellStyle name="Note 14 10 2" xfId="33171" xr:uid="{0B3BA10E-192D-4F51-BCBC-027742FB0040}"/>
    <cellStyle name="Note 14 11" xfId="7877" xr:uid="{4625044C-470E-401B-81B4-91E79A65759A}"/>
    <cellStyle name="Note 14 11 2" xfId="32127" xr:uid="{9C9F1C53-15CE-4E97-AA72-1C31D891A81F}"/>
    <cellStyle name="Note 14 12" xfId="9088" xr:uid="{A448DFA7-F8D5-4631-AF1F-FF14C544EB4C}"/>
    <cellStyle name="Note 14 12 2" xfId="33089" xr:uid="{2537CCF6-B22D-4533-8C30-EF5D3A9D6800}"/>
    <cellStyle name="Note 14 13" xfId="13103" xr:uid="{D61CF483-A4F1-4CD4-8635-1145BF9769A6}"/>
    <cellStyle name="Note 14 13 2" xfId="35451" xr:uid="{84F30C05-35D9-41AC-8191-AC72B70972C2}"/>
    <cellStyle name="Note 14 14" xfId="8589" xr:uid="{0C5D1CD1-091D-4AD3-B261-3B770B3B284D}"/>
    <cellStyle name="Note 14 14 2" xfId="32775" xr:uid="{8FE03358-F818-4947-9A41-386BA0FB00E7}"/>
    <cellStyle name="Note 14 15" xfId="10526" xr:uid="{A66FC233-08B5-4DE3-B707-AB553D54CBB1}"/>
    <cellStyle name="Note 14 15 2" xfId="34153" xr:uid="{ECF3F564-56C8-4CD2-BEF7-254D12B2347E}"/>
    <cellStyle name="Note 14 16" xfId="11903" xr:uid="{925D6F69-BDC6-4543-9DF5-BFEC72B036D7}"/>
    <cellStyle name="Note 14 16 2" xfId="34515" xr:uid="{F7F1555B-361E-496B-86BC-12EA6CCCA950}"/>
    <cellStyle name="Note 14 17" xfId="14756" xr:uid="{19545CFA-C97E-402B-8E3F-24337AD6B2EE}"/>
    <cellStyle name="Note 14 17 2" xfId="36668" xr:uid="{B51B7E5E-72AC-4A5B-B313-E392BA7FC03F}"/>
    <cellStyle name="Note 14 18" xfId="13472" xr:uid="{7BFC21ED-9783-4BD0-A9CD-537DEFBE3458}"/>
    <cellStyle name="Note 14 18 2" xfId="35728" xr:uid="{64829502-01FA-42C5-B76E-FF4D1E8E1B4B}"/>
    <cellStyle name="Note 14 19" xfId="15575" xr:uid="{7F705E1A-0CDA-4762-9EBC-4AE0269C333F}"/>
    <cellStyle name="Note 14 19 2" xfId="37233" xr:uid="{60F7B729-F581-4D83-8A68-EA3A21C966FA}"/>
    <cellStyle name="Note 14 2" xfId="2778" xr:uid="{49A4E64C-DACD-4CD9-AE0A-23C0BF324514}"/>
    <cellStyle name="Note 14 2 10" xfId="14959" xr:uid="{6BBC0EBD-D0E5-4D4E-ABA5-7ECCD4001F57}"/>
    <cellStyle name="Note 14 2 10 2" xfId="36833" xr:uid="{99D9F997-D7F3-4A52-94E3-4DB426828618}"/>
    <cellStyle name="Note 14 2 11" xfId="7490" xr:uid="{BCDAAE34-E02B-4429-BDF9-3DFD908A157F}"/>
    <cellStyle name="Note 14 2 11 2" xfId="31847" xr:uid="{4F0BE00F-AECC-45F8-BA4F-4A34F1E85F95}"/>
    <cellStyle name="Note 14 2 12" xfId="14741" xr:uid="{3E394DF0-FE6F-4D22-A55D-DADCBD984FFE}"/>
    <cellStyle name="Note 14 2 12 2" xfId="36653" xr:uid="{70282FEB-2581-4E57-A1EC-0003B16112CA}"/>
    <cellStyle name="Note 14 2 13" xfId="14121" xr:uid="{6CBF870D-FC67-411F-8BE8-466A36541376}"/>
    <cellStyle name="Note 14 2 13 2" xfId="36214" xr:uid="{7C6EBF72-9ED8-4E1B-8F34-ED4E1920BE56}"/>
    <cellStyle name="Note 14 2 14" xfId="14592" xr:uid="{C0E4F787-27A8-4E7E-90FC-6D2FC98A2A59}"/>
    <cellStyle name="Note 14 2 14 2" xfId="36510" xr:uid="{9BDCBAF7-FC41-4CBE-BA1A-4C9FE46735A0}"/>
    <cellStyle name="Note 14 2 15" xfId="19518" xr:uid="{DD9A71CA-F9B6-48DD-A768-4CBC6760C0A3}"/>
    <cellStyle name="Note 14 2 15 2" xfId="40191" xr:uid="{DAA66FB4-2680-43CA-BA36-94A09988F970}"/>
    <cellStyle name="Note 14 2 16" xfId="17984" xr:uid="{4D67363D-96E3-4F29-9138-CBBD892F1C80}"/>
    <cellStyle name="Note 14 2 16 2" xfId="39080" xr:uid="{FFB7E06D-A75B-4862-BB9C-598B9321B04F}"/>
    <cellStyle name="Note 14 2 17" xfId="20021" xr:uid="{0F015DF9-2BA4-4A6B-8442-4B9073FED0D9}"/>
    <cellStyle name="Note 14 2 17 2" xfId="40587" xr:uid="{42F4D682-D051-4958-BD33-93FABB44FC38}"/>
    <cellStyle name="Note 14 2 18" xfId="17712" xr:uid="{0FF7C062-3A75-438E-8DA1-BA45E4C9BB8B}"/>
    <cellStyle name="Note 14 2 18 2" xfId="38888" xr:uid="{AB68706B-CA9A-48F1-9C77-2CBFE59B97F3}"/>
    <cellStyle name="Note 14 2 19" xfId="16399" xr:uid="{4A123D63-CABA-48C8-BD1D-BCA05903E153}"/>
    <cellStyle name="Note 14 2 19 2" xfId="37908" xr:uid="{10B7FAC2-BBFF-4D2C-8D21-FCD83566DDEA}"/>
    <cellStyle name="Note 14 2 2" xfId="2779" xr:uid="{5650D28A-0447-4C83-A841-A9207A96DC14}"/>
    <cellStyle name="Note 14 2 2 10" xfId="11902" xr:uid="{D8B43464-555A-4109-942D-2BE7387AE2DE}"/>
    <cellStyle name="Note 14 2 2 10 2" xfId="34514" xr:uid="{A06525D8-A753-40C1-999F-CE6AF5E96121}"/>
    <cellStyle name="Note 14 2 2 11" xfId="12202" xr:uid="{E3132C5E-F4E3-43C0-AE93-5EFF58ADE286}"/>
    <cellStyle name="Note 14 2 2 11 2" xfId="34709" xr:uid="{7DB015B3-4F1E-442A-9BFB-A04D532079F3}"/>
    <cellStyle name="Note 14 2 2 12" xfId="12444" xr:uid="{EF8633E8-67CC-4433-8F2C-D539758CBD46}"/>
    <cellStyle name="Note 14 2 2 12 2" xfId="34891" xr:uid="{31ABFE1F-E855-446D-9451-F10A4DF3D02A}"/>
    <cellStyle name="Note 14 2 2 13" xfId="12725" xr:uid="{4C7F1107-4310-4286-9E2B-5DF1BDCFE43D}"/>
    <cellStyle name="Note 14 2 2 13 2" xfId="35137" xr:uid="{107F2BE5-237A-4EB8-B556-51277A3C8ADE}"/>
    <cellStyle name="Note 14 2 2 14" xfId="9672" xr:uid="{0E2CFB3B-958C-495A-9081-7CE35C2617F0}"/>
    <cellStyle name="Note 14 2 2 14 2" xfId="33564" xr:uid="{DDE22D5E-5BFC-4884-9105-C52A01B25AD6}"/>
    <cellStyle name="Note 14 2 2 15" xfId="19814" xr:uid="{334F72E7-B5B1-4F85-B007-CF59F537C9B0}"/>
    <cellStyle name="Note 14 2 2 15 2" xfId="40427" xr:uid="{A4B3A14A-DC92-4573-8A16-89D0E9904FC8}"/>
    <cellStyle name="Note 14 2 2 16" xfId="10038" xr:uid="{15DB41E6-BD61-4951-AB6A-F3F1A5A79968}"/>
    <cellStyle name="Note 14 2 2 16 2" xfId="33750" xr:uid="{93E1AC3E-2CA4-43E3-842E-FBC92B11B2FF}"/>
    <cellStyle name="Note 14 2 2 17" xfId="21494" xr:uid="{61C7FCDB-7709-400A-A2F8-25375FE9051F}"/>
    <cellStyle name="Note 14 2 2 17 2" xfId="41621" xr:uid="{A1758197-E812-4D14-95A9-7612A9765EF5}"/>
    <cellStyle name="Note 14 2 2 18" xfId="12586" xr:uid="{56F46940-3014-48CB-9EFE-724F5B7CEC74}"/>
    <cellStyle name="Note 14 2 2 18 2" xfId="35025" xr:uid="{939C850F-8E04-4AC8-8703-A0A46E74D2D1}"/>
    <cellStyle name="Note 14 2 2 19" xfId="18537" xr:uid="{C0C78ACC-ED6D-4193-A414-92B6F18C2302}"/>
    <cellStyle name="Note 14 2 2 19 2" xfId="39489" xr:uid="{B99CC379-19B5-4335-B88F-41605DE33330}"/>
    <cellStyle name="Note 14 2 2 2" xfId="2780" xr:uid="{76BC0802-9E5D-4EC9-BE0D-EE3D51937BD6}"/>
    <cellStyle name="Note 14 2 2 2 10" xfId="14755" xr:uid="{51A2949B-D38B-4AF6-9689-C7748DDC9991}"/>
    <cellStyle name="Note 14 2 2 2 10 2" xfId="36667" xr:uid="{C43A9E7F-2363-44FA-A135-49560D867395}"/>
    <cellStyle name="Note 14 2 2 2 11" xfId="14103" xr:uid="{DC66137D-A963-4483-93C9-CB1633D1D051}"/>
    <cellStyle name="Note 14 2 2 2 11 2" xfId="36197" xr:uid="{55D7C3C4-8F3A-431A-AA11-A93EE714EF77}"/>
    <cellStyle name="Note 14 2 2 2 12" xfId="13658" xr:uid="{DA7383A1-E50C-4D63-9923-E2279768C030}"/>
    <cellStyle name="Note 14 2 2 2 12 2" xfId="35815" xr:uid="{3A23111C-DAF2-4071-8893-D14A9FA1BCAC}"/>
    <cellStyle name="Note 14 2 2 2 13" xfId="18685" xr:uid="{A0A3A5AA-E616-4782-9267-B2B96ECB4C2F}"/>
    <cellStyle name="Note 14 2 2 2 13 2" xfId="39567" xr:uid="{C376AD07-709C-417E-838C-BD494296F80B}"/>
    <cellStyle name="Note 14 2 2 2 14" xfId="12649" xr:uid="{C811314F-4C96-4025-ABC2-AAD667F1A076}"/>
    <cellStyle name="Note 14 2 2 2 14 2" xfId="35075" xr:uid="{706BE4D9-FD12-40ED-A021-2D873E85005E}"/>
    <cellStyle name="Note 14 2 2 2 15" xfId="20022" xr:uid="{17C363AD-81D4-4B5F-A9D8-E02B37D12D16}"/>
    <cellStyle name="Note 14 2 2 2 15 2" xfId="40588" xr:uid="{B69F2DA2-700F-4B6E-B03A-E21131BBF018}"/>
    <cellStyle name="Note 14 2 2 2 16" xfId="19656" xr:uid="{5CF371CC-C4C0-4F3F-A9EF-382F18720D41}"/>
    <cellStyle name="Note 14 2 2 2 16 2" xfId="40295" xr:uid="{9D2134E5-B27A-4768-AF72-41AF6B50BE07}"/>
    <cellStyle name="Note 14 2 2 2 17" xfId="16413" xr:uid="{02BFAC38-2DD6-463E-A07E-9E2B444A2317}"/>
    <cellStyle name="Note 14 2 2 2 17 2" xfId="37921" xr:uid="{06C45201-8606-4E19-A75C-327E466CDA8B}"/>
    <cellStyle name="Note 14 2 2 2 18" xfId="24909" xr:uid="{5D76A7CE-37CC-4F62-8E09-1A9B92F92069}"/>
    <cellStyle name="Note 14 2 2 2 18 2" xfId="43995" xr:uid="{C56E173A-5233-450C-B1D0-C022D0434480}"/>
    <cellStyle name="Note 14 2 2 2 19" xfId="24813" xr:uid="{C663E365-EF71-41CD-9B58-1171EAF04E75}"/>
    <cellStyle name="Note 14 2 2 2 19 2" xfId="43953" xr:uid="{D43F86BA-4179-4DC7-8694-4148FE3C08E4}"/>
    <cellStyle name="Note 14 2 2 2 2" xfId="8217" xr:uid="{33D99F5F-2E49-4A46-9DCF-5460E5CC4683}"/>
    <cellStyle name="Note 14 2 2 2 2 2" xfId="32457" xr:uid="{9343F0E6-BD76-4818-9ED8-239FD145F594}"/>
    <cellStyle name="Note 14 2 2 2 20" xfId="21616" xr:uid="{8BE70CD6-7577-4587-8123-3B0B6DBA5E1C}"/>
    <cellStyle name="Note 14 2 2 2 20 2" xfId="41694" xr:uid="{916951A4-AF93-4923-AD14-31AEDD9557CF}"/>
    <cellStyle name="Note 14 2 2 2 21" xfId="22299" xr:uid="{03425A09-C420-4A90-94E7-9E305DE7E43D}"/>
    <cellStyle name="Note 14 2 2 2 21 2" xfId="42163" xr:uid="{77834269-015B-440B-BA8A-20875FE72504}"/>
    <cellStyle name="Note 14 2 2 2 22" xfId="21238" xr:uid="{7E75FBAB-8A2C-4721-A783-DEF91BDE2460}"/>
    <cellStyle name="Note 14 2 2 2 22 2" xfId="41430" xr:uid="{38168EFF-FB73-4922-AA8F-33E595A0B91C}"/>
    <cellStyle name="Note 14 2 2 2 23" xfId="26800" xr:uid="{D02CAC3B-25FE-4CC8-943E-E0EB9A766641}"/>
    <cellStyle name="Note 14 2 2 2 23 2" xfId="45275" xr:uid="{0E3C0767-5829-4D4D-8B63-7EA6E4B80ABD}"/>
    <cellStyle name="Note 14 2 2 2 24" xfId="23905" xr:uid="{B5C80AA3-E235-49AF-9EE5-5F7346E01151}"/>
    <cellStyle name="Note 14 2 2 2 24 2" xfId="43283" xr:uid="{F4F9DB8C-E66B-4503-8E55-619CF3FAAABE}"/>
    <cellStyle name="Note 14 2 2 2 25" xfId="24432" xr:uid="{CB0AA56D-5906-465E-9A32-19D94291F559}"/>
    <cellStyle name="Note 14 2 2 2 25 2" xfId="43644" xr:uid="{28CDC93C-CE72-4A54-950D-C3022B7B2F98}"/>
    <cellStyle name="Note 14 2 2 2 26" xfId="22442" xr:uid="{030EA957-4720-479C-94CC-F4D90B019785}"/>
    <cellStyle name="Note 14 2 2 2 26 2" xfId="42245" xr:uid="{49CE0F99-5174-4E56-8E18-D0E73BF845F5}"/>
    <cellStyle name="Note 14 2 2 2 27" xfId="27044" xr:uid="{D408180D-4F9C-40C8-A2B1-37CF73CF21C0}"/>
    <cellStyle name="Note 14 2 2 2 27 2" xfId="45445" xr:uid="{A2831B20-9A74-4DC7-8B96-A630C5824E2B}"/>
    <cellStyle name="Note 14 2 2 2 28" xfId="6322" xr:uid="{1B9FDED5-7F2C-4F67-B252-C4E4CF6B3AD3}"/>
    <cellStyle name="Note 14 2 2 2 3" xfId="9180" xr:uid="{10433210-B302-4762-AA3F-D79556C344F5}"/>
    <cellStyle name="Note 14 2 2 2 3 2" xfId="33174" xr:uid="{A44CB494-7929-4419-94E3-7ABB83E935D2}"/>
    <cellStyle name="Note 14 2 2 2 4" xfId="7874" xr:uid="{D5281173-A909-43AA-B33D-4676119780AC}"/>
    <cellStyle name="Note 14 2 2 2 4 2" xfId="32124" xr:uid="{97EEDAA3-FCA2-427D-AE48-6022E2E21AAD}"/>
    <cellStyle name="Note 14 2 2 2 5" xfId="9086" xr:uid="{D28DD3A0-913F-4498-9A17-7BC8FCA75F79}"/>
    <cellStyle name="Note 14 2 2 2 5 2" xfId="33087" xr:uid="{88CBAD8D-BE91-4C70-BF89-0CC394EE22C7}"/>
    <cellStyle name="Note 14 2 2 2 6" xfId="10365" xr:uid="{135A6B1D-429B-48DD-8690-A3FAB22173A8}"/>
    <cellStyle name="Note 14 2 2 2 6 2" xfId="34000" xr:uid="{9E421DF5-9C41-4154-B3A5-8B7AB8B0E8E0}"/>
    <cellStyle name="Note 14 2 2 2 7" xfId="8588" xr:uid="{83AC4081-4833-46CB-843C-26A34965FD7F}"/>
    <cellStyle name="Note 14 2 2 2 7 2" xfId="32774" xr:uid="{B79D1759-9748-408C-87DA-5E818A390E18}"/>
    <cellStyle name="Note 14 2 2 2 8" xfId="14958" xr:uid="{CD359977-9C0E-44E7-B861-4E0FBEE1FAB7}"/>
    <cellStyle name="Note 14 2 2 2 8 2" xfId="36832" xr:uid="{A8D8A97F-CFBB-4F36-83E0-B9460C952B46}"/>
    <cellStyle name="Note 14 2 2 2 9" xfId="7489" xr:uid="{FE41677C-AC79-4A15-A027-294C0D4F08D2}"/>
    <cellStyle name="Note 14 2 2 2 9 2" xfId="31846" xr:uid="{F92F0E68-F8F5-4432-8A77-1E5C79998987}"/>
    <cellStyle name="Note 14 2 2 20" xfId="22910" xr:uid="{18C61B90-C333-4B91-BDEB-8AAB4A4D62ED}"/>
    <cellStyle name="Note 14 2 2 20 2" xfId="42626" xr:uid="{C3826557-BF23-4BE0-96AD-2307D138D309}"/>
    <cellStyle name="Note 14 2 2 21" xfId="18198" xr:uid="{F3FC54AF-8496-4A95-817F-42F85667CD2C}"/>
    <cellStyle name="Note 14 2 2 21 2" xfId="39236" xr:uid="{99D77AE6-B5A3-4D5D-8A50-FD2C02F53FAA}"/>
    <cellStyle name="Note 14 2 2 22" xfId="25781" xr:uid="{DB84F9C8-E0CB-40C7-A971-C9B89B7FB22B}"/>
    <cellStyle name="Note 14 2 2 22 2" xfId="44610" xr:uid="{476DB364-490D-4334-8C04-FB8931FAD2C7}"/>
    <cellStyle name="Note 14 2 2 23" xfId="22054" xr:uid="{E3A1200D-C81D-4879-A057-B8DBDAC86D2F}"/>
    <cellStyle name="Note 14 2 2 23 2" xfId="41939" xr:uid="{790690CE-5024-48B7-A168-9D7FEF5FC09E}"/>
    <cellStyle name="Note 14 2 2 24" xfId="27215" xr:uid="{1E183189-2C0B-4AE9-B292-15D5DCC005F5}"/>
    <cellStyle name="Note 14 2 2 24 2" xfId="45550" xr:uid="{28E531D9-F2AE-4546-870A-CE8D532665B7}"/>
    <cellStyle name="Note 14 2 2 25" xfId="28792" xr:uid="{46C8732E-7385-4685-BB00-21F8240E59D8}"/>
    <cellStyle name="Note 14 2 2 25 2" xfId="46467" xr:uid="{2062FF5E-1AE8-4E85-AC9E-E0E899083ADB}"/>
    <cellStyle name="Note 14 2 2 26" xfId="29251" xr:uid="{A64DB16A-CB85-443F-A3BB-5D60D02FDD83}"/>
    <cellStyle name="Note 14 2 2 26 2" xfId="46768" xr:uid="{5B28D4F6-76D5-4D03-9B24-85688AEE422B}"/>
    <cellStyle name="Note 14 2 2 27" xfId="18801" xr:uid="{A81A70E2-C881-4622-9945-607A0FF78C93}"/>
    <cellStyle name="Note 14 2 2 27 2" xfId="39656" xr:uid="{E40C6BE0-FB51-4540-909F-F83755E0004D}"/>
    <cellStyle name="Note 14 2 2 28" xfId="28363" xr:uid="{3A415454-BF9F-4F87-8E68-A6CD897EA104}"/>
    <cellStyle name="Note 14 2 2 28 2" xfId="46225" xr:uid="{0B684F14-98BC-497E-967F-1FD445EF44A9}"/>
    <cellStyle name="Note 14 2 2 29" xfId="6321" xr:uid="{B24CA84E-E9D6-4268-917A-7582EB55CE3C}"/>
    <cellStyle name="Note 14 2 2 3" xfId="8218" xr:uid="{05DF1362-A773-4B1D-9C2E-1CE822961C39}"/>
    <cellStyle name="Note 14 2 2 3 2" xfId="32458" xr:uid="{7ED09A06-0AF2-44A2-9C53-069A6EDC8F49}"/>
    <cellStyle name="Note 14 2 2 4" xfId="9179" xr:uid="{79BD785C-4EDF-47EB-B1B5-70E6763F82FA}"/>
    <cellStyle name="Note 14 2 2 4 2" xfId="33173" xr:uid="{2E04AD94-67B9-439B-BA84-1A880E16E492}"/>
    <cellStyle name="Note 14 2 2 5" xfId="7875" xr:uid="{D07942B0-FDCE-4CF0-ACD7-C4F7BD5E2794}"/>
    <cellStyle name="Note 14 2 2 5 2" xfId="32125" xr:uid="{090F9637-87E1-4E9B-A063-3CA03DAAFF9A}"/>
    <cellStyle name="Note 14 2 2 6" xfId="9087" xr:uid="{7234117A-3D17-4F57-B4A6-4F4FF85531E3}"/>
    <cellStyle name="Note 14 2 2 6 2" xfId="33088" xr:uid="{FA0748E8-CCF8-48AA-98DA-9661B9564221}"/>
    <cellStyle name="Note 14 2 2 7" xfId="13102" xr:uid="{61E21C72-2A88-42C6-890F-FF37D5C115F3}"/>
    <cellStyle name="Note 14 2 2 7 2" xfId="35450" xr:uid="{A5244AD8-7E30-4AD4-B9FE-2092BCC4F0D1}"/>
    <cellStyle name="Note 14 2 2 8" xfId="13370" xr:uid="{FE49EE69-7AA5-462E-B717-29E663F7486D}"/>
    <cellStyle name="Note 14 2 2 8 2" xfId="35677" xr:uid="{81568B93-F639-49C4-9215-345C3BBC4AC4}"/>
    <cellStyle name="Note 14 2 2 9" xfId="10527" xr:uid="{6EEED337-9733-4563-AC24-B080C5D0E11D}"/>
    <cellStyle name="Note 14 2 2 9 2" xfId="34154" xr:uid="{B0DF24B6-7F30-444E-BD23-C9539EBF14AF}"/>
    <cellStyle name="Note 14 2 20" xfId="24911" xr:uid="{E57C7A99-8F0A-499B-B4B5-9DC3039329F7}"/>
    <cellStyle name="Note 14 2 20 2" xfId="43997" xr:uid="{48AB2103-1525-468D-8AC2-9AC5B396D325}"/>
    <cellStyle name="Note 14 2 21" xfId="24814" xr:uid="{48807060-611D-489D-A56F-9B94E7FBFF0B}"/>
    <cellStyle name="Note 14 2 21 2" xfId="43954" xr:uid="{9778A8D2-53E6-47F5-83B8-1340A420136B}"/>
    <cellStyle name="Note 14 2 22" xfId="13947" xr:uid="{E5CD3FE4-8BAD-4068-94B1-D6BF915A71EF}"/>
    <cellStyle name="Note 14 2 22 2" xfId="36053" xr:uid="{1C2A330B-1575-4C0E-9925-FF2D7BCED370}"/>
    <cellStyle name="Note 14 2 23" xfId="24592" xr:uid="{B9E0A5D3-11B1-4911-89AB-EFF20DADF104}"/>
    <cellStyle name="Note 14 2 23 2" xfId="43774" xr:uid="{B1D17BA7-1564-484D-A4E0-BCDF9D73D84E}"/>
    <cellStyle name="Note 14 2 24" xfId="17797" xr:uid="{00FDCA81-A37E-4C7A-90EB-A7F30C9C11FA}"/>
    <cellStyle name="Note 14 2 24 2" xfId="38922" xr:uid="{6AB4429A-F2E4-4EFC-897E-52FC9454CDB7}"/>
    <cellStyle name="Note 14 2 25" xfId="25660" xr:uid="{9A74C939-90CA-4DD2-88EE-64AED1D4D6C5}"/>
    <cellStyle name="Note 14 2 25 2" xfId="44504" xr:uid="{6B53AE5C-8CF4-4045-A211-0FDACAED2959}"/>
    <cellStyle name="Note 14 2 26" xfId="23919" xr:uid="{403F5FE3-D69C-459C-8CAC-854847F5B88E}"/>
    <cellStyle name="Note 14 2 26 2" xfId="43296" xr:uid="{4FBB085B-A674-4D2C-BB70-CDDFFD929279}"/>
    <cellStyle name="Note 14 2 27" xfId="25035" xr:uid="{A0659071-E840-4123-AFAC-4456BD8F2759}"/>
    <cellStyle name="Note 14 2 27 2" xfId="44068" xr:uid="{556B2298-0033-48CD-9D92-6FE73F1D8A51}"/>
    <cellStyle name="Note 14 2 28" xfId="23096" xr:uid="{DF722BC7-665F-49D0-BE49-1C3F3D7F5259}"/>
    <cellStyle name="Note 14 2 28 2" xfId="42709" xr:uid="{501A28DA-92A0-4F60-9705-6EC4D8C724A0}"/>
    <cellStyle name="Note 14 2 29" xfId="29561" xr:uid="{BADD175C-FB5B-4B9F-A256-1F636A054090}"/>
    <cellStyle name="Note 14 2 29 2" xfId="46957" xr:uid="{12B55FC9-2878-4E8B-94A6-47CA6CF1E142}"/>
    <cellStyle name="Note 14 2 3" xfId="2781" xr:uid="{6025C696-27A7-4531-AE30-89B87EEAE361}"/>
    <cellStyle name="Note 14 2 3 10" xfId="12203" xr:uid="{F636D85F-753E-4213-8FE0-68827956AB60}"/>
    <cellStyle name="Note 14 2 3 10 2" xfId="34710" xr:uid="{79E6A3DA-1C7F-4B43-B59F-02FB95D2E062}"/>
    <cellStyle name="Note 14 2 3 11" xfId="14120" xr:uid="{4C3FF87D-751C-4AEC-A30B-6CB345C2A1C2}"/>
    <cellStyle name="Note 14 2 3 11 2" xfId="36213" xr:uid="{7F032C25-1275-4C86-8FC0-C48F7EE749EA}"/>
    <cellStyle name="Note 14 2 3 12" xfId="15576" xr:uid="{9FEB4F94-C341-4F2C-BA03-1940A594DC43}"/>
    <cellStyle name="Note 14 2 3 12 2" xfId="37234" xr:uid="{4AC075E1-5093-4A0C-B37B-597DAEAE05AB}"/>
    <cellStyle name="Note 14 2 3 13" xfId="9674" xr:uid="{318CECA0-C9A1-48F8-B9F3-E4A3B6921DE3}"/>
    <cellStyle name="Note 14 2 3 13 2" xfId="33565" xr:uid="{CE76422A-5870-473E-821B-85E22BD5AC27}"/>
    <cellStyle name="Note 14 2 3 14" xfId="19813" xr:uid="{ABB1F41C-5706-45BE-A6BA-0A163767862F}"/>
    <cellStyle name="Note 14 2 3 14 2" xfId="40426" xr:uid="{C0CA9E41-F2EE-44FA-A5D4-F2A23C0EAA45}"/>
    <cellStyle name="Note 14 2 3 15" xfId="18420" xr:uid="{78092986-091B-4EE0-AA1E-D24135618727}"/>
    <cellStyle name="Note 14 2 3 15 2" xfId="39431" xr:uid="{5530EF52-9291-41BB-AEFD-D504E8C49F17}"/>
    <cellStyle name="Note 14 2 3 16" xfId="21493" xr:uid="{D82B5BAC-8107-4F9C-93C8-AAD6C64BF708}"/>
    <cellStyle name="Note 14 2 3 16 2" xfId="41620" xr:uid="{5E1DF972-CAE0-4397-9478-CEDCE673B909}"/>
    <cellStyle name="Note 14 2 3 17" xfId="21032" xr:uid="{DEF9AB10-8740-4B7D-B0F7-01EF881A0E1A}"/>
    <cellStyle name="Note 14 2 3 17 2" xfId="41284" xr:uid="{1B061BF4-1FBB-42B6-A95F-20025A67A423}"/>
    <cellStyle name="Note 14 2 3 18" xfId="25194" xr:uid="{0D7C715F-CC07-4567-86B3-D37B563BAB17}"/>
    <cellStyle name="Note 14 2 3 18 2" xfId="44136" xr:uid="{9A9B6FA6-87B4-4244-897C-A60FC143368F}"/>
    <cellStyle name="Note 14 2 3 19" xfId="18779" xr:uid="{712824A3-3FD5-4993-B0A4-5EF23232679B}"/>
    <cellStyle name="Note 14 2 3 19 2" xfId="39646" xr:uid="{781807E1-A555-41E4-9A89-7AC29C46C766}"/>
    <cellStyle name="Note 14 2 3 2" xfId="8216" xr:uid="{AC0C63CB-C0ED-4BEE-B2DB-D05C30B7A109}"/>
    <cellStyle name="Note 14 2 3 2 2" xfId="32456" xr:uid="{F26838D0-1D62-4D6F-BBB7-D4D9D2BEA1F5}"/>
    <cellStyle name="Note 14 2 3 20" xfId="15785" xr:uid="{7E1E27F1-7903-4684-AD3F-7C8D66F9CBB5}"/>
    <cellStyle name="Note 14 2 3 20 2" xfId="37401" xr:uid="{911C28FA-6866-4BD2-89F6-2EA1F40D0F7D}"/>
    <cellStyle name="Note 14 2 3 21" xfId="25780" xr:uid="{6969087A-7CB1-4E12-BEBC-3AF6C6DEC5A3}"/>
    <cellStyle name="Note 14 2 3 21 2" xfId="44609" xr:uid="{50601E7C-2323-444B-96D9-FCD777E05822}"/>
    <cellStyle name="Note 14 2 3 22" xfId="20906" xr:uid="{3DC30399-72E1-4DB6-A90D-E02BD3F765A0}"/>
    <cellStyle name="Note 14 2 3 22 2" xfId="41209" xr:uid="{8E47D2C9-5EBA-4948-A0A9-9D35DE416D14}"/>
    <cellStyle name="Note 14 2 3 23" xfId="27214" xr:uid="{4B7CE461-6BE9-4DE5-AE52-7FA2C13021F3}"/>
    <cellStyle name="Note 14 2 3 23 2" xfId="45549" xr:uid="{A36F4DF0-BD54-4F3A-802A-A98AD892BB64}"/>
    <cellStyle name="Note 14 2 3 24" xfId="16945" xr:uid="{9C6592AA-2C9B-4FC9-96A7-E02E5EFB9092}"/>
    <cellStyle name="Note 14 2 3 24 2" xfId="38315" xr:uid="{AA5CBD2B-E0F5-491D-A444-85CAC1650B30}"/>
    <cellStyle name="Note 14 2 3 25" xfId="23566" xr:uid="{3D70EE4F-5470-4836-B26F-60A80A283DF1}"/>
    <cellStyle name="Note 14 2 3 25 2" xfId="43002" xr:uid="{D4907E48-8B06-496B-99C1-7A74136F4D69}"/>
    <cellStyle name="Note 14 2 3 26" xfId="20443" xr:uid="{9673F41F-4712-47A6-A4DF-99C58AD86CA6}"/>
    <cellStyle name="Note 14 2 3 26 2" xfId="40840" xr:uid="{80440142-B2EC-4117-BC13-EB08C27805FA}"/>
    <cellStyle name="Note 14 2 3 27" xfId="28362" xr:uid="{DD52032A-89AC-47E7-AEBC-0F4C5B59A844}"/>
    <cellStyle name="Note 14 2 3 27 2" xfId="46224" xr:uid="{99FC6FB1-9B65-4060-9717-065601D30CAB}"/>
    <cellStyle name="Note 14 2 3 28" xfId="6323" xr:uid="{1754F1F5-1441-4CD9-B574-F946279BAAB7}"/>
    <cellStyle name="Note 14 2 3 3" xfId="9181" xr:uid="{4A637391-A726-4F08-9F65-249081469F05}"/>
    <cellStyle name="Note 14 2 3 3 2" xfId="33175" xr:uid="{1168B864-CBEA-48D2-B95D-28AA1A55BDF4}"/>
    <cellStyle name="Note 14 2 3 4" xfId="7873" xr:uid="{19E871EA-FAFC-423B-9FF7-159A936FB51F}"/>
    <cellStyle name="Note 14 2 3 4 2" xfId="32123" xr:uid="{EF888E70-0C96-40E2-B877-F6C2D976ECAD}"/>
    <cellStyle name="Note 14 2 3 5" xfId="9085" xr:uid="{DA1D24F0-E060-4CC0-94B4-E14A0FA5D62F}"/>
    <cellStyle name="Note 14 2 3 5 2" xfId="33086" xr:uid="{E2AE7094-642E-47E3-A67A-8C17F1D6E0BA}"/>
    <cellStyle name="Note 14 2 3 6" xfId="13101" xr:uid="{FD968F10-8404-4B2E-885B-E5DA0005B28D}"/>
    <cellStyle name="Note 14 2 3 6 2" xfId="35449" xr:uid="{7649BD03-132B-4ACA-BCD8-AC89779FF04E}"/>
    <cellStyle name="Note 14 2 3 7" xfId="8587" xr:uid="{FDD7DB85-9CF8-4B67-9233-BC75A39AD283}"/>
    <cellStyle name="Note 14 2 3 7 2" xfId="32773" xr:uid="{58829EA6-1BAC-4794-8C01-3B0C632E95E8}"/>
    <cellStyle name="Note 14 2 3 8" xfId="12949" xr:uid="{BED75540-3891-411E-914B-92819443C14A}"/>
    <cellStyle name="Note 14 2 3 8 2" xfId="35304" xr:uid="{8685F605-20CC-4D1E-810C-F9E97FF2DF5D}"/>
    <cellStyle name="Note 14 2 3 9" xfId="7488" xr:uid="{3403471E-7DE3-49E8-AC0F-A438FDD8E87D}"/>
    <cellStyle name="Note 14 2 3 9 2" xfId="31845" xr:uid="{2AD8C9C7-1C8A-4F3B-A2A8-652B5FD038DA}"/>
    <cellStyle name="Note 14 2 30" xfId="6320" xr:uid="{F2CD7934-1C86-4980-BABE-092B07279313}"/>
    <cellStyle name="Note 14 2 4" xfId="8219" xr:uid="{BC8B4549-B552-4A69-9CFC-BAD1757C6E64}"/>
    <cellStyle name="Note 14 2 4 2" xfId="32459" xr:uid="{10D57CBC-2B65-4778-8DB2-F9ABD28D02AE}"/>
    <cellStyle name="Note 14 2 5" xfId="9178" xr:uid="{608AA3C6-3604-40AB-AE80-7D47B43ED364}"/>
    <cellStyle name="Note 14 2 5 2" xfId="33172" xr:uid="{BC6A1FE6-443A-4A8A-9FD7-06D0C41F3699}"/>
    <cellStyle name="Note 14 2 6" xfId="7876" xr:uid="{03BF9D17-02C0-402A-92C2-F6E6335BEFC9}"/>
    <cellStyle name="Note 14 2 6 2" xfId="32126" xr:uid="{B9C6BD28-7801-41CD-A466-89DD9858A6C7}"/>
    <cellStyle name="Note 14 2 7" xfId="12112" xr:uid="{D11E0FC8-D4B6-498A-A766-2AFDCBD5A881}"/>
    <cellStyle name="Note 14 2 7 2" xfId="34659" xr:uid="{1AB37D5F-A497-4BC8-8C75-BBAC685F2504}"/>
    <cellStyle name="Note 14 2 8" xfId="10364" xr:uid="{7879FD0D-1B57-498C-AC92-42376C8FB5D2}"/>
    <cellStyle name="Note 14 2 8 2" xfId="33999" xr:uid="{37888E4A-1656-4377-BA45-FEF22F91562E}"/>
    <cellStyle name="Note 14 2 9" xfId="15057" xr:uid="{E807F378-BCDB-48DC-B407-71A1EBB6CD4E}"/>
    <cellStyle name="Note 14 2 9 2" xfId="36903" xr:uid="{B8E0D6C1-F224-42F4-B991-EBE28989BD03}"/>
    <cellStyle name="Note 14 2_Sheet2" xfId="2782" xr:uid="{F0BC285F-C8AB-4A7A-8194-76391D30B722}"/>
    <cellStyle name="Note 14 20" xfId="17927" xr:uid="{20B4A5DF-1900-4E5A-A338-3D4530FA594B}"/>
    <cellStyle name="Note 14 20 2" xfId="39027" xr:uid="{34C64243-E762-44FF-A83C-99306D1B7C3B}"/>
    <cellStyle name="Note 14 21" xfId="19815" xr:uid="{217DEF7D-57A0-4B0D-9BE6-54419E858E77}"/>
    <cellStyle name="Note 14 21 2" xfId="40428" xr:uid="{C0D933B0-30DD-42B4-8616-678E3AFDE5BF}"/>
    <cellStyle name="Note 14 22" xfId="10037" xr:uid="{BD910D12-4E05-4FBE-ABDA-776D1AD801EB}"/>
    <cellStyle name="Note 14 22 2" xfId="33749" xr:uid="{7D24172B-63DC-497F-9027-461FBB2BA2E8}"/>
    <cellStyle name="Note 14 23" xfId="21495" xr:uid="{86CA208B-7B00-4BE8-8B44-7B0B96674AB8}"/>
    <cellStyle name="Note 14 23 2" xfId="41622" xr:uid="{C7926EAE-C959-4172-A5E7-8EF977CB5F51}"/>
    <cellStyle name="Note 14 24" xfId="21050" xr:uid="{9F814D9D-2F60-4CD1-B444-10217A10792E}"/>
    <cellStyle name="Note 14 24 2" xfId="41298" xr:uid="{0D0BDEF3-BC6D-4F20-87E3-EBFD00C50E35}"/>
    <cellStyle name="Note 14 25" xfId="18882" xr:uid="{95F46C4C-1D82-4E75-A653-A956ED914BF1}"/>
    <cellStyle name="Note 14 25 2" xfId="39715" xr:uid="{EE9B1401-1176-40DF-AF68-633B3401FF86}"/>
    <cellStyle name="Note 14 26" xfId="22356" xr:uid="{FBCE00D5-111E-4EF1-A9B9-F5693FFC104F}"/>
    <cellStyle name="Note 14 26 2" xfId="42210" xr:uid="{8A222D6C-F4F4-46E0-AFF4-C6E25B22FFA3}"/>
    <cellStyle name="Note 14 27" xfId="21617" xr:uid="{64EB4B91-7376-4070-906F-58EA3CB463D2}"/>
    <cellStyle name="Note 14 27 2" xfId="41695" xr:uid="{5874B683-CD04-472F-85A6-991F8DCDDE75}"/>
    <cellStyle name="Note 14 28" xfId="21793" xr:uid="{D7FBD938-6047-4F41-8254-FC99169AEAD8}"/>
    <cellStyle name="Note 14 28 2" xfId="41790" xr:uid="{F15B4023-A69B-4363-AAC4-CE2A4A053199}"/>
    <cellStyle name="Note 14 29" xfId="18640" xr:uid="{887164AB-F34D-4809-8736-7DA09BC7F3BD}"/>
    <cellStyle name="Note 14 29 2" xfId="39537" xr:uid="{C2264FA8-5BB2-4573-8C92-6A71659DB6B9}"/>
    <cellStyle name="Note 14 3" xfId="2783" xr:uid="{947F3838-3249-47A7-8578-FAD2CE332BE1}"/>
    <cellStyle name="Note 14 3 10" xfId="7445" xr:uid="{04E2E05D-4A09-4355-9424-520FB500EC07}"/>
    <cellStyle name="Note 14 3 10 2" xfId="31803" xr:uid="{8FD3F0FD-147D-4720-82D6-5FD05477740D}"/>
    <cellStyle name="Note 14 3 11" xfId="14739" xr:uid="{7218E65E-D89D-46A9-A9C3-1E9BA340ADDD}"/>
    <cellStyle name="Note 14 3 11 2" xfId="36651" xr:uid="{4E49F3C8-AD5D-4A9A-992E-60D4CC416BBD}"/>
    <cellStyle name="Note 14 3 12" xfId="14119" xr:uid="{82808A00-A1D0-4571-9545-C05B632F92C2}"/>
    <cellStyle name="Note 14 3 12 2" xfId="36212" xr:uid="{4D0D9EAB-5FA8-46AA-B370-E4E81DA67C3F}"/>
    <cellStyle name="Note 14 3 13" xfId="13846" xr:uid="{27531105-E092-4F88-9B3A-F39988857AAF}"/>
    <cellStyle name="Note 14 3 13 2" xfId="35969" xr:uid="{4525FA7D-7B8F-4429-821E-4F2580B7994C}"/>
    <cellStyle name="Note 14 3 14" xfId="9676" xr:uid="{D9B03EA0-5878-4673-A9F5-D4CBD462AF8D}"/>
    <cellStyle name="Note 14 3 14 2" xfId="33566" xr:uid="{9CB99CD2-DF16-4AF5-91B2-A602D1EE154B}"/>
    <cellStyle name="Note 14 3 15" xfId="19812" xr:uid="{947DC51A-86C5-4E3C-B686-1DB23D01608B}"/>
    <cellStyle name="Note 14 3 15 2" xfId="40425" xr:uid="{DC3C8E2D-5F62-4ABE-8CD2-2D96B04E7219}"/>
    <cellStyle name="Note 14 3 16" xfId="10039" xr:uid="{EC95EE06-851A-46EC-916E-AA9CFAD33861}"/>
    <cellStyle name="Note 14 3 16 2" xfId="33751" xr:uid="{5BD32646-3532-4D00-8594-702AFA48385F}"/>
    <cellStyle name="Note 14 3 17" xfId="21492" xr:uid="{9842E11B-0CB5-40B9-BC08-A96CB751FF9D}"/>
    <cellStyle name="Note 14 3 17 2" xfId="41619" xr:uid="{6DA7204B-D0DB-4EFD-8B83-4DD5D8824D51}"/>
    <cellStyle name="Note 14 3 18" xfId="21048" xr:uid="{34DD1D60-B1E5-4F17-985C-4546FC012DE0}"/>
    <cellStyle name="Note 14 3 18 2" xfId="41296" xr:uid="{ED7A5A5E-ADB1-4E03-8DC2-528B28F3A745}"/>
    <cellStyle name="Note 14 3 19" xfId="18883" xr:uid="{F8AF44E8-C4D0-4748-84A8-3F5F91B3A637}"/>
    <cellStyle name="Note 14 3 19 2" xfId="39716" xr:uid="{05E2CE80-BD82-4E0B-9E71-3FC531DD2CA6}"/>
    <cellStyle name="Note 14 3 2" xfId="2784" xr:uid="{0EBD2F4B-3AC7-402E-8A5F-43FE3CBBA0BD}"/>
    <cellStyle name="Note 14 3 2 10" xfId="12204" xr:uid="{B6FD7329-A276-4C05-8FDC-AEB3879C7348}"/>
    <cellStyle name="Note 14 3 2 10 2" xfId="34711" xr:uid="{C4F99F17-2A14-4473-B224-6934A7D14215}"/>
    <cellStyle name="Note 14 3 2 11" xfId="12445" xr:uid="{84CEC4C6-0814-4F09-B8B2-FD83CB1FA709}"/>
    <cellStyle name="Note 14 3 2 11 2" xfId="34892" xr:uid="{6ADB7E37-DDF5-4662-92A2-D5ED473101B7}"/>
    <cellStyle name="Note 14 3 2 12" xfId="13659" xr:uid="{B09DC331-1AF7-4CD9-BB3C-8E582E899DB9}"/>
    <cellStyle name="Note 14 3 2 12 2" xfId="35816" xr:uid="{807AA9A2-BED4-4240-9910-F9B1A2565BFC}"/>
    <cellStyle name="Note 14 3 2 13" xfId="9677" xr:uid="{EB90100C-D981-4F03-8458-B6FB3B4A0038}"/>
    <cellStyle name="Note 14 3 2 13 2" xfId="33567" xr:uid="{7B4B7815-449D-4217-9AA7-7DB26A96138E}"/>
    <cellStyle name="Note 14 3 2 14" xfId="15729" xr:uid="{419A23CD-4A84-4AC6-9FAC-F97EDE713242}"/>
    <cellStyle name="Note 14 3 2 14 2" xfId="37358" xr:uid="{4370EAE9-A74C-4E2B-80BD-D75E813D80FC}"/>
    <cellStyle name="Note 14 3 2 15" xfId="18421" xr:uid="{16817E22-1464-4DA9-B3E6-4F31BBA2A465}"/>
    <cellStyle name="Note 14 3 2 15 2" xfId="39432" xr:uid="{89E5019A-18D4-441C-9095-2A25FA1D83EF}"/>
    <cellStyle name="Note 14 3 2 16" xfId="17713" xr:uid="{D73A57D1-BDB8-4EA2-B40D-226D6E00D1F7}"/>
    <cellStyle name="Note 14 3 2 16 2" xfId="38889" xr:uid="{9844CC10-236A-4FD1-B689-C9BDDC2D451B}"/>
    <cellStyle name="Note 14 3 2 17" xfId="15853" xr:uid="{EDA416D1-CB86-45C9-8659-A831261315F9}"/>
    <cellStyle name="Note 14 3 2 17 2" xfId="37453" xr:uid="{5F4A3C54-F193-414D-914E-D2C284C43C88}"/>
    <cellStyle name="Note 14 3 2 18" xfId="24912" xr:uid="{7964E997-8EA3-4C48-9385-167129CC1B76}"/>
    <cellStyle name="Note 14 3 2 18 2" xfId="43998" xr:uid="{C0A777DC-EC1C-4035-960D-2238BFB144DE}"/>
    <cellStyle name="Note 14 3 2 19" xfId="22355" xr:uid="{EF5DE81A-864D-4486-9A00-40DF1CF6C9C8}"/>
    <cellStyle name="Note 14 3 2 19 2" xfId="42209" xr:uid="{8A307CC2-59F5-44B8-9F6F-5F78294D3FFD}"/>
    <cellStyle name="Note 14 3 2 2" xfId="8213" xr:uid="{B783CEC1-4EF2-4685-BB14-E68F127ACEC8}"/>
    <cellStyle name="Note 14 3 2 2 2" xfId="32454" xr:uid="{2CE76E82-5413-4FF1-A329-746038FEE9B9}"/>
    <cellStyle name="Note 14 3 2 20" xfId="16253" xr:uid="{688E54C4-0F1B-4C41-AE2F-3F87165556FF}"/>
    <cellStyle name="Note 14 3 2 20 2" xfId="37792" xr:uid="{E2CFC2C0-B606-4D62-A282-11B861A3CDC5}"/>
    <cellStyle name="Note 14 3 2 21" xfId="24589" xr:uid="{7A333665-A6DE-4FF3-863F-5EA9582929FB}"/>
    <cellStyle name="Note 14 3 2 21 2" xfId="43771" xr:uid="{4E57D64C-3C62-403E-B00F-008604CB2BF2}"/>
    <cellStyle name="Note 14 3 2 22" xfId="17041" xr:uid="{25212193-1C84-465E-A07B-1C8FC4E1C019}"/>
    <cellStyle name="Note 14 3 2 22 2" xfId="38383" xr:uid="{BB656A6B-5428-4C98-AE53-C6653A575FF3}"/>
    <cellStyle name="Note 14 3 2 23" xfId="27213" xr:uid="{C9E75EFF-7F3F-48DD-87E7-AADD14CAFC27}"/>
    <cellStyle name="Note 14 3 2 23 2" xfId="45548" xr:uid="{93FE800B-CDE9-4702-8926-07B74127C92C}"/>
    <cellStyle name="Note 14 3 2 24" xfId="23917" xr:uid="{02CBC20A-9910-4A76-89D4-0F1856694549}"/>
    <cellStyle name="Note 14 3 2 24 2" xfId="43295" xr:uid="{A4A78A94-E0CF-4086-AD79-D5667F3E121E}"/>
    <cellStyle name="Note 14 3 2 25" xfId="25159" xr:uid="{973DDD1C-7160-4863-B2FE-F3535631FC93}"/>
    <cellStyle name="Note 14 3 2 25 2" xfId="44103" xr:uid="{3321A937-2D03-4789-81E1-7557E550D2CF}"/>
    <cellStyle name="Note 14 3 2 26" xfId="16148" xr:uid="{30C4CA4F-CA5A-4D67-815D-D9A5E6401951}"/>
    <cellStyle name="Note 14 3 2 26 2" xfId="37713" xr:uid="{101757D0-45F6-4452-ACF9-64C5AFD8BFC9}"/>
    <cellStyle name="Note 14 3 2 27" xfId="25618" xr:uid="{506BC20A-70FE-4236-9E52-B523F80A12EA}"/>
    <cellStyle name="Note 14 3 2 27 2" xfId="44477" xr:uid="{C6E1B469-3CB4-404E-B54F-E5E568444265}"/>
    <cellStyle name="Note 14 3 2 28" xfId="6325" xr:uid="{1B170D42-DD68-4D3D-8FB2-7F421FFD4F3D}"/>
    <cellStyle name="Note 14 3 2 3" xfId="9183" xr:uid="{BED6FA2F-5B78-458A-9FAB-0C4A82C962E4}"/>
    <cellStyle name="Note 14 3 2 3 2" xfId="33177" xr:uid="{66BA6BDD-55AC-4FDD-9F9C-88BCC1566C8F}"/>
    <cellStyle name="Note 14 3 2 4" xfId="7826" xr:uid="{0201289A-61AD-4766-ABC5-C802F29250DF}"/>
    <cellStyle name="Note 14 3 2 4 2" xfId="32121" xr:uid="{94F238FD-3104-4FF8-B263-8DB4D9929FD9}"/>
    <cellStyle name="Note 14 3 2 5" xfId="9083" xr:uid="{91A7EE0D-79C6-4DA2-A16E-8BEF74005D38}"/>
    <cellStyle name="Note 14 3 2 5 2" xfId="33084" xr:uid="{8B2C9EBD-B468-4AA6-B85F-9265F9996621}"/>
    <cellStyle name="Note 14 3 2 6" xfId="10366" xr:uid="{F6C39442-84C0-4018-AD28-B21209F9CAE6}"/>
    <cellStyle name="Note 14 3 2 6 2" xfId="34001" xr:uid="{B959FEC8-FCA0-41E3-AF73-31C4996B8CEC}"/>
    <cellStyle name="Note 14 3 2 7" xfId="8585" xr:uid="{53181AB3-37D1-49C4-AF5E-16C425126603}"/>
    <cellStyle name="Note 14 3 2 7 2" xfId="32771" xr:uid="{FC7FFC88-2F47-4634-825D-EA12E4C86287}"/>
    <cellStyle name="Note 14 3 2 8" xfId="14957" xr:uid="{6A2C5260-67F0-4BB0-B009-6B006D5D7E54}"/>
    <cellStyle name="Note 14 3 2 8 2" xfId="36831" xr:uid="{38A870FB-FE76-4AB4-8115-F8E413E9866B}"/>
    <cellStyle name="Note 14 3 2 9" xfId="7444" xr:uid="{30617EF5-F440-42E9-ABC3-26C49C8D9CA2}"/>
    <cellStyle name="Note 14 3 2 9 2" xfId="31802" xr:uid="{9C54441B-6344-41A5-9C53-243604B7749B}"/>
    <cellStyle name="Note 14 3 20" xfId="22909" xr:uid="{B2953CE0-9064-4627-94AB-6032346C4C46}"/>
    <cellStyle name="Note 14 3 20 2" xfId="42625" xr:uid="{D10A9712-164E-47C9-A666-A5695FD7FB62}"/>
    <cellStyle name="Note 14 3 21" xfId="21890" xr:uid="{75E4C396-5C8C-433D-8588-70EA09264B70}"/>
    <cellStyle name="Note 14 3 21 2" xfId="41822" xr:uid="{75CCEE66-47E8-4E80-B324-261302A88458}"/>
    <cellStyle name="Note 14 3 22" xfId="24590" xr:uid="{90D25DDD-371C-4DEE-87E9-947A82B1C95E}"/>
    <cellStyle name="Note 14 3 22 2" xfId="43772" xr:uid="{F666BBA0-D0C6-4F36-AE86-4E35623C364C}"/>
    <cellStyle name="Note 14 3 23" xfId="27632" xr:uid="{3D710212-CC79-428E-882A-C411A9C5165B}"/>
    <cellStyle name="Note 14 3 23 2" xfId="45769" xr:uid="{BD3E5D03-00A6-4261-819B-D65B62743C41}"/>
    <cellStyle name="Note 14 3 24" xfId="20996" xr:uid="{16F8AAEC-6141-40D3-83F6-12EEB1BD3AEC}"/>
    <cellStyle name="Note 14 3 24 2" xfId="41254" xr:uid="{02A58E48-17F5-4E25-BEFA-7122FED65F69}"/>
    <cellStyle name="Note 14 3 25" xfId="22215" xr:uid="{4B9DD4BD-E131-4952-A985-089819C9073E}"/>
    <cellStyle name="Note 14 3 25 2" xfId="42094" xr:uid="{AD3D1A48-7584-44BC-A76F-4AA5647639AC}"/>
    <cellStyle name="Note 14 3 26" xfId="23670" xr:uid="{F33AC4C8-50FE-4102-A8FE-7B90337DC375}"/>
    <cellStyle name="Note 14 3 26 2" xfId="43093" xr:uid="{C3D00BD4-15FF-4F44-8D86-6BF24A026D7D}"/>
    <cellStyle name="Note 14 3 27" xfId="22441" xr:uid="{E32B82A3-630D-412D-B247-0560EE6C3C71}"/>
    <cellStyle name="Note 14 3 27 2" xfId="42244" xr:uid="{D11AC64D-0156-44FF-A9DF-100CDB3022BA}"/>
    <cellStyle name="Note 14 3 28" xfId="27043" xr:uid="{D11662CB-D615-40EA-8A3E-8E98ABAD1ADE}"/>
    <cellStyle name="Note 14 3 28 2" xfId="45444" xr:uid="{8EF969D6-1515-418F-B0B4-1BB93E7E38F4}"/>
    <cellStyle name="Note 14 3 29" xfId="6324" xr:uid="{B0408DF2-2CB3-4581-8239-296505F42412}"/>
    <cellStyle name="Note 14 3 3" xfId="8214" xr:uid="{335750E4-4298-4B21-A994-7B7D1A096890}"/>
    <cellStyle name="Note 14 3 3 2" xfId="32455" xr:uid="{349B6B69-7BB5-4905-9399-59C5B71DFC7A}"/>
    <cellStyle name="Note 14 3 4" xfId="9182" xr:uid="{CF3D2D5A-43B4-456E-989D-F8EBB39B026D}"/>
    <cellStyle name="Note 14 3 4 2" xfId="33176" xr:uid="{8F7AC5FD-FE42-469A-A850-29DB7B1FE877}"/>
    <cellStyle name="Note 14 3 5" xfId="7827" xr:uid="{9075294F-5031-4965-85F9-5C359AAFA4C6}"/>
    <cellStyle name="Note 14 3 5 2" xfId="32122" xr:uid="{8D712D1C-1708-4E1C-B923-FFA078EEE233}"/>
    <cellStyle name="Note 14 3 6" xfId="9084" xr:uid="{A8AF60C4-6BAC-4E4B-ADE2-79007640B84E}"/>
    <cellStyle name="Note 14 3 6 2" xfId="33085" xr:uid="{38B7E19F-546C-455B-B24B-A78E121C81B6}"/>
    <cellStyle name="Note 14 3 7" xfId="13100" xr:uid="{982EA890-0BE5-42C7-A51A-7A4F44CBC7E5}"/>
    <cellStyle name="Note 14 3 7 2" xfId="35448" xr:uid="{EAB3789B-0BDE-4137-BDCA-30EEE37FE401}"/>
    <cellStyle name="Note 14 3 8" xfId="8586" xr:uid="{ECD2577D-1C06-4B75-804F-8C458C7AF9FF}"/>
    <cellStyle name="Note 14 3 8 2" xfId="32772" xr:uid="{1CA0592B-663C-457C-A93F-5439E340A33C}"/>
    <cellStyle name="Note 14 3 9" xfId="10528" xr:uid="{F2A4255E-1A05-4350-B159-BE9AB6B300B6}"/>
    <cellStyle name="Note 14 3 9 2" xfId="34155" xr:uid="{EFF34CA1-2B7A-43F9-ACBA-BBCD6C46B282}"/>
    <cellStyle name="Note 14 30" xfId="27216" xr:uid="{1E8525E8-4F4F-4A7C-9F10-A2F3B063908C}"/>
    <cellStyle name="Note 14 30 2" xfId="45551" xr:uid="{D98649B6-004C-4DCC-BC37-CB9E6683048D}"/>
    <cellStyle name="Note 14 31" xfId="27602" xr:uid="{69B764DD-3F8F-4A72-B6BB-9B57F51ADDD3}"/>
    <cellStyle name="Note 14 31 2" xfId="45751" xr:uid="{6517584A-D3EB-4902-9410-96A2AB884A50}"/>
    <cellStyle name="Note 14 32" xfId="22669" xr:uid="{09CBF35E-A2F0-42F3-BB3B-A6FD55F8EC3D}"/>
    <cellStyle name="Note 14 32 2" xfId="42439" xr:uid="{C4F9FC1E-43D2-4C00-8116-BA8F50F1442B}"/>
    <cellStyle name="Note 14 33" xfId="22443" xr:uid="{C4659A98-5A9D-494D-A828-F26F1E65F22A}"/>
    <cellStyle name="Note 14 33 2" xfId="42246" xr:uid="{8D16A835-FB83-438A-ACD4-14253E383A1A}"/>
    <cellStyle name="Note 14 34" xfId="25620" xr:uid="{EE749BD8-A572-41CC-ADDE-9C59661F3764}"/>
    <cellStyle name="Note 14 34 2" xfId="44479" xr:uid="{A46DF381-FE71-46B0-A335-BF39CF718D5C}"/>
    <cellStyle name="Note 14 35" xfId="6319" xr:uid="{2D2DED68-C65B-44AD-BDEA-DDA9214F46A4}"/>
    <cellStyle name="Note 14 4" xfId="2785" xr:uid="{E0800C20-23DE-4989-8CE1-D21E5E722CC2}"/>
    <cellStyle name="Note 14 4 10" xfId="7443" xr:uid="{619548E1-77F5-4B3C-8E4A-3D2AC5AE7332}"/>
    <cellStyle name="Note 14 4 10 2" xfId="31801" xr:uid="{5E3477D7-34AC-4201-82EC-7B89ACF8AA5E}"/>
    <cellStyle name="Note 14 4 11" xfId="15991" xr:uid="{2A9B4034-45C5-4183-9CD4-6B6135A59956}"/>
    <cellStyle name="Note 14 4 11 2" xfId="37574" xr:uid="{ED56F21D-35DE-4ACD-901C-ADE64D537001}"/>
    <cellStyle name="Note 14 4 12" xfId="14118" xr:uid="{355EB040-CA0C-4A30-8D01-618A0C7BE658}"/>
    <cellStyle name="Note 14 4 12 2" xfId="36211" xr:uid="{BA363692-1273-4E64-91BF-7616D956C2DE}"/>
    <cellStyle name="Note 14 4 13" xfId="15577" xr:uid="{32D198F3-9BB6-4069-A7BF-4EF599B586CB}"/>
    <cellStyle name="Note 14 4 13 2" xfId="37235" xr:uid="{2E1DFE5A-21ED-4485-B9D9-49AD0060DB4B}"/>
    <cellStyle name="Note 14 4 14" xfId="20283" xr:uid="{CD3BF26C-EBA0-4EEF-9118-B8F850A0C18C}"/>
    <cellStyle name="Note 14 4 14 2" xfId="40721" xr:uid="{AA6CFFE9-6C1A-44A0-8589-B39D92547C6E}"/>
    <cellStyle name="Note 14 4 15" xfId="19811" xr:uid="{9D15F732-8B62-4722-8D68-A0A139DEAEDB}"/>
    <cellStyle name="Note 14 4 15 2" xfId="40424" xr:uid="{806D9469-32BA-43CE-BC71-6A379395C05A}"/>
    <cellStyle name="Note 14 4 16" xfId="10040" xr:uid="{D1D21072-6AFF-41D3-AD3D-6A22F96E1403}"/>
    <cellStyle name="Note 14 4 16 2" xfId="33752" xr:uid="{479209AA-CBCA-4398-8A48-CD8A01FAB0BB}"/>
    <cellStyle name="Note 14 4 17" xfId="21491" xr:uid="{8150AE73-5D9D-4B74-8CA2-1B05A4B569F0}"/>
    <cellStyle name="Note 14 4 17 2" xfId="41618" xr:uid="{166D156C-5F54-4405-95F2-32F548139527}"/>
    <cellStyle name="Note 14 4 18" xfId="15836" xr:uid="{9EF3B000-02FC-4FB1-AA05-B44AE68394AC}"/>
    <cellStyle name="Note 14 4 18 2" xfId="37445" xr:uid="{38C81580-2790-4BA7-B867-32472B4B31A7}"/>
    <cellStyle name="Note 14 4 19" xfId="20238" xr:uid="{5977BCD7-E0BE-4059-BF69-B6CCB8F38E53}"/>
    <cellStyle name="Note 14 4 19 2" xfId="40692" xr:uid="{A6EB0F29-D044-41E2-A076-E32D6898C804}"/>
    <cellStyle name="Note 14 4 2" xfId="2786" xr:uid="{F16E82B0-BC90-452A-9C3E-48D112C06F2D}"/>
    <cellStyle name="Note 14 4 2 10" xfId="14754" xr:uid="{5A7C67F8-7A5E-4375-85EA-ADF6F93BDF3A}"/>
    <cellStyle name="Note 14 4 2 10 2" xfId="36666" xr:uid="{40C53434-661B-4F59-94E4-1BDAAA0BC476}"/>
    <cellStyle name="Note 14 4 2 11" xfId="12447" xr:uid="{AE2BE849-BDA6-439C-AA5C-8E6DC527A189}"/>
    <cellStyle name="Note 14 4 2 11 2" xfId="34894" xr:uid="{DA78A090-E168-4C9C-8120-50B5764451B7}"/>
    <cellStyle name="Note 14 4 2 12" xfId="12724" xr:uid="{A3627613-F1C7-4AD1-89AA-CAE0C8CB0D02}"/>
    <cellStyle name="Note 14 4 2 12 2" xfId="35136" xr:uid="{5DD99A29-AD97-4409-A2AB-50AE99505397}"/>
    <cellStyle name="Note 14 4 2 13" xfId="9678" xr:uid="{37FAF2CE-9798-4188-8B1C-7774930AC25F}"/>
    <cellStyle name="Note 14 4 2 13 2" xfId="33568" xr:uid="{61DB3321-305D-4048-9351-812DDED4C673}"/>
    <cellStyle name="Note 14 4 2 14" xfId="17983" xr:uid="{BF65A4F3-6F66-417F-A26A-FD670079B721}"/>
    <cellStyle name="Note 14 4 2 14 2" xfId="39079" xr:uid="{4D93CBED-D8D7-4683-A2B6-96D9B11C2CBA}"/>
    <cellStyle name="Note 14 4 2 15" xfId="18422" xr:uid="{922A1335-C01A-4F40-84CC-616BF91C8A9F}"/>
    <cellStyle name="Note 14 4 2 15 2" xfId="39433" xr:uid="{60E898B5-54E6-48B0-917F-DCEE5B2BCAE8}"/>
    <cellStyle name="Note 14 4 2 16" xfId="19654" xr:uid="{565D6418-4C3D-4155-9282-0BD09D0BFB58}"/>
    <cellStyle name="Note 14 4 2 16 2" xfId="40294" xr:uid="{4F5DCFBD-B8A5-40A0-AEEF-17C202B6AAB4}"/>
    <cellStyle name="Note 14 4 2 17" xfId="12582" xr:uid="{B014D979-4A72-4A58-8060-4802568AF286}"/>
    <cellStyle name="Note 14 4 2 17 2" xfId="35021" xr:uid="{6E4A932E-F643-4CC5-844A-C2AD0B7AD49E}"/>
    <cellStyle name="Note 14 4 2 18" xfId="25181" xr:uid="{0BC8FD42-C9E9-4BBD-98A9-C6C44CB363A8}"/>
    <cellStyle name="Note 14 4 2 18 2" xfId="44123" xr:uid="{5A70CF3B-F5BB-4287-B9B1-79953200974E}"/>
    <cellStyle name="Note 14 4 2 19" xfId="22908" xr:uid="{CEBB3E89-CE6B-4620-B1CC-E7C6A7D9DEBB}"/>
    <cellStyle name="Note 14 4 2 19 2" xfId="42624" xr:uid="{CA09CC7C-F4D1-420F-A955-346A0568DB30}"/>
    <cellStyle name="Note 14 4 2 2" xfId="8211" xr:uid="{C0ACD48D-BF93-442B-817B-1339C971AE66}"/>
    <cellStyle name="Note 14 4 2 2 2" xfId="32452" xr:uid="{667826DF-5027-41A9-ADDE-CCF6624C14AE}"/>
    <cellStyle name="Note 14 4 2 20" xfId="18197" xr:uid="{AD2EAB45-3C98-489F-845A-79EA1132B9CA}"/>
    <cellStyle name="Note 14 4 2 20 2" xfId="39235" xr:uid="{9DE86938-E67E-4E8E-B799-57D77C134BED}"/>
    <cellStyle name="Note 14 4 2 21" xfId="24588" xr:uid="{62FB6FB2-E028-47CE-B87D-48B9A202463F}"/>
    <cellStyle name="Note 14 4 2 21 2" xfId="43770" xr:uid="{95269A9A-454B-450D-8ADC-9E3B80820F1C}"/>
    <cellStyle name="Note 14 4 2 22" xfId="21240" xr:uid="{296F6C3F-BB74-4E67-A61E-F85B683CA634}"/>
    <cellStyle name="Note 14 4 2 22 2" xfId="41431" xr:uid="{6932F5DE-2B33-41C9-9AE1-5CA78F5C6296}"/>
    <cellStyle name="Note 14 4 2 23" xfId="27212" xr:uid="{5A6662D9-BB32-4F22-9DEC-0E98C4E40325}"/>
    <cellStyle name="Note 14 4 2 23 2" xfId="45547" xr:uid="{F2D8EF13-B531-483C-A3AF-D781458AE98E}"/>
    <cellStyle name="Note 14 4 2 24" xfId="23916" xr:uid="{01E92526-AA64-459B-BB46-2BD2F76D74C7}"/>
    <cellStyle name="Note 14 4 2 24 2" xfId="43294" xr:uid="{B30A71A7-E99E-48D2-A083-87934F7A788A}"/>
    <cellStyle name="Note 14 4 2 25" xfId="25516" xr:uid="{E52416FA-0364-458B-8057-EBE22F1F6B9B}"/>
    <cellStyle name="Note 14 4 2 25 2" xfId="44392" xr:uid="{2578B4AD-1F9F-402E-B60B-7A0537058E10}"/>
    <cellStyle name="Note 14 4 2 26" xfId="20424" xr:uid="{84CC50B9-DDCF-414C-8232-DA39C479FCE2}"/>
    <cellStyle name="Note 14 4 2 26 2" xfId="40826" xr:uid="{A3834757-DBA8-4D54-9427-32FF2DEDE188}"/>
    <cellStyle name="Note 14 4 2 27" xfId="23754" xr:uid="{1F180168-041A-48FE-8934-04AF2544BA08}"/>
    <cellStyle name="Note 14 4 2 27 2" xfId="43166" xr:uid="{DD0E716F-6E84-448F-8946-CEAC91F177A5}"/>
    <cellStyle name="Note 14 4 2 28" xfId="6327" xr:uid="{3675305F-2C56-4134-A9DC-F3D475CF9F03}"/>
    <cellStyle name="Note 14 4 2 3" xfId="9185" xr:uid="{07B5296B-1774-4F0A-8ECD-58208035E415}"/>
    <cellStyle name="Note 14 4 2 3 2" xfId="33179" xr:uid="{43E590B4-AF0E-41C9-B47C-1B584CBD4365}"/>
    <cellStyle name="Note 14 4 2 4" xfId="7824" xr:uid="{9031F35A-3554-4668-89CE-17E809C9B3B8}"/>
    <cellStyle name="Note 14 4 2 4 2" xfId="32119" xr:uid="{3E8346FC-8A96-4440-B350-9E318BD0A67A}"/>
    <cellStyle name="Note 14 4 2 5" xfId="9081" xr:uid="{CAFD7A49-A3B7-4D37-A902-D89ABB4F663A}"/>
    <cellStyle name="Note 14 4 2 5 2" xfId="33082" xr:uid="{50974DE7-DC06-4E29-BF8A-E9F713763164}"/>
    <cellStyle name="Note 14 4 2 6" xfId="13098" xr:uid="{5C4C00CE-205B-4DC5-A9FB-E54337E032C7}"/>
    <cellStyle name="Note 14 4 2 6 2" xfId="35446" xr:uid="{EA2BF133-E4AC-4293-A659-26D102950BA8}"/>
    <cellStyle name="Note 14 4 2 7" xfId="8583" xr:uid="{2DFD250F-1E87-4D08-8788-75D3D0DD32C7}"/>
    <cellStyle name="Note 14 4 2 7 2" xfId="32769" xr:uid="{5353BB69-3B34-467F-AACB-0917F6CC988A}"/>
    <cellStyle name="Note 14 4 2 8" xfId="14956" xr:uid="{C66A2CB9-609F-4B1E-9889-22723BAB4D2B}"/>
    <cellStyle name="Note 14 4 2 8 2" xfId="36830" xr:uid="{2AED057E-69C5-4D9C-8AFB-45F774EB62C5}"/>
    <cellStyle name="Note 14 4 2 9" xfId="11861" xr:uid="{F58A47C4-6C65-4806-979E-6487F0EDF896}"/>
    <cellStyle name="Note 14 4 2 9 2" xfId="34473" xr:uid="{10AB8E10-413C-42B7-91E1-D490EFDBF948}"/>
    <cellStyle name="Note 14 4 20" xfId="24811" xr:uid="{4C355199-E9E6-41F4-8271-4782DCAEF2A4}"/>
    <cellStyle name="Note 14 4 20 2" xfId="43951" xr:uid="{406E836B-E90C-4C96-94EA-B693A08C12AE}"/>
    <cellStyle name="Note 14 4 21" xfId="21615" xr:uid="{E3287008-048D-4C4C-A977-5EDF60894B5E}"/>
    <cellStyle name="Note 14 4 21 2" xfId="41693" xr:uid="{8BB0A988-50E1-4532-A01A-30954FCE933D}"/>
    <cellStyle name="Note 14 4 22" xfId="24210" xr:uid="{C91AA9FE-E797-46E1-9050-D39A467648BC}"/>
    <cellStyle name="Note 14 4 22 2" xfId="43531" xr:uid="{72C37C9F-F938-4DB4-8B6C-804BDFE2BF35}"/>
    <cellStyle name="Note 14 4 23" xfId="20180" xr:uid="{19D8766F-CE8C-45A8-AFE9-BA7B39D4D08F}"/>
    <cellStyle name="Note 14 4 23 2" xfId="40687" xr:uid="{6E09D750-EBD1-4748-8B75-4B341DD25E19}"/>
    <cellStyle name="Note 14 4 24" xfId="23776" xr:uid="{2268876B-814F-4450-A774-B05656948887}"/>
    <cellStyle name="Note 14 4 24 2" xfId="43177" xr:uid="{D4850A3F-B73C-42F3-B197-36115A04E187}"/>
    <cellStyle name="Note 14 4 25" xfId="21001" xr:uid="{C570BA49-8195-44E8-88E2-F93406735373}"/>
    <cellStyle name="Note 14 4 25 2" xfId="41259" xr:uid="{B1D64BBB-81BB-4912-AA03-41F3D2CC14C7}"/>
    <cellStyle name="Note 14 4 26" xfId="24259" xr:uid="{D0B084DC-0DE0-4562-8A71-7AC0218051DE}"/>
    <cellStyle name="Note 14 4 26 2" xfId="43572" xr:uid="{3626C88E-EADE-4D1E-8E51-3C635F6FAC4D}"/>
    <cellStyle name="Note 14 4 27" xfId="23095" xr:uid="{7ED79469-8C3E-4935-81D3-52F7A2581DE4}"/>
    <cellStyle name="Note 14 4 27 2" xfId="42708" xr:uid="{60A577CD-8238-4E25-A4B4-D91CF4E8B012}"/>
    <cellStyle name="Note 14 4 28" xfId="28361" xr:uid="{FE0B9A00-E642-4792-9389-C351D11259AD}"/>
    <cellStyle name="Note 14 4 28 2" xfId="46223" xr:uid="{2B954162-2965-40F9-99DD-F610997954E2}"/>
    <cellStyle name="Note 14 4 29" xfId="6326" xr:uid="{85A27F8A-5A05-44D4-9888-28D0B30B0B54}"/>
    <cellStyle name="Note 14 4 3" xfId="8212" xr:uid="{90DF256E-0AC7-4738-AE6C-7B82BF70C835}"/>
    <cellStyle name="Note 14 4 3 2" xfId="32453" xr:uid="{F2EC8FC5-82FC-4344-BB20-AC6AD2F509D0}"/>
    <cellStyle name="Note 14 4 4" xfId="9184" xr:uid="{8CF0BD64-C05D-4F84-8C6E-9775DAEC5F15}"/>
    <cellStyle name="Note 14 4 4 2" xfId="33178" xr:uid="{26ACE9FA-783C-418D-A56F-EFA716BCB893}"/>
    <cellStyle name="Note 14 4 5" xfId="7825" xr:uid="{F2F3CF65-4CFA-4139-8A99-04F3CDD0909F}"/>
    <cellStyle name="Note 14 4 5 2" xfId="32120" xr:uid="{BB472865-D27C-49C1-A29D-C201214D49FC}"/>
    <cellStyle name="Note 14 4 6" xfId="9082" xr:uid="{7B23B88A-D0C7-4C8B-B1F0-A2DFB4AFB67B}"/>
    <cellStyle name="Note 14 4 6 2" xfId="33083" xr:uid="{FCBC6980-EE9D-4DF5-9A0B-FC2F790F3EAA}"/>
    <cellStyle name="Note 14 4 7" xfId="13099" xr:uid="{E9C25B25-7F06-4259-8D9A-500BADC3CFCD}"/>
    <cellStyle name="Note 14 4 7 2" xfId="35447" xr:uid="{3214B6B3-B02B-4220-87E8-7C29A519D80C}"/>
    <cellStyle name="Note 14 4 8" xfId="8584" xr:uid="{9750FFD5-037A-4483-B5B5-BF2855388C3E}"/>
    <cellStyle name="Note 14 4 8 2" xfId="32770" xr:uid="{70B6C824-12E3-40D6-B4EA-AB2C74CEF647}"/>
    <cellStyle name="Note 14 4 9" xfId="12948" xr:uid="{825D12E7-D858-428D-BD60-A2407DDCC1E8}"/>
    <cellStyle name="Note 14 4 9 2" xfId="35303" xr:uid="{D898D665-4867-49DA-83DF-5D528276207E}"/>
    <cellStyle name="Note 14 5" xfId="2787" xr:uid="{9F443881-0D26-4AB9-8E4A-380ED9537D1E}"/>
    <cellStyle name="Note 14 5 10" xfId="11860" xr:uid="{40AD7A0A-8451-42B8-8BCC-85527926E3CD}"/>
    <cellStyle name="Note 14 5 10 2" xfId="34472" xr:uid="{492287E3-5CAE-4C8C-92FC-53B7A9D7BE35}"/>
    <cellStyle name="Note 14 5 11" xfId="12205" xr:uid="{CC9D823F-DA44-40D0-BE90-997D5F2D2279}"/>
    <cellStyle name="Note 14 5 11 2" xfId="34712" xr:uid="{B193BED9-9B4D-4EDC-A10F-FEC4A2DDC4FD}"/>
    <cellStyle name="Note 14 5 12" xfId="19511" xr:uid="{246CD8A5-8301-4534-8AEB-7B44CF6F5DB3}"/>
    <cellStyle name="Note 14 5 12 2" xfId="40188" xr:uid="{7D998B6D-4678-4BF2-9892-E829F04E8777}"/>
    <cellStyle name="Note 14 5 13" xfId="13660" xr:uid="{B04ECDBD-7DA0-49DA-900B-6257CC72DBAA}"/>
    <cellStyle name="Note 14 5 13 2" xfId="35817" xr:uid="{2D0FE501-3EB3-4BDC-A364-853996148C60}"/>
    <cellStyle name="Note 14 5 14" xfId="12793" xr:uid="{D0D4D783-B09E-41F1-AA2C-9B92E5CC657D}"/>
    <cellStyle name="Note 14 5 14 2" xfId="35195" xr:uid="{2FEE0120-C1D7-49CB-ABD6-F22118D96354}"/>
    <cellStyle name="Note 14 5 15" xfId="13920" xr:uid="{E0C96F18-E06A-4A31-AC40-97D36D73FDAF}"/>
    <cellStyle name="Note 14 5 15 2" xfId="36031" xr:uid="{AF557BF4-DFA2-4379-85E3-4E196137DE75}"/>
    <cellStyle name="Note 14 5 16" xfId="10041" xr:uid="{B74396A8-4001-42C2-BF89-B7AFDD9F1379}"/>
    <cellStyle name="Note 14 5 16 2" xfId="33753" xr:uid="{BC96EEAD-4E92-4D57-9E43-D446E9E2356F}"/>
    <cellStyle name="Note 14 5 17" xfId="15702" xr:uid="{9CA73C2A-748A-45F9-99D6-A2A0A28E7D0A}"/>
    <cellStyle name="Note 14 5 17 2" xfId="37336" xr:uid="{EB26D8C3-CAEF-4B04-B28D-A6F59EDCBD64}"/>
    <cellStyle name="Note 14 5 18" xfId="16395" xr:uid="{25215C8C-B564-4864-AE84-AC97DF2850E1}"/>
    <cellStyle name="Note 14 5 18 2" xfId="37906" xr:uid="{FF8DF4A0-5E14-430C-9063-5F37F69438A6}"/>
    <cellStyle name="Note 14 5 19" xfId="20617" xr:uid="{0792844D-7C39-4F81-88DE-D38E5B2FE92D}"/>
    <cellStyle name="Note 14 5 19 2" xfId="40977" xr:uid="{82131C13-0FF7-4AFB-9B14-58570550635C}"/>
    <cellStyle name="Note 14 5 2" xfId="2788" xr:uid="{84977D6B-A4C8-4F4B-819F-C3879CB9D505}"/>
    <cellStyle name="Note 14 5 2 10" xfId="14753" xr:uid="{3C4126A1-F233-4A66-8EB9-721E838B5E1A}"/>
    <cellStyle name="Note 14 5 2 10 2" xfId="36665" xr:uid="{71A0E566-07A5-4E27-8FBE-C72EB5FADE67}"/>
    <cellStyle name="Note 14 5 2 11" xfId="12448" xr:uid="{B466383E-B271-436D-97F5-43D9160DC452}"/>
    <cellStyle name="Note 14 5 2 11 2" xfId="34895" xr:uid="{CA434A71-5FF1-4B16-AC83-6BC52D016067}"/>
    <cellStyle name="Note 14 5 2 12" xfId="15578" xr:uid="{0155D86F-7F9D-4969-AA4E-511B67A2A9A7}"/>
    <cellStyle name="Note 14 5 2 12 2" xfId="37236" xr:uid="{A328F7AA-AEA3-4E3D-9BD0-C55F1C0822DA}"/>
    <cellStyle name="Note 14 5 2 13" xfId="9806" xr:uid="{9EEB4E2D-2C4C-4256-8A7E-46D4860C0FBD}"/>
    <cellStyle name="Note 14 5 2 13 2" xfId="33575" xr:uid="{48448E09-AD8E-4125-AA63-70EA22C606FE}"/>
    <cellStyle name="Note 14 5 2 14" xfId="17982" xr:uid="{3057399E-B489-412A-80C5-B5864F3CB48B}"/>
    <cellStyle name="Note 14 5 2 14 2" xfId="39078" xr:uid="{2BE70C6E-D09F-4F5F-8BA1-81C431D2C421}"/>
    <cellStyle name="Note 14 5 2 15" xfId="16700" xr:uid="{AD19B394-15E6-48C7-8D14-1EB36AFA3433}"/>
    <cellStyle name="Note 14 5 2 15 2" xfId="38190" xr:uid="{429A4CED-9A02-429C-ACDC-E611435D6516}"/>
    <cellStyle name="Note 14 5 2 16" xfId="21489" xr:uid="{5A09C03A-8015-4AE5-9910-886329037F68}"/>
    <cellStyle name="Note 14 5 2 16 2" xfId="41616" xr:uid="{06FA8A64-BF8C-46DD-96F7-D078AE7CB9CC}"/>
    <cellStyle name="Note 14 5 2 17" xfId="12587" xr:uid="{68CC021A-1257-44E0-83F7-4BE847D05028}"/>
    <cellStyle name="Note 14 5 2 17 2" xfId="35026" xr:uid="{CC69016E-75FE-441F-B7EA-C895B67805D7}"/>
    <cellStyle name="Note 14 5 2 18" xfId="16118" xr:uid="{4D60B91C-9989-4EAC-837E-3B78B7CDFB42}"/>
    <cellStyle name="Note 14 5 2 18 2" xfId="37688" xr:uid="{10D03E56-633A-4FF5-AE52-071A56B340B0}"/>
    <cellStyle name="Note 14 5 2 19" xfId="20396" xr:uid="{D46747F2-5DF2-4446-835B-B915EE0D0DB5}"/>
    <cellStyle name="Note 14 5 2 19 2" xfId="40818" xr:uid="{C2CE6BB5-6E87-4BB1-B6F2-A1CCA9F2FFC1}"/>
    <cellStyle name="Note 14 5 2 2" xfId="8209" xr:uid="{E9EE92C4-79F0-4D68-9F9A-5861A4007C08}"/>
    <cellStyle name="Note 14 5 2 2 2" xfId="32450" xr:uid="{722BFD24-095C-4839-974E-5B40EB0B6772}"/>
    <cellStyle name="Note 14 5 2 20" xfId="13945" xr:uid="{D88413C2-1507-4973-A491-646B9E630D9F}"/>
    <cellStyle name="Note 14 5 2 20 2" xfId="36052" xr:uid="{A7642D83-B3AF-42C2-B56D-304583378DDE}"/>
    <cellStyle name="Note 14 5 2 21" xfId="24587" xr:uid="{93827156-C0C9-470F-8E16-5CBEF7155D60}"/>
    <cellStyle name="Note 14 5 2 21 2" xfId="43769" xr:uid="{FAC6D566-6FF5-4630-82B7-3A02E9C9FD08}"/>
    <cellStyle name="Note 14 5 2 22" xfId="27975" xr:uid="{517511A1-D520-4C8A-9D6C-236186880E2C}"/>
    <cellStyle name="Note 14 5 2 22 2" xfId="46031" xr:uid="{971EF0B2-72F4-40D7-8F0B-78022B1D4339}"/>
    <cellStyle name="Note 14 5 2 23" xfId="22621" xr:uid="{C393200F-35FD-490D-8783-1F9844473CC2}"/>
    <cellStyle name="Note 14 5 2 23 2" xfId="42398" xr:uid="{7E9C345F-6B8E-4FEB-9E3E-E9DF5F1A2210}"/>
    <cellStyle name="Note 14 5 2 24" xfId="23915" xr:uid="{B2DD450D-8143-4B91-8D5B-46677377CE9D}"/>
    <cellStyle name="Note 14 5 2 24 2" xfId="43293" xr:uid="{9025A582-BCA1-4F42-8B04-9E8A08FFC232}"/>
    <cellStyle name="Note 14 5 2 25" xfId="23567" xr:uid="{06CBA831-EC3E-4014-9BEA-979A1567FD35}"/>
    <cellStyle name="Note 14 5 2 25 2" xfId="43003" xr:uid="{C2646C24-BB0D-4DFD-8273-AF32BEB5BB26}"/>
    <cellStyle name="Note 14 5 2 26" xfId="22440" xr:uid="{D36DCDBA-DE1F-46AF-B8B5-54B5AE0AFE98}"/>
    <cellStyle name="Note 14 5 2 26 2" xfId="42243" xr:uid="{E7ADA78A-6601-4ABC-986C-8AB53159AD8A}"/>
    <cellStyle name="Note 14 5 2 27" xfId="27042" xr:uid="{4B4D0F8E-7941-429F-A4AC-39E009FE1C5F}"/>
    <cellStyle name="Note 14 5 2 27 2" xfId="45443" xr:uid="{3DC5218F-8F29-47BC-95CC-1F779FA952DF}"/>
    <cellStyle name="Note 14 5 2 28" xfId="6329" xr:uid="{C717334E-B29F-4157-8306-B97B0564462E}"/>
    <cellStyle name="Note 14 5 2 3" xfId="9187" xr:uid="{2592F196-40C1-4CF5-AC7D-61E88A583622}"/>
    <cellStyle name="Note 14 5 2 3 2" xfId="33181" xr:uid="{323946F3-202B-48B1-9431-8E1EE8762A86}"/>
    <cellStyle name="Note 14 5 2 4" xfId="7822" xr:uid="{E17C1BC8-B539-443E-9B02-86D896FEADF4}"/>
    <cellStyle name="Note 14 5 2 4 2" xfId="32117" xr:uid="{F813E9A0-CEAB-451D-B2CD-76466FB0BBFF}"/>
    <cellStyle name="Note 14 5 2 5" xfId="9079" xr:uid="{5F00B8E0-3A4F-44DC-BF6C-E7A6B726DA2C}"/>
    <cellStyle name="Note 14 5 2 5 2" xfId="33080" xr:uid="{5EA67FDF-401D-4F66-83D4-E6BCF618ACB1}"/>
    <cellStyle name="Note 14 5 2 6" xfId="13097" xr:uid="{FF423395-037A-4E12-BDA7-8BA3ADDE5DCB}"/>
    <cellStyle name="Note 14 5 2 6 2" xfId="35445" xr:uid="{D31C0896-D8EB-49B4-A49E-C9F6C62A0CB0}"/>
    <cellStyle name="Note 14 5 2 7" xfId="8582" xr:uid="{2F969F35-06D4-4C41-AE08-65584660A97A}"/>
    <cellStyle name="Note 14 5 2 7 2" xfId="32768" xr:uid="{E853FC88-A774-4119-AA49-6C3F44E194CA}"/>
    <cellStyle name="Note 14 5 2 8" xfId="14955" xr:uid="{53932C03-E393-4D19-A5B3-8F02045A57F9}"/>
    <cellStyle name="Note 14 5 2 8 2" xfId="36829" xr:uid="{0BBA2099-C729-4BA1-8A89-CF644616076E}"/>
    <cellStyle name="Note 14 5 2 9" xfId="7441" xr:uid="{D5A6ADEE-5D33-488E-B4D0-67F4AB5D5BCB}"/>
    <cellStyle name="Note 14 5 2 9 2" xfId="31799" xr:uid="{F1F97B73-EE04-48B9-A7F6-6BCB825108F3}"/>
    <cellStyle name="Note 14 5 20" xfId="24810" xr:uid="{237A048B-9659-459C-9D36-E66A8FBF6989}"/>
    <cellStyle name="Note 14 5 20 2" xfId="43950" xr:uid="{A9EE6130-F2F2-4E6D-BC75-367D01571EDD}"/>
    <cellStyle name="Note 14 5 21" xfId="24923" xr:uid="{DB8E7B91-2F02-4175-BF9E-404E2DA95229}"/>
    <cellStyle name="Note 14 5 21 2" xfId="44009" xr:uid="{583651C7-C6B1-468B-9840-827A36D7723E}"/>
    <cellStyle name="Note 14 5 22" xfId="21794" xr:uid="{997485CC-A0B7-48C9-821B-D51B5F79AD99}"/>
    <cellStyle name="Note 14 5 22 2" xfId="41791" xr:uid="{33DD6E1B-0C8C-4D90-9C96-19C4E07E3AD7}"/>
    <cellStyle name="Note 14 5 23" xfId="28156" xr:uid="{8EFC4A66-B9E5-46EF-AF8E-606BC42EE38D}"/>
    <cellStyle name="Note 14 5 23 2" xfId="46089" xr:uid="{11115992-D683-45E8-A151-DF22F4FAFC21}"/>
    <cellStyle name="Note 14 5 24" xfId="27195" xr:uid="{6E82A43B-3A02-42CA-881C-06E2EBC1F07D}"/>
    <cellStyle name="Note 14 5 24 2" xfId="45535" xr:uid="{71709502-DA0E-4DA4-A6B5-D689360DFFF9}"/>
    <cellStyle name="Note 14 5 25" xfId="20333" xr:uid="{ED1CDBF2-D86A-4074-9DE4-AFE9CCEBDBC4}"/>
    <cellStyle name="Note 14 5 25 2" xfId="40766" xr:uid="{A87552D9-B812-4379-86F4-6B44A910FA14}"/>
    <cellStyle name="Note 14 5 26" xfId="24431" xr:uid="{ED02E790-8CB4-489B-9859-CCCADC4C4680}"/>
    <cellStyle name="Note 14 5 26 2" xfId="43643" xr:uid="{1718BD41-E686-4BBC-B51E-28E3A791660B}"/>
    <cellStyle name="Note 14 5 27" xfId="23094" xr:uid="{852651E1-7554-4452-A0B0-3D4333EE67E5}"/>
    <cellStyle name="Note 14 5 27 2" xfId="42707" xr:uid="{7B209EFE-CB5E-469A-9F6A-E16C2992FB15}"/>
    <cellStyle name="Note 14 5 28" xfId="28360" xr:uid="{0C0A67B1-88AB-4E15-9FB3-196F537396DF}"/>
    <cellStyle name="Note 14 5 28 2" xfId="46222" xr:uid="{99214A01-4CA4-4203-89DC-AC43EA6E309B}"/>
    <cellStyle name="Note 14 5 29" xfId="6328" xr:uid="{8974EE52-D3D4-418F-8F2F-EBF7F2C005BE}"/>
    <cellStyle name="Note 14 5 3" xfId="8210" xr:uid="{761E7FCB-C8DA-44D9-80A8-0228BBC5C0AA}"/>
    <cellStyle name="Note 14 5 3 2" xfId="32451" xr:uid="{0245F8E9-37FA-4B90-A4B7-208185765139}"/>
    <cellStyle name="Note 14 5 4" xfId="9186" xr:uid="{53010518-C29C-4E86-BEDB-9EF36B02D3FE}"/>
    <cellStyle name="Note 14 5 4 2" xfId="33180" xr:uid="{DEAB463F-71A2-428F-89E9-E25BE0DBB9B5}"/>
    <cellStyle name="Note 14 5 5" xfId="7823" xr:uid="{5D41EB77-AD4C-4618-855F-8C1772BC2457}"/>
    <cellStyle name="Note 14 5 5 2" xfId="32118" xr:uid="{DF2962E3-55C3-4D5D-8FD1-9CAD831554C1}"/>
    <cellStyle name="Note 14 5 6" xfId="9080" xr:uid="{29965FCE-9DD0-496D-9657-87DA1C25763C}"/>
    <cellStyle name="Note 14 5 6 2" xfId="33081" xr:uid="{A74909EC-B31A-4FA3-AD92-6A14EE3E310B}"/>
    <cellStyle name="Note 14 5 7" xfId="10367" xr:uid="{FD76FFE9-1C7C-4228-A02A-C323BF9FF99C}"/>
    <cellStyle name="Note 14 5 7 2" xfId="34002" xr:uid="{A7109624-4C2E-4FA1-AF67-8CBC7D6BBDC9}"/>
    <cellStyle name="Note 14 5 8" xfId="13371" xr:uid="{B12F2DC3-2C7F-4799-96C9-7D4693F2462D}"/>
    <cellStyle name="Note 14 5 8 2" xfId="35678" xr:uid="{A936949A-3BDB-4F7A-B541-056753888086}"/>
    <cellStyle name="Note 14 5 9" xfId="10545" xr:uid="{5A0FF954-8E9F-4A55-9888-5D7F0654951C}"/>
    <cellStyle name="Note 14 5 9 2" xfId="34171" xr:uid="{CEA2C4BA-1271-4F33-A269-5F644400E8C1}"/>
    <cellStyle name="Note 14 6" xfId="2789" xr:uid="{CF22BDD7-8FA6-477F-8B61-ABA586264BA7}"/>
    <cellStyle name="Note 14 6 10" xfId="11859" xr:uid="{386FB203-63C7-4900-A1B9-7E3EF5838D9C}"/>
    <cellStyle name="Note 14 6 10 2" xfId="34471" xr:uid="{8E8B8724-3C85-4A22-8229-B97EEC7EA6C9}"/>
    <cellStyle name="Note 14 6 11" xfId="12206" xr:uid="{62AF6C21-EBA4-4018-8CF5-46D2C912A9C4}"/>
    <cellStyle name="Note 14 6 11 2" xfId="34713" xr:uid="{E7BB6C92-BAF4-49B3-B0AC-283521853841}"/>
    <cellStyle name="Note 14 6 12" xfId="14116" xr:uid="{F31B5DF4-AA1E-4E68-A47E-5670C8B55F8C}"/>
    <cellStyle name="Note 14 6 12 2" xfId="36209" xr:uid="{3A9698E1-E7C7-4153-BD15-6B2BBADF3E6A}"/>
    <cellStyle name="Note 14 6 13" xfId="14591" xr:uid="{D502D074-B303-4A70-A368-B7563D321319}"/>
    <cellStyle name="Note 14 6 13 2" xfId="36509" xr:uid="{D4E11248-0C3C-46BE-8E61-F98EF2BB3B8B}"/>
    <cellStyle name="Note 14 6 14" xfId="17593" xr:uid="{E812658B-5D33-4806-BE83-1ABC4A3735EF}"/>
    <cellStyle name="Note 14 6 14 2" xfId="38839" xr:uid="{C983133D-A549-4762-AA3E-00F20EBE66FF}"/>
    <cellStyle name="Note 14 6 15" xfId="19810" xr:uid="{73F5C2EB-4C73-4A5A-8A73-17B0854B2068}"/>
    <cellStyle name="Note 14 6 15 2" xfId="40423" xr:uid="{B7F49AC9-1E69-45A4-95E9-5BF152372416}"/>
    <cellStyle name="Note 14 6 16" xfId="10042" xr:uid="{26FFA282-910B-4341-8B8F-0FBC94A41A89}"/>
    <cellStyle name="Note 14 6 16 2" xfId="33754" xr:uid="{CA2DB02A-078F-4230-ADFD-37A81B5EA416}"/>
    <cellStyle name="Note 14 6 17" xfId="19653" xr:uid="{89C915D7-F7FF-40ED-884C-1F2F2BBEFD1C}"/>
    <cellStyle name="Note 14 6 17 2" xfId="40293" xr:uid="{3DB8128F-E05A-4C18-BDB0-8723189A3708}"/>
    <cellStyle name="Note 14 6 18" xfId="16394" xr:uid="{F8787E25-8749-401A-B06A-328EFA57CFC6}"/>
    <cellStyle name="Note 14 6 18 2" xfId="37905" xr:uid="{113B84E5-31BD-4E4D-A7FA-C19B544F5BEB}"/>
    <cellStyle name="Note 14 6 19" xfId="24913" xr:uid="{E41C4BCB-20F3-43E3-9229-3908BA230A53}"/>
    <cellStyle name="Note 14 6 19 2" xfId="43999" xr:uid="{4A201C32-8C5D-4939-A4E7-F9A7AF664B14}"/>
    <cellStyle name="Note 14 6 2" xfId="2790" xr:uid="{F12357D0-7BCF-44B3-AE1A-7CADB7FDD1F2}"/>
    <cellStyle name="Note 14 6 2 10" xfId="15993" xr:uid="{4DB02637-3E22-4300-8A7A-CD9587B57E31}"/>
    <cellStyle name="Note 14 6 2 10 2" xfId="37576" xr:uid="{23F6FD5C-C0B0-46EC-981A-AF37FA6358D5}"/>
    <cellStyle name="Note 14 6 2 11" xfId="12449" xr:uid="{A9610783-CCC4-48D3-9B68-538D2FE17BA9}"/>
    <cellStyle name="Note 14 6 2 11 2" xfId="34896" xr:uid="{40290787-0B6C-4AC0-AA3A-C326E136AFCE}"/>
    <cellStyle name="Note 14 6 2 12" xfId="13847" xr:uid="{4C1C38E5-6E5E-4BE7-BDB2-C7C28D6333C9}"/>
    <cellStyle name="Note 14 6 2 12 2" xfId="35970" xr:uid="{6C45E963-172A-409A-8807-028AAFB233E4}"/>
    <cellStyle name="Note 14 6 2 13" xfId="9807" xr:uid="{2B41C107-B670-4584-8ABA-45AEC1690F84}"/>
    <cellStyle name="Note 14 6 2 13 2" xfId="33576" xr:uid="{DFD312D0-EE5A-489B-9463-299CFE85469E}"/>
    <cellStyle name="Note 14 6 2 14" xfId="15728" xr:uid="{90016181-A4D3-45D4-B395-56FE25F4711E}"/>
    <cellStyle name="Note 14 6 2 14 2" xfId="37357" xr:uid="{00A92B86-71BE-401D-9185-6230B257AFD2}"/>
    <cellStyle name="Note 14 6 2 15" xfId="21626" xr:uid="{A6EC6BEE-5300-4F94-B424-D162A92CFA6D}"/>
    <cellStyle name="Note 14 6 2 15 2" xfId="41702" xr:uid="{8591C732-CE66-4CE7-A430-1B668EC25988}"/>
    <cellStyle name="Note 14 6 2 16" xfId="21488" xr:uid="{57B50B33-32F7-470E-874A-10D969939CCF}"/>
    <cellStyle name="Note 14 6 2 16 2" xfId="41615" xr:uid="{713EC949-3F73-4A05-9F6D-B33ECF81B8D3}"/>
    <cellStyle name="Note 14 6 2 17" xfId="15205" xr:uid="{E26877FB-C70C-4400-B5AB-696634220E58}"/>
    <cellStyle name="Note 14 6 2 17 2" xfId="36976" xr:uid="{9BDAA1BB-4CC6-4B8C-AA92-1A1F56492884}"/>
    <cellStyle name="Note 14 6 2 18" xfId="20618" xr:uid="{448A4F29-713B-4DCD-B9CC-3F38D07C9A72}"/>
    <cellStyle name="Note 14 6 2 18 2" xfId="40978" xr:uid="{3C3038C5-E1EC-4014-A0E5-F571B308A2AF}"/>
    <cellStyle name="Note 14 6 2 19" xfId="24793" xr:uid="{6BDCD408-F00E-4FBD-9B4A-83A5F268C1E2}"/>
    <cellStyle name="Note 14 6 2 19 2" xfId="43938" xr:uid="{CA0DD96B-20E4-48F3-8AA0-7FA66F593729}"/>
    <cellStyle name="Note 14 6 2 2" xfId="8207" xr:uid="{ACA927C3-57D6-4F5B-9E99-091A9C5B2766}"/>
    <cellStyle name="Note 14 6 2 2 2" xfId="32448" xr:uid="{56E83D12-20AF-4A2C-81D7-801986DB160F}"/>
    <cellStyle name="Note 14 6 2 20" xfId="26915" xr:uid="{1B1F1BF5-0928-40DE-89AD-7E99C2E21EF0}"/>
    <cellStyle name="Note 14 6 2 20 2" xfId="45335" xr:uid="{ACFCC1CB-F45C-42D0-9BF5-497CC8E25276}"/>
    <cellStyle name="Note 14 6 2 21" xfId="18767" xr:uid="{2E0E4981-B179-478C-8BFA-8F240045CAEC}"/>
    <cellStyle name="Note 14 6 2 21 2" xfId="39638" xr:uid="{9E561D69-5CF2-41E5-984F-75DBCFE37C64}"/>
    <cellStyle name="Note 14 6 2 22" xfId="22567" xr:uid="{CADB937E-0D92-4CC4-A299-9976940EBB13}"/>
    <cellStyle name="Note 14 6 2 22 2" xfId="42353" xr:uid="{A09904F5-9BD5-4EA9-8F60-6199363FD326}"/>
    <cellStyle name="Note 14 6 2 23" xfId="26134" xr:uid="{7A42F45B-605C-4E81-9496-BC28A746F465}"/>
    <cellStyle name="Note 14 6 2 23 2" xfId="44875" xr:uid="{F1244146-BFF2-42B0-ABAE-5D4434EE837A}"/>
    <cellStyle name="Note 14 6 2 24" xfId="23914" xr:uid="{7B1EC020-91CD-43E6-BBF1-F4BD240D3B2E}"/>
    <cellStyle name="Note 14 6 2 24 2" xfId="43292" xr:uid="{561F5D30-B5C9-4396-8E79-F01B4570A502}"/>
    <cellStyle name="Note 14 6 2 25" xfId="25451" xr:uid="{7A6B08AE-E49E-4ED3-A971-42903A632B7A}"/>
    <cellStyle name="Note 14 6 2 25 2" xfId="44337" xr:uid="{9E248BC8-39FC-43B8-AA45-93372346F682}"/>
    <cellStyle name="Note 14 6 2 26" xfId="20442" xr:uid="{A31AD4AE-8EE8-47BE-9153-7807577E02AA}"/>
    <cellStyle name="Note 14 6 2 26 2" xfId="40839" xr:uid="{B3B8A8FA-7360-49B2-B96F-D77786D18EBF}"/>
    <cellStyle name="Note 14 6 2 27" xfId="25606" xr:uid="{46936D08-08A6-40D9-B162-4EEE1EC2B0DA}"/>
    <cellStyle name="Note 14 6 2 27 2" xfId="44466" xr:uid="{FBBE9378-946E-49EA-ACED-6FC469646504}"/>
    <cellStyle name="Note 14 6 2 28" xfId="6331" xr:uid="{2504EF93-F3CC-4995-9782-69628F3B6B4A}"/>
    <cellStyle name="Note 14 6 2 3" xfId="9189" xr:uid="{9D9CBB8D-511E-4E7D-99EC-C8A0B091E214}"/>
    <cellStyle name="Note 14 6 2 3 2" xfId="33183" xr:uid="{A50B5FFD-EF6D-436F-B63F-69BDC171EFB7}"/>
    <cellStyle name="Note 14 6 2 4" xfId="7820" xr:uid="{2474F787-9503-421C-85E2-1BB8875B5BF6}"/>
    <cellStyle name="Note 14 6 2 4 2" xfId="32115" xr:uid="{37C9F619-D91E-4273-972D-13C7E1C3E1F6}"/>
    <cellStyle name="Note 14 6 2 5" xfId="9077" xr:uid="{F79BCEB7-294D-4AF8-BD49-8ECE31203DF9}"/>
    <cellStyle name="Note 14 6 2 5 2" xfId="33078" xr:uid="{46BA7728-4726-4CE3-99C3-860C41A3922D}"/>
    <cellStyle name="Note 14 6 2 6" xfId="13096" xr:uid="{AD1E487A-7A4D-4565-BC8E-A4A323749837}"/>
    <cellStyle name="Note 14 6 2 6 2" xfId="35444" xr:uid="{CEC8D02C-8D93-43CD-A6E2-B1A00AEB1144}"/>
    <cellStyle name="Note 14 6 2 7" xfId="8581" xr:uid="{38750164-33CB-467B-9120-E79542D38CE9}"/>
    <cellStyle name="Note 14 6 2 7 2" xfId="32767" xr:uid="{1631B398-B287-4E0F-AEA7-10D7D427343D}"/>
    <cellStyle name="Note 14 6 2 8" xfId="14954" xr:uid="{1B81B44D-2C06-42B8-9394-9F82B8981BC4}"/>
    <cellStyle name="Note 14 6 2 8 2" xfId="36828" xr:uid="{A3446088-71DA-412D-A557-2761B818D129}"/>
    <cellStyle name="Note 14 6 2 9" xfId="7440" xr:uid="{B49AC874-3597-4390-BF5A-92B14BD4CD30}"/>
    <cellStyle name="Note 14 6 2 9 2" xfId="31798" xr:uid="{1BE21DCB-217E-48B5-8D6D-6FC6A15BFAAA}"/>
    <cellStyle name="Note 14 6 20" xfId="24809" xr:uid="{FF2E7390-3574-4E82-B2C7-88A2F0FE16FF}"/>
    <cellStyle name="Note 14 6 20 2" xfId="43949" xr:uid="{ACC203C0-CD8E-47BD-8497-786F8C00A70D}"/>
    <cellStyle name="Note 14 6 21" xfId="23296" xr:uid="{44ABC3D1-3C10-4591-9457-422B2DFFF134}"/>
    <cellStyle name="Note 14 6 21 2" xfId="42868" xr:uid="{B01D7DA1-FDD5-4EF6-B0CC-08D4F7080624}"/>
    <cellStyle name="Note 14 6 22" xfId="22296" xr:uid="{BA670E85-D597-4F0B-AD39-BB00EABB8CC2}"/>
    <cellStyle name="Note 14 6 22 2" xfId="42160" xr:uid="{FD652BEB-4A78-4F41-A129-502D63DA48C8}"/>
    <cellStyle name="Note 14 6 23" xfId="22052" xr:uid="{744E6FB8-022A-48B4-ADBC-29BF1F4FCB5A}"/>
    <cellStyle name="Note 14 6 23 2" xfId="41937" xr:uid="{FA4DD0A9-3C51-4381-87EA-154BC72BDC50}"/>
    <cellStyle name="Note 14 6 24" xfId="27211" xr:uid="{1BF4130F-A51E-4F09-AEF1-E92A6C20932A}"/>
    <cellStyle name="Note 14 6 24 2" xfId="45546" xr:uid="{48F1BDF4-0657-4473-969A-12292D1BB2E9}"/>
    <cellStyle name="Note 14 6 25" xfId="22592" xr:uid="{B3A1A509-7EE5-4FF7-85EC-0D4F8AB48E35}"/>
    <cellStyle name="Note 14 6 25 2" xfId="42378" xr:uid="{5BDB3E4D-5F42-4512-90BD-A918D5B3CC45}"/>
    <cellStyle name="Note 14 6 26" xfId="29745" xr:uid="{4FA45B50-987F-4C89-BABA-30DE278C224C}"/>
    <cellStyle name="Note 14 6 26 2" xfId="47066" xr:uid="{98E0F666-B8EF-411C-99AC-E43C9B09EAE9}"/>
    <cellStyle name="Note 14 6 27" xfId="23093" xr:uid="{AD381846-E60F-46F1-A3BF-AA6D23019AC7}"/>
    <cellStyle name="Note 14 6 27 2" xfId="42706" xr:uid="{63A0BBE6-8222-4360-81E0-93B1CEB2B37C}"/>
    <cellStyle name="Note 14 6 28" xfId="28359" xr:uid="{B8B51571-634F-42BB-BFE2-E4AE3EE9D67D}"/>
    <cellStyle name="Note 14 6 28 2" xfId="46221" xr:uid="{6466EEE4-AD55-4855-B504-4DEAE6DE5A54}"/>
    <cellStyle name="Note 14 6 29" xfId="6330" xr:uid="{2C8EA229-5F70-4FAB-B424-52B95305FDA1}"/>
    <cellStyle name="Note 14 6 3" xfId="8208" xr:uid="{3E3BE267-150C-4319-AF04-5B12CD45358F}"/>
    <cellStyle name="Note 14 6 3 2" xfId="32449" xr:uid="{77842747-31F2-4D5B-913D-E1D12DD41F15}"/>
    <cellStyle name="Note 14 6 4" xfId="9188" xr:uid="{B8952813-34CF-41F9-B524-A112D748A35C}"/>
    <cellStyle name="Note 14 6 4 2" xfId="33182" xr:uid="{6A5E7689-62A3-4645-A191-0846DC364ECA}"/>
    <cellStyle name="Note 14 6 5" xfId="7821" xr:uid="{C49AF790-E4C3-46E2-B798-A4A13A6526A7}"/>
    <cellStyle name="Note 14 6 5 2" xfId="32116" xr:uid="{04D22894-4AEC-4B47-91F4-345ED811A0F1}"/>
    <cellStyle name="Note 14 6 6" xfId="9078" xr:uid="{F5533A87-7131-4969-BD20-F966C67E9083}"/>
    <cellStyle name="Note 14 6 6 2" xfId="33079" xr:uid="{F8A02539-A64F-4F13-ADA3-29AEFB825A92}"/>
    <cellStyle name="Note 14 6 7" xfId="10368" xr:uid="{8151E4EA-2CA8-4F57-985A-115D644FAE85}"/>
    <cellStyle name="Note 14 6 7 2" xfId="34003" xr:uid="{43414DC6-CBF0-490C-A9C2-D32D60A35D53}"/>
    <cellStyle name="Note 14 6 8" xfId="13372" xr:uid="{7925873B-CEF8-4938-AAAC-29B1E8F7F72F}"/>
    <cellStyle name="Note 14 6 8 2" xfId="35679" xr:uid="{70063F8E-2496-45EE-A46E-C69565D0B6AE}"/>
    <cellStyle name="Note 14 6 9" xfId="12947" xr:uid="{621D8DF1-ABC3-4ABC-8041-37D934C15EBA}"/>
    <cellStyle name="Note 14 6 9 2" xfId="35302" xr:uid="{730F8266-8F7D-45BF-B75B-E2C23FEB5321}"/>
    <cellStyle name="Note 14 7" xfId="2791" xr:uid="{1A02257D-B046-4509-8562-030E21D2ACAF}"/>
    <cellStyle name="Note 14 7 10" xfId="11858" xr:uid="{F22C86D7-26A9-4768-A502-67BC722AE953}"/>
    <cellStyle name="Note 14 7 10 2" xfId="34470" xr:uid="{B0A883BA-CAC4-4663-A7CB-0312F83E61BF}"/>
    <cellStyle name="Note 14 7 11" xfId="14752" xr:uid="{FD620B40-9CD0-471E-8A1B-0E80E017EB9F}"/>
    <cellStyle name="Note 14 7 11 2" xfId="36664" xr:uid="{3697AAFA-206D-4B32-B644-9264182C69D7}"/>
    <cellStyle name="Note 14 7 12" xfId="14115" xr:uid="{BD91DE33-AD77-462F-B08A-FC564F89CFC9}"/>
    <cellStyle name="Note 14 7 12 2" xfId="36208" xr:uid="{0A475AA7-0EDB-496F-A43E-6926093D2022}"/>
    <cellStyle name="Note 14 7 13" xfId="13661" xr:uid="{C6518C05-6358-4CBC-94EF-0E91EBDF6AA9}"/>
    <cellStyle name="Note 14 7 13 2" xfId="35818" xr:uid="{4F1507A2-FD75-4D8C-9FF9-0C34F19917F1}"/>
    <cellStyle name="Note 14 7 14" xfId="17596" xr:uid="{CE2C9A29-C8A6-47DF-B757-E6A5D22447F7}"/>
    <cellStyle name="Note 14 7 14 2" xfId="38842" xr:uid="{828A5933-0F97-4AEF-B9B9-574554B69758}"/>
    <cellStyle name="Note 14 7 15" xfId="20840" xr:uid="{ECE063D5-82C1-4951-8E0E-C0EDEA2BCAB2}"/>
    <cellStyle name="Note 14 7 15 2" xfId="41183" xr:uid="{B7349C2E-16BC-4825-89FB-B0DD8C8C9AF4}"/>
    <cellStyle name="Note 14 7 16" xfId="22707" xr:uid="{8AA28C31-82C6-4320-A8A6-1FE4AAB12BB4}"/>
    <cellStyle name="Note 14 7 16 2" xfId="42466" xr:uid="{67FEAEAA-2B25-4AC2-B7E8-24F6005CF11A}"/>
    <cellStyle name="Note 14 7 17" xfId="17714" xr:uid="{2B22469F-D7EA-461C-A611-07FBAD04D4B1}"/>
    <cellStyle name="Note 14 7 17 2" xfId="38890" xr:uid="{1CAC80C5-716A-452B-A673-0E91C7849B05}"/>
    <cellStyle name="Note 14 7 18" xfId="16393" xr:uid="{2C1AC6C1-6FB1-4424-9498-7FB66CDECB09}"/>
    <cellStyle name="Note 14 7 18 2" xfId="37904" xr:uid="{20F794CA-43A5-489A-9F97-BAAB4F3A368D}"/>
    <cellStyle name="Note 14 7 19" xfId="16837" xr:uid="{1FDA8DA1-3991-4716-BCD1-67AEDA547499}"/>
    <cellStyle name="Note 14 7 19 2" xfId="38265" xr:uid="{5C991D11-24B4-469F-B956-8A7BC6C3F393}"/>
    <cellStyle name="Note 14 7 2" xfId="2792" xr:uid="{560FEA95-ED52-4C15-BA5F-4062F835E736}"/>
    <cellStyle name="Note 14 7 2 10" xfId="12209" xr:uid="{BFA1DA3D-18AD-4EDE-A0BF-DDCA9CC7EDC1}"/>
    <cellStyle name="Note 14 7 2 10 2" xfId="34716" xr:uid="{B16F862A-66A2-4326-B439-5A1E4945D51A}"/>
    <cellStyle name="Note 14 7 2 11" xfId="12450" xr:uid="{750E43A5-1007-4427-AECF-33FF9478B1FA}"/>
    <cellStyle name="Note 14 7 2 11 2" xfId="34897" xr:uid="{BD40CBB6-A886-42A8-8D25-CDBA89855DDE}"/>
    <cellStyle name="Note 14 7 2 12" xfId="14590" xr:uid="{331C3149-DFB5-4B7D-B23B-A5E35F7B6B69}"/>
    <cellStyle name="Note 14 7 2 12 2" xfId="36508" xr:uid="{3B1B40C3-124A-4F9F-91FC-66894B0E3987}"/>
    <cellStyle name="Note 14 7 2 13" xfId="9808" xr:uid="{F1C1FDB2-26A5-4300-81FD-B31D2E00B6E3}"/>
    <cellStyle name="Note 14 7 2 13 2" xfId="33577" xr:uid="{E904ACC1-078A-45A9-B33F-AC0A7B7D6AE2}"/>
    <cellStyle name="Note 14 7 2 14" xfId="19809" xr:uid="{B5C67A04-D356-4932-AB7E-3359BD9C7F45}"/>
    <cellStyle name="Note 14 7 2 14 2" xfId="40422" xr:uid="{2B66D4C4-E799-4865-BD37-B6464C8F80EB}"/>
    <cellStyle name="Note 14 7 2 15" xfId="21608" xr:uid="{6FC2C417-EFCE-4B54-A8E1-F092A4B6A6E2}"/>
    <cellStyle name="Note 14 7 2 15 2" xfId="41692" xr:uid="{C2B8F425-E2C0-4FF7-89ED-FDBF74C69F3F}"/>
    <cellStyle name="Note 14 7 2 16" xfId="17722" xr:uid="{A01B55B0-6A46-47AD-B0ED-2010951A17C0}"/>
    <cellStyle name="Note 14 7 2 16 2" xfId="38898" xr:uid="{97AF6353-8885-4F69-960E-1ADB7474DBC5}"/>
    <cellStyle name="Note 14 7 2 17" xfId="16374" xr:uid="{099271ED-53DA-4AAC-9905-192DCE811399}"/>
    <cellStyle name="Note 14 7 2 17 2" xfId="37895" xr:uid="{20BD4DB6-71A3-4177-9962-2754C8E3E715}"/>
    <cellStyle name="Note 14 7 2 18" xfId="24914" xr:uid="{22FE7BBD-28C1-4F89-8B99-33C4EA8A5A9E}"/>
    <cellStyle name="Note 14 7 2 18 2" xfId="44000" xr:uid="{03B4B5E7-9826-4A14-B887-85347512BD88}"/>
    <cellStyle name="Note 14 7 2 19" xfId="24808" xr:uid="{CFBF94AB-86E5-4688-B20C-5222E6CC457F}"/>
    <cellStyle name="Note 14 7 2 19 2" xfId="43948" xr:uid="{5B1764B3-F2CF-4793-B973-B33713DFE018}"/>
    <cellStyle name="Note 14 7 2 2" xfId="8205" xr:uid="{AE35DD19-55CA-4723-8328-59EA7A9E11D5}"/>
    <cellStyle name="Note 14 7 2 2 2" xfId="32446" xr:uid="{70B6C016-F873-4962-9351-48F78B68BA3B}"/>
    <cellStyle name="Note 14 7 2 20" xfId="18181" xr:uid="{9A3EAC9B-2822-4456-A555-D861EDB586C9}"/>
    <cellStyle name="Note 14 7 2 20 2" xfId="39233" xr:uid="{430A9D49-24CE-4476-BAED-934C2E833B6F}"/>
    <cellStyle name="Note 14 7 2 21" xfId="20258" xr:uid="{512FD17A-68D4-4C1E-8D84-A949BD25A9F1}"/>
    <cellStyle name="Note 14 7 2 21 2" xfId="40700" xr:uid="{EB93977E-C84C-4C13-8938-8DEBFFC6E361}"/>
    <cellStyle name="Note 14 7 2 22" xfId="22568" xr:uid="{C38FA882-89DE-47CA-A397-64668666D17E}"/>
    <cellStyle name="Note 14 7 2 22 2" xfId="42354" xr:uid="{1DA00024-5706-40D3-AF90-084DB94AEE46}"/>
    <cellStyle name="Note 14 7 2 23" xfId="25082" xr:uid="{492BCF27-A067-4CCD-9678-57EB2C12161D}"/>
    <cellStyle name="Note 14 7 2 23 2" xfId="44088" xr:uid="{9567001C-985F-4154-A880-B6FE39A2842F}"/>
    <cellStyle name="Note 14 7 2 24" xfId="23913" xr:uid="{B84B980F-9F0B-4EBB-B8B3-FE1428FC3F4D}"/>
    <cellStyle name="Note 14 7 2 24 2" xfId="43291" xr:uid="{781B4945-39B7-403F-9D02-D4A8EFA61238}"/>
    <cellStyle name="Note 14 7 2 25" xfId="25158" xr:uid="{655BFF84-D5D9-42EB-9AAB-808B7C0CA1F8}"/>
    <cellStyle name="Note 14 7 2 25 2" xfId="44102" xr:uid="{A0B98B6D-CCBC-490B-99E5-C58E8B4EE6F0}"/>
    <cellStyle name="Note 14 7 2 26" xfId="22439" xr:uid="{D055D909-B24D-4D2F-87B8-F8E356B13175}"/>
    <cellStyle name="Note 14 7 2 26 2" xfId="42242" xr:uid="{957CBBD7-89D9-4C32-B542-B466FC58288E}"/>
    <cellStyle name="Note 14 7 2 27" xfId="27041" xr:uid="{5F1EEB72-EA9C-49F6-8A0A-4DF01F702B8B}"/>
    <cellStyle name="Note 14 7 2 27 2" xfId="45442" xr:uid="{820CBB44-B43A-4622-B8D0-93A6AA1E28BE}"/>
    <cellStyle name="Note 14 7 2 28" xfId="6333" xr:uid="{ECFFDA68-C406-436C-82BD-73FA37C20178}"/>
    <cellStyle name="Note 14 7 2 3" xfId="9191" xr:uid="{1B2BDD90-38E3-4998-AA56-DC345B03FB15}"/>
    <cellStyle name="Note 14 7 2 3 2" xfId="33185" xr:uid="{15B730B1-AECC-42C8-9DDD-6F6486E4DC03}"/>
    <cellStyle name="Note 14 7 2 4" xfId="7818" xr:uid="{A558B525-8937-4934-92FC-44AE1E8B5129}"/>
    <cellStyle name="Note 14 7 2 4 2" xfId="32113" xr:uid="{C982FA26-418A-405D-8581-CEFD3EE4CFFA}"/>
    <cellStyle name="Note 14 7 2 5" xfId="9075" xr:uid="{F9B71561-941D-41CE-AA05-C5B4A0DD26CD}"/>
    <cellStyle name="Note 14 7 2 5 2" xfId="33076" xr:uid="{5F7F6261-BE49-4D1A-B527-8193DBE7E8B7}"/>
    <cellStyle name="Note 14 7 2 6" xfId="10369" xr:uid="{32374F17-DAE7-43FC-8A2F-0E42AB28E89F}"/>
    <cellStyle name="Note 14 7 2 6 2" xfId="34004" xr:uid="{B213AD89-02F7-4F30-A00C-AFD62F2733B6}"/>
    <cellStyle name="Note 14 7 2 7" xfId="8580" xr:uid="{CE242A71-3C97-4939-A734-6031314A4E01}"/>
    <cellStyle name="Note 14 7 2 7 2" xfId="32766" xr:uid="{287DF183-62B3-45CA-83D0-C317EEC5859A}"/>
    <cellStyle name="Note 14 7 2 8" xfId="14936" xr:uid="{73DA465A-DDB7-4EAB-B473-5DDF376746D5}"/>
    <cellStyle name="Note 14 7 2 8 2" xfId="36811" xr:uid="{7A189E10-99AF-46DC-AC77-9BF99D1B68E3}"/>
    <cellStyle name="Note 14 7 2 9" xfId="7439" xr:uid="{BF239353-5403-4ADB-9889-6511EA8D08E6}"/>
    <cellStyle name="Note 14 7 2 9 2" xfId="31797" xr:uid="{D867D352-C236-4779-8090-988499C6374F}"/>
    <cellStyle name="Note 14 7 20" xfId="22907" xr:uid="{14AA7EF0-7A05-43F9-B83B-B6040A1B9862}"/>
    <cellStyle name="Note 14 7 20 2" xfId="42623" xr:uid="{E3057A09-5224-47D8-ADF1-C0294B3C2D80}"/>
    <cellStyle name="Note 14 7 21" xfId="23293" xr:uid="{F5C83850-2961-4A2C-B039-C84FA0FDDF08}"/>
    <cellStyle name="Note 14 7 21 2" xfId="42867" xr:uid="{DFBF883C-4CEE-439B-91B7-7A2E4B5D84C0}"/>
    <cellStyle name="Note 14 7 22" xfId="24586" xr:uid="{2422E7E0-5297-4438-ACBB-78FA66DE8FC3}"/>
    <cellStyle name="Note 14 7 22 2" xfId="43768" xr:uid="{EAEDF0B1-AB5F-48F5-9C3B-09EAF3E16DE4}"/>
    <cellStyle name="Note 14 7 23" xfId="17884" xr:uid="{D6779A4A-DA6D-4E96-B6F2-E61979516A3B}"/>
    <cellStyle name="Note 14 7 23 2" xfId="38998" xr:uid="{D8A13BCB-382D-4480-ABF9-256B2D703EB7}"/>
    <cellStyle name="Note 14 7 24" xfId="27210" xr:uid="{D53F86F1-CF83-4D3D-9DF4-2C529DFA89BA}"/>
    <cellStyle name="Note 14 7 24 2" xfId="45545" xr:uid="{6818D289-603B-473E-B2FE-21BB9409CF0D}"/>
    <cellStyle name="Note 14 7 25" xfId="22216" xr:uid="{9D3387EB-D389-4A3B-9DF2-CD731125721A}"/>
    <cellStyle name="Note 14 7 25 2" xfId="42095" xr:uid="{ED58D43D-5771-4EE3-A75E-211E216FABA0}"/>
    <cellStyle name="Note 14 7 26" xfId="29418" xr:uid="{68303EB3-ED99-4AE0-969E-FF3C3E9BDEA0}"/>
    <cellStyle name="Note 14 7 26 2" xfId="46879" xr:uid="{C1B1D593-0F4E-47C2-9368-7D8FC8EFED0E}"/>
    <cellStyle name="Note 14 7 27" xfId="23092" xr:uid="{308F6C11-EC27-432D-95E7-35175E353217}"/>
    <cellStyle name="Note 14 7 27 2" xfId="42705" xr:uid="{1162EA33-983C-4C10-B399-B36B162D7060}"/>
    <cellStyle name="Note 14 7 28" xfId="28358" xr:uid="{05B20291-46AF-486C-AED5-A827E193FF2A}"/>
    <cellStyle name="Note 14 7 28 2" xfId="46220" xr:uid="{DB6FB16E-205D-42DA-81E4-D2D0B6542F1E}"/>
    <cellStyle name="Note 14 7 29" xfId="6332" xr:uid="{CA12B6E6-D7BF-48BC-935B-4E73043A1DB5}"/>
    <cellStyle name="Note 14 7 3" xfId="8206" xr:uid="{A1330D8A-EC9C-48B9-AAEA-23BF58B031C1}"/>
    <cellStyle name="Note 14 7 3 2" xfId="32447" xr:uid="{37350D00-08AD-40E1-8047-83F883DCEF6E}"/>
    <cellStyle name="Note 14 7 4" xfId="9190" xr:uid="{337199AC-7312-4BF4-96C4-64AA1CC8C64E}"/>
    <cellStyle name="Note 14 7 4 2" xfId="33184" xr:uid="{79A9A15D-4227-4D64-BF31-422CD7EBC028}"/>
    <cellStyle name="Note 14 7 5" xfId="7819" xr:uid="{F6D4EF81-E155-4563-8084-794B400C8789}"/>
    <cellStyle name="Note 14 7 5 2" xfId="32114" xr:uid="{3DAAFB7D-ADBE-4FC9-8452-34534DFBF6C5}"/>
    <cellStyle name="Note 14 7 6" xfId="9076" xr:uid="{2E469479-1542-41D8-ADDC-80217F18212C}"/>
    <cellStyle name="Note 14 7 6 2" xfId="33077" xr:uid="{057109A4-8189-46A2-8795-7D110A81C153}"/>
    <cellStyle name="Note 14 7 7" xfId="10383" xr:uid="{4D47697E-83A7-49C9-97CE-102EC31904C6}"/>
    <cellStyle name="Note 14 7 7 2" xfId="34018" xr:uid="{C8164F21-DA9B-4033-8576-4A54DF54D3E9}"/>
    <cellStyle name="Note 14 7 8" xfId="13373" xr:uid="{092376C7-B0A9-4AEE-AD79-2C60F5794F27}"/>
    <cellStyle name="Note 14 7 8 2" xfId="35680" xr:uid="{B304BC66-B56D-434D-A33C-51D77DC7198E}"/>
    <cellStyle name="Note 14 7 9" xfId="10530" xr:uid="{4C80DE66-9CEE-4EB6-A33A-9C5BDAE0914A}"/>
    <cellStyle name="Note 14 7 9 2" xfId="34157" xr:uid="{BC9AE39D-AFF6-480A-AE4B-7E053E013A21}"/>
    <cellStyle name="Note 14 8" xfId="2793" xr:uid="{63C2D15E-F019-46D7-8D49-D100A9AD0CCE}"/>
    <cellStyle name="Note 14 8 10" xfId="17928" xr:uid="{ECED59BB-7995-4680-A675-CC57ACF52A2C}"/>
    <cellStyle name="Note 14 8 10 2" xfId="39028" xr:uid="{8BE9351B-1C52-4570-BA6D-D53C06A175DA}"/>
    <cellStyle name="Note 14 8 11" xfId="19529" xr:uid="{136FA9E2-300C-429E-B635-97CD713D3124}"/>
    <cellStyle name="Note 14 8 11 2" xfId="40198" xr:uid="{1B9F7E83-BD82-4C78-A95C-685E6E486608}"/>
    <cellStyle name="Note 14 8 12" xfId="13662" xr:uid="{44D8C818-9E25-483C-BE3F-BBDA2C50F6A3}"/>
    <cellStyle name="Note 14 8 12 2" xfId="35819" xr:uid="{636B69C4-E32D-48B9-9D2E-E43C635D144C}"/>
    <cellStyle name="Note 14 8 13" xfId="17595" xr:uid="{1383D12F-EC7C-4119-A243-87922487BC46}"/>
    <cellStyle name="Note 14 8 13 2" xfId="38841" xr:uid="{4C71C1FC-65D7-474E-ACCA-39D1D74D4CCB}"/>
    <cellStyle name="Note 14 8 14" xfId="20841" xr:uid="{A82FF2E2-621A-4BB6-A1FF-C2D146C3E123}"/>
    <cellStyle name="Note 14 8 14 2" xfId="41184" xr:uid="{D7E6868F-83F3-44CC-8459-394223F6C16D}"/>
    <cellStyle name="Note 14 8 15" xfId="21624" xr:uid="{B138AA18-0F78-4548-A047-652D4C0D2D21}"/>
    <cellStyle name="Note 14 8 15 2" xfId="41700" xr:uid="{DE11C709-DBB1-42C2-88AD-ECAA789349E5}"/>
    <cellStyle name="Note 14 8 16" xfId="21487" xr:uid="{54505C0C-5DF1-4790-9748-69797E05DEAC}"/>
    <cellStyle name="Note 14 8 16 2" xfId="41614" xr:uid="{C8A93EC7-AFC9-417F-8156-5F034EC1DC44}"/>
    <cellStyle name="Note 14 8 17" xfId="16392" xr:uid="{63DEEC40-23D2-4887-BFCD-7E0223F34508}"/>
    <cellStyle name="Note 14 8 17 2" xfId="37903" xr:uid="{D4181AEC-03E9-4DA7-ADEC-838049CF234D}"/>
    <cellStyle name="Note 14 8 18" xfId="20665" xr:uid="{E35EF36E-D22C-44C4-A0D7-83959B347A69}"/>
    <cellStyle name="Note 14 8 18 2" xfId="41025" xr:uid="{59C74611-CD03-4420-AE07-BDC052519876}"/>
    <cellStyle name="Note 14 8 19" xfId="22354" xr:uid="{5F42D7ED-5643-4ABE-8DFE-30CF14CBF491}"/>
    <cellStyle name="Note 14 8 19 2" xfId="42208" xr:uid="{04E06F11-5D58-4AF4-971E-EDC72C8DB6F8}"/>
    <cellStyle name="Note 14 8 2" xfId="8204" xr:uid="{5A27E8F3-B106-44D1-865B-EAF730A6B9BC}"/>
    <cellStyle name="Note 14 8 2 2" xfId="32445" xr:uid="{A88200F6-B82C-42DF-B3CA-F16571B63696}"/>
    <cellStyle name="Note 14 8 20" xfId="16246" xr:uid="{12E54313-050C-410A-B1F8-5C033B8704C3}"/>
    <cellStyle name="Note 14 8 20 2" xfId="37790" xr:uid="{43A9BB6C-EA3B-4AA7-BC34-6607ADBFEA0E}"/>
    <cellStyle name="Note 14 8 21" xfId="24585" xr:uid="{74B9FE9D-9C33-4889-98CD-930309DDA2E1}"/>
    <cellStyle name="Note 14 8 21 2" xfId="43767" xr:uid="{FDC9DE0A-A36D-4B3B-911E-2C324688A851}"/>
    <cellStyle name="Note 14 8 22" xfId="22066" xr:uid="{6A6A7B47-DC6B-4A6F-8164-9F0B32A95A52}"/>
    <cellStyle name="Note 14 8 22 2" xfId="41951" xr:uid="{9DB25B07-48CD-44EF-9530-61B65AEA7555}"/>
    <cellStyle name="Note 14 8 23" xfId="27209" xr:uid="{240E4FB9-FB74-4094-9D66-D724102CE1A7}"/>
    <cellStyle name="Note 14 8 23 2" xfId="45544" xr:uid="{2A264083-185D-409F-9A08-F00DF33BF963}"/>
    <cellStyle name="Note 14 8 24" xfId="19503" xr:uid="{DE53A53C-9E74-4F71-A864-FB7A094DE8AE}"/>
    <cellStyle name="Note 14 8 24 2" xfId="40180" xr:uid="{E664A668-6675-452B-94EC-059E21FFCA59}"/>
    <cellStyle name="Note 14 8 25" xfId="29263" xr:uid="{D4C1CDA4-B445-42DE-A3B9-AB241FD07BF3}"/>
    <cellStyle name="Note 14 8 25 2" xfId="46778" xr:uid="{64604C1A-56A0-4E90-A1A4-59CA875AB567}"/>
    <cellStyle name="Note 14 8 26" xfId="23091" xr:uid="{C4C364F1-9FE9-453E-968B-11BCA9BFB922}"/>
    <cellStyle name="Note 14 8 26 2" xfId="42704" xr:uid="{8AF0C398-EA6A-4D2A-A8CE-23EAC68EF508}"/>
    <cellStyle name="Note 14 8 27" xfId="27025" xr:uid="{5C8D3651-A76D-4AD9-BEB8-222C0E236B38}"/>
    <cellStyle name="Note 14 8 27 2" xfId="45428" xr:uid="{2F40AF92-86D9-4BAD-8CAC-449B9744C51B}"/>
    <cellStyle name="Note 14 8 28" xfId="6334" xr:uid="{A89479C4-8C4B-41E7-9957-34BA25AC0580}"/>
    <cellStyle name="Note 14 8 3" xfId="9192" xr:uid="{C7AF3499-7B94-4EDD-8E01-366230BC4D31}"/>
    <cellStyle name="Note 14 8 3 2" xfId="33186" xr:uid="{149A6918-010D-4A3E-80D5-BCA1B4246D64}"/>
    <cellStyle name="Note 14 8 4" xfId="7817" xr:uid="{7FC4DDE6-51E9-4A1E-8069-D9B8778F92E1}"/>
    <cellStyle name="Note 14 8 4 2" xfId="32112" xr:uid="{66D154C1-33DB-4845-8201-67D246DECF87}"/>
    <cellStyle name="Note 14 8 5" xfId="9074" xr:uid="{15E57EF8-E24A-47B6-8F2A-87C43F7E7827}"/>
    <cellStyle name="Note 14 8 5 2" xfId="33075" xr:uid="{822B3780-F2FE-476C-A9D0-04F9AEECFDF2}"/>
    <cellStyle name="Note 14 8 6" xfId="16168" xr:uid="{4E30822E-8545-41C7-864C-34EA6DCBE798}"/>
    <cellStyle name="Note 14 8 6 2" xfId="37730" xr:uid="{EC2DAE0B-6660-4EBB-A43A-BF7E8A3A10C6}"/>
    <cellStyle name="Note 14 8 7" xfId="8579" xr:uid="{7E43D09C-0057-4389-84B8-0CA464B615AD}"/>
    <cellStyle name="Note 14 8 7 2" xfId="32765" xr:uid="{1F09527F-896C-4843-9087-C7DE74852C11}"/>
    <cellStyle name="Note 14 8 8" xfId="14953" xr:uid="{A018A89C-7517-4776-B30D-27E76C614552}"/>
    <cellStyle name="Note 14 8 8 2" xfId="36827" xr:uid="{62EC3407-ED34-49E5-83E2-4FB598F8E010}"/>
    <cellStyle name="Note 14 8 9" xfId="11818" xr:uid="{479854AE-556C-4F2D-B938-7DE3869BF9C3}"/>
    <cellStyle name="Note 14 8 9 2" xfId="34430" xr:uid="{65A26292-F852-40D8-8F73-F5CCBECB3817}"/>
    <cellStyle name="Note 14 9" xfId="8220" xr:uid="{E4EE2442-D644-40F6-A5CE-C23D0D019203}"/>
    <cellStyle name="Note 14 9 2" xfId="32460" xr:uid="{3AFA369B-FDC6-4A62-BC6D-C9122CADD49F}"/>
    <cellStyle name="Note 14_Sheet2" xfId="2794" xr:uid="{C76894B7-B87E-40C4-B174-16474E46E890}"/>
    <cellStyle name="Note 15" xfId="2795" xr:uid="{4DE8BBB2-01F0-48B4-97EB-C60A9077926E}"/>
    <cellStyle name="Note 15 10" xfId="9193" xr:uid="{7DC1FBB4-17E5-46B0-B379-D7223C39F4C5}"/>
    <cellStyle name="Note 15 10 2" xfId="33187" xr:uid="{D84D4742-820D-46E5-9D79-20B8C8880D65}"/>
    <cellStyle name="Note 15 11" xfId="7816" xr:uid="{5AB24A38-98E5-47FE-8305-0535671563BB}"/>
    <cellStyle name="Note 15 11 2" xfId="32111" xr:uid="{AE99322A-2ED2-4611-9619-2CFDE502F404}"/>
    <cellStyle name="Note 15 12" xfId="9073" xr:uid="{C318AD3C-FFF5-4638-B1F4-6AEC7DC602D3}"/>
    <cellStyle name="Note 15 12 2" xfId="33074" xr:uid="{A70FF9C4-6D7E-4BC3-B457-0557D0B4E880}"/>
    <cellStyle name="Note 15 13" xfId="13094" xr:uid="{7D48318E-ACD8-4603-A004-7109B6F810FB}"/>
    <cellStyle name="Note 15 13 2" xfId="35442" xr:uid="{DAA51248-E56B-4D17-970D-B2026B69B91A}"/>
    <cellStyle name="Note 15 14" xfId="16179" xr:uid="{540B215C-4DD9-4116-8E8E-0DBD693F0B10}"/>
    <cellStyle name="Note 15 14 2" xfId="37739" xr:uid="{42433719-49D4-4674-9BBD-2CB5F2933924}"/>
    <cellStyle name="Note 15 15" xfId="14952" xr:uid="{216946AA-CADF-489C-AB86-1FF174606B44}"/>
    <cellStyle name="Note 15 15 2" xfId="36826" xr:uid="{A6F7AD27-4EEE-4EA7-BC89-71CFB6D3C7E6}"/>
    <cellStyle name="Note 15 16" xfId="11817" xr:uid="{831EEE8E-2D12-4886-8103-91BB25F9A243}"/>
    <cellStyle name="Note 15 16 2" xfId="34429" xr:uid="{B270E47B-0A11-4184-B2E0-64A34C738867}"/>
    <cellStyle name="Note 15 17" xfId="12208" xr:uid="{668AE046-B6C0-42A3-925A-FEE6ED5663CD}"/>
    <cellStyle name="Note 15 17 2" xfId="34715" xr:uid="{4BAE71F6-C70E-4B42-B0C6-F1BF54FD28FE}"/>
    <cellStyle name="Note 15 18" xfId="12487" xr:uid="{83F082CD-4ED7-4083-B0A2-06DC2F241E1D}"/>
    <cellStyle name="Note 15 18 2" xfId="34933" xr:uid="{C6B55F91-1825-4AD7-9EA5-1C9C095EB53A}"/>
    <cellStyle name="Note 15 19" xfId="14589" xr:uid="{AACE75F5-8274-4AED-B60D-48662D6FAAF2}"/>
    <cellStyle name="Note 15 19 2" xfId="36507" xr:uid="{94AF59C8-0F88-4FE8-9678-D4835BDB8D93}"/>
    <cellStyle name="Note 15 2" xfId="2796" xr:uid="{715D2D33-50CD-451D-8193-B8323DA35570}"/>
    <cellStyle name="Note 15 2 10" xfId="10531" xr:uid="{E0003580-D997-4299-B429-54027240E81E}"/>
    <cellStyle name="Note 15 2 10 2" xfId="34158" xr:uid="{BDE4C995-82EB-4C4F-BB0D-3E6E31CF94A6}"/>
    <cellStyle name="Note 15 2 11" xfId="7396" xr:uid="{28454E7E-446C-41E3-A679-E98EB40C4937}"/>
    <cellStyle name="Note 15 2 11 2" xfId="31755" xr:uid="{A2A9B6F0-D349-4C87-8141-61E3B5EAABCA}"/>
    <cellStyle name="Note 15 2 12" xfId="14751" xr:uid="{28F7C374-D6D7-4DF9-B179-C44237A0723B}"/>
    <cellStyle name="Note 15 2 12 2" xfId="36663" xr:uid="{DC5E0D15-704B-464B-AB4A-E39D3E04B517}"/>
    <cellStyle name="Note 15 2 13" xfId="14114" xr:uid="{B38FE68C-4437-414F-BDFA-C9D7068FFF71}"/>
    <cellStyle name="Note 15 2 13 2" xfId="36207" xr:uid="{8B6803A2-4649-407B-8A14-5EA12269A332}"/>
    <cellStyle name="Note 15 2 14" xfId="15587" xr:uid="{79EC1598-5D9B-4872-90BA-46E248B82B0B}"/>
    <cellStyle name="Note 15 2 14 2" xfId="37245" xr:uid="{DF44B3C5-C513-4392-A3ED-4C59B63E74DE}"/>
    <cellStyle name="Note 15 2 15" xfId="9810" xr:uid="{983006AA-02B3-461A-8236-239F3BCD65BF}"/>
    <cellStyle name="Note 15 2 15 2" xfId="33578" xr:uid="{6E374599-F794-40E6-93A2-2DA2EE0DD1BA}"/>
    <cellStyle name="Note 15 2 16" xfId="13486" xr:uid="{C6A34650-2E53-49E8-8299-D8388F72B07B}"/>
    <cellStyle name="Note 15 2 16 2" xfId="35740" xr:uid="{2528E7B2-5B08-49E9-8096-39C43B9BA811}"/>
    <cellStyle name="Note 15 2 17" xfId="10043" xr:uid="{3A34344D-81ED-4C82-8B5F-D1D622970C5E}"/>
    <cellStyle name="Note 15 2 17 2" xfId="33755" xr:uid="{7CE05404-F742-4A9C-9D8D-B60DF7ED7981}"/>
    <cellStyle name="Note 15 2 18" xfId="13606" xr:uid="{25B0642C-B98C-492F-BA32-05A819159DCA}"/>
    <cellStyle name="Note 15 2 18 2" xfId="35776" xr:uid="{4D3D5AA9-EDCC-4313-BB28-C1F232C98420}"/>
    <cellStyle name="Note 15 2 19" xfId="16390" xr:uid="{6119F496-8819-4FA4-9BCC-9FC9C9C54750}"/>
    <cellStyle name="Note 15 2 19 2" xfId="37901" xr:uid="{20E7B9D7-71FB-4163-A102-F3D37A7347A9}"/>
    <cellStyle name="Note 15 2 2" xfId="2797" xr:uid="{33EF4228-9A67-413E-AB75-2FDA0A61FFA4}"/>
    <cellStyle name="Note 15 2 2 10" xfId="11816" xr:uid="{386127DA-963A-430E-9F32-6DE0DEFAE3FF}"/>
    <cellStyle name="Note 15 2 2 10 2" xfId="34428" xr:uid="{A393300E-FCA4-4822-87F8-FA0D03B0A9E6}"/>
    <cellStyle name="Note 15 2 2 11" xfId="12207" xr:uid="{1C26AAC5-0392-45C6-B5B5-533272E57501}"/>
    <cellStyle name="Note 15 2 2 11 2" xfId="34714" xr:uid="{EA9550A5-8261-4153-8384-AC6B834EC2F9}"/>
    <cellStyle name="Note 15 2 2 12" xfId="12452" xr:uid="{C766F7D6-DF2B-4CA3-8944-08D61DD42A8E}"/>
    <cellStyle name="Note 15 2 2 12 2" xfId="34898" xr:uid="{10534245-0CFB-4B85-BB69-12C0D3C3F1A8}"/>
    <cellStyle name="Note 15 2 2 13" xfId="17926" xr:uid="{85C5F78D-5EE1-4137-A47D-C556A46167D8}"/>
    <cellStyle name="Note 15 2 2 13 2" xfId="39026" xr:uid="{2E71D8C0-B26F-49E1-9EF2-7B3FE026A6BC}"/>
    <cellStyle name="Note 15 2 2 14" xfId="9811" xr:uid="{D8F20982-EBB1-42DE-9C53-8279AADBA9CE}"/>
    <cellStyle name="Note 15 2 2 14 2" xfId="33579" xr:uid="{620F0080-BB0A-40C2-9A28-43873285CECD}"/>
    <cellStyle name="Note 15 2 2 15" xfId="20844" xr:uid="{7E335261-3473-4D4D-A98A-6F28A44EBEC0}"/>
    <cellStyle name="Note 15 2 2 15 2" xfId="41187" xr:uid="{7DBE22E1-64DD-445C-AE21-44BB973C8465}"/>
    <cellStyle name="Note 15 2 2 16" xfId="16702" xr:uid="{52BCEE9E-3B30-4C67-87F2-9AAEAB3A811E}"/>
    <cellStyle name="Note 15 2 2 16 2" xfId="38192" xr:uid="{CF04E33E-48ED-4BC2-A717-39288061EF3B}"/>
    <cellStyle name="Note 15 2 2 17" xfId="21485" xr:uid="{808956A1-19BD-4EF6-8A5C-C8B2FE988BF2}"/>
    <cellStyle name="Note 15 2 2 17 2" xfId="41612" xr:uid="{90CBB0B7-232F-46FE-BA27-28703CA06B7F}"/>
    <cellStyle name="Note 15 2 2 18" xfId="16371" xr:uid="{30B067AF-7E6E-4A5C-9CF4-F9DDC77C5739}"/>
    <cellStyle name="Note 15 2 2 18 2" xfId="37894" xr:uid="{909D463C-C247-45BD-8C78-DC0217906B68}"/>
    <cellStyle name="Note 15 2 2 19" xfId="20691" xr:uid="{33A98E52-C24E-49E3-ADFC-E8D6D1A7868C}"/>
    <cellStyle name="Note 15 2 2 19 2" xfId="41051" xr:uid="{2FB9248C-AB9D-4BA0-817F-98DE73637D55}"/>
    <cellStyle name="Note 15 2 2 2" xfId="2798" xr:uid="{813248C5-F8A1-4604-9447-3CC68B605779}"/>
    <cellStyle name="Note 15 2 2 2 10" xfId="14750" xr:uid="{7C563B10-AAC5-4E0E-8D92-713E3FC8FEB7}"/>
    <cellStyle name="Note 15 2 2 2 10 2" xfId="36662" xr:uid="{4E33B092-B836-42B4-857F-EB716B11CF05}"/>
    <cellStyle name="Note 15 2 2 2 11" xfId="14113" xr:uid="{4390D345-EA08-407D-A99B-BF5924E7C474}"/>
    <cellStyle name="Note 15 2 2 2 11 2" xfId="36206" xr:uid="{F6E70F78-52BA-41A8-AA0B-1888659F511D}"/>
    <cellStyle name="Note 15 2 2 2 12" xfId="13663" xr:uid="{9881AA95-51A0-4811-823F-B19968997BEB}"/>
    <cellStyle name="Note 15 2 2 2 12 2" xfId="35820" xr:uid="{68ABC9D8-AB94-496E-B8CA-C662AF0060D9}"/>
    <cellStyle name="Note 15 2 2 2 13" xfId="9664" xr:uid="{AC070BCE-EB30-466E-B3FB-0B8C0443BA23}"/>
    <cellStyle name="Note 15 2 2 2 13 2" xfId="33556" xr:uid="{2BF1C23C-549F-4AC2-B596-FF569F74877F}"/>
    <cellStyle name="Note 15 2 2 2 14" xfId="20843" xr:uid="{5C59D0CE-5E85-41E4-8923-45178AD25831}"/>
    <cellStyle name="Note 15 2 2 2 14 2" xfId="41186" xr:uid="{D64A023F-0107-4D99-A110-DE6968212E17}"/>
    <cellStyle name="Note 15 2 2 2 15" xfId="10044" xr:uid="{2349F63A-DFBD-4C33-A4FB-5D2CDB40FAFD}"/>
    <cellStyle name="Note 15 2 2 2 15 2" xfId="33756" xr:uid="{E07665D0-DE23-4B5C-8484-60E0B66FB223}"/>
    <cellStyle name="Note 15 2 2 2 16" xfId="19652" xr:uid="{276E8E2C-3635-491C-9267-CBBAFF3C8D2B}"/>
    <cellStyle name="Note 15 2 2 2 16 2" xfId="40292" xr:uid="{ADEBE67C-470E-46A7-87B2-9A971E7EBBEB}"/>
    <cellStyle name="Note 15 2 2 2 17" xfId="12588" xr:uid="{65772543-22C0-4975-947C-B63A0CDF38B9}"/>
    <cellStyle name="Note 15 2 2 2 17 2" xfId="35027" xr:uid="{06A4BBFD-37F1-4DFE-AB92-3DBFC349802F}"/>
    <cellStyle name="Note 15 2 2 2 18" xfId="18919" xr:uid="{DFF43DE1-8D38-4003-BB74-F51D50D74398}"/>
    <cellStyle name="Note 15 2 2 2 18 2" xfId="39752" xr:uid="{FD23C56D-9EBE-4EF8-8FBF-DC9BBD8C2475}"/>
    <cellStyle name="Note 15 2 2 2 19" xfId="24806" xr:uid="{EE0F2187-1F15-417D-95AD-3523BB67C8B6}"/>
    <cellStyle name="Note 15 2 2 2 19 2" xfId="43946" xr:uid="{D1AC47B9-0664-4C0A-9D93-50B96C64400B}"/>
    <cellStyle name="Note 15 2 2 2 2" xfId="8200" xr:uid="{9705BB66-8F8E-4B0E-8147-9D67908D6A21}"/>
    <cellStyle name="Note 15 2 2 2 2 2" xfId="32441" xr:uid="{ECA37EEA-E0CC-4CCF-9582-98DA4732EB06}"/>
    <cellStyle name="Note 15 2 2 2 20" xfId="18179" xr:uid="{89A9C111-2CA0-4389-808F-F76D2028FC2E}"/>
    <cellStyle name="Note 15 2 2 2 20 2" xfId="39231" xr:uid="{92C5B26D-42B7-47FD-8757-4879D23DE6C5}"/>
    <cellStyle name="Note 15 2 2 2 21" xfId="26979" xr:uid="{8612E92E-4F00-4DC6-8454-D727A3B3F5AB}"/>
    <cellStyle name="Note 15 2 2 2 21 2" xfId="45386" xr:uid="{D01DCD76-434F-4BA0-81E7-23AD9BE95337}"/>
    <cellStyle name="Note 15 2 2 2 22" xfId="22051" xr:uid="{2380DC6A-3A2C-4CA5-BCC7-391784DE9D39}"/>
    <cellStyle name="Note 15 2 2 2 22 2" xfId="41936" xr:uid="{7BC3B92D-8FF3-4C61-8C70-A593476D6441}"/>
    <cellStyle name="Note 15 2 2 2 23" xfId="25659" xr:uid="{7C825D17-0159-4BEE-BC2F-471903BB227C}"/>
    <cellStyle name="Note 15 2 2 2 23 2" xfId="44503" xr:uid="{029B6591-ADE7-4A61-A9AD-35417F58FBE3}"/>
    <cellStyle name="Note 15 2 2 2 24" xfId="29305" xr:uid="{33E4A9AB-C3D6-49A1-8DD3-532C2FE2D08F}"/>
    <cellStyle name="Note 15 2 2 2 24 2" xfId="46798" xr:uid="{C0B3D360-C311-441A-92FD-D5E78559BBC1}"/>
    <cellStyle name="Note 15 2 2 2 25" xfId="30149" xr:uid="{7725D4B6-7957-43DA-983A-956C692C5C16}"/>
    <cellStyle name="Note 15 2 2 2 25 2" xfId="47315" xr:uid="{76C70A94-DA31-4E8F-8F49-E9BA126BF139}"/>
    <cellStyle name="Note 15 2 2 2 26" xfId="22438" xr:uid="{3D0474A6-5C11-4619-A7DC-776B02FCA389}"/>
    <cellStyle name="Note 15 2 2 2 26 2" xfId="42241" xr:uid="{0BB2634E-694A-4208-8D52-4E91CC97C4F0}"/>
    <cellStyle name="Note 15 2 2 2 27" xfId="28356" xr:uid="{50FD6130-3290-4E7B-8C75-7A1D984C8499}"/>
    <cellStyle name="Note 15 2 2 2 27 2" xfId="46218" xr:uid="{60AD2F1E-D34B-4E1E-8761-8C396E5529F5}"/>
    <cellStyle name="Note 15 2 2 2 28" xfId="6338" xr:uid="{9BE6E4F3-8146-409E-BB07-C9A3FDE85DAD}"/>
    <cellStyle name="Note 15 2 2 2 3" xfId="9196" xr:uid="{9B6EA833-650F-4AA5-8825-E220EE87F917}"/>
    <cellStyle name="Note 15 2 2 2 3 2" xfId="33190" xr:uid="{E0AB91BC-E93A-46A2-A1A7-4AE102CF6FFA}"/>
    <cellStyle name="Note 15 2 2 2 4" xfId="7813" xr:uid="{81971161-46C3-412D-BD19-61D4442FBD92}"/>
    <cellStyle name="Note 15 2 2 2 4 2" xfId="32108" xr:uid="{7BABB59E-6549-484E-9182-B5B5A9C119B6}"/>
    <cellStyle name="Note 15 2 2 2 5" xfId="9100" xr:uid="{A8AABA7A-F498-45CA-A509-4842A562F895}"/>
    <cellStyle name="Note 15 2 2 2 5 2" xfId="33101" xr:uid="{B2575179-40AF-459F-9EEA-B734E9D4909B}"/>
    <cellStyle name="Note 15 2 2 2 6" xfId="10371" xr:uid="{2F8C0E80-A19D-4465-8A30-86C7E5684D53}"/>
    <cellStyle name="Note 15 2 2 2 6 2" xfId="34006" xr:uid="{9D727B61-E8A7-4126-BC08-6EC00782B09A}"/>
    <cellStyle name="Note 15 2 2 2 7" xfId="8576" xr:uid="{7705E6EF-52CD-47DE-92E4-A935800943F5}"/>
    <cellStyle name="Note 15 2 2 2 7 2" xfId="32762" xr:uid="{881FD6CF-3C76-4E02-9765-0ADB12F50781}"/>
    <cellStyle name="Note 15 2 2 2 8" xfId="16735" xr:uid="{FDD6144D-E8D9-4520-8E8B-4346E75E6CFF}"/>
    <cellStyle name="Note 15 2 2 2 8 2" xfId="38219" xr:uid="{D608232A-4D60-460D-8504-85AE36091437}"/>
    <cellStyle name="Note 15 2 2 2 9" xfId="7395" xr:uid="{9939BB7E-AE60-43FC-BDEC-26C8C83AB02E}"/>
    <cellStyle name="Note 15 2 2 2 9 2" xfId="31754" xr:uid="{B8E0618D-FB12-4B86-A72B-3390674DFB5B}"/>
    <cellStyle name="Note 15 2 2 20" xfId="25891" xr:uid="{A4655E9A-BFCD-45BD-99EC-9E01A21F8B1E}"/>
    <cellStyle name="Note 15 2 2 20 2" xfId="44698" xr:uid="{95DF07AC-A349-47AD-AE84-5A355C932043}"/>
    <cellStyle name="Note 15 2 2 21" xfId="15780" xr:uid="{97DDE15E-7595-4EA3-81B8-2717F6E8834C}"/>
    <cellStyle name="Note 15 2 2 21 2" xfId="37400" xr:uid="{7FD66F4C-B4F4-479D-A635-5CE17B16E1D1}"/>
    <cellStyle name="Note 15 2 2 22" xfId="24583" xr:uid="{CF3E6176-B29E-418F-9E9F-564F34BDC60D}"/>
    <cellStyle name="Note 15 2 2 22 2" xfId="43765" xr:uid="{09AD175C-C467-44ED-837D-08C105B33250}"/>
    <cellStyle name="Note 15 2 2 23" xfId="21241" xr:uid="{4B5B71A9-2416-4E1A-BAE8-7A3C31283077}"/>
    <cellStyle name="Note 15 2 2 23 2" xfId="41432" xr:uid="{2984E186-E3E3-4A93-B79D-5FF1AFAA7D52}"/>
    <cellStyle name="Note 15 2 2 24" xfId="27207" xr:uid="{3FA0C7B6-6DFE-47ED-A4B1-A076319B0282}"/>
    <cellStyle name="Note 15 2 2 24 2" xfId="45542" xr:uid="{3EA43CA5-9ABB-4804-AEC9-2CE55D6105EF}"/>
    <cellStyle name="Note 15 2 2 25" xfId="23912" xr:uid="{89F4AF22-238E-4095-9D6C-9474CECB81C9}"/>
    <cellStyle name="Note 15 2 2 25 2" xfId="43290" xr:uid="{FCBC5496-0759-457A-8D69-888BBBF38B77}"/>
    <cellStyle name="Note 15 2 2 26" xfId="23570" xr:uid="{F2EEE153-938C-463C-AA24-1B60CFAD3FFE}"/>
    <cellStyle name="Note 15 2 2 26 2" xfId="43006" xr:uid="{2BDB173A-B4FC-40FA-B96D-C1E9E9A2D13A}"/>
    <cellStyle name="Note 15 2 2 27" xfId="23089" xr:uid="{F25AED8A-942F-4642-8938-5B27E4EF3143}"/>
    <cellStyle name="Note 15 2 2 27 2" xfId="42702" xr:uid="{C009714A-7418-4DD6-878A-365CDC890737}"/>
    <cellStyle name="Note 15 2 2 28" xfId="26050" xr:uid="{94BF9620-7B9B-4E7C-AE43-2B4ED87042F5}"/>
    <cellStyle name="Note 15 2 2 28 2" xfId="44819" xr:uid="{66493EEB-43B1-4DFE-8ED8-8AAF26055B09}"/>
    <cellStyle name="Note 15 2 2 29" xfId="6337" xr:uid="{D295F3B6-31E0-47F9-B4CE-020D7C9AEEAB}"/>
    <cellStyle name="Note 15 2 2 3" xfId="8201" xr:uid="{7339F3C1-DE3D-41E3-8344-C6580FEF1B96}"/>
    <cellStyle name="Note 15 2 2 3 2" xfId="32442" xr:uid="{D40D9ABB-C789-4233-AA06-80A565192450}"/>
    <cellStyle name="Note 15 2 2 4" xfId="9195" xr:uid="{BDF28714-88E8-4B05-A0DB-5254F1C07620}"/>
    <cellStyle name="Note 15 2 2 4 2" xfId="33189" xr:uid="{2DBFAEAC-598B-43EA-890B-E8D68EA2D80A}"/>
    <cellStyle name="Note 15 2 2 5" xfId="12856" xr:uid="{0861B691-B3F3-424E-A0AA-F553A007AF2E}"/>
    <cellStyle name="Note 15 2 2 5 2" xfId="35235" xr:uid="{DBC8E348-3A37-4745-900C-893B0AEB029C}"/>
    <cellStyle name="Note 15 2 2 6" xfId="9071" xr:uid="{4B7670CF-EEF3-4490-8706-6A712EA281DA}"/>
    <cellStyle name="Note 15 2 2 6 2" xfId="33072" xr:uid="{C763836F-C7B9-4EA3-8298-57E33C44EBC8}"/>
    <cellStyle name="Note 15 2 2 7" xfId="13093" xr:uid="{4DAE8815-66E4-4DB2-B597-CB86D6378EF4}"/>
    <cellStyle name="Note 15 2 2 7 2" xfId="35441" xr:uid="{8634DA94-AF8C-471B-945C-283F5E55F8C7}"/>
    <cellStyle name="Note 15 2 2 8" xfId="8577" xr:uid="{50C049B9-1728-413D-A01F-C9CFB3E63E58}"/>
    <cellStyle name="Note 15 2 2 8 2" xfId="32763" xr:uid="{1F851529-E2F3-43DF-A4F0-5D760964A2A1}"/>
    <cellStyle name="Note 15 2 2 9" xfId="14951" xr:uid="{3B49D82D-89F0-48A8-BE78-2DA5542A4804}"/>
    <cellStyle name="Note 15 2 2 9 2" xfId="36825" xr:uid="{9329305D-6D43-4BF6-9555-8C07FD744BD2}"/>
    <cellStyle name="Note 15 2 20" xfId="18912" xr:uid="{6BCF5C73-B70D-4A3B-91FE-F432AC99ACEC}"/>
    <cellStyle name="Note 15 2 20 2" xfId="39745" xr:uid="{163759CB-C680-496A-8FD1-7FD4739A8DE6}"/>
    <cellStyle name="Note 15 2 21" xfId="24807" xr:uid="{22DC1A17-150C-4BD6-BB02-A613D8C67BAD}"/>
    <cellStyle name="Note 15 2 21 2" xfId="43947" xr:uid="{9C16C2DB-7F08-4644-8191-B26B63963484}"/>
    <cellStyle name="Note 15 2 22" xfId="16242" xr:uid="{C1A1A225-C860-4047-AC9E-846C958D74D5}"/>
    <cellStyle name="Note 15 2 22 2" xfId="37786" xr:uid="{1428CAB0-8829-49D8-B4F5-00B13F704582}"/>
    <cellStyle name="Note 15 2 23" xfId="21795" xr:uid="{043E1C89-2146-4CDE-9B03-1E89CBFCA3C9}"/>
    <cellStyle name="Note 15 2 23 2" xfId="41792" xr:uid="{1FE85A5C-8DEB-4551-96B6-91EF228AD236}"/>
    <cellStyle name="Note 15 2 24" xfId="21751" xr:uid="{6248E82D-3AEE-4A5D-B39A-5DE61981F15B}"/>
    <cellStyle name="Note 15 2 24 2" xfId="41772" xr:uid="{2382E311-1C2F-43BE-90BD-1C0245D32913}"/>
    <cellStyle name="Note 15 2 25" xfId="26133" xr:uid="{5DE09A49-F6DA-4D44-A1C4-E3EE316DA4D9}"/>
    <cellStyle name="Note 15 2 25 2" xfId="44874" xr:uid="{D8293E02-8D25-4CBC-8C07-A1654C045594}"/>
    <cellStyle name="Note 15 2 26" xfId="18561" xr:uid="{32DF8BF4-D1F5-49DC-83D7-C4B0A15E17FB}"/>
    <cellStyle name="Note 15 2 26 2" xfId="39505" xr:uid="{7D403BF9-F30D-44C8-ACE6-4F4C20562D84}"/>
    <cellStyle name="Note 15 2 27" xfId="25156" xr:uid="{4FE97DE2-62C4-4FF6-AF66-85445012F19B}"/>
    <cellStyle name="Note 15 2 27 2" xfId="44100" xr:uid="{E322FC3D-13E3-4F01-84EA-888F5CE2CE3A}"/>
    <cellStyle name="Note 15 2 28" xfId="20250" xr:uid="{B3B5D3CA-D5B6-44AE-8E15-15E43E5035FD}"/>
    <cellStyle name="Note 15 2 28 2" xfId="40695" xr:uid="{AEA5A4B2-A522-4E4A-BF9B-9FC2F3BB9A3A}"/>
    <cellStyle name="Note 15 2 29" xfId="28357" xr:uid="{F753B708-EE00-4BA3-BF73-D911F9DA65C0}"/>
    <cellStyle name="Note 15 2 29 2" xfId="46219" xr:uid="{2077263C-747F-4044-95F5-C65C0059B9DB}"/>
    <cellStyle name="Note 15 2 3" xfId="2799" xr:uid="{81FD7232-1AF1-4A30-8A97-D4B0BB8895D2}"/>
    <cellStyle name="Note 15 2 3 10" xfId="12260" xr:uid="{D2540EA5-9F4D-4472-B1D5-0147A1E71CF2}"/>
    <cellStyle name="Note 15 2 3 10 2" xfId="34766" xr:uid="{688DE45D-2113-47C2-96E9-D95B53FA6F29}"/>
    <cellStyle name="Note 15 2 3 11" xfId="12453" xr:uid="{7F4B1D13-FAE8-4B7C-8C8E-026A48C33BD6}"/>
    <cellStyle name="Note 15 2 3 11 2" xfId="34899" xr:uid="{2A6C742E-A14F-4533-A8AD-699FE7B4C4EC}"/>
    <cellStyle name="Note 15 2 3 12" xfId="15579" xr:uid="{6257622F-B8EC-48DA-A0B3-462A788AF8E1}"/>
    <cellStyle name="Note 15 2 3 12 2" xfId="37237" xr:uid="{9E3642AE-2EFC-48BE-BBD0-FDB5D8DDAD29}"/>
    <cellStyle name="Note 15 2 3 13" xfId="9812" xr:uid="{49D5E14C-AADC-4AE3-B4B9-BA70CA8ACCEC}"/>
    <cellStyle name="Note 15 2 3 13 2" xfId="33580" xr:uid="{27597936-5F2A-4B51-B4F8-67B2B82E60A0}"/>
    <cellStyle name="Note 15 2 3 14" xfId="19807" xr:uid="{04244CD6-D49B-4062-9A9C-2AEED0B73F5F}"/>
    <cellStyle name="Note 15 2 3 14 2" xfId="40420" xr:uid="{B367E681-A7E9-4981-A39E-B5068782F0B6}"/>
    <cellStyle name="Note 15 2 3 15" xfId="17914" xr:uid="{4A0A58B9-777A-42D4-A0A4-4EAE75EA820A}"/>
    <cellStyle name="Note 15 2 3 15 2" xfId="39020" xr:uid="{12C10B6F-CB02-404F-A035-4E1621FA2E10}"/>
    <cellStyle name="Note 15 2 3 16" xfId="23332" xr:uid="{51AF4918-6604-402C-BC49-26835DD0E62E}"/>
    <cellStyle name="Note 15 2 3 16 2" xfId="42901" xr:uid="{EECA0AB4-9340-465C-9560-93863BEB0472}"/>
    <cellStyle name="Note 15 2 3 17" xfId="21102" xr:uid="{1E1774D0-31C5-42CD-9604-156ECBEB103C}"/>
    <cellStyle name="Note 15 2 3 17 2" xfId="41324" xr:uid="{95E7B3F3-AD00-4C1B-9C36-182534873770}"/>
    <cellStyle name="Note 15 2 3 18" xfId="20616" xr:uid="{4C6F8D6A-BD7D-473C-876D-DD0BD9719AA3}"/>
    <cellStyle name="Note 15 2 3 18 2" xfId="40976" xr:uid="{5EC5FFE3-3307-4272-94C0-348FB89338CD}"/>
    <cellStyle name="Note 15 2 3 19" xfId="17924" xr:uid="{D321369C-F68A-48FC-9E24-B86DB67A10DE}"/>
    <cellStyle name="Note 15 2 3 19 2" xfId="39025" xr:uid="{3EE5B0F9-AFC5-4905-944E-9332F250519A}"/>
    <cellStyle name="Note 15 2 3 2" xfId="8199" xr:uid="{B537CA0A-705C-4E40-8E03-8CE06ECF7694}"/>
    <cellStyle name="Note 15 2 3 2 2" xfId="32440" xr:uid="{9405CA29-06F8-4342-8858-612DF0FBD8D5}"/>
    <cellStyle name="Note 15 2 3 20" xfId="24928" xr:uid="{A2D03AE3-D58A-4079-A570-CF32EDC0CAD5}"/>
    <cellStyle name="Note 15 2 3 20 2" xfId="44011" xr:uid="{E9AF5EA7-D9FF-4FB2-A5BE-AB9BDC24FF7A}"/>
    <cellStyle name="Note 15 2 3 21" xfId="24582" xr:uid="{32A33482-328B-4590-998D-A3841531187A}"/>
    <cellStyle name="Note 15 2 3 21 2" xfId="43764" xr:uid="{80B9604B-4F2A-4155-A9E7-AB21439C1114}"/>
    <cellStyle name="Note 15 2 3 22" xfId="17040" xr:uid="{55423AE0-2844-48E2-9C61-16FA50902654}"/>
    <cellStyle name="Note 15 2 3 22 2" xfId="38382" xr:uid="{8DA186BC-52FF-47C6-AA3E-4BCDC5C9CC2F}"/>
    <cellStyle name="Note 15 2 3 23" xfId="28770" xr:uid="{C9A75937-0047-4551-B2E8-808F845A530D}"/>
    <cellStyle name="Note 15 2 3 23 2" xfId="46448" xr:uid="{BAFC8D63-A9E7-4DB6-8A76-AC989D1EC37E}"/>
    <cellStyle name="Note 15 2 3 24" xfId="29441" xr:uid="{83B871C4-E7CA-4150-B798-4D6E08D166AE}"/>
    <cellStyle name="Note 15 2 3 24 2" xfId="46900" xr:uid="{D7FB54AF-F192-4A58-A2C8-38F2EFB01987}"/>
    <cellStyle name="Note 15 2 3 25" xfId="28126" xr:uid="{D8ED5E65-7D4A-4C34-9493-5D5CC4D6BF1F}"/>
    <cellStyle name="Note 15 2 3 25 2" xfId="46067" xr:uid="{8539519B-678A-44EA-A16F-13CDF433E658}"/>
    <cellStyle name="Note 15 2 3 26" xfId="23088" xr:uid="{2AE1FC58-F9F9-402C-8195-8A2125D11E13}"/>
    <cellStyle name="Note 15 2 3 26 2" xfId="42701" xr:uid="{AF4ACE79-94FA-4E46-8C6E-CCEE537D87F5}"/>
    <cellStyle name="Note 15 2 3 27" xfId="27040" xr:uid="{A43574E3-A7F8-4F98-8C63-F84F066ECE3D}"/>
    <cellStyle name="Note 15 2 3 27 2" xfId="45441" xr:uid="{43FA9B0E-038D-4A1A-8454-3E170A903304}"/>
    <cellStyle name="Note 15 2 3 28" xfId="6339" xr:uid="{11E33F0E-65C3-4849-8F16-8BFFD8CE41B9}"/>
    <cellStyle name="Note 15 2 3 3" xfId="9197" xr:uid="{43955F9B-BE16-40A9-89AD-D89C2EA4045C}"/>
    <cellStyle name="Note 15 2 3 3 2" xfId="33191" xr:uid="{7533DB50-A013-41EC-95FF-CF504DBB2EA2}"/>
    <cellStyle name="Note 15 2 3 4" xfId="7812" xr:uid="{8D2BD136-F39A-4CC8-86B5-C9970D7058DD}"/>
    <cellStyle name="Note 15 2 3 4 2" xfId="32107" xr:uid="{2F6AC1F9-8721-483F-BB79-DB592088D6D4}"/>
    <cellStyle name="Note 15 2 3 5" xfId="9070" xr:uid="{8C23FB02-1FDA-497B-93A6-F54EC21AAE45}"/>
    <cellStyle name="Note 15 2 3 5 2" xfId="33071" xr:uid="{3E5B7E1D-DADC-487D-B2D7-5CAE7B2495D9}"/>
    <cellStyle name="Note 15 2 3 6" xfId="13078" xr:uid="{A7C5DA1D-B6F9-43D2-B265-20172B647B46}"/>
    <cellStyle name="Note 15 2 3 6 2" xfId="35426" xr:uid="{7FE24793-742B-409D-B009-A571E34AB294}"/>
    <cellStyle name="Note 15 2 3 7" xfId="8575" xr:uid="{AB7880B7-A870-45E1-B112-3B832332B111}"/>
    <cellStyle name="Note 15 2 3 7 2" xfId="32761" xr:uid="{5CB77EA9-F63C-4674-98CA-A56F323568B6}"/>
    <cellStyle name="Note 15 2 3 8" xfId="16971" xr:uid="{EA331335-9B0A-4E93-A126-AB55723C09FC}"/>
    <cellStyle name="Note 15 2 3 8 2" xfId="38334" xr:uid="{04CAD1D0-09AE-4BCF-9388-2925476D249E}"/>
    <cellStyle name="Note 15 2 3 9" xfId="17604" xr:uid="{D6D72D69-828A-4C2A-89BA-B37E0F7ED1B3}"/>
    <cellStyle name="Note 15 2 3 9 2" xfId="38846" xr:uid="{CA3933F4-C2EF-47AD-9D63-F629351E936B}"/>
    <cellStyle name="Note 15 2 30" xfId="6336" xr:uid="{CFF39F6D-D3EF-47B1-BC8D-57D708A11668}"/>
    <cellStyle name="Note 15 2 4" xfId="8202" xr:uid="{D1E6BC29-B790-4B88-A072-EC7C2FD3B3CD}"/>
    <cellStyle name="Note 15 2 4 2" xfId="32443" xr:uid="{D15CF582-1559-4C18-B92A-7D876CF77492}"/>
    <cellStyle name="Note 15 2 5" xfId="9194" xr:uid="{860138A4-C68B-4FE2-88DD-5290511C80E3}"/>
    <cellStyle name="Note 15 2 5 2" xfId="33188" xr:uid="{EAB43CC4-8821-4C4F-90B7-81AAB5B1529E}"/>
    <cellStyle name="Note 15 2 6" xfId="7815" xr:uid="{3AF9126C-8565-4A7B-B31C-079567CF6DAD}"/>
    <cellStyle name="Note 15 2 6 2" xfId="32110" xr:uid="{46C2299E-5D07-4FEB-BA89-689ADA33C869}"/>
    <cellStyle name="Note 15 2 7" xfId="9072" xr:uid="{B7FA23D9-9492-41D5-BAD0-9D6C990DA382}"/>
    <cellStyle name="Note 15 2 7 2" xfId="33073" xr:uid="{359FFFD9-46FE-4539-A553-4A3BE68519AA}"/>
    <cellStyle name="Note 15 2 8" xfId="10370" xr:uid="{DF1453B3-2F93-4C06-9554-C35046362A23}"/>
    <cellStyle name="Note 15 2 8 2" xfId="34005" xr:uid="{CB5EB491-4CA4-433D-B17D-8AE5CA9F74D1}"/>
    <cellStyle name="Note 15 2 9" xfId="8578" xr:uid="{374E4070-BF4D-4BEF-92C3-6F5E15568D93}"/>
    <cellStyle name="Note 15 2 9 2" xfId="32764" xr:uid="{FF23D6EC-8F11-48D4-BFD7-D50451FDF194}"/>
    <cellStyle name="Note 15 2_Sheet2" xfId="2800" xr:uid="{DE80749F-42CF-432F-A848-27E7B0EA64F4}"/>
    <cellStyle name="Note 15 20" xfId="17594" xr:uid="{FE1686FC-4ACE-4DB7-B1A7-B953EB611215}"/>
    <cellStyle name="Note 15 20 2" xfId="38840" xr:uid="{D8438E98-3C81-4D4D-A542-06B7B77C4F11}"/>
    <cellStyle name="Note 15 21" xfId="19808" xr:uid="{6418008E-C1C3-4581-82DE-E03F55C265C6}"/>
    <cellStyle name="Note 15 21 2" xfId="40421" xr:uid="{BC567826-3092-42A8-9D4B-AD3B4CFCFD4B}"/>
    <cellStyle name="Note 15 22" xfId="16701" xr:uid="{4552952D-273E-4FB1-B35A-117C126497BB}"/>
    <cellStyle name="Note 15 22 2" xfId="38191" xr:uid="{7B2BC74A-C850-4202-AE64-E97047C8D7B2}"/>
    <cellStyle name="Note 15 23" xfId="21486" xr:uid="{E5637323-AB37-4D73-A894-26B837F25B70}"/>
    <cellStyle name="Note 15 23 2" xfId="41613" xr:uid="{131A72A1-577B-4984-A6A6-BC3BEC415B5D}"/>
    <cellStyle name="Note 15 24" xfId="16391" xr:uid="{AD0D6381-7077-4DAF-8994-37766C251E59}"/>
    <cellStyle name="Note 15 24 2" xfId="37902" xr:uid="{0DB15B8C-FFD2-4B61-8177-6150504DF687}"/>
    <cellStyle name="Note 15 25" xfId="20677" xr:uid="{19DED003-572C-4015-A440-FCFF54C6AB59}"/>
    <cellStyle name="Note 15 25 2" xfId="41037" xr:uid="{328FD181-D57B-4A87-B952-B2CE5A7B1F8F}"/>
    <cellStyle name="Note 15 26" xfId="22906" xr:uid="{7AA8AD1E-23BB-4AA7-99C9-79715961198B}"/>
    <cellStyle name="Note 15 26 2" xfId="42622" xr:uid="{94E3EAF7-2D1E-4F86-BB29-0C50A3E89C09}"/>
    <cellStyle name="Note 15 27" xfId="18180" xr:uid="{9CDFC2AD-3BB1-46E7-AAF1-A2C994E1BFC6}"/>
    <cellStyle name="Note 15 27 2" xfId="39232" xr:uid="{0EA3C6C0-788B-47BA-90B4-903CBBC99686}"/>
    <cellStyle name="Note 15 28" xfId="24584" xr:uid="{1DB31F32-AD00-4460-ACB6-678566114766}"/>
    <cellStyle name="Note 15 28 2" xfId="43766" xr:uid="{32EFE6F9-793F-4658-B39F-820B53F3D1EA}"/>
    <cellStyle name="Note 15 29" xfId="20273" xr:uid="{04B32FF7-96F5-4885-B6A7-C3CE7F6693DD}"/>
    <cellStyle name="Note 15 29 2" xfId="40713" xr:uid="{4B85447F-C7D1-4B19-8CBB-10029A38C9AE}"/>
    <cellStyle name="Note 15 3" xfId="2801" xr:uid="{E34FB6F8-847C-45D9-AD38-1B5BCD1469D3}"/>
    <cellStyle name="Note 15 3 10" xfId="11815" xr:uid="{5315094C-F380-4661-A515-A18DC2C44F45}"/>
    <cellStyle name="Note 15 3 10 2" xfId="34427" xr:uid="{8BE38930-BB5F-4E72-9773-85F9BA934DD8}"/>
    <cellStyle name="Note 15 3 11" xfId="14749" xr:uid="{BA82C092-9064-439D-AD83-3FEC34ED2971}"/>
    <cellStyle name="Note 15 3 11 2" xfId="36661" xr:uid="{5CBC47E4-CD62-40C6-8C77-69CC6FB0FB85}"/>
    <cellStyle name="Note 15 3 12" xfId="14112" xr:uid="{0A28FE5F-745F-4D27-B118-C4B46B52198A}"/>
    <cellStyle name="Note 15 3 12 2" xfId="36205" xr:uid="{CFE43BEF-4A45-4D84-8FF3-8D297A904A1D}"/>
    <cellStyle name="Note 15 3 13" xfId="13848" xr:uid="{B0BF8BA4-FB08-4845-AAD4-EE3FEBB3EDF9}"/>
    <cellStyle name="Note 15 3 13 2" xfId="35971" xr:uid="{206FF1A7-7186-4894-B6F9-C9F941B15536}"/>
    <cellStyle name="Note 15 3 14" xfId="12147" xr:uid="{7C848C79-56A0-41F4-A0E6-ECC88B3828D7}"/>
    <cellStyle name="Note 15 3 14 2" xfId="34692" xr:uid="{4533BEE5-49F2-43AE-8D37-CD88C756A3FF}"/>
    <cellStyle name="Note 15 3 15" xfId="19806" xr:uid="{3FBE365E-ECB2-46E0-9850-F97A08B2721E}"/>
    <cellStyle name="Note 15 3 15 2" xfId="40419" xr:uid="{AF7EE514-DB1C-4810-B850-10E1137F30B0}"/>
    <cellStyle name="Note 15 3 16" xfId="21636" xr:uid="{20184208-A2DA-43AD-93CB-4DCAEC3D5E4C}"/>
    <cellStyle name="Note 15 3 16 2" xfId="41711" xr:uid="{A5F5CBDA-88F6-46CC-8767-612A4FC59339}"/>
    <cellStyle name="Note 15 3 17" xfId="21484" xr:uid="{0660100E-272E-43C5-9297-67D6C2A204E7}"/>
    <cellStyle name="Note 15 3 17 2" xfId="41611" xr:uid="{7AAC070F-CDE0-42BB-9889-CD9ED2BE6C22}"/>
    <cellStyle name="Note 15 3 18" xfId="21134" xr:uid="{FD710808-7D58-4EA6-8BFB-E7E408A44690}"/>
    <cellStyle name="Note 15 3 18 2" xfId="41338" xr:uid="{4204436E-07EA-4E69-B2C3-364FB65F30D1}"/>
    <cellStyle name="Note 15 3 19" xfId="16110" xr:uid="{85C43F39-7686-4991-A9C5-8EDD73355564}"/>
    <cellStyle name="Note 15 3 19 2" xfId="37680" xr:uid="{190BC349-DFD9-467F-8F96-F9456AC4FFF4}"/>
    <cellStyle name="Note 15 3 2" xfId="2802" xr:uid="{20E13286-5CE4-44DC-94F0-98F904C2E6C4}"/>
    <cellStyle name="Note 15 3 2 10" xfId="12210" xr:uid="{48F43A6A-1DE7-4836-BBEA-F8E636F398EA}"/>
    <cellStyle name="Note 15 3 2 10 2" xfId="34717" xr:uid="{D3D2662E-346D-42F1-A11A-332271C8EE09}"/>
    <cellStyle name="Note 15 3 2 11" xfId="12454" xr:uid="{4F7D5BF1-22ED-426D-9679-A2181D9DC29A}"/>
    <cellStyle name="Note 15 3 2 11 2" xfId="34900" xr:uid="{451F9D8E-1C25-4565-A564-EBA2FA74B45F}"/>
    <cellStyle name="Note 15 3 2 12" xfId="20053" xr:uid="{1751113D-9D47-4B3C-AB9B-4DAD2C17B697}"/>
    <cellStyle name="Note 15 3 2 12 2" xfId="40613" xr:uid="{2E1B93A9-B39A-484D-9F1D-C3940CB301A8}"/>
    <cellStyle name="Note 15 3 2 13" xfId="9813" xr:uid="{609E02BF-CFFB-4D9C-B691-2C193FA0C246}"/>
    <cellStyle name="Note 15 3 2 13 2" xfId="33581" xr:uid="{83A8DFFD-F784-43C9-9089-4E891A1DE7FB}"/>
    <cellStyle name="Note 15 3 2 14" xfId="20842" xr:uid="{4FD8DCF4-C103-455B-9854-0CE50E417249}"/>
    <cellStyle name="Note 15 3 2 14 2" xfId="41185" xr:uid="{23DCDCBB-4544-447C-B5A5-0C5A55D0855A}"/>
    <cellStyle name="Note 15 3 2 15" xfId="10045" xr:uid="{2A151214-F6FF-4401-AD9C-41973B4E84D5}"/>
    <cellStyle name="Note 15 3 2 15 2" xfId="33757" xr:uid="{84B038DD-9A08-4FE1-B9DB-D83C17F25AB4}"/>
    <cellStyle name="Note 15 3 2 16" xfId="17715" xr:uid="{5219F155-8A43-449F-9CBA-8C7BBBEFF55E}"/>
    <cellStyle name="Note 15 3 2 16 2" xfId="38891" xr:uid="{FE4A0450-D1A2-445E-95C0-035A8AACCE8D}"/>
    <cellStyle name="Note 15 3 2 17" xfId="16389" xr:uid="{D1B146B0-5655-4CE2-AC7D-CE94C90A4E10}"/>
    <cellStyle name="Note 15 3 2 17 2" xfId="37900" xr:uid="{62EFD5CE-F0DB-4715-9D9D-DE8725769AC6}"/>
    <cellStyle name="Note 15 3 2 18" xfId="20692" xr:uid="{5A0B5D63-E927-4038-8BD2-DC9F2B7C84F0}"/>
    <cellStyle name="Note 15 3 2 18 2" xfId="41052" xr:uid="{70122C3B-1E6C-4905-A391-01C5E4FB2956}"/>
    <cellStyle name="Note 15 3 2 19" xfId="24800" xr:uid="{2AED805D-DACD-4336-8FCB-30D8633DFA07}"/>
    <cellStyle name="Note 15 3 2 19 2" xfId="43945" xr:uid="{B827AEBE-B8B8-4079-B0DE-60E1BAD6C3E2}"/>
    <cellStyle name="Note 15 3 2 2" xfId="8197" xr:uid="{5A9D8A11-8DF9-4DE4-A26A-6B54DF4E8DD4}"/>
    <cellStyle name="Note 15 3 2 2 2" xfId="32438" xr:uid="{F715AA36-F99B-47F6-AFF9-47442E384B9A}"/>
    <cellStyle name="Note 15 3 2 20" xfId="18178" xr:uid="{2ABBBA25-7213-4216-BF4A-790874942AF4}"/>
    <cellStyle name="Note 15 3 2 20 2" xfId="39230" xr:uid="{B205CC46-1B87-45AA-B0B3-7D4CF35EB9E0}"/>
    <cellStyle name="Note 15 3 2 21" xfId="24580" xr:uid="{C11965A7-3EE8-4EAB-89F9-C1BD566759E7}"/>
    <cellStyle name="Note 15 3 2 21 2" xfId="43763" xr:uid="{795F9AE3-080C-4C62-B542-96B59634A522}"/>
    <cellStyle name="Note 15 3 2 22" xfId="19541" xr:uid="{ABC5DEEE-B6ED-486A-BE52-2119C0C57A7F}"/>
    <cellStyle name="Note 15 3 2 22 2" xfId="40204" xr:uid="{6717B5B5-6C78-4A5F-B308-097488D4566E}"/>
    <cellStyle name="Note 15 3 2 23" xfId="27200" xr:uid="{4078157A-9F7C-4854-A1E2-2ABB48A1D3B5}"/>
    <cellStyle name="Note 15 3 2 23 2" xfId="45540" xr:uid="{93909C8D-68E3-4B70-9EEC-DD37CD416D09}"/>
    <cellStyle name="Note 15 3 2 24" xfId="28159" xr:uid="{43BB4CD3-2D89-425F-91D6-8210F7591F50}"/>
    <cellStyle name="Note 15 3 2 24 2" xfId="46090" xr:uid="{92B262B6-E0EC-4302-AA90-48191D35E0AA}"/>
    <cellStyle name="Note 15 3 2 25" xfId="27458" xr:uid="{B30A3EDC-A261-44F2-A7FB-FA26564A7622}"/>
    <cellStyle name="Note 15 3 2 25 2" xfId="45689" xr:uid="{F005E1FC-BA8C-4709-BA10-6EB76D42CC58}"/>
    <cellStyle name="Note 15 3 2 26" xfId="16149" xr:uid="{DADC5FB8-E8F1-49BB-8A8E-87A305833937}"/>
    <cellStyle name="Note 15 3 2 26 2" xfId="37714" xr:uid="{58320DA5-DFCE-4563-B639-8E08FE496616}"/>
    <cellStyle name="Note 15 3 2 27" xfId="29562" xr:uid="{F025F541-099A-446B-90D6-1EC2DA70E265}"/>
    <cellStyle name="Note 15 3 2 27 2" xfId="46958" xr:uid="{BB7EB604-31BB-4263-A372-AC0838EFC4E9}"/>
    <cellStyle name="Note 15 3 2 28" xfId="6341" xr:uid="{C030DA77-00BB-4B1A-99C5-BBBF7940F7AB}"/>
    <cellStyle name="Note 15 3 2 3" xfId="9199" xr:uid="{4659FFB7-4A7E-4F94-8DE8-4AD594B81DB8}"/>
    <cellStyle name="Note 15 3 2 3 2" xfId="33193" xr:uid="{78530077-6887-4BBB-97DE-CD6D52CC2F65}"/>
    <cellStyle name="Note 15 3 2 4" xfId="7810" xr:uid="{4BDDB3D8-6426-4F16-B9E1-B34707544969}"/>
    <cellStyle name="Note 15 3 2 4 2" xfId="32105" xr:uid="{2E915315-B3DC-4628-A8F6-BD29AA13D7E8}"/>
    <cellStyle name="Note 15 3 2 5" xfId="9068" xr:uid="{D491095B-B240-4BF1-9ABA-7F4612F3974B}"/>
    <cellStyle name="Note 15 3 2 5 2" xfId="33069" xr:uid="{0415F6FE-C286-48E9-B628-3B96280A80D4}"/>
    <cellStyle name="Note 15 3 2 6" xfId="13092" xr:uid="{2A862BDA-5A16-4A17-BC11-054CE0F52336}"/>
    <cellStyle name="Note 15 3 2 6 2" xfId="35440" xr:uid="{C146223D-3542-4622-B724-F4CC43852E94}"/>
    <cellStyle name="Note 15 3 2 7" xfId="8573" xr:uid="{EC2034BA-291A-4222-9851-A72E2FE77D0B}"/>
    <cellStyle name="Note 15 3 2 7 2" xfId="32759" xr:uid="{A67449E7-D60E-432A-B2EE-409F267E2B04}"/>
    <cellStyle name="Note 15 3 2 8" xfId="10532" xr:uid="{8B35462A-EF6B-4C7D-A6C9-E70CDA774FDD}"/>
    <cellStyle name="Note 15 3 2 8 2" xfId="34159" xr:uid="{3ADCC330-42F1-4298-BF3A-33B8EF444B30}"/>
    <cellStyle name="Note 15 3 2 9" xfId="7394" xr:uid="{80A79F87-1A68-4032-8C3E-B0BB25FD6D39}"/>
    <cellStyle name="Note 15 3 2 9 2" xfId="31753" xr:uid="{3DF54782-D604-4DA7-9753-DF748232DD18}"/>
    <cellStyle name="Note 15 3 20" xfId="22903" xr:uid="{BCC3E9D5-6788-42F9-8282-E5E9450289F7}"/>
    <cellStyle name="Note 15 3 20 2" xfId="42621" xr:uid="{25660F1A-7896-4BE4-AF56-584034FEA208}"/>
    <cellStyle name="Note 15 3 21" xfId="24929" xr:uid="{16684AA0-3AEF-4035-B92A-A24DCB1DB644}"/>
    <cellStyle name="Note 15 3 21 2" xfId="44012" xr:uid="{F0457FEE-691B-4D20-B9AF-C0CFD5A194AB}"/>
    <cellStyle name="Note 15 3 22" xfId="27613" xr:uid="{F13333D3-B85D-4A12-AFBD-25CA71291D8C}"/>
    <cellStyle name="Note 15 3 22 2" xfId="45757" xr:uid="{536DD367-B0BA-4C28-A1CE-1F743592C11B}"/>
    <cellStyle name="Note 15 3 23" xfId="22040" xr:uid="{D3AC7F73-4EC1-4BE9-B7EC-D557A3BBB572}"/>
    <cellStyle name="Note 15 3 23 2" xfId="41935" xr:uid="{8DB95FA0-E4A9-4DB0-A652-C3D647174564}"/>
    <cellStyle name="Note 15 3 24" xfId="18753" xr:uid="{63FEC5D4-CF5C-4B81-B35A-BA5CE866DD92}"/>
    <cellStyle name="Note 15 3 24 2" xfId="39628" xr:uid="{1D2F47C3-D9E6-4463-AE22-C9C25AB2BF33}"/>
    <cellStyle name="Note 15 3 25" xfId="29442" xr:uid="{59281428-62AC-4AB8-A8C4-8A0F2F287426}"/>
    <cellStyle name="Note 15 3 25 2" xfId="46901" xr:uid="{845EB68D-B1FC-464F-8A73-4655A6D92B0D}"/>
    <cellStyle name="Note 15 3 26" xfId="30126" xr:uid="{4F3432EC-7BD3-4C78-9E93-8941875F49D3}"/>
    <cellStyle name="Note 15 3 26 2" xfId="47297" xr:uid="{7D75B57C-B6CD-482E-8DB6-CD1BBE5C938E}"/>
    <cellStyle name="Note 15 3 27" xfId="23087" xr:uid="{F5636D34-BB15-45DE-A3E7-796D3212EB85}"/>
    <cellStyle name="Note 15 3 27 2" xfId="42700" xr:uid="{6FD6E0FB-7FB3-4FA9-A604-C03157ED8177}"/>
    <cellStyle name="Note 15 3 28" xfId="28355" xr:uid="{6CA96548-4593-489C-9C34-38B317374501}"/>
    <cellStyle name="Note 15 3 28 2" xfId="46217" xr:uid="{4AC81618-385B-4817-AF06-31C67860751B}"/>
    <cellStyle name="Note 15 3 29" xfId="6340" xr:uid="{80E7C0DD-5D1D-466F-AC74-C2BB0BF86DB8}"/>
    <cellStyle name="Note 15 3 3" xfId="8198" xr:uid="{C5C229D9-030E-43BB-88F9-2282670D3BE5}"/>
    <cellStyle name="Note 15 3 3 2" xfId="32439" xr:uid="{CB071208-994A-436E-BEE4-41959D59CF34}"/>
    <cellStyle name="Note 15 3 4" xfId="9198" xr:uid="{33DCDFC1-240E-409A-A44C-0C7050790F40}"/>
    <cellStyle name="Note 15 3 4 2" xfId="33192" xr:uid="{939FB453-9052-476D-A878-C2442D017A47}"/>
    <cellStyle name="Note 15 3 5" xfId="7811" xr:uid="{183408FC-6FBD-42B8-9348-D7F16AE441E7}"/>
    <cellStyle name="Note 15 3 5 2" xfId="32106" xr:uid="{CFCDD2D2-D8C6-4765-8A21-2E043298BAEA}"/>
    <cellStyle name="Note 15 3 6" xfId="9069" xr:uid="{E82B25D1-007D-49B9-8767-77B84BB3FBC7}"/>
    <cellStyle name="Note 15 3 6 2" xfId="33070" xr:uid="{8C3FDFC9-D511-4AA2-AE67-BCC8FA7E4F90}"/>
    <cellStyle name="Note 15 3 7" xfId="10372" xr:uid="{443833F0-1628-45FF-9CC1-E4A6B9F60F33}"/>
    <cellStyle name="Note 15 3 7 2" xfId="34007" xr:uid="{B6260C23-95F8-42E8-BB06-25354EE7B96F}"/>
    <cellStyle name="Note 15 3 8" xfId="8574" xr:uid="{17FA436A-50C9-47B7-B48E-1D384531A096}"/>
    <cellStyle name="Note 15 3 8 2" xfId="32760" xr:uid="{DC908E9A-9782-4CBC-B4A1-90AA3F70E771}"/>
    <cellStyle name="Note 15 3 9" xfId="14950" xr:uid="{A2929059-E5E6-4B2E-8D24-7AD703F6948E}"/>
    <cellStyle name="Note 15 3 9 2" xfId="36824" xr:uid="{D1CE1500-BC1F-4FD8-99D5-633F5B3CF9A1}"/>
    <cellStyle name="Note 15 30" xfId="27208" xr:uid="{AE9E9218-850C-4FEC-B5FE-E6808753D060}"/>
    <cellStyle name="Note 15 30 2" xfId="45543" xr:uid="{DABC1742-16A7-45BF-BE51-AD244CC0DEAB}"/>
    <cellStyle name="Note 15 31" xfId="20990" xr:uid="{B7D0B7C8-732D-4C17-96B3-85C3BC9790C2}"/>
    <cellStyle name="Note 15 31 2" xfId="41253" xr:uid="{9CF00202-311D-497E-A913-C5CE29DA1A8A}"/>
    <cellStyle name="Note 15 32" xfId="28936" xr:uid="{348A9C74-3223-4A35-AE42-1A5953BD1ED6}"/>
    <cellStyle name="Note 15 32 2" xfId="46532" xr:uid="{94B9872E-E81C-4CA7-978E-1639A065D160}"/>
    <cellStyle name="Note 15 33" xfId="23090" xr:uid="{31B3618F-F35A-4F98-960E-DFFFD4968ADD}"/>
    <cellStyle name="Note 15 33 2" xfId="42703" xr:uid="{2B62ACE2-2F13-4EA8-851F-E0097F0FC666}"/>
    <cellStyle name="Note 15 34" xfId="28343" xr:uid="{993EDE78-11E6-411F-9BE4-5AC8A75B4B9E}"/>
    <cellStyle name="Note 15 34 2" xfId="46210" xr:uid="{879D4056-00E4-4FEC-B174-4880B46CFCFE}"/>
    <cellStyle name="Note 15 35" xfId="6335" xr:uid="{F56757BE-5DFF-40A9-8FBF-D0758E7B8E64}"/>
    <cellStyle name="Note 15 4" xfId="2803" xr:uid="{16142C9C-EAEC-4FCE-8A6D-9BD65C8287A8}"/>
    <cellStyle name="Note 15 4 10" xfId="17819" xr:uid="{02143FD5-5C3A-4B2C-AB04-02A4C2C2A1CA}"/>
    <cellStyle name="Note 15 4 10 2" xfId="38943" xr:uid="{0765A9BB-FE26-43CE-BD01-5C1D882EF406}"/>
    <cellStyle name="Note 15 4 11" xfId="14748" xr:uid="{138CFAF7-9881-4B31-89A1-1277BA054FC9}"/>
    <cellStyle name="Note 15 4 11 2" xfId="36660" xr:uid="{87A368BA-503A-44A6-9C9B-817FBDAB6C4D}"/>
    <cellStyle name="Note 15 4 12" xfId="14111" xr:uid="{00F14E4C-DDB2-4654-AC92-40465D0C2CBC}"/>
    <cellStyle name="Note 15 4 12 2" xfId="36204" xr:uid="{F6732EBF-5B17-421E-BBE6-4287A490B077}"/>
    <cellStyle name="Note 15 4 13" xfId="20279" xr:uid="{4ACB1AE5-E031-4641-AFFF-C2549A24C160}"/>
    <cellStyle name="Note 15 4 13 2" xfId="40718" xr:uid="{7494DC97-DF84-4031-8506-C96F78C6A5ED}"/>
    <cellStyle name="Note 15 4 14" xfId="9814" xr:uid="{574A70D6-9775-434D-A34E-E54247D58F20}"/>
    <cellStyle name="Note 15 4 14 2" xfId="33582" xr:uid="{F23AC9B1-938F-478E-B4AF-1C94E6AA4B15}"/>
    <cellStyle name="Note 15 4 15" xfId="19805" xr:uid="{AD5EF62B-3832-44AE-A52D-0F7A7D48E98E}"/>
    <cellStyle name="Note 15 4 15 2" xfId="40418" xr:uid="{935B86B3-8AFE-4F0C-BC01-5ADB8FB5C339}"/>
    <cellStyle name="Note 15 4 16" xfId="21637" xr:uid="{25DB1ED3-1B47-48A3-B1C9-A12DC5CE1167}"/>
    <cellStyle name="Note 15 4 16 2" xfId="41712" xr:uid="{5BBB1AD6-8E26-4127-A57F-8F763F33E6FE}"/>
    <cellStyle name="Note 15 4 17" xfId="21483" xr:uid="{E2822B86-AF7A-47B9-92BE-90886E3CCE3C}"/>
    <cellStyle name="Note 15 4 17 2" xfId="41610" xr:uid="{46C7A4F6-B6E6-4A65-BB04-72443C51380A}"/>
    <cellStyle name="Note 15 4 18" xfId="15850" xr:uid="{096A93AB-D199-4344-9DE6-358B4DC704DB}"/>
    <cellStyle name="Note 15 4 18 2" xfId="37450" xr:uid="{3A2CE57E-BA38-485A-BE65-0F45023EAFAA}"/>
    <cellStyle name="Note 15 4 19" xfId="18920" xr:uid="{62324842-8735-453C-8C0B-01C298344D08}"/>
    <cellStyle name="Note 15 4 19 2" xfId="39753" xr:uid="{6B2964AB-204E-4EE2-AD3C-066074338C70}"/>
    <cellStyle name="Note 15 4 2" xfId="2804" xr:uid="{27A6018C-20A1-4C08-85D5-78D8EC8FC58A}"/>
    <cellStyle name="Note 15 4 2 10" xfId="12211" xr:uid="{392796A9-43D3-48B8-8955-56B3675F35CC}"/>
    <cellStyle name="Note 15 4 2 10 2" xfId="34718" xr:uid="{8A764C41-A8B8-4FEA-9AA2-B0E53467E1CE}"/>
    <cellStyle name="Note 15 4 2 11" xfId="12455" xr:uid="{F2421C01-ED54-48D6-97C4-2BC18A0F51EB}"/>
    <cellStyle name="Note 15 4 2 11 2" xfId="34901" xr:uid="{2E1BF5BA-D1C0-4BB4-B524-3B1FCF6C30C6}"/>
    <cellStyle name="Note 15 4 2 12" xfId="13664" xr:uid="{AC991086-1CFC-49E8-8459-D28C89881A3D}"/>
    <cellStyle name="Note 15 4 2 12 2" xfId="35821" xr:uid="{2C060593-A0D3-46D9-BA57-FDB3A2026AB1}"/>
    <cellStyle name="Note 15 4 2 13" xfId="9847" xr:uid="{7CC1F75A-D2C8-44A8-B0B4-656CD84D35D1}"/>
    <cellStyle name="Note 15 4 2 13 2" xfId="33593" xr:uid="{E1BC2171-21CB-4332-A03D-E648202622DF}"/>
    <cellStyle name="Note 15 4 2 14" xfId="21979" xr:uid="{BD9D18F3-F199-4E98-AF25-56FFA88EAD20}"/>
    <cellStyle name="Note 15 4 2 14 2" xfId="41885" xr:uid="{316CE5DC-0028-4A5D-969D-16C2E96DD4B0}"/>
    <cellStyle name="Note 15 4 2 15" xfId="20347" xr:uid="{7A25178C-3617-4D62-8BB5-C30D60344DDC}"/>
    <cellStyle name="Note 15 4 2 15 2" xfId="40779" xr:uid="{A9E00993-B842-4846-882A-AA7DF5607118}"/>
    <cellStyle name="Note 15 4 2 16" xfId="22810" xr:uid="{1EF23B12-EF36-4393-83C5-967237BDB9DD}"/>
    <cellStyle name="Note 15 4 2 16 2" xfId="42548" xr:uid="{03BA323D-E9E7-4A7C-9F57-96EFA0BBF161}"/>
    <cellStyle name="Note 15 4 2 17" xfId="25908" xr:uid="{5B800067-DA98-4FC5-9EC4-276F6F04E31E}"/>
    <cellStyle name="Note 15 4 2 17 2" xfId="44712" xr:uid="{678A5ECC-1A44-4A19-83E2-EB62D9E19086}"/>
    <cellStyle name="Note 15 4 2 18" xfId="20693" xr:uid="{77C61DC1-1DFC-4C52-ACD3-0BC309A254B4}"/>
    <cellStyle name="Note 15 4 2 18 2" xfId="41053" xr:uid="{BD3FDF16-5DE3-4AC3-8C4C-40F159D716BA}"/>
    <cellStyle name="Note 15 4 2 19" xfId="20395" xr:uid="{9374F56A-96D4-434A-8EBF-AEF70715FEB2}"/>
    <cellStyle name="Note 15 4 2 19 2" xfId="40817" xr:uid="{7C8DB5F6-B6F3-4B9F-A904-9474852E9584}"/>
    <cellStyle name="Note 15 4 2 2" xfId="8195" xr:uid="{AB929FEB-8E19-455C-A4E3-E5DB1F786DF5}"/>
    <cellStyle name="Note 15 4 2 2 2" xfId="32436" xr:uid="{CEDE2AE0-3CF1-4DD0-A042-0DDD32F67061}"/>
    <cellStyle name="Note 15 4 2 20" xfId="13944" xr:uid="{FE397E5F-0F7F-4AAF-A0B9-9B279E6B1C88}"/>
    <cellStyle name="Note 15 4 2 20 2" xfId="36051" xr:uid="{30A1B66B-1F93-4FFC-B2F6-97726CA1DC6C}"/>
    <cellStyle name="Note 15 4 2 21" xfId="24579" xr:uid="{6579318C-2AA5-49E1-BB76-52DFC2F23131}"/>
    <cellStyle name="Note 15 4 2 21 2" xfId="43762" xr:uid="{35C6DE39-B583-4E93-AD71-4D8DB933B73C}"/>
    <cellStyle name="Note 15 4 2 22" xfId="21252" xr:uid="{D37A027C-6213-452C-920A-8B9494ED3733}"/>
    <cellStyle name="Note 15 4 2 22 2" xfId="41434" xr:uid="{3ADB8A02-6161-4450-B103-99CB9073F30B}"/>
    <cellStyle name="Note 15 4 2 23" xfId="27199" xr:uid="{83513D84-2896-40E8-B8E0-DC6F791F4846}"/>
    <cellStyle name="Note 15 4 2 23 2" xfId="45539" xr:uid="{8FD47A07-7B91-4A7E-ACE4-26171FC05CE3}"/>
    <cellStyle name="Note 15 4 2 24" xfId="23911" xr:uid="{B2C015E4-6B53-4DA6-91B6-549269AA8F85}"/>
    <cellStyle name="Note 15 4 2 24 2" xfId="43289" xr:uid="{4E5E2245-A355-4B0D-A977-93A3EE7D631B}"/>
    <cellStyle name="Note 15 4 2 25" xfId="23703" xr:uid="{A93B570A-801C-462A-AD61-059C0D567591}"/>
    <cellStyle name="Note 15 4 2 25 2" xfId="43121" xr:uid="{99392C1B-7AEF-4D42-8E94-38F972DBDB45}"/>
    <cellStyle name="Note 15 4 2 26" xfId="22436" xr:uid="{33D06641-DFD6-42E1-8231-730E6D47B4B2}"/>
    <cellStyle name="Note 15 4 2 26 2" xfId="42239" xr:uid="{834A5F27-4B3C-4486-88D8-E7E148358EA2}"/>
    <cellStyle name="Note 15 4 2 27" xfId="29342" xr:uid="{BF61730D-89DF-4BC0-A0CB-AF8C1B143169}"/>
    <cellStyle name="Note 15 4 2 27 2" xfId="46815" xr:uid="{63D1FEA7-F409-4B65-B98D-280D09FBA1E5}"/>
    <cellStyle name="Note 15 4 2 28" xfId="6343" xr:uid="{A814CB1B-4C73-454F-BFD8-06E48CB71A16}"/>
    <cellStyle name="Note 15 4 2 3" xfId="9201" xr:uid="{D1284377-3FE0-4926-927C-EC4C2052A6B8}"/>
    <cellStyle name="Note 15 4 2 3 2" xfId="33195" xr:uid="{788DCA1E-15EE-4F32-AA50-BCA2E6A76789}"/>
    <cellStyle name="Note 15 4 2 4" xfId="7809" xr:uid="{A5A2245F-3534-472D-AE3B-055AD25B85E6}"/>
    <cellStyle name="Note 15 4 2 4 2" xfId="32104" xr:uid="{ABC42A3A-8A14-478B-A838-E621350A6F40}"/>
    <cellStyle name="Note 15 4 2 5" xfId="9022" xr:uid="{300D8995-5CC8-4660-9681-17E055F1F0CE}"/>
    <cellStyle name="Note 15 4 2 5 2" xfId="33024" xr:uid="{435E1CB0-2E35-4CA4-8ADE-471A2A740D07}"/>
    <cellStyle name="Note 15 4 2 6" xfId="13091" xr:uid="{3FC4B4D5-7C4C-491F-96B6-309B016F90A9}"/>
    <cellStyle name="Note 15 4 2 6 2" xfId="35439" xr:uid="{50BEF528-42F6-4BD8-B947-AD99A3B58294}"/>
    <cellStyle name="Note 15 4 2 7" xfId="12664" xr:uid="{F8BF777D-00E8-47F2-A58E-AF63E95EA911}"/>
    <cellStyle name="Note 15 4 2 7 2" xfId="35088" xr:uid="{88DBFCC5-9024-4797-85AE-C847132556A0}"/>
    <cellStyle name="Note 15 4 2 8" xfId="16734" xr:uid="{4CF8296A-C51D-4E6C-8372-AD3F1567EBD4}"/>
    <cellStyle name="Note 15 4 2 8 2" xfId="38218" xr:uid="{A20466B8-EE2C-4D08-B5C1-7DB8884DE4F4}"/>
    <cellStyle name="Note 15 4 2 9" xfId="7393" xr:uid="{5C89C8D0-386A-432E-886E-686667A1AB3A}"/>
    <cellStyle name="Note 15 4 2 9 2" xfId="31752" xr:uid="{BCC261EE-92D9-471C-923F-D762DC927F41}"/>
    <cellStyle name="Note 15 4 20" xfId="24192" xr:uid="{50182840-7C54-42C5-A632-E934BFF092C0}"/>
    <cellStyle name="Note 15 4 20 2" xfId="43518" xr:uid="{1096281A-105C-4B8E-AD6F-C3579EFD68CD}"/>
    <cellStyle name="Note 15 4 21" xfId="24930" xr:uid="{0BCFD0C8-89AF-441E-9E81-66749D988222}"/>
    <cellStyle name="Note 15 4 21 2" xfId="44013" xr:uid="{AC0CBB9A-A069-4EFD-9D3A-FA1534D78314}"/>
    <cellStyle name="Note 15 4 22" xfId="21733" xr:uid="{3D6CC92B-C1B8-43BA-A615-68488DC170BB}"/>
    <cellStyle name="Note 15 4 22 2" xfId="41755" xr:uid="{930D971E-5BD2-4728-9EE2-D12B9A7510CF}"/>
    <cellStyle name="Note 15 4 23" xfId="18629" xr:uid="{12EB446D-A796-4E4F-AFF5-A03B90C9B233}"/>
    <cellStyle name="Note 15 4 23 2" xfId="39527" xr:uid="{8EE7C531-6D00-424A-93F6-BB68A480B96B}"/>
    <cellStyle name="Note 15 4 24" xfId="26130" xr:uid="{B9CBA5E8-10A5-489C-AB90-F86038508431}"/>
    <cellStyle name="Note 15 4 24 2" xfId="44873" xr:uid="{61D4E616-291A-405F-9644-38AF13AD66D4}"/>
    <cellStyle name="Note 15 4 25" xfId="21002" xr:uid="{1896E761-BEF0-4517-97AE-BE78EECEB576}"/>
    <cellStyle name="Note 15 4 25 2" xfId="41260" xr:uid="{5D86419B-ABA5-4680-A9E0-706F3F8ECF8D}"/>
    <cellStyle name="Note 15 4 26" xfId="23573" xr:uid="{936F3085-B773-4F1E-B689-8BEEE0C629DD}"/>
    <cellStyle name="Note 15 4 26 2" xfId="43008" xr:uid="{9087A2BB-550A-4716-9079-C0331ECEE9AD}"/>
    <cellStyle name="Note 15 4 27" xfId="23086" xr:uid="{C067B0BE-D882-4348-8023-3FADFE0F0989}"/>
    <cellStyle name="Note 15 4 27 2" xfId="42699" xr:uid="{E45CC535-FE00-4359-B4DA-0ED9B28C7864}"/>
    <cellStyle name="Note 15 4 28" xfId="30924" xr:uid="{A5C43E49-F598-4782-9B76-78B102857D85}"/>
    <cellStyle name="Note 15 4 28 2" xfId="47761" xr:uid="{53B7487F-0D1F-4545-849E-7BA0D0E5DCAE}"/>
    <cellStyle name="Note 15 4 29" xfId="6342" xr:uid="{D6476035-0EB6-406D-816D-25C4553C879D}"/>
    <cellStyle name="Note 15 4 3" xfId="8196" xr:uid="{76C3D4A3-3549-433A-A324-0D2DE5A5978D}"/>
    <cellStyle name="Note 15 4 3 2" xfId="32437" xr:uid="{D6DC3311-4D42-41AA-B9C1-17327FE37DF2}"/>
    <cellStyle name="Note 15 4 4" xfId="9200" xr:uid="{AD12BB9C-BFE1-4AE8-82A5-0422D7B48B6C}"/>
    <cellStyle name="Note 15 4 4 2" xfId="33194" xr:uid="{A70202A9-0A3B-4BB1-ACED-BB5365C885DD}"/>
    <cellStyle name="Note 15 4 5" xfId="7773" xr:uid="{01F5F77A-2740-4A78-8F8A-208A8048BAA0}"/>
    <cellStyle name="Note 15 4 5 2" xfId="32069" xr:uid="{72FE2CA1-E8C7-4A87-9761-9B1D42DAA00F}"/>
    <cellStyle name="Note 15 4 6" xfId="9067" xr:uid="{84700026-F2D5-41D8-9259-DEC0F0A397C1}"/>
    <cellStyle name="Note 15 4 6 2" xfId="33068" xr:uid="{BEF4D9D7-5CFA-4E6A-A746-D723A9DE9AD7}"/>
    <cellStyle name="Note 15 4 7" xfId="10373" xr:uid="{E04963C1-532D-4C45-BF9B-CF9AB078A5E4}"/>
    <cellStyle name="Note 15 4 7 2" xfId="34008" xr:uid="{085BE0BD-D411-4DAD-B842-EBA30072E56D}"/>
    <cellStyle name="Note 15 4 8" xfId="12795" xr:uid="{DFE97DA0-C522-41DB-A3CB-504251724DCF}"/>
    <cellStyle name="Note 15 4 8 2" xfId="35197" xr:uid="{BEFC7FE4-171A-47AB-812D-27FB9135E73D}"/>
    <cellStyle name="Note 15 4 9" xfId="16200" xr:uid="{F6447D2C-E917-42E1-8458-66FE13FF0300}"/>
    <cellStyle name="Note 15 4 9 2" xfId="37756" xr:uid="{090DBF6D-5C0C-4C01-86B4-96A2BB54D470}"/>
    <cellStyle name="Note 15 5" xfId="2805" xr:uid="{BF9D9048-0A7D-47A4-B3CA-E4814C74896F}"/>
    <cellStyle name="Note 15 5 10" xfId="17834" xr:uid="{5E8CE1C9-46C6-465D-8127-9C76427538B8}"/>
    <cellStyle name="Note 15 5 10 2" xfId="38953" xr:uid="{18D5C5EE-3854-4C42-AE90-F53B9B10C772}"/>
    <cellStyle name="Note 15 5 11" xfId="14747" xr:uid="{D733F881-5364-4AE8-A220-91AAE917AD17}"/>
    <cellStyle name="Note 15 5 11 2" xfId="36659" xr:uid="{552F9386-415D-48CC-98DC-B99745BA6D61}"/>
    <cellStyle name="Note 15 5 12" xfId="14110" xr:uid="{7DE486B7-F491-4B40-BAAD-BA6EFF387C45}"/>
    <cellStyle name="Note 15 5 12 2" xfId="36203" xr:uid="{C92A7648-DB29-436D-AD75-B36DD13C9860}"/>
    <cellStyle name="Note 15 5 13" xfId="15580" xr:uid="{39F78594-C3A4-44AB-8D89-0DCF743E24B1}"/>
    <cellStyle name="Note 15 5 13 2" xfId="37238" xr:uid="{AADCD8CC-A132-46A3-A808-E9758ADF2489}"/>
    <cellStyle name="Note 15 5 14" xfId="9815" xr:uid="{30C0C019-0543-4B46-92BF-E5EA748C5122}"/>
    <cellStyle name="Note 15 5 14 2" xfId="33583" xr:uid="{3A947A78-EAB1-4FC0-8DC8-8EFDC4FF7DC0}"/>
    <cellStyle name="Note 15 5 15" xfId="19804" xr:uid="{28092830-B55E-4141-8F40-A1CE25040AD3}"/>
    <cellStyle name="Note 15 5 15 2" xfId="40417" xr:uid="{FA1E9BC5-AED2-4C7F-ACE5-015A25C66BC4}"/>
    <cellStyle name="Note 15 5 16" xfId="20232" xr:uid="{0B19C04B-2381-4596-BBC1-883C3004ED67}"/>
    <cellStyle name="Note 15 5 16 2" xfId="40690" xr:uid="{0AC76FE6-24F9-4EA0-A5E5-CDB36B0F5FF4}"/>
    <cellStyle name="Note 15 5 17" xfId="23331" xr:uid="{9C58B303-0382-45E0-831B-50D36B234769}"/>
    <cellStyle name="Note 15 5 17 2" xfId="42900" xr:uid="{EE4EE648-AC03-4D50-9E20-0F14336950FA}"/>
    <cellStyle name="Note 15 5 18" xfId="25138" xr:uid="{A1ED04BB-3FB3-41C4-8EF9-3DCBDE65A35B}"/>
    <cellStyle name="Note 15 5 18 2" xfId="44098" xr:uid="{C9A8D4FF-20F1-47A8-B4F7-8FA39CA400D5}"/>
    <cellStyle name="Note 15 5 19" xfId="20694" xr:uid="{48FEFA72-2AEF-4B17-8B5D-BA813DBF753F}"/>
    <cellStyle name="Note 15 5 19 2" xfId="41054" xr:uid="{3778C978-CCAB-402E-8676-D95545A62BEB}"/>
    <cellStyle name="Note 15 5 2" xfId="2806" xr:uid="{F0366165-3DEF-43A7-A389-ABC9404CE52C}"/>
    <cellStyle name="Note 15 5 2 10" xfId="12212" xr:uid="{B01F1DFD-20C4-4A0C-AA76-F08763B6515A}"/>
    <cellStyle name="Note 15 5 2 10 2" xfId="34719" xr:uid="{45AFF790-8DCF-4D13-8F77-BE092FCF58D2}"/>
    <cellStyle name="Note 15 5 2 11" xfId="12456" xr:uid="{A4F44E5E-4C28-43DD-B00F-34771BFC076E}"/>
    <cellStyle name="Note 15 5 2 11 2" xfId="34902" xr:uid="{CA0AA6E4-B6E4-47DD-8711-FE0840FD863F}"/>
    <cellStyle name="Note 15 5 2 12" xfId="14588" xr:uid="{85AF457C-279F-469F-9602-132EE1885484}"/>
    <cellStyle name="Note 15 5 2 12 2" xfId="36506" xr:uid="{C5573D1D-B782-4639-A83F-7FB47C6CE7A1}"/>
    <cellStyle name="Note 15 5 2 13" xfId="19530" xr:uid="{089C8718-1D14-42CB-B2A0-E3BC71D3B859}"/>
    <cellStyle name="Note 15 5 2 13 2" xfId="40199" xr:uid="{CC993C97-E62B-49A0-BB91-AC4DBC4B906D}"/>
    <cellStyle name="Note 15 5 2 14" xfId="20847" xr:uid="{2C4C8A21-E7BB-4C2C-A928-E133E73EC8C7}"/>
    <cellStyle name="Note 15 5 2 14 2" xfId="41189" xr:uid="{6D4114F5-E7F7-4F90-88CB-F2E124A72979}"/>
    <cellStyle name="Note 15 5 2 15" xfId="10046" xr:uid="{10F276F5-EB09-4182-B7F3-D6C397127F69}"/>
    <cellStyle name="Note 15 5 2 15 2" xfId="33758" xr:uid="{2284670A-E43F-4088-8268-2F9A99EDCB72}"/>
    <cellStyle name="Note 15 5 2 16" xfId="19379" xr:uid="{FC5626B7-FBFC-45F0-8F66-95F619AB78A8}"/>
    <cellStyle name="Note 15 5 2 16 2" xfId="40102" xr:uid="{7ADF66E1-724C-42BB-A49C-73B6DC3B944B}"/>
    <cellStyle name="Note 15 5 2 17" xfId="25899" xr:uid="{B016004B-98C6-4EAA-8F4A-202E96F54629}"/>
    <cellStyle name="Note 15 5 2 17 2" xfId="44704" xr:uid="{2C8F9BE7-FEA9-4C07-A51F-71AD461495E9}"/>
    <cellStyle name="Note 15 5 2 18" xfId="18921" xr:uid="{26857820-7680-4DB8-B78A-019533290C17}"/>
    <cellStyle name="Note 15 5 2 18 2" xfId="39754" xr:uid="{AC18DB0E-9F44-447C-84A3-F7C23D98FAC5}"/>
    <cellStyle name="Note 15 5 2 19" xfId="24799" xr:uid="{AEAEF9E7-9D42-4E22-BE1F-604DC6321959}"/>
    <cellStyle name="Note 15 5 2 19 2" xfId="43944" xr:uid="{E14E64E7-4A5B-4DF4-813D-CDF1087DCBD5}"/>
    <cellStyle name="Note 15 5 2 2" xfId="8193" xr:uid="{CCC9B0DC-732B-453E-BCFD-C02FAC632CAB}"/>
    <cellStyle name="Note 15 5 2 2 2" xfId="32434" xr:uid="{132F6149-A392-4FC8-B734-C030F8D2292B}"/>
    <cellStyle name="Note 15 5 2 20" xfId="23297" xr:uid="{642135A6-F253-4FFF-9FCD-A5D9CEAB706B}"/>
    <cellStyle name="Note 15 5 2 20 2" xfId="42869" xr:uid="{F2391457-BBAC-4265-BE70-9E2CB07CC718}"/>
    <cellStyle name="Note 15 5 2 21" xfId="27621" xr:uid="{3DED1C71-7574-4321-BB8C-3A2F37AE40D3}"/>
    <cellStyle name="Note 15 5 2 21 2" xfId="45761" xr:uid="{4BE89E1E-9021-4E1E-8297-24C4EA569C3A}"/>
    <cellStyle name="Note 15 5 2 22" xfId="19385" xr:uid="{B5D9E0A2-8D2E-4D2B-9088-E12F1D7C98E7}"/>
    <cellStyle name="Note 15 5 2 22 2" xfId="40107" xr:uid="{7CA168F9-1AD7-43D3-AC7A-6AE3DECFBF4E}"/>
    <cellStyle name="Note 15 5 2 23" xfId="27198" xr:uid="{E9C382AE-3C0F-455C-85E5-1635F7658912}"/>
    <cellStyle name="Note 15 5 2 23 2" xfId="45538" xr:uid="{463E56E8-98F5-4B5D-A305-7DBF8E45A6E8}"/>
    <cellStyle name="Note 15 5 2 24" xfId="23910" xr:uid="{7A1F113B-BB5A-4806-BAF3-0BE30D812F8E}"/>
    <cellStyle name="Note 15 5 2 24 2" xfId="43288" xr:uid="{A01086B3-961A-4B1A-85A8-E13D3CC2DA49}"/>
    <cellStyle name="Note 15 5 2 25" xfId="26464" xr:uid="{4A4BE3C6-C2A4-4FC2-8642-1A41310CDB1D}"/>
    <cellStyle name="Note 15 5 2 25 2" xfId="45090" xr:uid="{506BA3CC-FE44-4380-9C85-4ADDE9B2CB3B}"/>
    <cellStyle name="Note 15 5 2 26" xfId="20436" xr:uid="{FE920BFB-30CC-4049-A5D9-288546CC120C}"/>
    <cellStyle name="Note 15 5 2 26 2" xfId="40838" xr:uid="{CE9845BE-3F04-4DDA-AA9D-14775758D4EF}"/>
    <cellStyle name="Note 15 5 2 27" xfId="28349" xr:uid="{B6CFAAE3-FB3D-47CC-BA52-C8FF0BB6C0A2}"/>
    <cellStyle name="Note 15 5 2 27 2" xfId="46216" xr:uid="{8B001011-7E12-4790-BD06-0F846E10E796}"/>
    <cellStyle name="Note 15 5 2 28" xfId="6345" xr:uid="{851FD5D7-4F85-4AB8-80C9-B2D4A9CD9A87}"/>
    <cellStyle name="Note 15 5 2 3" xfId="12138" xr:uid="{AB1E7BAD-795E-40D2-A3E7-48FE27B8B09C}"/>
    <cellStyle name="Note 15 5 2 3 2" xfId="34683" xr:uid="{28B2162E-B4D2-4682-8FA7-4F0E90627372}"/>
    <cellStyle name="Note 15 5 2 4" xfId="7807" xr:uid="{D96EE2AF-011B-4536-A830-73955344BB01}"/>
    <cellStyle name="Note 15 5 2 4 2" xfId="32102" xr:uid="{B966D3EB-FDC9-4935-AA6A-7232F510E668}"/>
    <cellStyle name="Note 15 5 2 5" xfId="9093" xr:uid="{1C16437F-175B-4706-B776-2957F69269C9}"/>
    <cellStyle name="Note 15 5 2 5 2" xfId="33094" xr:uid="{190DCD19-E4F5-41DA-9EC8-25C9CBF112C7}"/>
    <cellStyle name="Note 15 5 2 6" xfId="13090" xr:uid="{F90308AD-B53D-4C13-B65D-2842B71D4477}"/>
    <cellStyle name="Note 15 5 2 6 2" xfId="35438" xr:uid="{CBCC1753-6C6E-4DCA-B422-464FC17608A2}"/>
    <cellStyle name="Note 15 5 2 7" xfId="8572" xr:uid="{221374F7-DB61-40BA-8FF3-BD5BD9161C49}"/>
    <cellStyle name="Note 15 5 2 7 2" xfId="32758" xr:uid="{A1990EE5-E8E2-4C31-93D1-A33F2EC82739}"/>
    <cellStyle name="Note 15 5 2 8" xfId="12945" xr:uid="{95356A85-1850-451A-915E-EEC4C13DCE53}"/>
    <cellStyle name="Note 15 5 2 8 2" xfId="35301" xr:uid="{108664E2-0619-4E41-A888-E6BD5AE2FF5A}"/>
    <cellStyle name="Note 15 5 2 9" xfId="11811" xr:uid="{BA3B5F12-AD72-46A3-AEDB-3A51B31744F1}"/>
    <cellStyle name="Note 15 5 2 9 2" xfId="34424" xr:uid="{D349AC16-4921-4A5E-B11E-BCD3EA71D4CA}"/>
    <cellStyle name="Note 15 5 20" xfId="22902" xr:uid="{A35CFE4B-2170-4152-8114-BB449A92C46B}"/>
    <cellStyle name="Note 15 5 20 2" xfId="42620" xr:uid="{1D430D40-648F-47CB-A517-F36290AA5E27}"/>
    <cellStyle name="Note 15 5 21" xfId="16238" xr:uid="{9DA42224-3299-46F3-93A2-76BD3227B76D}"/>
    <cellStyle name="Note 15 5 21 2" xfId="37782" xr:uid="{1995E388-94F6-4B8B-9B89-17D7B05F5ACC}"/>
    <cellStyle name="Note 15 5 22" xfId="27625" xr:uid="{183D0F06-A25A-4DBA-A266-5CF226E1EBEE}"/>
    <cellStyle name="Note 15 5 22 2" xfId="45763" xr:uid="{2E124FCB-2A24-46A4-8AB4-A0EC533EB8FE}"/>
    <cellStyle name="Note 15 5 23" xfId="22039" xr:uid="{C1E820D2-3FEF-4156-8C12-674EAE3D48A6}"/>
    <cellStyle name="Note 15 5 23 2" xfId="41934" xr:uid="{F38C1286-BED3-4C7A-BF3C-2B37F27134AA}"/>
    <cellStyle name="Note 15 5 24" xfId="25657" xr:uid="{4AC86B16-0AC6-4BD9-ADE9-1ECB7D20C5AB}"/>
    <cellStyle name="Note 15 5 24 2" xfId="44502" xr:uid="{05FA4203-CAC6-40F3-BAE4-EF7A33CA6409}"/>
    <cellStyle name="Note 15 5 25" xfId="22217" xr:uid="{8A15A7F9-610E-4958-954E-84CAFC4EF883}"/>
    <cellStyle name="Note 15 5 25 2" xfId="42096" xr:uid="{C112A878-0B23-4491-B0A7-80D48A66DDB8}"/>
    <cellStyle name="Note 15 5 26" xfId="22668" xr:uid="{9E93AA0C-C0E9-418B-99F4-B4097087E26F}"/>
    <cellStyle name="Note 15 5 26 2" xfId="42438" xr:uid="{75D95667-6FB0-42FE-B693-58733E733C64}"/>
    <cellStyle name="Note 15 5 27" xfId="23064" xr:uid="{67FA2391-083B-4B9C-B018-FB2766C8F8E5}"/>
    <cellStyle name="Note 15 5 27 2" xfId="42697" xr:uid="{931E997F-1122-4E5B-B16F-B4E9296A062C}"/>
    <cellStyle name="Note 15 5 28" xfId="21912" xr:uid="{AD4276F1-1733-4109-8738-DFCA34475939}"/>
    <cellStyle name="Note 15 5 28 2" xfId="41833" xr:uid="{A37FD651-1526-4459-A961-F621ADDCDCA4}"/>
    <cellStyle name="Note 15 5 29" xfId="6344" xr:uid="{CA3517B8-DF5E-4C06-8395-D39271199958}"/>
    <cellStyle name="Note 15 5 3" xfId="8194" xr:uid="{B378E7C3-097D-4F93-97A9-87857FD85FED}"/>
    <cellStyle name="Note 15 5 3 2" xfId="32435" xr:uid="{D3572BCA-DC0A-4578-9DA9-CA8D0B8465F8}"/>
    <cellStyle name="Note 15 5 4" xfId="9202" xr:uid="{D44A3985-8D1D-4C5A-887B-98BE55A84CB9}"/>
    <cellStyle name="Note 15 5 4 2" xfId="33196" xr:uid="{1B5F41B3-6227-4261-8AD5-16BA6A90041A}"/>
    <cellStyle name="Note 15 5 5" xfId="7808" xr:uid="{539A38EA-5A9E-4916-9D5B-C77590E42A34}"/>
    <cellStyle name="Note 15 5 5 2" xfId="32103" xr:uid="{56BA0BD4-2CBC-48D7-A5E9-B7A11EFB9D78}"/>
    <cellStyle name="Note 15 5 6" xfId="9021" xr:uid="{51644D00-F7B0-4EF1-8DCD-3B14708D8ECD}"/>
    <cellStyle name="Note 15 5 6 2" xfId="33023" xr:uid="{53A0D089-BA46-4FD3-B855-875F480CF7E2}"/>
    <cellStyle name="Note 15 5 7" xfId="10374" xr:uid="{4F5BF7E8-F58A-4EAE-8902-D2A6F57B8AA8}"/>
    <cellStyle name="Note 15 5 7 2" xfId="34009" xr:uid="{9880E4B0-F90C-4859-84A1-9A456777BBA0}"/>
    <cellStyle name="Note 15 5 8" xfId="15050" xr:uid="{267837F9-ADAC-40FD-B3D0-F226A2589D1A}"/>
    <cellStyle name="Note 15 5 8 2" xfId="36896" xr:uid="{0E85D943-FC6E-4819-81B1-4D077AE16ED8}"/>
    <cellStyle name="Note 15 5 9" xfId="14947" xr:uid="{C0F3B829-2F04-4BB0-BEDB-399966C56253}"/>
    <cellStyle name="Note 15 5 9 2" xfId="36822" xr:uid="{15AAE8F8-8794-409D-ADFC-1CFBBA672CE9}"/>
    <cellStyle name="Note 15 6" xfId="2807" xr:uid="{8F26EFA7-60E2-4542-A6BA-F902EDB5C7C1}"/>
    <cellStyle name="Note 15 6 10" xfId="7390" xr:uid="{64875BB2-F7EE-41AF-BA9A-C1719A1D9372}"/>
    <cellStyle name="Note 15 6 10 2" xfId="31751" xr:uid="{0620B93B-283E-4167-B170-D62FA5101596}"/>
    <cellStyle name="Note 15 6 11" xfId="14746" xr:uid="{7C21C43D-6CEF-40C9-9BA5-5B298FE71861}"/>
    <cellStyle name="Note 15 6 11 2" xfId="36658" xr:uid="{C6EE7DC8-A308-4B3D-B0F7-9267EC8D0258}"/>
    <cellStyle name="Note 15 6 12" xfId="14109" xr:uid="{166DAB22-6934-4C67-8B15-6CB55981B23B}"/>
    <cellStyle name="Note 15 6 12 2" xfId="36202" xr:uid="{A299B95B-4BD5-425C-86EA-4C7493923805}"/>
    <cellStyle name="Note 15 6 13" xfId="12722" xr:uid="{61C5152F-0476-4663-A0D6-0DFB47F31ACC}"/>
    <cellStyle name="Note 15 6 13 2" xfId="35134" xr:uid="{465601B9-4DBF-47A7-9519-B5F5829E6FB2}"/>
    <cellStyle name="Note 15 6 14" xfId="12146" xr:uid="{4D84D5CD-60CA-40D1-88BA-857CB917B76D}"/>
    <cellStyle name="Note 15 6 14 2" xfId="34691" xr:uid="{8B977EB6-90AB-4333-B82E-C97EE9495D0A}"/>
    <cellStyle name="Note 15 6 15" xfId="19799" xr:uid="{AC2F0BEE-580E-4CD0-9E37-2A6AFAF72912}"/>
    <cellStyle name="Note 15 6 15 2" xfId="40416" xr:uid="{6BAAA4F0-CC80-4055-83C1-D6B5A205E0EC}"/>
    <cellStyle name="Note 15 6 16" xfId="21042" xr:uid="{197BEAFE-FE83-4F11-9B97-15A7056754B2}"/>
    <cellStyle name="Note 15 6 16 2" xfId="41290" xr:uid="{0D14F6DF-85CB-4DFF-8968-831C8EDA80B8}"/>
    <cellStyle name="Note 15 6 17" xfId="21480" xr:uid="{2C9118CE-D092-45B0-900F-36C22109A7FA}"/>
    <cellStyle name="Note 15 6 17 2" xfId="41609" xr:uid="{6B58CA1A-DFB0-4BB5-9E51-6D928FD73A66}"/>
    <cellStyle name="Note 15 6 18" xfId="24355" xr:uid="{C1C237B3-9939-4BAC-9964-007613A3FF08}"/>
    <cellStyle name="Note 15 6 18 2" xfId="43611" xr:uid="{B768B483-04A6-4EE5-BF76-F74067FB7257}"/>
    <cellStyle name="Note 15 6 19" xfId="20695" xr:uid="{6F7654A3-B64E-4128-B003-23ED6F4E96DF}"/>
    <cellStyle name="Note 15 6 19 2" xfId="41055" xr:uid="{C9169C54-9128-4E55-89AC-898A16343C88}"/>
    <cellStyle name="Note 15 6 2" xfId="2808" xr:uid="{A6980C27-95C4-4B5C-ADEE-588848388068}"/>
    <cellStyle name="Note 15 6 2 10" xfId="12213" xr:uid="{AF84D767-B93B-42AA-A779-861E8867A9C1}"/>
    <cellStyle name="Note 15 6 2 10 2" xfId="34720" xr:uid="{929ACE8B-7B57-4BB1-8B1A-1308E22033E6}"/>
    <cellStyle name="Note 15 6 2 11" xfId="12457" xr:uid="{EAC028D5-A0C0-4611-BFC8-612D730614F7}"/>
    <cellStyle name="Note 15 6 2 11 2" xfId="34903" xr:uid="{49E4C4FA-5D27-4344-A4E8-25642FC0EBDE}"/>
    <cellStyle name="Note 15 6 2 12" xfId="20052" xr:uid="{1CA98502-B3F0-41FB-86F2-888EBFE30084}"/>
    <cellStyle name="Note 15 6 2 12 2" xfId="40612" xr:uid="{767626C8-B74B-4492-A559-46F46CB14C31}"/>
    <cellStyle name="Note 15 6 2 13" xfId="12360" xr:uid="{CD541609-FCE2-4989-8CB3-46E0CA8CB280}"/>
    <cellStyle name="Note 15 6 2 13 2" xfId="34861" xr:uid="{FED25990-5907-4036-B993-45D07CADC25C}"/>
    <cellStyle name="Note 15 6 2 14" xfId="17979" xr:uid="{4ABE56CD-AC06-4999-96FE-C3F41B288DF3}"/>
    <cellStyle name="Note 15 6 2 14 2" xfId="39077" xr:uid="{E684ABF0-C51B-4521-AC8D-9B5C767A0CB2}"/>
    <cellStyle name="Note 15 6 2 15" xfId="10047" xr:uid="{7BC0ABD4-EC31-4C1D-A8FF-D503ADDE118F}"/>
    <cellStyle name="Note 15 6 2 15 2" xfId="33759" xr:uid="{EFA32855-1963-4602-AA4A-4F366291A421}"/>
    <cellStyle name="Note 15 6 2 16" xfId="19651" xr:uid="{1EB5E446-4604-439E-B999-ACBE40B8C72D}"/>
    <cellStyle name="Note 15 6 2 16 2" xfId="40291" xr:uid="{D2231246-98E7-4C14-A6A5-8EBC41E0A849}"/>
    <cellStyle name="Note 15 6 2 17" xfId="23543" xr:uid="{A19CB357-E59E-4E06-828A-037979749E2D}"/>
    <cellStyle name="Note 15 6 2 17 2" xfId="42988" xr:uid="{F21A56EE-4741-45CB-91A3-7E06759A045E}"/>
    <cellStyle name="Note 15 6 2 18" xfId="16829" xr:uid="{D3FBBBD2-C9D1-426F-A1F1-613601387E05}"/>
    <cellStyle name="Note 15 6 2 18 2" xfId="38257" xr:uid="{985F53A8-A121-4BEB-B004-B37B873CF181}"/>
    <cellStyle name="Note 15 6 2 19" xfId="22352" xr:uid="{D29CBA92-F719-4C7F-A452-9B60F68C39E5}"/>
    <cellStyle name="Note 15 6 2 19 2" xfId="42207" xr:uid="{51AAC748-3D01-4405-9C02-8E3B81BC1067}"/>
    <cellStyle name="Note 15 6 2 2" xfId="8191" xr:uid="{F7998C5E-C352-431E-968D-14EE8BDAC46E}"/>
    <cellStyle name="Note 15 6 2 2 2" xfId="32432" xr:uid="{E1AF4344-90B1-4216-899B-822EA109035C}"/>
    <cellStyle name="Note 15 6 2 20" xfId="23298" xr:uid="{DEA6A025-0ECB-43D2-B1D6-51EC7633B2BA}"/>
    <cellStyle name="Note 15 6 2 20 2" xfId="42870" xr:uid="{5F10EA46-4828-444F-BBC9-97981AD75A87}"/>
    <cellStyle name="Note 15 6 2 21" xfId="22728" xr:uid="{D847C681-E66D-4E38-93F6-34DB8E06F2D6}"/>
    <cellStyle name="Note 15 6 2 21 2" xfId="42485" xr:uid="{019B603F-F673-4E69-8695-9E78FAB18BA4}"/>
    <cellStyle name="Note 15 6 2 22" xfId="21245" xr:uid="{374AEF31-EDBA-4467-B987-F74C1B743735}"/>
    <cellStyle name="Note 15 6 2 22 2" xfId="41433" xr:uid="{DCCF968E-F7B2-46F1-BA60-0B0754E808CB}"/>
    <cellStyle name="Note 15 6 2 23" xfId="27197" xr:uid="{E9B6F063-64FB-4420-8B64-B5DD14213764}"/>
    <cellStyle name="Note 15 6 2 23 2" xfId="45537" xr:uid="{82ADD0A3-FCA0-475D-A4AE-7F60AAC2C659}"/>
    <cellStyle name="Note 15 6 2 24" xfId="23896" xr:uid="{58A35FF8-A814-4C97-8B0A-35168C54E970}"/>
    <cellStyle name="Note 15 6 2 24 2" xfId="43274" xr:uid="{EF486A9F-71EE-49D6-8385-D75EDCD5C07F}"/>
    <cellStyle name="Note 15 6 2 25" xfId="23618" xr:uid="{A230CCEA-C32A-41C4-8B7F-6A5394DA0E26}"/>
    <cellStyle name="Note 15 6 2 25 2" xfId="43049" xr:uid="{C10861DB-5B33-40AF-8224-C1804553A2DA}"/>
    <cellStyle name="Note 15 6 2 26" xfId="23062" xr:uid="{804639C0-907F-4C51-89BC-3F82188C9423}"/>
    <cellStyle name="Note 15 6 2 26 2" xfId="42695" xr:uid="{3986188B-E221-4B44-AD79-27088E779E44}"/>
    <cellStyle name="Note 15 6 2 27" xfId="28348" xr:uid="{71884306-DD33-4A2C-89F6-8B192DF8309F}"/>
    <cellStyle name="Note 15 6 2 27 2" xfId="46215" xr:uid="{D833F08F-ACF1-49B1-A9BD-99B53D0348B0}"/>
    <cellStyle name="Note 15 6 2 28" xfId="6347" xr:uid="{36516C6A-3619-4E78-86A7-951D6D75FFC7}"/>
    <cellStyle name="Note 15 6 2 3" xfId="12139" xr:uid="{BD2109B3-7AD8-4EC4-9720-B2F4BA20CA90}"/>
    <cellStyle name="Note 15 6 2 3 2" xfId="34684" xr:uid="{6DCDAD9C-6BF4-4A13-BF3B-8AB5A7A69349}"/>
    <cellStyle name="Note 15 6 2 4" xfId="7805" xr:uid="{35D23C81-2409-462E-B546-4D3DCFCF2DE5}"/>
    <cellStyle name="Note 15 6 2 4 2" xfId="32100" xr:uid="{A18AB6C4-0299-46E6-B0CB-E8FABE4FC03C}"/>
    <cellStyle name="Note 15 6 2 5" xfId="9019" xr:uid="{19732894-C07E-4A53-B9FE-0DBD9C19E1FC}"/>
    <cellStyle name="Note 15 6 2 5 2" xfId="33021" xr:uid="{4B4C743D-0E6B-4C76-AED6-2AB76DCA9A25}"/>
    <cellStyle name="Note 15 6 2 6" xfId="13089" xr:uid="{94BEA148-B539-487C-BC57-89A09907BE02}"/>
    <cellStyle name="Note 15 6 2 6 2" xfId="35437" xr:uid="{42D01CFE-81B6-414B-A245-F0E947190C3B}"/>
    <cellStyle name="Note 15 6 2 7" xfId="16194" xr:uid="{C60ECBAB-1D54-4B80-B0FE-BBEED46A9F29}"/>
    <cellStyle name="Note 15 6 2 7 2" xfId="37752" xr:uid="{B2E5F39D-0682-4B24-B1B4-F487E2D4BB76}"/>
    <cellStyle name="Note 15 6 2 8" xfId="10534" xr:uid="{EF620B75-D752-4A88-A6B8-A1509E565BA8}"/>
    <cellStyle name="Note 15 6 2 8 2" xfId="34160" xr:uid="{2236AA86-72C7-40CE-B6D9-4998AD9B8004}"/>
    <cellStyle name="Note 15 6 2 9" xfId="11810" xr:uid="{2387B8D9-6964-44FC-B735-699E39E8AA6E}"/>
    <cellStyle name="Note 15 6 2 9 2" xfId="34423" xr:uid="{23B28F6C-70CB-454C-9874-44BE5057F3E6}"/>
    <cellStyle name="Note 15 6 20" xfId="24781" xr:uid="{F95EDD07-15E6-44C8-A6F5-976F25F8194A}"/>
    <cellStyle name="Note 15 6 20 2" xfId="43926" xr:uid="{BB347028-84A6-4CF5-BAC9-C61091DC35B5}"/>
    <cellStyle name="Note 15 6 21" xfId="25172" xr:uid="{2AE07FF3-C975-4CA5-8AA8-F30D9A5FBFB6}"/>
    <cellStyle name="Note 15 6 21 2" xfId="44116" xr:uid="{9E957436-E0FE-49C0-99CB-2FCB8CC2C6E3}"/>
    <cellStyle name="Note 15 6 22" xfId="17917" xr:uid="{91DED887-C24C-4DAF-9DFC-DED17E85FDA5}"/>
    <cellStyle name="Note 15 6 22 2" xfId="39022" xr:uid="{AEBE9AEA-D296-41FE-9A47-1348C16765AB}"/>
    <cellStyle name="Note 15 6 23" xfId="18582" xr:uid="{0EFE2CAF-0959-4496-8FDE-102717BA250E}"/>
    <cellStyle name="Note 15 6 23 2" xfId="39524" xr:uid="{31F23032-00D2-4389-BC47-7539625A5BFC}"/>
    <cellStyle name="Note 15 6 24" xfId="26129" xr:uid="{FC9D443F-B6AD-4B9E-ACF2-3FE90C9CEA22}"/>
    <cellStyle name="Note 15 6 24 2" xfId="44872" xr:uid="{2B49755F-FD4C-4236-9195-EFF153AE3AF7}"/>
    <cellStyle name="Note 15 6 25" xfId="20334" xr:uid="{FDB1FFE7-BA21-40F3-A358-D88C4DD57183}"/>
    <cellStyle name="Note 15 6 25 2" xfId="40767" xr:uid="{7BE87D90-CE82-4DBE-8435-C31AB4CFE5E6}"/>
    <cellStyle name="Note 15 6 26" xfId="28136" xr:uid="{25A1EF72-8D19-489C-AC5B-F7D96AEFDBBD}"/>
    <cellStyle name="Note 15 6 26 2" xfId="46076" xr:uid="{4747C9B1-08C3-4353-8A50-36B9B3F38447}"/>
    <cellStyle name="Note 15 6 27" xfId="23063" xr:uid="{F0FE87C4-0485-46E0-BE7A-DBEC6F0FAB6D}"/>
    <cellStyle name="Note 15 6 27 2" xfId="42696" xr:uid="{E670819F-0F81-49C2-9134-C8CCC6DBE870}"/>
    <cellStyle name="Note 15 6 28" xfId="27037" xr:uid="{5C07FCFD-F4D4-4926-8D7A-B894C3952969}"/>
    <cellStyle name="Note 15 6 28 2" xfId="45439" xr:uid="{8C9ED7F6-E00D-47AC-A0B9-84ABB68A3F70}"/>
    <cellStyle name="Note 15 6 29" xfId="6346" xr:uid="{106134B0-4B41-4F20-85DA-0FD31A583C46}"/>
    <cellStyle name="Note 15 6 3" xfId="8192" xr:uid="{5F0A64F4-55AD-4466-898A-612A81B18A99}"/>
    <cellStyle name="Note 15 6 3 2" xfId="32433" xr:uid="{176C9915-09E4-4DA7-B505-C34B2CA375D2}"/>
    <cellStyle name="Note 15 6 4" xfId="9203" xr:uid="{2CE2E717-E3A6-45FA-9A01-738D37E4584C}"/>
    <cellStyle name="Note 15 6 4 2" xfId="33197" xr:uid="{7560E1C3-E0CC-4CA5-97A5-11BDBC1D5301}"/>
    <cellStyle name="Note 15 6 5" xfId="7806" xr:uid="{55A0EB80-48B0-488B-A116-866BCFE7079E}"/>
    <cellStyle name="Note 15 6 5 2" xfId="32101" xr:uid="{0BD4DC3C-6007-4656-ABF4-F5183619AB0F}"/>
    <cellStyle name="Note 15 6 6" xfId="9020" xr:uid="{554DFF13-7075-418C-9B06-493BE3206D6E}"/>
    <cellStyle name="Note 15 6 6 2" xfId="33022" xr:uid="{81B29C28-21E5-43E7-8ECE-3DB1D36413A7}"/>
    <cellStyle name="Note 15 6 7" xfId="10375" xr:uid="{58C2DD45-81B7-4280-BFEB-EC24C3763AAE}"/>
    <cellStyle name="Note 15 6 7 2" xfId="34010" xr:uid="{F694B564-BE0D-40D2-A548-4D21B8A55321}"/>
    <cellStyle name="Note 15 6 8" xfId="8571" xr:uid="{C377D07D-F2DA-45FB-9FF5-038204262C12}"/>
    <cellStyle name="Note 15 6 8 2" xfId="32757" xr:uid="{86F1AFC7-7F3B-48A1-8D72-A067BCBF1CDE}"/>
    <cellStyle name="Note 15 6 9" xfId="14946" xr:uid="{43F13A07-B4AB-4841-B35F-E6ADE67DFE07}"/>
    <cellStyle name="Note 15 6 9 2" xfId="36821" xr:uid="{23AC9236-91F9-4779-B765-C57007ECBFA5}"/>
    <cellStyle name="Note 15 7" xfId="2809" xr:uid="{D3E1B613-DAF7-4C4B-9952-37B7945FFB8F}"/>
    <cellStyle name="Note 15 7 10" xfId="7388" xr:uid="{46B37536-23EE-489B-B4A0-81C7337E218D}"/>
    <cellStyle name="Note 15 7 10 2" xfId="31750" xr:uid="{1941D467-3015-4D29-9989-622543C47BAD}"/>
    <cellStyle name="Note 15 7 11" xfId="14745" xr:uid="{38206541-F17B-408C-971C-94B82CE55D30}"/>
    <cellStyle name="Note 15 7 11 2" xfId="36657" xr:uid="{411625B5-3A3E-41B5-B3A5-FC3BECDA83EC}"/>
    <cellStyle name="Note 15 7 12" xfId="14108" xr:uid="{B7691E46-2A86-43C3-8646-BCD1D8F9D3AE}"/>
    <cellStyle name="Note 15 7 12 2" xfId="36201" xr:uid="{5EA693D2-411A-4A87-B032-2C3A3E65714F}"/>
    <cellStyle name="Note 15 7 13" xfId="20265" xr:uid="{FAC2A871-BCDB-4280-A4F1-53A9E61248E1}"/>
    <cellStyle name="Note 15 7 13 2" xfId="40706" xr:uid="{1A2242A4-FBB2-4338-9FAE-98CD7C666C60}"/>
    <cellStyle name="Note 15 7 14" xfId="12145" xr:uid="{5605F20A-1B32-4A56-8346-85F82A6C8AA9}"/>
    <cellStyle name="Note 15 7 14 2" xfId="34690" xr:uid="{5BDE22A8-87D4-4782-8DDF-A3BA914E9C5E}"/>
    <cellStyle name="Note 15 7 15" xfId="19798" xr:uid="{46CB7703-E199-4D06-98BC-201865878BF1}"/>
    <cellStyle name="Note 15 7 15 2" xfId="40415" xr:uid="{A14DBAF9-C20D-4DEA-8BC7-17A57D07BA75}"/>
    <cellStyle name="Note 15 7 16" xfId="21640" xr:uid="{6F78BB9B-0ADE-412C-B9DD-0AF4B1A65390}"/>
    <cellStyle name="Note 15 7 16 2" xfId="41714" xr:uid="{EA07AE28-FC42-4FE3-8E6F-830D32A3FC8E}"/>
    <cellStyle name="Note 15 7 17" xfId="21479" xr:uid="{D0D61F89-0584-43CB-9846-5FE6AB5BDE45}"/>
    <cellStyle name="Note 15 7 17 2" xfId="41608" xr:uid="{3748F85C-B2B9-44AA-8D86-F48F8C3B1353}"/>
    <cellStyle name="Note 15 7 18" xfId="24347" xr:uid="{F6A826E9-8B1C-4CFD-BAEF-AF49808E4A97}"/>
    <cellStyle name="Note 15 7 18 2" xfId="43604" xr:uid="{BF77B012-66F2-4BD5-BCF2-745CAE8FEA51}"/>
    <cellStyle name="Note 15 7 19" xfId="20696" xr:uid="{74F521C4-3437-4B46-8B5E-60BCD16A31D6}"/>
    <cellStyle name="Note 15 7 19 2" xfId="41056" xr:uid="{95287A7D-FF05-4884-91D7-3668522C3220}"/>
    <cellStyle name="Note 15 7 2" xfId="2810" xr:uid="{840CCB4D-98B4-411A-BB37-3550F8FBC93F}"/>
    <cellStyle name="Note 15 7 2 10" xfId="12216" xr:uid="{D60FE0B0-A63F-4AA9-B857-9D4ABAB292A3}"/>
    <cellStyle name="Note 15 7 2 10 2" xfId="34723" xr:uid="{3827E4B1-0B64-41DE-9EB6-4F35824AC846}"/>
    <cellStyle name="Note 15 7 2 11" xfId="12458" xr:uid="{DA0C35ED-408A-4E79-96CE-2BAB047B5B6B}"/>
    <cellStyle name="Note 15 7 2 11 2" xfId="34904" xr:uid="{2C1E9895-0E37-446A-AA48-D92C183A858F}"/>
    <cellStyle name="Note 15 7 2 12" xfId="20051" xr:uid="{BBE077B1-F676-44C3-8192-704C51819409}"/>
    <cellStyle name="Note 15 7 2 12 2" xfId="40611" xr:uid="{C319BB73-2984-4D14-BAC1-A1A87DF20DBF}"/>
    <cellStyle name="Note 15 7 2 13" xfId="12361" xr:uid="{BA1EF1BE-41F0-4C50-8C92-03D093BA7131}"/>
    <cellStyle name="Note 15 7 2 13 2" xfId="34862" xr:uid="{6FF4F9EB-E3AE-4149-8C5B-DBF073B0F33F}"/>
    <cellStyle name="Note 15 7 2 14" xfId="15725" xr:uid="{7FB0F1E2-0896-40B1-A985-A9DDA88A582F}"/>
    <cellStyle name="Note 15 7 2 14 2" xfId="37355" xr:uid="{B0B3F680-1920-425A-87D3-4F0DD3591B3F}"/>
    <cellStyle name="Note 15 7 2 15" xfId="10048" xr:uid="{85781E7E-2147-4751-AA67-8EEFBDD8D1BE}"/>
    <cellStyle name="Note 15 7 2 15 2" xfId="33760" xr:uid="{301A7A0C-9E32-4B5E-9076-FDC1186D8CD9}"/>
    <cellStyle name="Note 15 7 2 16" xfId="17716" xr:uid="{623BE1D1-A3A5-47D8-A8F5-C8C8159E74E7}"/>
    <cellStyle name="Note 15 7 2 16 2" xfId="38892" xr:uid="{9CFF28A4-23D8-4D87-8B1F-FC862FE79FA1}"/>
    <cellStyle name="Note 15 7 2 17" xfId="23563" xr:uid="{060FEE2D-AD54-4DE4-88E3-64130E644EAD}"/>
    <cellStyle name="Note 15 7 2 17 2" xfId="42999" xr:uid="{ACB4AD28-DB86-4E41-B62D-857AFDCF692F}"/>
    <cellStyle name="Note 15 7 2 18" xfId="18922" xr:uid="{6DD20400-A5FC-471B-8D81-3DC9D639C12D}"/>
    <cellStyle name="Note 15 7 2 18 2" xfId="39755" xr:uid="{C1C96AE9-B224-47D8-B6ED-4F46765AF062}"/>
    <cellStyle name="Note 15 7 2 19" xfId="22901" xr:uid="{C73CE410-96D6-436E-864F-39F664ADF961}"/>
    <cellStyle name="Note 15 7 2 19 2" xfId="42619" xr:uid="{CE9E7EF0-ED8B-451C-9B18-8716D0E7ECDF}"/>
    <cellStyle name="Note 15 7 2 2" xfId="8189" xr:uid="{66093E42-3D87-43A3-B14F-20F75907CC40}"/>
    <cellStyle name="Note 15 7 2 2 2" xfId="32430" xr:uid="{8AA6DBB3-FFCF-479D-AE48-9576AFDAB828}"/>
    <cellStyle name="Note 15 7 2 20" xfId="23299" xr:uid="{F8243EA7-F191-47EF-A37B-E9A93DF7BE02}"/>
    <cellStyle name="Note 15 7 2 20 2" xfId="42871" xr:uid="{F05D7C67-2BDB-44E0-91B2-A2E86F11FB8C}"/>
    <cellStyle name="Note 15 7 2 21" xfId="24578" xr:uid="{630AFA17-498D-4947-9D6F-4F6BB8B9D060}"/>
    <cellStyle name="Note 15 7 2 21 2" xfId="43761" xr:uid="{F9B506DB-BD49-4C32-9560-4FAE6CF73557}"/>
    <cellStyle name="Note 15 7 2 22" xfId="21253" xr:uid="{92E8B122-5136-4FBD-A24B-C313608C1008}"/>
    <cellStyle name="Note 15 7 2 22 2" xfId="41435" xr:uid="{5F3400EA-63F6-4B98-BC7E-20E1C66E4B46}"/>
    <cellStyle name="Note 15 7 2 23" xfId="23774" xr:uid="{4509E10D-9803-4092-AF6E-CC75AF6D1D6F}"/>
    <cellStyle name="Note 15 7 2 23 2" xfId="43176" xr:uid="{BA97E015-DDE2-408C-A515-E00FD7858140}"/>
    <cellStyle name="Note 15 7 2 24" xfId="29163" xr:uid="{81798089-587F-4C7A-A4A8-F4183F4FA981}"/>
    <cellStyle name="Note 15 7 2 24 2" xfId="46691" xr:uid="{008D8DD7-F43E-4BAF-A98D-D65470499377}"/>
    <cellStyle name="Note 15 7 2 25" xfId="23574" xr:uid="{216D1280-0AD3-4248-BF97-B734E7FD09ED}"/>
    <cellStyle name="Note 15 7 2 25 2" xfId="43009" xr:uid="{2BC5D42F-C343-442E-A2E2-C26A585164B4}"/>
    <cellStyle name="Note 15 7 2 26" xfId="18798" xr:uid="{A326A404-EC90-46C6-8859-A43764854FBC}"/>
    <cellStyle name="Note 15 7 2 26 2" xfId="39655" xr:uid="{F6E42932-F8C3-4AE2-ADE5-C74471632980}"/>
    <cellStyle name="Note 15 7 2 27" xfId="27036" xr:uid="{4D5656C0-0DB4-4250-85F5-5B69A1488E12}"/>
    <cellStyle name="Note 15 7 2 27 2" xfId="45438" xr:uid="{937A2316-9577-45E4-9215-063FCA12C52F}"/>
    <cellStyle name="Note 15 7 2 28" xfId="6349" xr:uid="{6F410836-876D-4310-91AB-0BCCBA2F99DC}"/>
    <cellStyle name="Note 15 7 2 3" xfId="12140" xr:uid="{F708447A-55B3-4D04-9327-4BA76D037CB8}"/>
    <cellStyle name="Note 15 7 2 3 2" xfId="34685" xr:uid="{58635031-A5CF-47A2-A283-407E6B5A8600}"/>
    <cellStyle name="Note 15 7 2 4" xfId="7803" xr:uid="{57FA8A00-4E7A-4631-AE18-6F1280760770}"/>
    <cellStyle name="Note 15 7 2 4 2" xfId="32098" xr:uid="{EDCCE294-CE90-4C55-80E8-AC7B0BA1178A}"/>
    <cellStyle name="Note 15 7 2 5" xfId="9017" xr:uid="{4F15ACC8-00D8-4052-BA39-F5F9FE1B4E25}"/>
    <cellStyle name="Note 15 7 2 5 2" xfId="33019" xr:uid="{9BBF31D8-FA96-432B-A981-65D84EB15663}"/>
    <cellStyle name="Note 15 7 2 6" xfId="13088" xr:uid="{B149671A-6C6A-4C33-BFC5-0E05C42E4051}"/>
    <cellStyle name="Note 15 7 2 6 2" xfId="35436" xr:uid="{83C1556E-7405-4D65-BD92-D365E35F9794}"/>
    <cellStyle name="Note 15 7 2 7" xfId="8570" xr:uid="{CB740E33-1DB0-4EBD-A741-16D36F754263}"/>
    <cellStyle name="Note 15 7 2 7 2" xfId="32756" xr:uid="{1449B2E5-958C-42B5-AE74-9DBB8CD2FD56}"/>
    <cellStyle name="Note 15 7 2 8" xfId="12944" xr:uid="{77408219-E44C-40F1-AA83-5106DE27EEA4}"/>
    <cellStyle name="Note 15 7 2 8 2" xfId="35300" xr:uid="{D0146199-4161-4C5C-9038-92CBF617006C}"/>
    <cellStyle name="Note 15 7 2 9" xfId="7307" xr:uid="{62A74421-F13C-489C-84C3-8480C6D24D71}"/>
    <cellStyle name="Note 15 7 2 9 2" xfId="31670" xr:uid="{72E20E10-C0C7-4EEA-ADAB-9A692BFAB555}"/>
    <cellStyle name="Note 15 7 20" xfId="24798" xr:uid="{8AD85024-5569-41AA-A1CC-D05E30D31AA5}"/>
    <cellStyle name="Note 15 7 20 2" xfId="43943" xr:uid="{60B9AD94-40DE-4F04-9365-3D923EF263F7}"/>
    <cellStyle name="Note 15 7 21" xfId="16245" xr:uid="{9858E588-6169-41EE-BE60-589C53C1FFA9}"/>
    <cellStyle name="Note 15 7 21 2" xfId="37789" xr:uid="{310DB524-3BC8-4B30-B46E-DA9BB98436EF}"/>
    <cellStyle name="Note 15 7 22" xfId="25783" xr:uid="{1A6E729F-E081-428E-A16E-9D52777610D7}"/>
    <cellStyle name="Note 15 7 22 2" xfId="44611" xr:uid="{40B875C3-2CC3-468D-A263-EE6C9426733D}"/>
    <cellStyle name="Note 15 7 23" xfId="17893" xr:uid="{59C59CB6-C9CB-485A-AADC-04C81D891808}"/>
    <cellStyle name="Note 15 7 23 2" xfId="39000" xr:uid="{15C50265-5DC0-4CCD-871F-CDB2DEDB9997}"/>
    <cellStyle name="Note 15 7 24" xfId="27181" xr:uid="{26B3B059-7A7E-4B1F-851B-3C009FB86E5B}"/>
    <cellStyle name="Note 15 7 24 2" xfId="45522" xr:uid="{E38E44C1-F255-4B6E-8000-ADDE2FA0B0DB}"/>
    <cellStyle name="Note 15 7 25" xfId="28644" xr:uid="{A97FAFDB-606D-49DF-BD9D-3DEBC11F42DB}"/>
    <cellStyle name="Note 15 7 25 2" xfId="46378" xr:uid="{39EA8D10-EC2D-40C9-A857-8A060FB6BB2F}"/>
    <cellStyle name="Note 15 7 26" xfId="22652" xr:uid="{7F15F8EC-C809-4248-9C71-2F7E5B8B3247}"/>
    <cellStyle name="Note 15 7 26 2" xfId="42423" xr:uid="{F246A381-6C62-4665-9C7E-8CEAA571809D}"/>
    <cellStyle name="Note 15 7 27" xfId="23061" xr:uid="{3080F298-12A8-4EEE-890B-349B4470A06A}"/>
    <cellStyle name="Note 15 7 27 2" xfId="42694" xr:uid="{18DBA8AE-75F6-4688-871C-20F2CCD0E9CA}"/>
    <cellStyle name="Note 15 7 28" xfId="26048" xr:uid="{2B942AAB-2D86-4523-9FD5-D0C5E1EE80A8}"/>
    <cellStyle name="Note 15 7 28 2" xfId="44818" xr:uid="{42BA0631-FF5E-413D-96F6-A4627DF9A33F}"/>
    <cellStyle name="Note 15 7 29" xfId="6348" xr:uid="{2F8F2E24-1086-4F63-8B3B-C05601BE51C3}"/>
    <cellStyle name="Note 15 7 3" xfId="8190" xr:uid="{7A23AA86-27A8-4C73-9813-A37F90CFD28D}"/>
    <cellStyle name="Note 15 7 3 2" xfId="32431" xr:uid="{E0A75EA9-75ED-41E8-935E-0C82BC48132E}"/>
    <cellStyle name="Note 15 7 4" xfId="9204" xr:uid="{B6A40E2A-2CC5-45DC-B33A-A106AAC8F330}"/>
    <cellStyle name="Note 15 7 4 2" xfId="33198" xr:uid="{F4455053-812D-47E5-B453-E8E59821CC50}"/>
    <cellStyle name="Note 15 7 5" xfId="7804" xr:uid="{C9850686-9E2B-470E-BF26-98049BB9A38F}"/>
    <cellStyle name="Note 15 7 5 2" xfId="32099" xr:uid="{88E8A94C-2352-4EBE-AE8E-526D3FBB01F6}"/>
    <cellStyle name="Note 15 7 6" xfId="9018" xr:uid="{BCD7B638-C6EA-4EB3-B3E9-C313535E237F}"/>
    <cellStyle name="Note 15 7 6 2" xfId="33020" xr:uid="{93FA93E0-09FA-4066-9BDF-A33FECD7B119}"/>
    <cellStyle name="Note 15 7 7" xfId="10376" xr:uid="{D8D2C93A-268E-4DE9-AD0D-8E2947F25494}"/>
    <cellStyle name="Note 15 7 7 2" xfId="34011" xr:uid="{6775B44F-B01F-4827-ACFB-899C731E03C4}"/>
    <cellStyle name="Note 15 7 8" xfId="13612" xr:uid="{50DAD603-0E08-4919-8B6A-5045FDB072C5}"/>
    <cellStyle name="Note 15 7 8 2" xfId="35780" xr:uid="{0142A789-0847-4FD0-9BC1-ABBB6D7F3ED4}"/>
    <cellStyle name="Note 15 7 9" xfId="14945" xr:uid="{218ADF5F-89A9-4D4E-8294-A614698ED5DA}"/>
    <cellStyle name="Note 15 7 9 2" xfId="36820" xr:uid="{16B63FC4-4068-4286-92E9-7AD53F03A85B}"/>
    <cellStyle name="Note 15 8" xfId="2811" xr:uid="{D520402B-FDB4-4DBC-90B3-1E09C38CDD38}"/>
    <cellStyle name="Note 15 8 10" xfId="14744" xr:uid="{3B6D9616-CDEF-4018-9093-A00DFCB70B10}"/>
    <cellStyle name="Note 15 8 10 2" xfId="36656" xr:uid="{52B1C949-5792-4875-A5EB-71FBB64B14BD}"/>
    <cellStyle name="Note 15 8 11" xfId="14107" xr:uid="{72BB94EA-080C-490F-9C8E-9FD782F587E4}"/>
    <cellStyle name="Note 15 8 11 2" xfId="36200" xr:uid="{D2853354-DFB2-43A9-AF0F-65298D42B498}"/>
    <cellStyle name="Note 15 8 12" xfId="20266" xr:uid="{6DB00AE7-82C5-4380-A770-D1046368897B}"/>
    <cellStyle name="Note 15 8 12 2" xfId="40707" xr:uid="{86709840-CB6D-49CF-B368-163F96152942}"/>
    <cellStyle name="Note 15 8 13" xfId="9817" xr:uid="{A9BD927D-BA2C-430E-87A1-E9E86CB9AA02}"/>
    <cellStyle name="Note 15 8 13 2" xfId="33584" xr:uid="{1500B075-ABAC-4506-A190-16CC5FAA644C}"/>
    <cellStyle name="Note 15 8 14" xfId="19797" xr:uid="{A401223F-3A3E-4376-928D-BD66333A9FC9}"/>
    <cellStyle name="Note 15 8 14 2" xfId="40414" xr:uid="{A1FD5728-4E90-44AB-B5DA-1C379536920A}"/>
    <cellStyle name="Note 15 8 15" xfId="21641" xr:uid="{E8998A19-6C6B-4366-BB3A-82CF99442649}"/>
    <cellStyle name="Note 15 8 15 2" xfId="41715" xr:uid="{50EA20CB-EE86-4448-A727-026AD6FB8E86}"/>
    <cellStyle name="Note 15 8 16" xfId="21478" xr:uid="{290B5649-ED9E-4F39-9079-62ADF3BD5FFB}"/>
    <cellStyle name="Note 15 8 16 2" xfId="41607" xr:uid="{9BB065B2-9188-4A69-9A2D-86CE81AECD6E}"/>
    <cellStyle name="Note 15 8 17" xfId="16388" xr:uid="{19372E2F-110C-468E-9B39-D0E4CD26B054}"/>
    <cellStyle name="Note 15 8 17 2" xfId="37899" xr:uid="{EF7C6875-2CDD-4BFC-AA97-29CF346D8DD0}"/>
    <cellStyle name="Note 15 8 18" xfId="16836" xr:uid="{69F1355F-9EF4-488C-A65A-B6643FEAA2E3}"/>
    <cellStyle name="Note 15 8 18 2" xfId="38264" xr:uid="{892CFA0B-47DD-4B08-8836-3FA447DC7B87}"/>
    <cellStyle name="Note 15 8 19" xfId="24797" xr:uid="{D1484A9F-B218-40C1-A5A0-192DC88E3AE4}"/>
    <cellStyle name="Note 15 8 19 2" xfId="43942" xr:uid="{35DF7B59-8040-46FA-83CB-C2419E90E3C1}"/>
    <cellStyle name="Note 15 8 2" xfId="8188" xr:uid="{590D3842-1DD5-416C-9F1A-A528E4B0C0A7}"/>
    <cellStyle name="Note 15 8 2 2" xfId="32429" xr:uid="{7F9428E2-01A8-4B81-9678-0DA038B7D2D1}"/>
    <cellStyle name="Note 15 8 20" xfId="18176" xr:uid="{B2C5CC3C-30B0-46BD-B25D-1615E3C9D69D}"/>
    <cellStyle name="Note 15 8 20 2" xfId="39229" xr:uid="{91AD23F6-EF85-4432-BA4E-E2928EED883D}"/>
    <cellStyle name="Note 15 8 21" xfId="22298" xr:uid="{82D71DAD-33BA-45FD-9787-29C18E8A7936}"/>
    <cellStyle name="Note 15 8 21 2" xfId="42162" xr:uid="{F4C12A16-C3CA-4C1D-B5B7-E32F3565C586}"/>
    <cellStyle name="Note 15 8 22" xfId="22038" xr:uid="{0FF83ACB-B40D-46CD-A25B-FDFD0FE475A6}"/>
    <cellStyle name="Note 15 8 22 2" xfId="41933" xr:uid="{ADFBB517-DCBE-48BD-8E1C-568D773D9CB0}"/>
    <cellStyle name="Note 15 8 23" xfId="26128" xr:uid="{E043CC14-4104-4B12-9612-19FC1D1BDAED}"/>
    <cellStyle name="Note 15 8 23 2" xfId="44871" xr:uid="{3686C9C7-B09E-4E2A-98B6-07937EDF0952}"/>
    <cellStyle name="Note 15 8 24" xfId="29063" xr:uid="{E8B7DBB8-EF94-4A18-9858-5C66705A9350}"/>
    <cellStyle name="Note 15 8 24 2" xfId="46638" xr:uid="{18D45689-C0A4-4038-95E9-BE9E5E5FC44D}"/>
    <cellStyle name="Note 15 8 25" xfId="25522" xr:uid="{5874CE1A-1D9E-49AA-AA52-44204D6FA727}"/>
    <cellStyle name="Note 15 8 25 2" xfId="44396" xr:uid="{28F15349-E640-4DC0-944C-3F8427BB3AC0}"/>
    <cellStyle name="Note 15 8 26" xfId="28661" xr:uid="{62C9EBA7-5658-4A94-AD78-122E92AE881B}"/>
    <cellStyle name="Note 15 8 26 2" xfId="46395" xr:uid="{DE48520B-78AA-46A2-BE18-BD654F0611ED}"/>
    <cellStyle name="Note 15 8 27" xfId="28347" xr:uid="{74A247E2-9AD8-4800-AB29-35B5A7EBF169}"/>
    <cellStyle name="Note 15 8 27 2" xfId="46214" xr:uid="{AD94D4B7-3C04-43BA-936D-C51E7F9DE60B}"/>
    <cellStyle name="Note 15 8 28" xfId="6350" xr:uid="{20B755EF-A943-42B0-883B-3F47397BC435}"/>
    <cellStyle name="Note 15 8 3" xfId="9205" xr:uid="{29E8E66B-5D03-4267-BB24-9DAB1A2FC8A2}"/>
    <cellStyle name="Note 15 8 3 2" xfId="33199" xr:uid="{BD239938-01E1-45C7-8B7D-901933358C90}"/>
    <cellStyle name="Note 15 8 4" xfId="7802" xr:uid="{350088BB-792A-41E7-BB13-5BFD111ABA4A}"/>
    <cellStyle name="Note 15 8 4 2" xfId="32097" xr:uid="{4EEEFDE7-3984-45DA-A683-A97FB9D864B6}"/>
    <cellStyle name="Note 15 8 5" xfId="9016" xr:uid="{DC5E6F83-82C2-4D77-9AF6-CDCFAA49505B}"/>
    <cellStyle name="Note 15 8 5 2" xfId="33018" xr:uid="{FA348968-C04B-401C-8FEF-48934CD08F61}"/>
    <cellStyle name="Note 15 8 6" xfId="10377" xr:uid="{F83EB902-8587-4F0A-8F33-0DFD69D59794}"/>
    <cellStyle name="Note 15 8 6 2" xfId="34012" xr:uid="{0EE3D88F-4709-41A4-A017-F76611519F1A}"/>
    <cellStyle name="Note 15 8 7" xfId="8569" xr:uid="{A5D3CB96-2409-436D-B7BA-3E380440B76F}"/>
    <cellStyle name="Note 15 8 7 2" xfId="32755" xr:uid="{F733F0BB-94FC-4E4F-843D-0017CFF74525}"/>
    <cellStyle name="Note 15 8 8" xfId="14944" xr:uid="{AF4AF2B1-94E4-4F2E-B1DF-37985EC3140F}"/>
    <cellStyle name="Note 15 8 8 2" xfId="36819" xr:uid="{EEB2DE39-52F9-480C-B9AB-5E251AF18AAB}"/>
    <cellStyle name="Note 15 8 9" xfId="11809" xr:uid="{FA4371E1-7006-42D3-A602-C1EC44D2FF86}"/>
    <cellStyle name="Note 15 8 9 2" xfId="34422" xr:uid="{346A2174-5606-4C21-AF9B-324627127803}"/>
    <cellStyle name="Note 15 9" xfId="8203" xr:uid="{F216BE98-60F2-41CC-9E51-C67CBDB97B11}"/>
    <cellStyle name="Note 15 9 2" xfId="32444" xr:uid="{F8844098-8BFE-40DE-96D0-1091D427C098}"/>
    <cellStyle name="Note 15_Sheet2" xfId="2812" xr:uid="{CAE1057D-87F5-4EBB-80B3-C4E9930224CD}"/>
    <cellStyle name="Note 16" xfId="2813" xr:uid="{FE55BC12-6F0A-49AA-9AF1-052245A7BE84}"/>
    <cellStyle name="Note 16 10" xfId="9206" xr:uid="{33728DA2-3266-4FC1-A232-F5582EF2CBD9}"/>
    <cellStyle name="Note 16 10 2" xfId="33200" xr:uid="{FDBE710B-CF7D-407B-99A0-050F1E483D37}"/>
    <cellStyle name="Note 16 11" xfId="7801" xr:uid="{1AC8B46E-E1FF-40B4-92BD-2FF3C340E8AC}"/>
    <cellStyle name="Note 16 11 2" xfId="32096" xr:uid="{BE12EA6C-7C91-4DDE-80B5-8C82C0F33B65}"/>
    <cellStyle name="Note 16 12" xfId="9015" xr:uid="{8D8A5E6A-53BA-4447-8954-D68945464C06}"/>
    <cellStyle name="Note 16 12 2" xfId="33017" xr:uid="{B335E2EE-F0E7-4F08-998C-5981AE75E3EA}"/>
    <cellStyle name="Note 16 13" xfId="10378" xr:uid="{67CCCA7A-C0B6-4587-A45C-E6890D1783AE}"/>
    <cellStyle name="Note 16 13 2" xfId="34013" xr:uid="{B17A2BF6-3F6E-43D5-9887-D54AABE18B0C}"/>
    <cellStyle name="Note 16 14" xfId="8568" xr:uid="{1928D65D-752C-4D46-8C4C-5C6744438249}"/>
    <cellStyle name="Note 16 14 2" xfId="32754" xr:uid="{AFC8EDEE-7496-4300-AC4B-12459D3DCACC}"/>
    <cellStyle name="Note 16 15" xfId="12935" xr:uid="{46B0FCE8-0694-498B-9CD2-F0F79C133C56}"/>
    <cellStyle name="Note 16 15 2" xfId="35291" xr:uid="{194BDDA8-82E3-4323-91CD-BC788D5E1272}"/>
    <cellStyle name="Note 16 16" xfId="7306" xr:uid="{5918E88A-EE00-4BC1-A909-7982F1C57FE7}"/>
    <cellStyle name="Note 16 16 2" xfId="31669" xr:uid="{57B3ACC3-9A93-4F86-8438-5A2271A36E26}"/>
    <cellStyle name="Note 16 17" xfId="14743" xr:uid="{245B6B99-F746-4793-BE96-24EB08C86026}"/>
    <cellStyle name="Note 16 17 2" xfId="36655" xr:uid="{A7D19B37-47E6-4557-9BB3-6DFF224D5047}"/>
    <cellStyle name="Note 16 18" xfId="12459" xr:uid="{7F7ABEA5-173B-4E9D-A9B0-D3730160464F}"/>
    <cellStyle name="Note 16 18 2" xfId="34905" xr:uid="{2368EEB5-A516-400F-BE27-6807439C92B1}"/>
    <cellStyle name="Note 16 19" xfId="20269" xr:uid="{F2BF5F47-CE46-42DA-BA5D-5DFA289F77CC}"/>
    <cellStyle name="Note 16 19 2" xfId="40710" xr:uid="{D965D742-B889-44C1-B82A-4DA799B9F601}"/>
    <cellStyle name="Note 16 2" xfId="2814" xr:uid="{A8601EE1-3530-4A56-8C80-FEEF97AC83A9}"/>
    <cellStyle name="Note 16 2 10" xfId="14943" xr:uid="{8C0E1166-A288-4127-955D-A51C244B33B8}"/>
    <cellStyle name="Note 16 2 10 2" xfId="36818" xr:uid="{D546E1AF-C55B-4545-816F-0A584FADB759}"/>
    <cellStyle name="Note 16 2 11" xfId="11808" xr:uid="{2AE8E78C-0816-43C4-9718-ADDCC9098F28}"/>
    <cellStyle name="Note 16 2 11 2" xfId="34421" xr:uid="{B902532F-B5DB-4B3D-86AB-E8EC231ADED3}"/>
    <cellStyle name="Note 16 2 12" xfId="12217" xr:uid="{AAF4E2DC-D499-4F3E-8219-DAA5A2B72E7C}"/>
    <cellStyle name="Note 16 2 12 2" xfId="34724" xr:uid="{CC83527D-36E2-40AA-872F-33ED07430C91}"/>
    <cellStyle name="Note 16 2 13" xfId="14105" xr:uid="{A494171F-2E45-4842-860E-F4DBFFCCA636}"/>
    <cellStyle name="Note 16 2 13 2" xfId="36199" xr:uid="{11ECA028-0591-4995-9EAF-D7B384975D20}"/>
    <cellStyle name="Note 16 2 14" xfId="13665" xr:uid="{E0FEF107-7DED-4065-A2DE-C32A12951B93}"/>
    <cellStyle name="Note 16 2 14 2" xfId="35822" xr:uid="{0ED3C2E1-0831-4F18-B20E-629DE4B526BA}"/>
    <cellStyle name="Note 16 2 15" xfId="9820" xr:uid="{14204409-9B88-4EB1-8086-0BDC4092EB22}"/>
    <cellStyle name="Note 16 2 15 2" xfId="33586" xr:uid="{C3F66520-F0CA-48D3-9333-4E3FB96D5776}"/>
    <cellStyle name="Note 16 2 16" xfId="19782" xr:uid="{1E5CF036-A42B-458B-8C82-7649AD819061}"/>
    <cellStyle name="Note 16 2 16 2" xfId="40399" xr:uid="{38E54963-7B9D-4A82-9AB3-97C685ADDE18}"/>
    <cellStyle name="Note 16 2 17" xfId="21654" xr:uid="{9242CDC0-AB1F-490B-AF6C-7A17AFE82A76}"/>
    <cellStyle name="Note 16 2 17 2" xfId="41727" xr:uid="{7E19621A-1632-4129-9CC7-92C0E2565698}"/>
    <cellStyle name="Note 16 2 18" xfId="20889" xr:uid="{AE1ADCB8-773D-4C09-A0B9-9B86F1A183A8}"/>
    <cellStyle name="Note 16 2 18 2" xfId="41197" xr:uid="{A804224F-1D1B-4AB4-B9FC-2FBB52AE3BD4}"/>
    <cellStyle name="Note 16 2 19" xfId="16387" xr:uid="{C91912CD-6961-46A1-ACD7-7FF8E4B84CBE}"/>
    <cellStyle name="Note 16 2 19 2" xfId="37898" xr:uid="{3EE7F7B1-24EF-4C80-B02D-DE9E9D3A5A2E}"/>
    <cellStyle name="Note 16 2 2" xfId="2815" xr:uid="{C08C0A65-1641-4D94-87AC-09329865AB91}"/>
    <cellStyle name="Note 16 2 2 10" xfId="7387" xr:uid="{69989CDC-D0BB-437B-8603-A9D0B07EFFB0}"/>
    <cellStyle name="Note 16 2 2 10 2" xfId="31749" xr:uid="{F4029CD7-FC32-46BF-B1B9-1D192CC2D528}"/>
    <cellStyle name="Note 16 2 2 11" xfId="14742" xr:uid="{FF7CE1C8-F624-4E21-88DD-5E6E7489FE0A}"/>
    <cellStyle name="Note 16 2 2 11 2" xfId="36654" xr:uid="{C5520D19-7980-40AF-8DD0-FF30C88011EC}"/>
    <cellStyle name="Note 16 2 2 12" xfId="12460" xr:uid="{4DF0B010-E4BC-4314-9062-D8ADD2D33ADE}"/>
    <cellStyle name="Note 16 2 2 12 2" xfId="34906" xr:uid="{0A3F0423-9E14-41D6-8ED2-86714F6ACD6F}"/>
    <cellStyle name="Note 16 2 2 13" xfId="15581" xr:uid="{B4303580-0528-4282-A1FA-C8D640C55496}"/>
    <cellStyle name="Note 16 2 2 13 2" xfId="37239" xr:uid="{7828D9DA-C899-4169-BA98-B5F0F7991A0E}"/>
    <cellStyle name="Note 16 2 2 14" xfId="21047" xr:uid="{1818F6BA-9384-4662-877B-12A062C60CF2}"/>
    <cellStyle name="Note 16 2 2 14 2" xfId="41295" xr:uid="{3E10B81B-9451-4D39-A7D9-DABC672431DE}"/>
    <cellStyle name="Note 16 2 2 15" xfId="13918" xr:uid="{0ABE01AC-C8EE-4FB8-B811-6C8F76553BDD}"/>
    <cellStyle name="Note 16 2 2 15 2" xfId="36030" xr:uid="{1416A1C0-6916-412A-B4C8-22A835A78188}"/>
    <cellStyle name="Note 16 2 2 16" xfId="21639" xr:uid="{333C8C76-051E-4B11-9266-EC986AB8F07F}"/>
    <cellStyle name="Note 16 2 2 16 2" xfId="41713" xr:uid="{600620AF-9614-4E81-80AC-44485385E143}"/>
    <cellStyle name="Note 16 2 2 17" xfId="15291" xr:uid="{C55DE716-68A4-44C6-9385-0082D518C87C}"/>
    <cellStyle name="Note 16 2 2 17 2" xfId="37006" xr:uid="{FE157002-EF61-4808-B8DA-E2F6C1769B3D}"/>
    <cellStyle name="Note 16 2 2 18" xfId="16386" xr:uid="{41FB244B-5966-4ACB-BC71-2B08969E13B1}"/>
    <cellStyle name="Note 16 2 2 18 2" xfId="37897" xr:uid="{66A31698-DB21-4B12-9276-101FD4DC9E94}"/>
    <cellStyle name="Note 16 2 2 19" xfId="16827" xr:uid="{35FE3BE8-DD74-4091-A022-3AE4ABF9077B}"/>
    <cellStyle name="Note 16 2 2 19 2" xfId="38255" xr:uid="{DEEEB6DD-8818-4134-8F39-C9843D34BBA5}"/>
    <cellStyle name="Note 16 2 2 2" xfId="2816" xr:uid="{B25F11F1-8AA2-4CDF-A35B-E7262598D665}"/>
    <cellStyle name="Note 16 2 2 2 10" xfId="15994" xr:uid="{2B106E2E-E164-4688-8373-F5C231150106}"/>
    <cellStyle name="Note 16 2 2 2 10 2" xfId="37577" xr:uid="{FAFDCBC3-9A77-4636-85CC-B3E7ED4ACA7C}"/>
    <cellStyle name="Note 16 2 2 2 11" xfId="14104" xr:uid="{23143900-0482-4393-8BCF-2FE3C572F2E4}"/>
    <cellStyle name="Note 16 2 2 2 11 2" xfId="36198" xr:uid="{440F0421-B662-454B-8BA0-BF976D58548D}"/>
    <cellStyle name="Note 16 2 2 2 12" xfId="14587" xr:uid="{67107556-E14D-4C85-81D5-E8E4A315FF41}"/>
    <cellStyle name="Note 16 2 2 2 12 2" xfId="36505" xr:uid="{23447596-E7C0-4F11-A706-5EE768DCDB9C}"/>
    <cellStyle name="Note 16 2 2 2 13" xfId="20260" xr:uid="{6679DE06-AA9F-48F8-A73E-828A8E330119}"/>
    <cellStyle name="Note 16 2 2 2 13 2" xfId="40702" xr:uid="{D1100848-576B-45EE-AE05-5692364B416C}"/>
    <cellStyle name="Note 16 2 2 2 14" xfId="17965" xr:uid="{421673A5-223A-4ECA-AE4E-70B6C1FC2C02}"/>
    <cellStyle name="Note 16 2 2 2 14 2" xfId="39063" xr:uid="{1810B7D0-7936-4901-894D-BD1B1294C703}"/>
    <cellStyle name="Note 16 2 2 2 15" xfId="10049" xr:uid="{55B8C6AE-540E-428A-9828-E946C05C09F1}"/>
    <cellStyle name="Note 16 2 2 2 15 2" xfId="33761" xr:uid="{BC0E6A21-775D-4A55-8C56-1A1A448FC03F}"/>
    <cellStyle name="Note 16 2 2 2 16" xfId="21476" xr:uid="{4BA180E4-8E00-4C28-B222-F3D6ABE4319C}"/>
    <cellStyle name="Note 16 2 2 2 16 2" xfId="41605" xr:uid="{64139A0A-1B9E-4F87-88FB-E9B146DEF794}"/>
    <cellStyle name="Note 16 2 2 2 17" xfId="12589" xr:uid="{14FD4ECF-0085-4F5D-BF88-5A21725BC1BF}"/>
    <cellStyle name="Note 16 2 2 2 17 2" xfId="35028" xr:uid="{2CCC457F-55B2-4F6B-BD25-5680D68A5199}"/>
    <cellStyle name="Note 16 2 2 2 18" xfId="20698" xr:uid="{29716C93-5E85-46C0-B43C-229A0BB1D2A0}"/>
    <cellStyle name="Note 16 2 2 2 18 2" xfId="41058" xr:uid="{5F0A27A4-6B95-4793-B4CC-BDF7C6AA7491}"/>
    <cellStyle name="Note 16 2 2 2 19" xfId="22351" xr:uid="{09F451D3-2AB3-415F-A52C-DF34C29BD6A7}"/>
    <cellStyle name="Note 16 2 2 2 19 2" xfId="42206" xr:uid="{CA0F681D-C77A-4255-B023-EB849594621F}"/>
    <cellStyle name="Note 16 2 2 2 2" xfId="8184" xr:uid="{A3A97622-A8E8-43D3-914F-ADFF6F4BFB50}"/>
    <cellStyle name="Note 16 2 2 2 2 2" xfId="32425" xr:uid="{CC68F6CE-E475-4F5C-90A8-D2CC90B8A0B3}"/>
    <cellStyle name="Note 16 2 2 2 20" xfId="18174" xr:uid="{109D3E4B-0511-47FF-9833-0E0E8F010686}"/>
    <cellStyle name="Note 16 2 2 2 20 2" xfId="39227" xr:uid="{E4170221-CAB2-4046-B919-CFD4602BE5D3}"/>
    <cellStyle name="Note 16 2 2 2 21" xfId="24576" xr:uid="{E3E4F8A4-1B82-4935-9C2B-4B88ACE33812}"/>
    <cellStyle name="Note 16 2 2 2 21 2" xfId="43759" xr:uid="{00DCD526-442E-45BA-B322-465AC812D6C9}"/>
    <cellStyle name="Note 16 2 2 2 22" xfId="17894" xr:uid="{9BB9E903-61C0-4B23-809E-D63B026FF649}"/>
    <cellStyle name="Note 16 2 2 2 22 2" xfId="39001" xr:uid="{F859EA03-2ED6-4E4B-9769-B00A7741606D}"/>
    <cellStyle name="Note 16 2 2 2 23" xfId="27196" xr:uid="{99BC7822-0911-4BEE-9EAB-A7A888A4DD23}"/>
    <cellStyle name="Note 16 2 2 2 23 2" xfId="45536" xr:uid="{AC98A11A-779E-453C-A32C-0779C61B17D4}"/>
    <cellStyle name="Note 16 2 2 2 24" xfId="21003" xr:uid="{5D993D09-E619-4E5D-ABA1-C7FF388F7B92}"/>
    <cellStyle name="Note 16 2 2 2 24 2" xfId="41261" xr:uid="{61549176-2FFD-47CB-90C5-F3CAFCFDFFB9}"/>
    <cellStyle name="Note 16 2 2 2 25" xfId="25523" xr:uid="{DF883596-08E2-4135-91D1-CB7428C92054}"/>
    <cellStyle name="Note 16 2 2 2 25 2" xfId="44397" xr:uid="{EE088949-A653-44B1-9BED-6FC9C7D5EE86}"/>
    <cellStyle name="Note 16 2 2 2 26" xfId="28660" xr:uid="{0EA15A04-7BC3-4AA8-86A9-0DE6451755AB}"/>
    <cellStyle name="Note 16 2 2 2 26 2" xfId="46394" xr:uid="{F9571F00-1531-4710-A58D-D04BED115A2F}"/>
    <cellStyle name="Note 16 2 2 2 27" xfId="28331" xr:uid="{C87812A4-671E-4C3E-971F-8552EFB52277}"/>
    <cellStyle name="Note 16 2 2 2 27 2" xfId="46198" xr:uid="{06CC7DE5-6820-48BF-8945-DE3804C3FE1B}"/>
    <cellStyle name="Note 16 2 2 2 28" xfId="6354" xr:uid="{595198B0-C950-488A-8F05-CB4982C8B534}"/>
    <cellStyle name="Note 16 2 2 2 3" xfId="9208" xr:uid="{FEDE5B3E-F5FC-4195-97EC-8E5D4AD57549}"/>
    <cellStyle name="Note 16 2 2 2 3 2" xfId="33202" xr:uid="{622A7853-CAA7-4E83-8EC2-993066136453}"/>
    <cellStyle name="Note 16 2 2 2 4" xfId="7798" xr:uid="{5A3F1BD5-499E-4268-AD97-A807DDEC7929}"/>
    <cellStyle name="Note 16 2 2 2 4 2" xfId="32093" xr:uid="{C80D0292-2CC9-41C7-B8D7-1743CC3CB23A}"/>
    <cellStyle name="Note 16 2 2 2 5" xfId="9012" xr:uid="{3B145F97-DB84-4655-B8EF-96E05FA9315C}"/>
    <cellStyle name="Note 16 2 2 2 5 2" xfId="33014" xr:uid="{7D64EF58-544B-4B6D-892E-7595DC22A166}"/>
    <cellStyle name="Note 16 2 2 2 6" xfId="13086" xr:uid="{6FF01DA4-5DBC-4648-9713-D033B4C25818}"/>
    <cellStyle name="Note 16 2 2 2 6 2" xfId="35434" xr:uid="{A31465F4-A849-4143-B001-8488CEBEEF87}"/>
    <cellStyle name="Note 16 2 2 2 7" xfId="8567" xr:uid="{1118ED00-18B9-470F-867F-9C631030C883}"/>
    <cellStyle name="Note 16 2 2 2 7 2" xfId="32753" xr:uid="{3795C24F-BE93-4583-B4FE-67BDBC7FC3A4}"/>
    <cellStyle name="Note 16 2 2 2 8" xfId="14942" xr:uid="{4DC97613-6E93-4682-A997-36AF870016C2}"/>
    <cellStyle name="Note 16 2 2 2 8 2" xfId="36817" xr:uid="{CA26F6BA-F0FF-43F7-A740-A15FED32FEB3}"/>
    <cellStyle name="Note 16 2 2 2 9" xfId="11807" xr:uid="{38F13CB2-557A-468C-8366-E45F603DAF04}"/>
    <cellStyle name="Note 16 2 2 2 9 2" xfId="34420" xr:uid="{0B47ED23-23FA-4614-A5B9-F360FF3BE7EE}"/>
    <cellStyle name="Note 16 2 2 20" xfId="24795" xr:uid="{E8BD4D53-CF0F-4642-93AB-8AAFA4EA096F}"/>
    <cellStyle name="Note 16 2 2 20 2" xfId="43940" xr:uid="{1FF392DB-46FA-428E-8954-1BC6B63E01F7}"/>
    <cellStyle name="Note 16 2 2 21" xfId="16244" xr:uid="{898A26D7-DEFE-4122-B0F8-B55D7F626507}"/>
    <cellStyle name="Note 16 2 2 21 2" xfId="37788" xr:uid="{68BB2A61-2879-4908-ADDD-2CAF62CA2B8C}"/>
    <cellStyle name="Note 16 2 2 22" xfId="18664" xr:uid="{9E79098F-9C57-40F6-ABEA-C98A97B6B1DA}"/>
    <cellStyle name="Note 16 2 2 22 2" xfId="39549" xr:uid="{0FCF852D-BC26-48C3-95E7-61D615CA5655}"/>
    <cellStyle name="Note 16 2 2 23" xfId="22562" xr:uid="{3DBA74A4-27CD-4D29-9268-3053ADAF6799}"/>
    <cellStyle name="Note 16 2 2 23 2" xfId="42352" xr:uid="{0773CBE2-2C19-4F52-8386-DD4A464CD641}"/>
    <cellStyle name="Note 16 2 2 24" xfId="29499" xr:uid="{AA8A33CA-A67A-4CB7-AE90-7DEC7A57043F}"/>
    <cellStyle name="Note 16 2 2 24 2" xfId="46915" xr:uid="{3CC1B88D-5549-4818-ADCA-7E6BBECC263C}"/>
    <cellStyle name="Note 16 2 2 25" xfId="25600" xr:uid="{A0850464-C549-4510-BE94-53BE49A9CC31}"/>
    <cellStyle name="Note 16 2 2 25 2" xfId="44462" xr:uid="{DE7B2DC1-A553-4AA2-952C-590E04D16296}"/>
    <cellStyle name="Note 16 2 2 26" xfId="23575" xr:uid="{465E7446-0465-42C2-BCC1-F633897104B1}"/>
    <cellStyle name="Note 16 2 2 26 2" xfId="43010" xr:uid="{9CC4BC2F-52CD-4F33-A6AF-9813AE52F5BD}"/>
    <cellStyle name="Note 16 2 2 27" xfId="28663" xr:uid="{94C10F1E-40DD-4422-B7F9-AE528D354BCB}"/>
    <cellStyle name="Note 16 2 2 27 2" xfId="46397" xr:uid="{860C5410-D0EA-4D05-B7C8-473B898000EB}"/>
    <cellStyle name="Note 16 2 2 28" xfId="28345" xr:uid="{D403CA2B-F240-4366-BA33-B76F627B8880}"/>
    <cellStyle name="Note 16 2 2 28 2" xfId="46212" xr:uid="{EB313DAF-E600-427D-AAB4-E52419FE543E}"/>
    <cellStyle name="Note 16 2 2 29" xfId="6353" xr:uid="{040D062F-5C53-448D-9DB2-4AB43A359144}"/>
    <cellStyle name="Note 16 2 2 3" xfId="8185" xr:uid="{8E205164-C99F-492F-A566-297C8A4EA098}"/>
    <cellStyle name="Note 16 2 2 3 2" xfId="32426" xr:uid="{ED5C71E2-008B-4EC0-9FC8-0A8D9ABB4D48}"/>
    <cellStyle name="Note 16 2 2 4" xfId="12141" xr:uid="{1F351598-192E-4E17-A37B-0D75D2811BAA}"/>
    <cellStyle name="Note 16 2 2 4 2" xfId="34686" xr:uid="{05591D9E-A820-4E1A-B699-4D27E2099414}"/>
    <cellStyle name="Note 16 2 2 5" xfId="7799" xr:uid="{9B5FE261-6121-4B50-AE33-CF27178D5D72}"/>
    <cellStyle name="Note 16 2 2 5 2" xfId="32094" xr:uid="{825ACD56-9BCB-4C1D-9327-B27D739DCA4C}"/>
    <cellStyle name="Note 16 2 2 6" xfId="9013" xr:uid="{04047752-361A-4F86-B2C7-FD0BD10ED27E}"/>
    <cellStyle name="Note 16 2 2 6 2" xfId="33015" xr:uid="{D5C91F81-8C66-4362-86BD-69F0B196098F}"/>
    <cellStyle name="Note 16 2 2 7" xfId="10379" xr:uid="{F4A27BB9-1B9F-4FF4-A631-395B10C6DD3A}"/>
    <cellStyle name="Note 16 2 2 7 2" xfId="34014" xr:uid="{51A27031-11DA-49DA-9735-EA650418B7CE}"/>
    <cellStyle name="Note 16 2 2 8" xfId="15058" xr:uid="{F1AD5750-3109-4494-A35A-72F083237465}"/>
    <cellStyle name="Note 16 2 2 8 2" xfId="36904" xr:uid="{FF64E298-27FA-4DAD-B63E-86F5728917EF}"/>
    <cellStyle name="Note 16 2 2 9" xfId="12943" xr:uid="{B47DB392-2529-4878-98A7-BAB054B2A55D}"/>
    <cellStyle name="Note 16 2 2 9 2" xfId="35299" xr:uid="{98320100-0345-40D2-AF7B-151E2919622C}"/>
    <cellStyle name="Note 16 2 20" xfId="20697" xr:uid="{F2C7ADFA-9B3A-42E5-A26D-7C037E6D7544}"/>
    <cellStyle name="Note 16 2 20 2" xfId="41057" xr:uid="{72D966D8-0451-42C6-80CA-BCC15FB27F95}"/>
    <cellStyle name="Note 16 2 21" xfId="22900" xr:uid="{C22E0691-BA5C-4CD1-82B7-6E280946DFB3}"/>
    <cellStyle name="Note 16 2 21 2" xfId="42618" xr:uid="{712C1E48-0DAC-413D-9016-BBBD9A832AEE}"/>
    <cellStyle name="Note 16 2 22" xfId="18175" xr:uid="{C8320473-EF76-47E2-8A5D-7EBD0C1970D3}"/>
    <cellStyle name="Note 16 2 22 2" xfId="39228" xr:uid="{CE70BA75-A6B7-4736-B5BD-EC5C541B9A21}"/>
    <cellStyle name="Note 16 2 23" xfId="25287" xr:uid="{E35C1EE3-FDE8-43DF-8C5B-0076C82FD83C}"/>
    <cellStyle name="Note 16 2 23 2" xfId="44203" xr:uid="{6C669B1E-A927-45E0-B423-76A4124935E0}"/>
    <cellStyle name="Note 16 2 24" xfId="22037" xr:uid="{EBCDE1DD-D52E-4487-8AAA-37BF24CAD264}"/>
    <cellStyle name="Note 16 2 24 2" xfId="41932" xr:uid="{A405F3AE-7E39-45DE-AE40-BBDBCDF5C7A6}"/>
    <cellStyle name="Note 16 2 25" xfId="29739" xr:uid="{3CD9DA6A-3FC4-4063-9DA8-57DC07E9E09B}"/>
    <cellStyle name="Note 16 2 25 2" xfId="47064" xr:uid="{9C049CB6-A065-49AB-8A18-375C9D97BB20}"/>
    <cellStyle name="Note 16 2 26" xfId="28652" xr:uid="{2C571CEB-5961-4462-9F56-2FE5951D4CDC}"/>
    <cellStyle name="Note 16 2 26 2" xfId="46386" xr:uid="{43F7F9DD-C0FB-4EF7-9029-5BC456F2668F}"/>
    <cellStyle name="Note 16 2 27" xfId="23704" xr:uid="{D5E803E8-AB24-4E87-A3EA-2327D7473493}"/>
    <cellStyle name="Note 16 2 27 2" xfId="43122" xr:uid="{2EBC503D-8F0F-46B1-86E9-6284BA354A3A}"/>
    <cellStyle name="Note 16 2 28" xfId="23060" xr:uid="{DCB19FD7-46D4-4B54-8297-014E172457E2}"/>
    <cellStyle name="Note 16 2 28 2" xfId="42693" xr:uid="{CBB39ECD-E012-4828-B9CB-09DD561BDF19}"/>
    <cellStyle name="Note 16 2 29" xfId="28346" xr:uid="{D25E04E9-DE3C-4E84-8372-F7E2BE8C56E0}"/>
    <cellStyle name="Note 16 2 29 2" xfId="46213" xr:uid="{1D505CEC-CDA5-4DB6-BC0C-7D5FE6D2ED71}"/>
    <cellStyle name="Note 16 2 3" xfId="2817" xr:uid="{80D790BE-2C96-4935-A48D-39DCFADEED85}"/>
    <cellStyle name="Note 16 2 3 10" xfId="12218" xr:uid="{6F3A9359-F806-408A-9DE7-402273E687A5}"/>
    <cellStyle name="Note 16 2 3 10 2" xfId="34725" xr:uid="{6F274198-99D1-4422-B739-AF49848CA9EC}"/>
    <cellStyle name="Note 16 2 3 11" xfId="12461" xr:uid="{5617EF56-0E21-4FD2-9766-48827C8BB06A}"/>
    <cellStyle name="Note 16 2 3 11 2" xfId="34907" xr:uid="{2AFC1FFF-4D5A-4C4C-B71B-F82DD64AED87}"/>
    <cellStyle name="Note 16 2 3 12" xfId="14580" xr:uid="{9A6696DB-FBD2-49A0-BD8D-EB9469B02C32}"/>
    <cellStyle name="Note 16 2 3 12 2" xfId="36498" xr:uid="{0D1BEC5E-227F-4E49-8ABB-B167855841AF}"/>
    <cellStyle name="Note 16 2 3 13" xfId="21038" xr:uid="{9AB64D2D-EF11-4911-A6B3-D279DE3A01FE}"/>
    <cellStyle name="Note 16 2 3 13 2" xfId="41287" xr:uid="{3073462B-A360-4A52-9AFF-59F9C85C31E6}"/>
    <cellStyle name="Note 16 2 3 14" xfId="20846" xr:uid="{8690E781-598E-40C9-A216-F666259D3173}"/>
    <cellStyle name="Note 16 2 3 14 2" xfId="41188" xr:uid="{6309E6C3-6455-4593-8A1C-35FFACF735F9}"/>
    <cellStyle name="Note 16 2 3 15" xfId="10050" xr:uid="{4ACC0B63-16E0-462F-803F-2ADD91EC4856}"/>
    <cellStyle name="Note 16 2 3 15 2" xfId="33762" xr:uid="{ED8D2900-8F6C-4923-B808-E01443ECAF69}"/>
    <cellStyle name="Note 16 2 3 16" xfId="19650" xr:uid="{AC69E8A6-8BA8-455A-97DA-6B1BF45E81D5}"/>
    <cellStyle name="Note 16 2 3 16 2" xfId="40290" xr:uid="{7210D294-38D1-481B-84C8-01F837628487}"/>
    <cellStyle name="Note 16 2 3 17" xfId="16385" xr:uid="{3C454A07-D724-4422-AC22-C2AFC6256537}"/>
    <cellStyle name="Note 16 2 3 17 2" xfId="37896" xr:uid="{76549EB8-8130-48B0-BB9F-B5958F04A939}"/>
    <cellStyle name="Note 16 2 3 18" xfId="20699" xr:uid="{F44B8C14-2544-4EDC-BA15-2CD50BF9C782}"/>
    <cellStyle name="Note 16 2 3 18 2" xfId="41059" xr:uid="{FDA1DB36-7C4D-40D7-A28A-90F125C4FB8D}"/>
    <cellStyle name="Note 16 2 3 19" xfId="24794" xr:uid="{906B3FAB-8C03-474C-9073-E3B8735507C5}"/>
    <cellStyle name="Note 16 2 3 19 2" xfId="43939" xr:uid="{E8DF2F6E-C3FB-4B25-B91D-E89A6881ADCA}"/>
    <cellStyle name="Note 16 2 3 2" xfId="8183" xr:uid="{F771645B-53E7-4EEB-846D-2C7CA02AB0CA}"/>
    <cellStyle name="Note 16 2 3 2 2" xfId="32424" xr:uid="{20CB560D-415E-4E6F-924A-46A953AD2966}"/>
    <cellStyle name="Note 16 2 3 20" xfId="12624" xr:uid="{913593FE-8BDC-4D92-A001-E0E5741A32A4}"/>
    <cellStyle name="Note 16 2 3 20 2" xfId="35054" xr:uid="{A44DC8F5-D458-445F-9669-B13BEEFBDD57}"/>
    <cellStyle name="Note 16 2 3 21" xfId="16932" xr:uid="{BB2D4A01-A1D2-47EF-B916-ADA0A055B4AC}"/>
    <cellStyle name="Note 16 2 3 21 2" xfId="38303" xr:uid="{06EB66D6-FF20-42BF-8854-525E940D32FE}"/>
    <cellStyle name="Note 16 2 3 22" xfId="17793" xr:uid="{E1D86C31-7B35-4F96-A04C-4744054B2193}"/>
    <cellStyle name="Note 16 2 3 22 2" xfId="38921" xr:uid="{E2E7676C-DC61-4108-B010-74CE943E8EC7}"/>
    <cellStyle name="Note 16 2 3 23" xfId="26127" xr:uid="{D5D0B24F-E1C4-4FFD-BD08-E6CE8DC61C76}"/>
    <cellStyle name="Note 16 2 3 23 2" xfId="44870" xr:uid="{CBE5885E-4884-408A-B5FD-20D1950A9982}"/>
    <cellStyle name="Note 16 2 3 24" xfId="23909" xr:uid="{3247DFBD-0285-43C4-A129-5C96D0FEF915}"/>
    <cellStyle name="Note 16 2 3 24 2" xfId="43287" xr:uid="{DF825B1A-96F7-4614-A7DA-4EC6F0BB6219}"/>
    <cellStyle name="Note 16 2 3 25" xfId="23673" xr:uid="{39D8F29E-A9BA-42F0-B615-1D0E111D5661}"/>
    <cellStyle name="Note 16 2 3 25 2" xfId="43095" xr:uid="{30466F17-A672-46C2-836B-5321BC764DB0}"/>
    <cellStyle name="Note 16 2 3 26" xfId="25893" xr:uid="{C9578871-2200-476A-A0E5-19BD8520170E}"/>
    <cellStyle name="Note 16 2 3 26 2" xfId="44699" xr:uid="{CE11BD2C-7BD1-4D09-A712-327C660AABD2}"/>
    <cellStyle name="Note 16 2 3 27" xfId="29343" xr:uid="{62623464-49D4-4F42-A980-8028B87D413B}"/>
    <cellStyle name="Note 16 2 3 27 2" xfId="46816" xr:uid="{EF19BE71-485A-486B-BE2C-98E170F8147F}"/>
    <cellStyle name="Note 16 2 3 28" xfId="6355" xr:uid="{2A5084AB-03D7-442D-8BC7-AD1D4C216235}"/>
    <cellStyle name="Note 16 2 3 3" xfId="9209" xr:uid="{9EDA5DC1-E184-4FB5-AB9D-24F05CC91017}"/>
    <cellStyle name="Note 16 2 3 3 2" xfId="33203" xr:uid="{3CAE2A7F-54E2-43DE-95CB-9254C00F64FD}"/>
    <cellStyle name="Note 16 2 3 4" xfId="7796" xr:uid="{C42261BC-8753-497B-9DA8-7C198A5E5981}"/>
    <cellStyle name="Note 16 2 3 4 2" xfId="32092" xr:uid="{0D228731-6038-4D30-BAE2-C3B5612C3865}"/>
    <cellStyle name="Note 16 2 3 5" xfId="9011" xr:uid="{AA4E66D9-B75B-4310-9A0F-A23213977539}"/>
    <cellStyle name="Note 16 2 3 5 2" xfId="33013" xr:uid="{20E23777-1391-4A03-A34E-C1AE6BC28271}"/>
    <cellStyle name="Note 16 2 3 6" xfId="14353" xr:uid="{94592460-DCAC-4BAD-9A76-304EF877FC62}"/>
    <cellStyle name="Note 16 2 3 6 2" xfId="36380" xr:uid="{CB5B7237-A9F0-4451-B87D-B19A78A4BCD1}"/>
    <cellStyle name="Note 16 2 3 7" xfId="15059" xr:uid="{1C23A364-56F2-4C12-9292-E574718A4E58}"/>
    <cellStyle name="Note 16 2 3 7 2" xfId="36905" xr:uid="{80136D93-D770-4EAA-9DEF-F3DC486AF833}"/>
    <cellStyle name="Note 16 2 3 8" xfId="10535" xr:uid="{E3E752E7-F3A8-403D-97B6-80A38899C9ED}"/>
    <cellStyle name="Note 16 2 3 8 2" xfId="34161" xr:uid="{B687A33E-2275-4476-9062-666E4140DC42}"/>
    <cellStyle name="Note 16 2 3 9" xfId="7386" xr:uid="{593472E6-8779-4054-A11B-B74896B7E939}"/>
    <cellStyle name="Note 16 2 3 9 2" xfId="31748" xr:uid="{EF13A09A-8961-40B2-9E0D-669721554E5F}"/>
    <cellStyle name="Note 16 2 30" xfId="6352" xr:uid="{AE939D0B-B22B-4FC1-AFA1-8D8B6320E903}"/>
    <cellStyle name="Note 16 2 4" xfId="8186" xr:uid="{4DAE6B6A-8728-4242-AE04-D6DD7E67E20B}"/>
    <cellStyle name="Note 16 2 4 2" xfId="32427" xr:uid="{2CE93587-D1BB-4494-9837-2BC2D6B97ABE}"/>
    <cellStyle name="Note 16 2 5" xfId="9207" xr:uid="{358F64E1-B0BA-4B87-8837-5D5CFC5C9750}"/>
    <cellStyle name="Note 16 2 5 2" xfId="33201" xr:uid="{F4251314-7AA3-4ABB-B3BA-02C01C5B6B6B}"/>
    <cellStyle name="Note 16 2 6" xfId="7800" xr:uid="{3FD0FC12-45D7-4B78-AF56-D2F56D2FFA5E}"/>
    <cellStyle name="Note 16 2 6 2" xfId="32095" xr:uid="{2AD2078B-4B89-45DF-A398-CF83C88449A6}"/>
    <cellStyle name="Note 16 2 7" xfId="9014" xr:uid="{CCEB30ED-3A03-448E-9D69-D285EEFC0861}"/>
    <cellStyle name="Note 16 2 7 2" xfId="33016" xr:uid="{67FF3609-61DC-47FC-88AD-A09697FF9D85}"/>
    <cellStyle name="Note 16 2 8" xfId="13087" xr:uid="{36F47CC4-5167-485F-917D-ACD48D1CC4CB}"/>
    <cellStyle name="Note 16 2 8 2" xfId="35435" xr:uid="{5576B9EC-EB02-4DA4-A904-8C47750B4772}"/>
    <cellStyle name="Note 16 2 9" xfId="8556" xr:uid="{4592521D-935C-4BAF-98F5-277B15F14C5C}"/>
    <cellStyle name="Note 16 2 9 2" xfId="32742" xr:uid="{AA5A79EA-F4D2-43E4-847C-E61761D0CA65}"/>
    <cellStyle name="Note 16 2_Sheet2" xfId="2818" xr:uid="{2C1144A4-644D-4538-A9BB-47AE7A5C726C}"/>
    <cellStyle name="Note 16 20" xfId="9819" xr:uid="{3A0F9BAC-2519-4DBA-9347-681F736A3129}"/>
    <cellStyle name="Note 16 20 2" xfId="33585" xr:uid="{32275EDB-82B5-452C-96F6-F57F1522603A}"/>
    <cellStyle name="Note 16 21" xfId="19796" xr:uid="{345898C3-AF06-4C38-B9E5-0D95387D8411}"/>
    <cellStyle name="Note 16 21 2" xfId="40413" xr:uid="{124EEF7D-7B05-4741-880F-093F18F265B3}"/>
    <cellStyle name="Note 16 22" xfId="21642" xr:uid="{1D428E60-E48B-40E1-AC76-A0108E8C13B8}"/>
    <cellStyle name="Note 16 22 2" xfId="41716" xr:uid="{0455AF69-E06A-45AC-95F2-BEBA20648CF8}"/>
    <cellStyle name="Note 16 23" xfId="21477" xr:uid="{68CD7E58-18C7-40A7-9F82-143255CFAA90}"/>
    <cellStyle name="Note 16 23 2" xfId="41606" xr:uid="{26C120BF-A002-4944-8DCB-9DC6B7B76020}"/>
    <cellStyle name="Note 16 24" xfId="15841" xr:uid="{C64719FE-D38F-4FF4-8732-D66298840865}"/>
    <cellStyle name="Note 16 24 2" xfId="37449" xr:uid="{44447BA7-CE33-4C86-8D1E-56BF2E3E1E3F}"/>
    <cellStyle name="Note 16 25" xfId="18923" xr:uid="{0B812888-C131-4373-B5DD-35994C0E770F}"/>
    <cellStyle name="Note 16 25 2" xfId="39756" xr:uid="{AAB59452-C24F-495C-8BFF-01A85ACB74CE}"/>
    <cellStyle name="Note 16 26" xfId="24796" xr:uid="{7EF960B2-B13F-4EB0-B95F-2E09D348AE2B}"/>
    <cellStyle name="Note 16 26 2" xfId="43941" xr:uid="{8E6B0F9F-A8E7-4CE8-BD4A-9BEBEE6490FC}"/>
    <cellStyle name="Note 16 27" xfId="24937" xr:uid="{3146E9D5-E9DF-4E97-B849-6702D74C7F3C}"/>
    <cellStyle name="Note 16 27 2" xfId="44019" xr:uid="{3E1CF555-DDF2-49CB-B3C5-963EC73ED57A}"/>
    <cellStyle name="Note 16 28" xfId="24577" xr:uid="{4AFFDCBC-05E6-498D-B370-39D43A559664}"/>
    <cellStyle name="Note 16 28 2" xfId="43760" xr:uid="{BDBDE81E-9F23-4243-AA1A-AAEE5CD6C245}"/>
    <cellStyle name="Note 16 29" xfId="21254" xr:uid="{DC67297E-5DF4-4FE0-96B6-67AEDD4D9D79}"/>
    <cellStyle name="Note 16 29 2" xfId="41436" xr:uid="{EEEEFE2E-C7EA-4F6C-A732-9B82BFFA7D5B}"/>
    <cellStyle name="Note 16 3" xfId="2819" xr:uid="{3DB44837-1B12-4583-BB62-D36D2248D8C2}"/>
    <cellStyle name="Note 16 3 10" xfId="7385" xr:uid="{D1C84AF7-1279-4089-84DC-4FF95DD03B9E}"/>
    <cellStyle name="Note 16 3 10 2" xfId="31747" xr:uid="{DBCA1D88-3043-4CD7-8253-AC044FF43F8C}"/>
    <cellStyle name="Note 16 3 11" xfId="14740" xr:uid="{69FB1CE2-3251-440C-8C89-BD4B7F2EEF8C}"/>
    <cellStyle name="Note 16 3 11 2" xfId="36652" xr:uid="{AED6E7CA-F69D-4EE4-A934-898422CB6584}"/>
    <cellStyle name="Note 16 3 12" xfId="12462" xr:uid="{2041A2B8-8763-4D9B-9614-A73BE05E0DC0}"/>
    <cellStyle name="Note 16 3 12 2" xfId="34908" xr:uid="{87FDFFA6-B564-4F5E-A61D-9FB66E6A4CB3}"/>
    <cellStyle name="Note 16 3 13" xfId="20277" xr:uid="{571FAB0C-1C2F-4C83-8D65-A131A58DB2DC}"/>
    <cellStyle name="Note 16 3 13 2" xfId="40716" xr:uid="{73982063-BAA5-4654-A4AC-62879A55EB44}"/>
    <cellStyle name="Note 16 3 14" xfId="9821" xr:uid="{70384DBF-6DD0-403E-B03C-E7FE366F1630}"/>
    <cellStyle name="Note 16 3 14 2" xfId="33587" xr:uid="{34C6E362-D3E1-4850-9A4F-34533CA3D2A3}"/>
    <cellStyle name="Note 16 3 15" xfId="17978" xr:uid="{44673C56-DAEC-4D85-9F58-51FB7FA20216}"/>
    <cellStyle name="Note 16 3 15 2" xfId="39076" xr:uid="{9663EE5D-6170-420E-B8C6-51CC90C955BE}"/>
    <cellStyle name="Note 16 3 16" xfId="10051" xr:uid="{6E5D6625-0A78-42B2-9E28-85B05932EA55}"/>
    <cellStyle name="Note 16 3 16 2" xfId="33763" xr:uid="{083CD78A-E927-4522-B6EE-4A886D3C23B4}"/>
    <cellStyle name="Note 16 3 17" xfId="17717" xr:uid="{11E3688B-70AF-4453-8EDE-CBDC22B11E19}"/>
    <cellStyle name="Note 16 3 17 2" xfId="38893" xr:uid="{C91D7C16-8B31-4510-85F4-B8709CA3BFAF}"/>
    <cellStyle name="Note 16 3 18" xfId="18368" xr:uid="{44081CF3-02CC-4D64-B459-E1A8F8266AE0}"/>
    <cellStyle name="Note 16 3 18 2" xfId="39382" xr:uid="{EC80C4C1-310E-4082-8B36-06BE600E614A}"/>
    <cellStyle name="Note 16 3 19" xfId="20700" xr:uid="{83CE737C-FF0C-41EA-969C-5DB8D3A1C934}"/>
    <cellStyle name="Note 16 3 19 2" xfId="41060" xr:uid="{761EE392-AA45-457E-B08B-01D8246C9C80}"/>
    <cellStyle name="Note 16 3 2" xfId="2820" xr:uid="{6B60DADE-8751-47C1-8549-432F8B170C97}"/>
    <cellStyle name="Note 16 3 2 10" xfId="15996" xr:uid="{F4C14F12-5185-4AE8-A452-DE0046C7AAC5}"/>
    <cellStyle name="Note 16 3 2 10 2" xfId="37579" xr:uid="{5CFC0350-938E-4427-AD96-2737DD994CE9}"/>
    <cellStyle name="Note 16 3 2 11" xfId="14102" xr:uid="{2F5CC4CC-10C7-44C0-BB52-D791D9DFD871}"/>
    <cellStyle name="Note 16 3 2 11 2" xfId="36196" xr:uid="{EF43AE00-F7A1-4099-95FA-3DB6E7D24EA1}"/>
    <cellStyle name="Note 16 3 2 12" xfId="13831" xr:uid="{CD3C6200-390E-457C-9D28-11CB8F41AA87}"/>
    <cellStyle name="Note 16 3 2 12 2" xfId="35956" xr:uid="{6419B1CC-7A55-4CFD-A3ED-F2724D1D2D21}"/>
    <cellStyle name="Note 16 3 2 13" xfId="9858" xr:uid="{D887292B-374E-43C3-8C1F-6803E4280F78}"/>
    <cellStyle name="Note 16 3 2 13 2" xfId="33604" xr:uid="{8CC80D25-2651-46E8-8710-454CA3A44ADB}"/>
    <cellStyle name="Note 16 3 2 14" xfId="19795" xr:uid="{DDE59C96-B215-4AAB-8526-E82A443FE034}"/>
    <cellStyle name="Note 16 3 2 14 2" xfId="40412" xr:uid="{3C4C6EE4-31B1-43A4-8A24-D44E68963D2C}"/>
    <cellStyle name="Note 16 3 2 15" xfId="10052" xr:uid="{AB33991E-2DAA-498D-8A58-FCF58FE62873}"/>
    <cellStyle name="Note 16 3 2 15 2" xfId="33764" xr:uid="{E4AAC7A7-F496-4819-ADE5-7165DF47B007}"/>
    <cellStyle name="Note 16 3 2 16" xfId="15292" xr:uid="{BC667665-D722-4B90-A38A-86460480B413}"/>
    <cellStyle name="Note 16 3 2 16 2" xfId="37007" xr:uid="{918B2782-7538-4296-AE51-ECCFBA6B6C57}"/>
    <cellStyle name="Note 16 3 2 17" xfId="21995" xr:uid="{2ACE4FA5-145B-430D-8D08-98A441CAEF07}"/>
    <cellStyle name="Note 16 3 2 17 2" xfId="41892" xr:uid="{BC6734F5-32E7-4336-9537-B820F96F3155}"/>
    <cellStyle name="Note 16 3 2 18" xfId="18924" xr:uid="{6DDF20EF-F2B3-4CEF-AB77-1486D963791F}"/>
    <cellStyle name="Note 16 3 2 18 2" xfId="39757" xr:uid="{F6E54A14-6A96-4A73-9D47-69BF6E6F9A4E}"/>
    <cellStyle name="Note 16 3 2 19" xfId="24792" xr:uid="{BDDEBFC1-8284-4F7E-83FE-9C7BC680EA6D}"/>
    <cellStyle name="Note 16 3 2 19 2" xfId="43937" xr:uid="{8E67AFE4-C91C-4C9E-90C0-A9254024D93A}"/>
    <cellStyle name="Note 16 3 2 2" xfId="8181" xr:uid="{FEFA1B9C-0F59-428F-A543-996FBADA7ADC}"/>
    <cellStyle name="Note 16 3 2 2 2" xfId="32422" xr:uid="{5D220B28-0FA6-4C69-9786-5D6383F6E8D8}"/>
    <cellStyle name="Note 16 3 2 20" xfId="18173" xr:uid="{77A2B608-A2C3-453D-9F95-7ED30C9ADDCC}"/>
    <cellStyle name="Note 16 3 2 20 2" xfId="39226" xr:uid="{F4B28DC7-F51F-4135-87DC-1AD548ECC3EA}"/>
    <cellStyle name="Note 16 3 2 21" xfId="24575" xr:uid="{91308D5D-8C03-4F55-BFB7-50527A78DD48}"/>
    <cellStyle name="Note 16 3 2 21 2" xfId="43758" xr:uid="{BE4B7D34-1086-4933-8277-5D8998B8C089}"/>
    <cellStyle name="Note 16 3 2 22" xfId="21255" xr:uid="{B0A9607E-D600-4368-85B7-6C6E951DFE64}"/>
    <cellStyle name="Note 16 3 2 22 2" xfId="41437" xr:uid="{EC19F63D-7A21-4B94-8864-B1EAF78A31D8}"/>
    <cellStyle name="Note 16 3 2 23" xfId="26126" xr:uid="{6055AF04-BB5D-4F46-A89C-91C93754CE84}"/>
    <cellStyle name="Note 16 3 2 23 2" xfId="44869" xr:uid="{7FB7EFF9-9AA3-436C-A5C2-68CAAC0C0A9F}"/>
    <cellStyle name="Note 16 3 2 24" xfId="18756" xr:uid="{B158C1D5-DA76-4910-9C9E-875AA8F07DFE}"/>
    <cellStyle name="Note 16 3 2 24 2" xfId="39631" xr:uid="{1A594200-5A78-4298-8581-6641CB2AE814}"/>
    <cellStyle name="Note 16 3 2 25" xfId="29455" xr:uid="{44B621E3-2AA2-4FB7-B8BA-13BD7278844B}"/>
    <cellStyle name="Note 16 3 2 25 2" xfId="46912" xr:uid="{1AD4E020-83FA-48BD-BF0A-2344A21FED22}"/>
    <cellStyle name="Note 16 3 2 26" xfId="20435" xr:uid="{F1F9E890-4FE2-4C07-B20B-0EDAE726EB37}"/>
    <cellStyle name="Note 16 3 2 26 2" xfId="40837" xr:uid="{A9952993-63AB-499C-8FE4-09E9B5114E1B}"/>
    <cellStyle name="Note 16 3 2 27" xfId="26047" xr:uid="{F88C1C9C-0E0C-4208-B7EE-FF722F0EE8F4}"/>
    <cellStyle name="Note 16 3 2 27 2" xfId="44817" xr:uid="{3F8A6179-16E6-4AED-AF4A-D68E30095CFD}"/>
    <cellStyle name="Note 16 3 2 28" xfId="6357" xr:uid="{95606486-A413-4E29-9989-55771AFA7F89}"/>
    <cellStyle name="Note 16 3 2 3" xfId="9211" xr:uid="{52A163E8-E39E-45AD-BB11-D04F217F3D29}"/>
    <cellStyle name="Note 16 3 2 3 2" xfId="33205" xr:uid="{BAEDCC3C-83C1-4FB9-B84D-14B549EC45E8}"/>
    <cellStyle name="Note 16 3 2 4" xfId="7794" xr:uid="{5C3A733A-7DA2-40F6-8FDF-D16C9CD5CF13}"/>
    <cellStyle name="Note 16 3 2 4 2" xfId="32090" xr:uid="{CBE8C314-5115-4CE4-80CA-A501625F812B}"/>
    <cellStyle name="Note 16 3 2 5" xfId="9009" xr:uid="{A9D97D76-DABC-49AE-8202-DECE1F17D84A}"/>
    <cellStyle name="Note 16 3 2 5 2" xfId="33011" xr:uid="{B7046101-D0A3-49DE-A565-4519EE272243}"/>
    <cellStyle name="Note 16 3 2 6" xfId="13085" xr:uid="{AE4F67BF-594E-4246-BDB2-6C3654A4699D}"/>
    <cellStyle name="Note 16 3 2 6 2" xfId="35433" xr:uid="{8283D0AE-C69F-4E18-80A4-E0D67E7231B6}"/>
    <cellStyle name="Note 16 3 2 7" xfId="8565" xr:uid="{AE21D54F-0198-4FA5-86F2-EA91E1A1C251}"/>
    <cellStyle name="Note 16 3 2 7 2" xfId="32751" xr:uid="{FBB6A6EB-E589-4B31-BCE5-F1E92E506E28}"/>
    <cellStyle name="Note 16 3 2 8" xfId="14941" xr:uid="{F6DF02F1-6DA2-42FB-A855-E1CAF0BFFB07}"/>
    <cellStyle name="Note 16 3 2 8 2" xfId="36816" xr:uid="{C6AED400-E5E1-459F-91B5-D6E649CDE4A4}"/>
    <cellStyle name="Note 16 3 2 9" xfId="11714" xr:uid="{A5865475-15B2-4BCA-81F0-10CDDD56B132}"/>
    <cellStyle name="Note 16 3 2 9 2" xfId="34327" xr:uid="{1408BB75-B330-4D42-8F28-7D86EB4CBB06}"/>
    <cellStyle name="Note 16 3 20" xfId="20394" xr:uid="{A5FA60B5-E6A4-4CCC-A5C8-A61421993BD0}"/>
    <cellStyle name="Note 16 3 20 2" xfId="40816" xr:uid="{6F3FC7A9-A926-4C64-8A65-9B8326407EF7}"/>
    <cellStyle name="Note 16 3 21" xfId="17674" xr:uid="{EF410C0B-6DCA-4A9E-BED0-8F872EA49E2B}"/>
    <cellStyle name="Note 16 3 21 2" xfId="38864" xr:uid="{08D06D01-F226-4144-A3D9-97A424C5D8CB}"/>
    <cellStyle name="Note 16 3 22" xfId="21796" xr:uid="{F450EE1C-A304-498B-A11B-35C31723B7EF}"/>
    <cellStyle name="Note 16 3 22 2" xfId="41793" xr:uid="{B13B91CF-4285-4C25-8C0F-F0CE19478EF2}"/>
    <cellStyle name="Note 16 3 23" xfId="22036" xr:uid="{0DE275D0-45EF-4DB7-8FC4-2DE6B7F57475}"/>
    <cellStyle name="Note 16 3 23 2" xfId="41931" xr:uid="{B1F0721A-272F-4A26-B696-191838B63305}"/>
    <cellStyle name="Note 16 3 24" xfId="22622" xr:uid="{0B511BD2-033C-42F0-A209-328A9BE9CE09}"/>
    <cellStyle name="Note 16 3 24 2" xfId="42399" xr:uid="{9C2ED801-6FAD-4FA1-99CF-A576D59DDA46}"/>
    <cellStyle name="Note 16 3 25" xfId="23908" xr:uid="{2150EEDB-C728-42F7-A315-AD90ADB53745}"/>
    <cellStyle name="Note 16 3 25 2" xfId="43286" xr:uid="{E9F34393-8E1E-474A-840D-82C19B0CF854}"/>
    <cellStyle name="Note 16 3 26" xfId="25456" xr:uid="{DC127455-0A92-4A0B-8E9A-5A73D5E42C0C}"/>
    <cellStyle name="Note 16 3 26 2" xfId="44340" xr:uid="{AD089BA9-A869-41EF-A214-EEE4036AADDB}"/>
    <cellStyle name="Note 16 3 27" xfId="28664" xr:uid="{3E1DF3CE-2F10-4432-8215-178BD7259EA0}"/>
    <cellStyle name="Note 16 3 27 2" xfId="46398" xr:uid="{30F7270E-4BD1-4C54-9E88-4F116C6FB326}"/>
    <cellStyle name="Note 16 3 28" xfId="28344" xr:uid="{5DF2F806-0E76-4074-8AF9-2EF10F6B45D8}"/>
    <cellStyle name="Note 16 3 28 2" xfId="46211" xr:uid="{98E3E369-F81A-4ACF-B971-9882E9ED8D75}"/>
    <cellStyle name="Note 16 3 29" xfId="6356" xr:uid="{45B1CBE7-4D20-4CEC-9F65-B9630944A813}"/>
    <cellStyle name="Note 16 3 3" xfId="8182" xr:uid="{8020C30D-DB72-4229-9272-BED56F90E1EE}"/>
    <cellStyle name="Note 16 3 3 2" xfId="32423" xr:uid="{47D11834-BBFF-492F-8EC8-6CFE632EFDB2}"/>
    <cellStyle name="Note 16 3 4" xfId="9210" xr:uid="{22C7B9E8-6438-48CC-AF93-EBD43356826F}"/>
    <cellStyle name="Note 16 3 4 2" xfId="33204" xr:uid="{A7EC51D1-6AA5-4128-8CD7-9857D8CBB57D}"/>
    <cellStyle name="Note 16 3 5" xfId="7795" xr:uid="{6B43196D-66D6-4DFE-BBC0-8158E9E178B6}"/>
    <cellStyle name="Note 16 3 5 2" xfId="32091" xr:uid="{934E54AB-FFC3-4523-A479-8F307B49E5B9}"/>
    <cellStyle name="Note 16 3 6" xfId="9010" xr:uid="{1A32ADCC-1860-451C-8D15-A35E759EB363}"/>
    <cellStyle name="Note 16 3 6 2" xfId="33012" xr:uid="{5ABB2FBF-617B-40A7-A082-B58C72B87271}"/>
    <cellStyle name="Note 16 3 7" xfId="14354" xr:uid="{72402929-ABD1-471C-AB59-56C3DAF827FD}"/>
    <cellStyle name="Note 16 3 7 2" xfId="36381" xr:uid="{D56E88C3-8ED2-423C-BF59-479FF5E42303}"/>
    <cellStyle name="Note 16 3 8" xfId="8566" xr:uid="{789B737F-0F3E-417B-89D3-74B8F1016699}"/>
    <cellStyle name="Note 16 3 8 2" xfId="32752" xr:uid="{63C4E016-6E53-4D79-A465-5804B613025A}"/>
    <cellStyle name="Note 16 3 9" xfId="12942" xr:uid="{53557CEA-199A-41B3-922E-FE36696809FF}"/>
    <cellStyle name="Note 16 3 9 2" xfId="35298" xr:uid="{AB06ACFC-3DEB-42CE-986D-A9D4722D57FB}"/>
    <cellStyle name="Note 16 30" xfId="29244" xr:uid="{742508C1-1D37-457C-8596-60A8C053F468}"/>
    <cellStyle name="Note 16 30 2" xfId="46762" xr:uid="{5850FFF5-A747-42D9-84F6-8778B91DF3CD}"/>
    <cellStyle name="Note 16 31" xfId="27670" xr:uid="{9ECB0232-3C88-450C-8182-9874D708ACD5}"/>
    <cellStyle name="Note 16 31 2" xfId="45785" xr:uid="{29CCEED7-5084-4A3E-8ED3-3A95D2C4EE4C}"/>
    <cellStyle name="Note 16 32" xfId="25455" xr:uid="{614D36ED-D01F-4AED-8685-B7139FF67434}"/>
    <cellStyle name="Note 16 32 2" xfId="44339" xr:uid="{563E7C44-0E73-449C-BE34-144DA9F81F42}"/>
    <cellStyle name="Note 16 33" xfId="28662" xr:uid="{BAFFB7FD-C122-4814-BB08-A25349E1797E}"/>
    <cellStyle name="Note 16 33 2" xfId="46396" xr:uid="{04BE94EB-52D5-4277-8FDB-B346F510EB3F}"/>
    <cellStyle name="Note 16 34" xfId="27595" xr:uid="{CBB1484C-CDE0-4693-BDAE-FBCCC500CA90}"/>
    <cellStyle name="Note 16 34 2" xfId="45744" xr:uid="{2022E80F-D0B8-47A5-9A42-12CFC7875092}"/>
    <cellStyle name="Note 16 35" xfId="6351" xr:uid="{8A90A85F-D62D-43CA-BD80-0CE6471AA76C}"/>
    <cellStyle name="Note 16 4" xfId="2821" xr:uid="{8DAD720C-A463-4C03-BF07-2094A1F4AEF6}"/>
    <cellStyle name="Note 16 4 10" xfId="7371" xr:uid="{2421815B-469B-4A53-A633-57A11AF4807E}"/>
    <cellStyle name="Note 16 4 10 2" xfId="31733" xr:uid="{FFCE00DC-271E-4596-85AE-C3ABC5975AF9}"/>
    <cellStyle name="Note 16 4 11" xfId="12219" xr:uid="{C87E5AF6-1905-4A6E-93B1-03144F987437}"/>
    <cellStyle name="Note 16 4 11 2" xfId="34726" xr:uid="{2B081AD5-0097-4492-BEBF-BA1FC9D5A8E5}"/>
    <cellStyle name="Note 16 4 12" xfId="13473" xr:uid="{8BB2D1FB-ED6E-429A-9457-85BF60E4236E}"/>
    <cellStyle name="Note 16 4 12 2" xfId="35729" xr:uid="{0B011754-8A68-476B-8CE2-93C069E4A5E3}"/>
    <cellStyle name="Note 16 4 13" xfId="16029" xr:uid="{C7E419C7-E749-41C0-BEED-A4DB26D8A0B0}"/>
    <cellStyle name="Note 16 4 13 2" xfId="37612" xr:uid="{03557384-751F-49C6-954B-34BEE416D4FE}"/>
    <cellStyle name="Note 16 4 14" xfId="22712" xr:uid="{00D45866-1C64-4BC0-9010-1C3830D7DCC3}"/>
    <cellStyle name="Note 16 4 14 2" xfId="42471" xr:uid="{B80F4B28-EEEB-4F3F-A1C6-B1471D2EAF6D}"/>
    <cellStyle name="Note 16 4 15" xfId="15724" xr:uid="{79EA3367-B38F-4133-9EC8-9F22B4C06C8F}"/>
    <cellStyle name="Note 16 4 15 2" xfId="37354" xr:uid="{CA0951FD-6769-47AE-A656-03750D4DAA1D}"/>
    <cellStyle name="Note 16 4 16" xfId="10053" xr:uid="{60EC5551-D8F4-47C6-B546-B0D2273BBD71}"/>
    <cellStyle name="Note 16 4 16 2" xfId="33765" xr:uid="{3D1DC392-7AF4-4CBB-AF22-DB5EECCA6B96}"/>
    <cellStyle name="Note 16 4 17" xfId="21475" xr:uid="{474018DF-1503-4DC9-9D72-D565000909E0}"/>
    <cellStyle name="Note 16 4 17 2" xfId="41604" xr:uid="{D68FA72F-0852-4AC2-9BD6-BF6C51946BBA}"/>
    <cellStyle name="Note 16 4 18" xfId="18351" xr:uid="{D71FA541-EEED-4FE8-96BC-08A657B4987E}"/>
    <cellStyle name="Note 16 4 18 2" xfId="39381" xr:uid="{3455F206-B5E0-4633-860F-F19917535ED5}"/>
    <cellStyle name="Note 16 4 19" xfId="20701" xr:uid="{BCE3F59C-DCB0-4FDD-8814-5EF8E8683A28}"/>
    <cellStyle name="Note 16 4 19 2" xfId="41061" xr:uid="{10A7097D-15AC-4C74-BA0A-CE2902679D85}"/>
    <cellStyle name="Note 16 4 2" xfId="2822" xr:uid="{9E3181E9-1829-4760-B80B-C8347CC1AB5F}"/>
    <cellStyle name="Note 16 4 2 10" xfId="14723" xr:uid="{F62FC551-F4CD-419F-928C-90AB4D7DDB7C}"/>
    <cellStyle name="Note 16 4 2 10 2" xfId="36635" xr:uid="{1F316258-B62F-42D3-9FE5-D946F5447B9F}"/>
    <cellStyle name="Note 16 4 2 11" xfId="12488" xr:uid="{5C2CB1B5-377D-4822-AFA8-5D083A9DE626}"/>
    <cellStyle name="Note 16 4 2 11 2" xfId="34934" xr:uid="{F40FD25E-5D01-456B-BD70-B328D0D256DF}"/>
    <cellStyle name="Note 16 4 2 12" xfId="13849" xr:uid="{DFA85EC0-92F6-4C8B-ACEC-2A9490697B40}"/>
    <cellStyle name="Note 16 4 2 12 2" xfId="35972" xr:uid="{5338013F-55EC-4061-AEC9-31635235E0D8}"/>
    <cellStyle name="Note 16 4 2 13" xfId="21881" xr:uid="{6C6ADC11-EAA7-400D-BF1C-10C61A6A2F10}"/>
    <cellStyle name="Note 16 4 2 13 2" xfId="41817" xr:uid="{1E573630-0147-4EE4-B79C-231E51870B50}"/>
    <cellStyle name="Note 16 4 2 14" xfId="20849" xr:uid="{3C530F6C-D89C-4AFF-9E97-4DA4B4590D4D}"/>
    <cellStyle name="Note 16 4 2 14 2" xfId="41191" xr:uid="{8495F949-9F10-40C6-89CD-6237353CAACE}"/>
    <cellStyle name="Note 16 4 2 15" xfId="20015" xr:uid="{496657BD-5E13-42B3-AC8D-0A9A33C75CCD}"/>
    <cellStyle name="Note 16 4 2 15 2" xfId="40581" xr:uid="{F167B03E-087B-409D-BBE0-2F97F793FE91}"/>
    <cellStyle name="Note 16 4 2 16" xfId="19649" xr:uid="{B60D8F34-D521-464C-9E8B-154488B65DB9}"/>
    <cellStyle name="Note 16 4 2 16 2" xfId="40289" xr:uid="{BB4E7DD7-CD27-4DFA-846A-88A0B5FA2482}"/>
    <cellStyle name="Note 16 4 2 17" xfId="24129" xr:uid="{06C7D118-217E-455B-B32E-DB92E8E1768E}"/>
    <cellStyle name="Note 16 4 2 17 2" xfId="43505" xr:uid="{8917814D-7881-4652-B553-4EDD2ED44892}"/>
    <cellStyle name="Note 16 4 2 18" xfId="15362" xr:uid="{8A41B9B2-0010-4732-9E76-49BD6357F6E6}"/>
    <cellStyle name="Note 16 4 2 18 2" xfId="37062" xr:uid="{36F98A6B-6FA4-4A5B-9E11-C8FD857D0E22}"/>
    <cellStyle name="Note 16 4 2 19" xfId="24791" xr:uid="{C4D0C99B-1497-4A01-9D56-D7BA06AC9695}"/>
    <cellStyle name="Note 16 4 2 19 2" xfId="43936" xr:uid="{F829E17B-2E5F-411E-B431-DEEDA1A72433}"/>
    <cellStyle name="Note 16 4 2 2" xfId="8179" xr:uid="{7025FF18-5788-413B-AD4C-FAE7AA980EA2}"/>
    <cellStyle name="Note 16 4 2 2 2" xfId="32420" xr:uid="{30728211-2CE2-4C9D-917C-E078F0EAD02B}"/>
    <cellStyle name="Note 16 4 2 20" xfId="16243" xr:uid="{A80F678E-706C-4DD7-A23F-96A6CF961E8B}"/>
    <cellStyle name="Note 16 4 2 20 2" xfId="37787" xr:uid="{CEC60B19-58EF-4BDC-9E35-5450388BC18C}"/>
    <cellStyle name="Note 16 4 2 21" xfId="24574" xr:uid="{92282816-61B1-4DA7-8F4F-4F5E55A4B105}"/>
    <cellStyle name="Note 16 4 2 21 2" xfId="43757" xr:uid="{C98BBEF1-A586-4E30-896B-5FD2DB868A60}"/>
    <cellStyle name="Note 16 4 2 22" xfId="27644" xr:uid="{856DDCC8-E62F-49E3-BB42-2345181051B0}"/>
    <cellStyle name="Note 16 4 2 22 2" xfId="45778" xr:uid="{A6005CE7-5576-4D11-99DA-DE67B96B5A6C}"/>
    <cellStyle name="Note 16 4 2 23" xfId="25656" xr:uid="{3E1CBDA1-39F1-4BFB-9BD5-9BA9535CB1E5}"/>
    <cellStyle name="Note 16 4 2 23 2" xfId="44501" xr:uid="{1F184E26-0369-4602-B2D4-A5B6C36FFD89}"/>
    <cellStyle name="Note 16 4 2 24" xfId="27525" xr:uid="{1E7D4A12-020F-44ED-87CA-BFCBCD6E0200}"/>
    <cellStyle name="Note 16 4 2 24 2" xfId="45717" xr:uid="{7EEDC8A4-CE6A-4A31-BC28-B407D811DFC4}"/>
    <cellStyle name="Note 16 4 2 25" xfId="28764" xr:uid="{DF7BA61D-7665-4C54-B8B5-BA24448E7EC3}"/>
    <cellStyle name="Note 16 4 2 25 2" xfId="46444" xr:uid="{A8EF3FE1-1C45-4F07-906B-40F8BBE67B55}"/>
    <cellStyle name="Note 16 4 2 26" xfId="27395" xr:uid="{1A1AE1EF-1DE1-4522-BCAD-0C2F95174036}"/>
    <cellStyle name="Note 16 4 2 26 2" xfId="45650" xr:uid="{8D3F894D-E0EA-426D-84BF-A118EB52B897}"/>
    <cellStyle name="Note 16 4 2 27" xfId="29565" xr:uid="{2B0A4D06-49DC-404E-B435-2DD629452FEB}"/>
    <cellStyle name="Note 16 4 2 27 2" xfId="46960" xr:uid="{39140C9D-0599-43DC-A548-9369E2684A36}"/>
    <cellStyle name="Note 16 4 2 28" xfId="6359" xr:uid="{716FE41A-4788-422B-9452-F045AF916C89}"/>
    <cellStyle name="Note 16 4 2 3" xfId="9212" xr:uid="{2FB47F1B-0E30-496B-A841-29CE06FB51BF}"/>
    <cellStyle name="Note 16 4 2 3 2" xfId="33206" xr:uid="{9055B5E8-3362-411F-A8FB-304A9DCD6FA7}"/>
    <cellStyle name="Note 16 4 2 4" xfId="7792" xr:uid="{CE64206C-5051-4BD4-8853-406FACCF0EFF}"/>
    <cellStyle name="Note 16 4 2 4 2" xfId="32088" xr:uid="{15783B64-12D5-47DB-93BE-1E68B99A29B8}"/>
    <cellStyle name="Note 16 4 2 5" xfId="15303" xr:uid="{AC9AC302-DF06-4C2F-B39B-5097B0EF4BAA}"/>
    <cellStyle name="Note 16 4 2 5 2" xfId="37013" xr:uid="{7074748E-2069-4D8E-B9C2-E25032C9417A}"/>
    <cellStyle name="Note 16 4 2 6" xfId="13084" xr:uid="{9FEEF611-1DD5-46D8-8D0F-220E5A16EE5C}"/>
    <cellStyle name="Note 16 4 2 6 2" xfId="35432" xr:uid="{C1EF295F-02E4-4866-A528-7323DE8A6739}"/>
    <cellStyle name="Note 16 4 2 7" xfId="15061" xr:uid="{35C0202B-22B8-4238-BFF4-380959CB38BE}"/>
    <cellStyle name="Note 16 4 2 7 2" xfId="36907" xr:uid="{E565856E-9A6B-4A83-B988-F4E65C9A4058}"/>
    <cellStyle name="Note 16 4 2 8" xfId="14940" xr:uid="{7D321F57-8699-49CD-89CC-4AE5EF806C36}"/>
    <cellStyle name="Note 16 4 2 8 2" xfId="36815" xr:uid="{120D5BAA-4D94-4E90-AE75-992CA405E504}"/>
    <cellStyle name="Note 16 4 2 9" xfId="11792" xr:uid="{952F7EBC-829A-4F3C-AB6F-E58CB85BD165}"/>
    <cellStyle name="Note 16 4 2 9 2" xfId="34405" xr:uid="{C4D88A2E-0C5A-473B-A262-B9F05E1AE778}"/>
    <cellStyle name="Note 16 4 20" xfId="22899" xr:uid="{A762E255-91CB-4B00-956F-AEABD43FB119}"/>
    <cellStyle name="Note 16 4 20 2" xfId="42617" xr:uid="{44913D6B-07A8-42F8-AA52-E1A74A52233A}"/>
    <cellStyle name="Note 16 4 21" xfId="19315" xr:uid="{C0F843C3-EB7A-4D6A-9A8A-4E1CCBCE8FAE}"/>
    <cellStyle name="Note 16 4 21 2" xfId="40079" xr:uid="{9FAD42A8-8A40-4E48-A171-FAC95DCF6911}"/>
    <cellStyle name="Note 16 4 22" xfId="22297" xr:uid="{24E79E89-B973-4B1B-87A1-18EB89BD158C}"/>
    <cellStyle name="Note 16 4 22 2" xfId="42161" xr:uid="{9AFB3D61-FE34-475F-BA87-165D86C7E3F7}"/>
    <cellStyle name="Note 16 4 23" xfId="29684" xr:uid="{8136CDC5-C339-448F-9AEE-3EC7F3048AAC}"/>
    <cellStyle name="Note 16 4 23 2" xfId="47039" xr:uid="{B565F972-AD5B-4EAC-A70B-7CF232F3871C}"/>
    <cellStyle name="Note 16 4 24" xfId="27194" xr:uid="{5D42CB80-4705-41F5-BF92-08EF5C9D8525}"/>
    <cellStyle name="Note 16 4 24 2" xfId="45534" xr:uid="{BC685C65-E03C-498F-8E83-8BB3326F2E55}"/>
    <cellStyle name="Note 16 4 25" xfId="28862" xr:uid="{15575FF1-6915-4FEB-9B84-F3035EDCB547}"/>
    <cellStyle name="Note 16 4 25 2" xfId="46483" xr:uid="{A43EBF1A-60A1-4BFC-84FE-CB7BDF64A004}"/>
    <cellStyle name="Note 16 4 26" xfId="29262" xr:uid="{05C48D24-EFFB-47D6-A540-86B134D3C6EC}"/>
    <cellStyle name="Note 16 4 26 2" xfId="46777" xr:uid="{BCF2072A-CDCF-4FE7-9F2A-8A3D9C31BC67}"/>
    <cellStyle name="Note 16 4 27" xfId="24155" xr:uid="{B26EDBF1-EF02-4571-AF89-5D07CD11BEF3}"/>
    <cellStyle name="Note 16 4 27 2" xfId="43514" xr:uid="{16658D75-2C88-4908-AF98-42156610B3F7}"/>
    <cellStyle name="Note 16 4 28" xfId="28327" xr:uid="{DAD69866-09CD-428E-AB8A-5E8BBE998F30}"/>
    <cellStyle name="Note 16 4 28 2" xfId="46194" xr:uid="{4F85CB48-64A4-4857-A9E4-65DC8960D44F}"/>
    <cellStyle name="Note 16 4 29" xfId="6358" xr:uid="{1103A02D-512B-401C-9C49-62B7BC3791EB}"/>
    <cellStyle name="Note 16 4 3" xfId="8180" xr:uid="{69F1CFD6-8F63-4F74-B27C-6E676C3DE7AE}"/>
    <cellStyle name="Note 16 4 3 2" xfId="32421" xr:uid="{2A10CB42-3B30-4DA7-B957-18370EE6C84A}"/>
    <cellStyle name="Note 16 4 4" xfId="12142" xr:uid="{B2311498-A0E6-4650-A384-907B6F47E2DC}"/>
    <cellStyle name="Note 16 4 4 2" xfId="34687" xr:uid="{A5A931C5-5C46-48AD-95BE-A5E410D4B5AA}"/>
    <cellStyle name="Note 16 4 5" xfId="7793" xr:uid="{2EB65F80-405A-48A4-A0D7-62CC64284E96}"/>
    <cellStyle name="Note 16 4 5 2" xfId="32089" xr:uid="{E08BD4E0-2E45-4BBD-A92E-C300FAAB3913}"/>
    <cellStyle name="Note 16 4 6" xfId="16184" xr:uid="{99052DA1-FC49-4912-974C-F740B8AB3D3F}"/>
    <cellStyle name="Note 16 4 6 2" xfId="37743" xr:uid="{52036DED-3898-40B2-9814-52413177DBB0}"/>
    <cellStyle name="Note 16 4 7" xfId="10380" xr:uid="{EDD12928-AAB0-4B3B-BF07-B43007F76CB5}"/>
    <cellStyle name="Note 16 4 7 2" xfId="34015" xr:uid="{FC588E1D-FA3C-4D47-A140-771A661B710F}"/>
    <cellStyle name="Note 16 4 8" xfId="14563" xr:uid="{37264A1A-C99D-4689-A9E8-D159CE7EE213}"/>
    <cellStyle name="Note 16 4 8 2" xfId="36487" xr:uid="{86B59A98-6379-49B3-A7CD-34EF5168B23E}"/>
    <cellStyle name="Note 16 4 9" xfId="10536" xr:uid="{3D7831CE-CA8B-42D0-8A7E-28C5B2AC59EC}"/>
    <cellStyle name="Note 16 4 9 2" xfId="34162" xr:uid="{C37DA391-37E3-465A-A328-9F90B3ED8EF2}"/>
    <cellStyle name="Note 16 5" xfId="2823" xr:uid="{08C5303A-0572-4482-ABB1-6CE427AEF5B6}"/>
    <cellStyle name="Note 16 5 10" xfId="7370" xr:uid="{61B01B73-A9B0-4D17-916C-B7241D7E89E7}"/>
    <cellStyle name="Note 16 5 10 2" xfId="31732" xr:uid="{934B0EF9-5908-4921-8DDD-897320A3B64F}"/>
    <cellStyle name="Note 16 5 11" xfId="15995" xr:uid="{22BBB132-6346-4565-B072-AFF997CEF2FA}"/>
    <cellStyle name="Note 16 5 11 2" xfId="37578" xr:uid="{C78A3220-1D25-42FD-9F3E-5BB7651CD618}"/>
    <cellStyle name="Note 16 5 12" xfId="16649" xr:uid="{D4672C80-F22D-4460-AAC3-A84DECEA5784}"/>
    <cellStyle name="Note 16 5 12 2" xfId="38140" xr:uid="{5B37EDCE-27F6-43A9-910A-974D6D4B35CD}"/>
    <cellStyle name="Note 16 5 13" xfId="13666" xr:uid="{628BDE01-9A41-42DE-BAB0-7A0FFF975C4F}"/>
    <cellStyle name="Note 16 5 13 2" xfId="35823" xr:uid="{D13F3F01-4308-4D14-81D7-90C4F74AD216}"/>
    <cellStyle name="Note 16 5 14" xfId="22703" xr:uid="{30945367-8C6C-47DB-A0C4-E8AC8A618EFE}"/>
    <cellStyle name="Note 16 5 14 2" xfId="42462" xr:uid="{62206768-7991-4700-9310-4572BE00441C}"/>
    <cellStyle name="Note 16 5 15" xfId="19794" xr:uid="{0DA03B7E-B2BA-497D-A3B9-BD8051A7F338}"/>
    <cellStyle name="Note 16 5 15 2" xfId="40411" xr:uid="{0BE90B1D-8CC2-46EE-AB91-754050F44307}"/>
    <cellStyle name="Note 16 5 16" xfId="21900" xr:uid="{422565DB-E564-4FED-B8E2-5EC481F0A107}"/>
    <cellStyle name="Note 16 5 16 2" xfId="41828" xr:uid="{EA28F516-CF42-4C5F-8865-A502CB27280C}"/>
    <cellStyle name="Note 16 5 17" xfId="21474" xr:uid="{4EE91FD0-B135-4D12-9CC9-0623CE880DA1}"/>
    <cellStyle name="Note 16 5 17 2" xfId="41603" xr:uid="{0FDD882A-D531-493A-B2FE-7013F090D472}"/>
    <cellStyle name="Note 16 5 18" xfId="16328" xr:uid="{F6BA9BD6-014B-4FA2-9425-604867F38CBF}"/>
    <cellStyle name="Note 16 5 18 2" xfId="37865" xr:uid="{858DA57E-B70A-4A5C-A93A-70A3C4C3C434}"/>
    <cellStyle name="Note 16 5 19" xfId="20702" xr:uid="{89152D78-EB8F-442D-BA28-D1BC335A07A1}"/>
    <cellStyle name="Note 16 5 19 2" xfId="41062" xr:uid="{D2556185-1650-4FB4-B956-61558800D7A9}"/>
    <cellStyle name="Note 16 5 2" xfId="2824" xr:uid="{5CAB56D7-0244-45F5-8573-EEEABE7BC9AF}"/>
    <cellStyle name="Note 16 5 2 10" xfId="12256" xr:uid="{624F5E52-90B4-424D-90FE-773C1ADDDCB0}"/>
    <cellStyle name="Note 16 5 2 10 2" xfId="34762" xr:uid="{B4706C9A-9520-4E80-90DA-7A40547323BA}"/>
    <cellStyle name="Note 16 5 2 11" xfId="12489" xr:uid="{96A50D7A-95E9-4567-B007-25FD5B7894BB}"/>
    <cellStyle name="Note 16 5 2 11 2" xfId="34935" xr:uid="{4434F3BC-C757-46CF-8E16-AF55E6405D01}"/>
    <cellStyle name="Note 16 5 2 12" xfId="15582" xr:uid="{31F0DE09-EFA3-445D-B459-82182A7B1AFC}"/>
    <cellStyle name="Note 16 5 2 12 2" xfId="37240" xr:uid="{92B9380D-840C-43D5-9A20-6DBAD3E883EF}"/>
    <cellStyle name="Note 16 5 2 13" xfId="21905" xr:uid="{0C84BFE5-E08C-4709-9634-4384B25D16CB}"/>
    <cellStyle name="Note 16 5 2 13 2" xfId="41830" xr:uid="{20DB2EDF-E530-46A6-8EBC-E739CDED723D}"/>
    <cellStyle name="Note 16 5 2 14" xfId="19368" xr:uid="{7D7AB197-D39E-4388-ACBE-D18DD23A3FC7}"/>
    <cellStyle name="Note 16 5 2 14 2" xfId="40093" xr:uid="{BC11B8D5-AFA8-4CF0-9D61-C8F7CBFCE112}"/>
    <cellStyle name="Note 16 5 2 15" xfId="19999" xr:uid="{62AF83C4-7433-4CB0-91F9-9AB20D86B898}"/>
    <cellStyle name="Note 16 5 2 15 2" xfId="40569" xr:uid="{F7C36B97-427D-4955-A445-08A532C395D3}"/>
    <cellStyle name="Note 16 5 2 16" xfId="15701" xr:uid="{D1B78843-E35A-48FD-B894-0229263A1411}"/>
    <cellStyle name="Note 16 5 2 16 2" xfId="37335" xr:uid="{965C4A30-4C51-4B6C-8ED6-F92F20AF4003}"/>
    <cellStyle name="Note 16 5 2 17" xfId="18350" xr:uid="{305B5FB7-0C74-4909-B6BB-04083F88D150}"/>
    <cellStyle name="Note 16 5 2 17 2" xfId="39380" xr:uid="{E9F7F794-BF1F-4170-81E3-D1CB58101B4F}"/>
    <cellStyle name="Note 16 5 2 18" xfId="18925" xr:uid="{37DCE984-6D1E-4FEF-8410-01A177D14107}"/>
    <cellStyle name="Note 16 5 2 18 2" xfId="39758" xr:uid="{831674E8-46F3-4EC4-A426-5903C94BECF3}"/>
    <cellStyle name="Note 16 5 2 19" xfId="24790" xr:uid="{D4A24B03-F4BF-416D-A988-8F921E41090C}"/>
    <cellStyle name="Note 16 5 2 19 2" xfId="43935" xr:uid="{60AEBB0E-5984-4365-9BE2-F4033E2B1EC0}"/>
    <cellStyle name="Note 16 5 2 2" xfId="8177" xr:uid="{595AD151-6306-49C6-8089-97045DBA34F1}"/>
    <cellStyle name="Note 16 5 2 2 2" xfId="32418" xr:uid="{C87B31B3-6F38-4F3C-88FC-8794AEF52755}"/>
    <cellStyle name="Note 16 5 2 20" xfId="25903" xr:uid="{9E6BB9E5-F3F2-4355-B84D-51A87E1677D9}"/>
    <cellStyle name="Note 16 5 2 20 2" xfId="44708" xr:uid="{986ED5C4-8F88-47D0-AAB3-1D2536B6C6FC}"/>
    <cellStyle name="Note 16 5 2 21" xfId="24573" xr:uid="{AF6D79E1-F9F8-453F-AC5F-904F9A438C8A}"/>
    <cellStyle name="Note 16 5 2 21 2" xfId="43756" xr:uid="{D9B5F65E-5617-4557-AD84-A35DC62062E5}"/>
    <cellStyle name="Note 16 5 2 22" xfId="18631" xr:uid="{886D0739-A56D-4520-A6B8-627911384228}"/>
    <cellStyle name="Note 16 5 2 22 2" xfId="39528" xr:uid="{3AFFCC42-370E-4C4C-B7F5-9EC00EB58F08}"/>
    <cellStyle name="Note 16 5 2 23" xfId="26561" xr:uid="{D4FB05E9-103B-4076-A4F7-B237134DCE99}"/>
    <cellStyle name="Note 16 5 2 23 2" xfId="45129" xr:uid="{F1AE7FD7-98AD-4C79-804F-64BB7533EE3B}"/>
    <cellStyle name="Note 16 5 2 24" xfId="30312" xr:uid="{F58E6F73-633F-4CD9-96DC-C98FECA62F67}"/>
    <cellStyle name="Note 16 5 2 24 2" xfId="47460" xr:uid="{4CE4A02B-3810-46F0-AAE6-042303574F73}"/>
    <cellStyle name="Note 16 5 2 25" xfId="29265" xr:uid="{F492B730-F288-4939-A310-9510AB6ADC9B}"/>
    <cellStyle name="Note 16 5 2 25 2" xfId="46780" xr:uid="{631BF455-3396-4610-A46C-CD39E20861FB}"/>
    <cellStyle name="Note 16 5 2 26" xfId="27396" xr:uid="{A69F2478-1481-42A4-8AE1-225643E0866C}"/>
    <cellStyle name="Note 16 5 2 26 2" xfId="45651" xr:uid="{EBF1A9A2-EA23-42B6-ABB5-27FA87460155}"/>
    <cellStyle name="Note 16 5 2 27" xfId="27035" xr:uid="{A6622D53-49C3-43F3-8405-ABE19ECBCE46}"/>
    <cellStyle name="Note 16 5 2 27 2" xfId="45437" xr:uid="{E62CF0A2-9D2F-4C9E-A7E8-02F6DCF69980}"/>
    <cellStyle name="Note 16 5 2 28" xfId="6361" xr:uid="{CF41E727-8123-4485-98E3-43630154C005}"/>
    <cellStyle name="Note 16 5 2 3" xfId="12143" xr:uid="{E06ED4C6-B36A-459E-8BC5-9751571CE529}"/>
    <cellStyle name="Note 16 5 2 3 2" xfId="34688" xr:uid="{4A41586D-085A-4C72-8FAD-F28A71709347}"/>
    <cellStyle name="Note 16 5 2 4" xfId="7790" xr:uid="{8C4C8510-A45B-46D4-9081-E530B7E8689D}"/>
    <cellStyle name="Note 16 5 2 4 2" xfId="32086" xr:uid="{4C86B3D5-6A09-47AD-BC5D-9674A5C6BC49}"/>
    <cellStyle name="Note 16 5 2 5" xfId="9008" xr:uid="{1A26240C-40E0-4036-912F-071E5EFEDB45}"/>
    <cellStyle name="Note 16 5 2 5 2" xfId="33010" xr:uid="{C18406A8-2828-4B3E-8171-E363E6897FB0}"/>
    <cellStyle name="Note 16 5 2 6" xfId="14356" xr:uid="{B996B8C9-40A5-4296-AB1F-D1E14A413439}"/>
    <cellStyle name="Note 16 5 2 6 2" xfId="36383" xr:uid="{3FDC1A99-2E8C-4B2B-A90E-47D77941E42A}"/>
    <cellStyle name="Note 16 5 2 7" xfId="15062" xr:uid="{B2E4ED94-2828-43C0-90B1-A662455BF372}"/>
    <cellStyle name="Note 16 5 2 7 2" xfId="36908" xr:uid="{8DC8E688-1993-4450-AACE-C3334430F9D7}"/>
    <cellStyle name="Note 16 5 2 8" xfId="14939" xr:uid="{5B3286B6-D9DC-4CA6-839D-CC776705AA89}"/>
    <cellStyle name="Note 16 5 2 8 2" xfId="36814" xr:uid="{CDA94339-285D-4014-B8D7-1EF5D6924BEC}"/>
    <cellStyle name="Note 16 5 2 9" xfId="11791" xr:uid="{80E46A7A-421A-4CC2-8D97-1BF408DF4129}"/>
    <cellStyle name="Note 16 5 2 9 2" xfId="34404" xr:uid="{D3EB67B6-8A92-423F-997D-042E712F070B}"/>
    <cellStyle name="Note 16 5 20" xfId="22350" xr:uid="{1B58837F-DEDF-4680-B527-5C73640A93E5}"/>
    <cellStyle name="Note 16 5 20 2" xfId="42205" xr:uid="{9E6389B1-3D6A-449B-BE55-7898BAA2D411}"/>
    <cellStyle name="Note 16 5 21" xfId="19316" xr:uid="{EEAF0FC7-985B-4029-9143-2653CABEEC02}"/>
    <cellStyle name="Note 16 5 21 2" xfId="40080" xr:uid="{BCD45599-B7F8-415C-A552-7CF6B8197C27}"/>
    <cellStyle name="Note 16 5 22" xfId="20259" xr:uid="{F8235B34-D82F-4C59-91A0-5375C2A6B8DE}"/>
    <cellStyle name="Note 16 5 22 2" xfId="40701" xr:uid="{B40932FE-9A4A-4312-B656-5BA58089E439}"/>
    <cellStyle name="Note 16 5 23" xfId="29678" xr:uid="{C5182831-4598-422D-BC7A-911E28781320}"/>
    <cellStyle name="Note 16 5 23 2" xfId="47034" xr:uid="{138A486D-A11A-40B3-9878-9FCD54418807}"/>
    <cellStyle name="Note 16 5 24" xfId="27193" xr:uid="{65C0807D-497C-4A6C-8876-6674C928D207}"/>
    <cellStyle name="Note 16 5 24 2" xfId="45533" xr:uid="{D03DBB7A-7BB4-4D33-A749-3CC185E2F913}"/>
    <cellStyle name="Note 16 5 25" xfId="22220" xr:uid="{151C710E-C695-4F16-8577-9B6D0C66317C}"/>
    <cellStyle name="Note 16 5 25 2" xfId="42099" xr:uid="{C9BAF130-2873-4678-BCD6-BD33C055E542}"/>
    <cellStyle name="Note 16 5 26" xfId="25545" xr:uid="{FF43BDA7-4507-4DE0-BBAC-0DB640305628}"/>
    <cellStyle name="Note 16 5 26 2" xfId="44419" xr:uid="{9D2EE2CF-B229-4CA4-B249-9EC7BC7D73C2}"/>
    <cellStyle name="Note 16 5 27" xfId="24154" xr:uid="{250A05F2-AEBD-4FBC-B5DB-CF5C6B5B7207}"/>
    <cellStyle name="Note 16 5 27 2" xfId="43513" xr:uid="{2C27651F-068B-4901-B471-5CF530DAAD09}"/>
    <cellStyle name="Note 16 5 28" xfId="29345" xr:uid="{2D15AE6A-2FD5-48B7-909F-AA5BD8E2BE77}"/>
    <cellStyle name="Note 16 5 28 2" xfId="46818" xr:uid="{7BA62F24-E627-429C-88B3-1AA078C672C9}"/>
    <cellStyle name="Note 16 5 29" xfId="6360" xr:uid="{EEF6B411-5AC9-436B-AD62-8B91F60F242F}"/>
    <cellStyle name="Note 16 5 3" xfId="8178" xr:uid="{3C12770B-91BD-4E0C-9C8C-898CFED5089D}"/>
    <cellStyle name="Note 16 5 3 2" xfId="32419" xr:uid="{6E493472-8701-407A-8393-4DE1D46B0CB7}"/>
    <cellStyle name="Note 16 5 4" xfId="9213" xr:uid="{D55ADB1B-858C-49F0-BAB4-04478142A36C}"/>
    <cellStyle name="Note 16 5 4 2" xfId="33207" xr:uid="{DAA83119-FA10-4BAE-9127-8149F831DE87}"/>
    <cellStyle name="Note 16 5 5" xfId="7791" xr:uid="{61D9C197-F135-459D-B768-CD4966C91857}"/>
    <cellStyle name="Note 16 5 5 2" xfId="32087" xr:uid="{E0F3B6B6-726C-4723-B883-4FFA3EC3DE77}"/>
    <cellStyle name="Note 16 5 6" xfId="16175" xr:uid="{2960BF80-DD4F-429C-ADF4-BD7042B77778}"/>
    <cellStyle name="Note 16 5 6 2" xfId="37735" xr:uid="{3B79F46B-6E89-4040-A07B-CC5F2F569E60}"/>
    <cellStyle name="Note 16 5 7" xfId="14357" xr:uid="{BA5FAAF1-3997-41CC-A924-B812197F4C33}"/>
    <cellStyle name="Note 16 5 7 2" xfId="36384" xr:uid="{7D977E0D-0BB0-4470-B9D4-0C5EEAB9330F}"/>
    <cellStyle name="Note 16 5 8" xfId="8564" xr:uid="{4052E572-169A-4997-94C3-674154349D46}"/>
    <cellStyle name="Note 16 5 8 2" xfId="32750" xr:uid="{14E85226-F62A-4464-8C9C-D71543DC5CC5}"/>
    <cellStyle name="Note 16 5 9" xfId="12941" xr:uid="{4DC50E66-E2F7-4FB6-B984-63A40849982B}"/>
    <cellStyle name="Note 16 5 9 2" xfId="35297" xr:uid="{51777B66-3D87-49FE-A625-69C17504ADA6}"/>
    <cellStyle name="Note 16 6" xfId="2825" xr:uid="{504379DE-0F76-44B7-90BE-F25B0DCC2CEA}"/>
    <cellStyle name="Note 16 6 10" xfId="7369" xr:uid="{78783FA8-E0C4-4B39-9572-53DFEF03799B}"/>
    <cellStyle name="Note 16 6 10 2" xfId="31731" xr:uid="{0878BBF4-B026-4FA0-B2F4-49F591F4DFEB}"/>
    <cellStyle name="Note 16 6 11" xfId="14702" xr:uid="{DDBB57CE-8F15-455C-B9E8-A1A083CBF644}"/>
    <cellStyle name="Note 16 6 11 2" xfId="36614" xr:uid="{18FC4DF7-4E56-4ED3-A0F8-1A8AC444FC87}"/>
    <cellStyle name="Note 16 6 12" xfId="16648" xr:uid="{57CDD0DD-6E3B-4B86-9DE9-BB81C7FF1588}"/>
    <cellStyle name="Note 16 6 12 2" xfId="38139" xr:uid="{B548A0F7-DE35-4241-A1A3-941805A78490}"/>
    <cellStyle name="Note 16 6 13" xfId="14586" xr:uid="{8767C6D3-1187-4630-BA2A-06622319CEE1}"/>
    <cellStyle name="Note 16 6 13 2" xfId="36504" xr:uid="{A89502B6-AEF6-449C-A281-266E75F21C64}"/>
    <cellStyle name="Note 16 6 14" xfId="9822" xr:uid="{13CF76A8-5CD9-44DB-B849-39164E171A35}"/>
    <cellStyle name="Note 16 6 14 2" xfId="33588" xr:uid="{A6D08968-24EF-4626-BAFE-49C254DF38E7}"/>
    <cellStyle name="Note 16 6 15" xfId="19793" xr:uid="{972DC2E0-8A8A-437E-A28F-60194A1FB4B3}"/>
    <cellStyle name="Note 16 6 15 2" xfId="40410" xr:uid="{67C52C37-DF18-4A59-A986-82915A29EBAE}"/>
    <cellStyle name="Note 16 6 16" xfId="16675" xr:uid="{4838586D-2475-477F-98E1-CCBD34B67A17}"/>
    <cellStyle name="Note 16 6 16 2" xfId="38166" xr:uid="{10BE7610-1B20-4493-AED8-52E774DC4014}"/>
    <cellStyle name="Note 16 6 17" xfId="21473" xr:uid="{838DCF2A-207A-4924-84C7-7AD845D8D01D}"/>
    <cellStyle name="Note 16 6 17 2" xfId="41602" xr:uid="{88C10F80-B7CA-4AB1-94ED-BBEE11E2098F}"/>
    <cellStyle name="Note 16 6 18" xfId="24128" xr:uid="{CBA0601D-92FE-4A18-9D70-63063F457CBF}"/>
    <cellStyle name="Note 16 6 18 2" xfId="43504" xr:uid="{0C487810-C555-4912-A370-BE0A01BD5422}"/>
    <cellStyle name="Note 16 6 19" xfId="20703" xr:uid="{9340D185-5B8C-4268-AFF4-6710BE87163D}"/>
    <cellStyle name="Note 16 6 19 2" xfId="41063" xr:uid="{813A5221-AED0-46C6-A991-DEA8B48CAE85}"/>
    <cellStyle name="Note 16 6 2" xfId="2826" xr:uid="{DF2FEF23-EF47-4BC1-BA99-D77B088197C3}"/>
    <cellStyle name="Note 16 6 2 10" xfId="12257" xr:uid="{32957E6C-ADA0-4B53-AD55-017FAFD777F2}"/>
    <cellStyle name="Note 16 6 2 10 2" xfId="34763" xr:uid="{F1B22E28-8569-4399-AC89-3A95982BC736}"/>
    <cellStyle name="Note 16 6 2 11" xfId="15117" xr:uid="{E9C9EE7C-D8DE-4BD2-9D8F-4D6BE861F983}"/>
    <cellStyle name="Note 16 6 2 11 2" xfId="36943" xr:uid="{62D10351-221A-42CF-B315-3ED1B1A9D006}"/>
    <cellStyle name="Note 16 6 2 12" xfId="15300" xr:uid="{78154223-2EA4-4EC5-BF7F-548B43909DC4}"/>
    <cellStyle name="Note 16 6 2 12 2" xfId="37011" xr:uid="{E051457E-167E-48F5-AD71-A47CA339BD93}"/>
    <cellStyle name="Note 16 6 2 13" xfId="9823" xr:uid="{3D3CFC0B-CA05-4208-A409-8869B33CE1F0}"/>
    <cellStyle name="Note 16 6 2 13 2" xfId="33589" xr:uid="{8BBBC148-914E-4AAD-BEB5-32FFFFFA7439}"/>
    <cellStyle name="Note 16 6 2 14" xfId="12651" xr:uid="{CBD878D9-DDA5-44E9-8B3A-762BDCAE8552}"/>
    <cellStyle name="Note 16 6 2 14 2" xfId="35077" xr:uid="{B14E997F-29CB-4E99-8BB6-E5BF6C49E2B3}"/>
    <cellStyle name="Note 16 6 2 15" xfId="21644" xr:uid="{3770D8C7-C366-4F84-A67D-4316722AA9F9}"/>
    <cellStyle name="Note 16 6 2 15 2" xfId="41718" xr:uid="{D00A0E86-6DB9-448E-AC5E-0C29A2974069}"/>
    <cellStyle name="Note 16 6 2 16" xfId="19648" xr:uid="{B43844A4-4266-4B9B-9C03-D2F2E749D08D}"/>
    <cellStyle name="Note 16 6 2 16 2" xfId="40288" xr:uid="{174E60DF-6AFB-47DB-9F26-52B0D86FFB1F}"/>
    <cellStyle name="Note 16 6 2 17" xfId="15821" xr:uid="{23CA8756-7746-4568-AE16-0F044C0C9B98}"/>
    <cellStyle name="Note 16 6 2 17 2" xfId="37436" xr:uid="{E8FAD2AC-69C7-46E4-864E-4C3FA8EA62AE}"/>
    <cellStyle name="Note 16 6 2 18" xfId="16825" xr:uid="{973B958F-9E02-4429-849B-0776CDB465D9}"/>
    <cellStyle name="Note 16 6 2 18 2" xfId="38253" xr:uid="{3C87BCAC-DA60-4D94-8857-1C1613E12FEC}"/>
    <cellStyle name="Note 16 6 2 19" xfId="24789" xr:uid="{AEF13DDC-254F-46B2-A0F2-F063459EAF93}"/>
    <cellStyle name="Note 16 6 2 19 2" xfId="43934" xr:uid="{AC582A7B-CF73-4D03-98FA-FA1615E28213}"/>
    <cellStyle name="Note 16 6 2 2" xfId="8174" xr:uid="{BC0EF8CC-FD3C-4840-B55A-E6B04B5064FD}"/>
    <cellStyle name="Note 16 6 2 2 2" xfId="32416" xr:uid="{5D5CBA68-40B4-4871-887C-BE60AD19B8F8}"/>
    <cellStyle name="Note 16 6 2 20" xfId="15779" xr:uid="{E27E0247-5DE3-4D1A-BD8F-2A4052E886B7}"/>
    <cellStyle name="Note 16 6 2 20 2" xfId="37399" xr:uid="{2368061E-F410-4216-BE8A-4E9D6F849330}"/>
    <cellStyle name="Note 16 6 2 21" xfId="24572" xr:uid="{625B4C70-7DEF-4C36-B6B5-F097887826CE}"/>
    <cellStyle name="Note 16 6 2 21 2" xfId="43755" xr:uid="{16B1A9C0-A4CD-4215-A2C7-AC2AF4AC2A9F}"/>
    <cellStyle name="Note 16 6 2 22" xfId="22053" xr:uid="{0DCD85F0-C52A-4DA3-A91D-364ED7EB3737}"/>
    <cellStyle name="Note 16 6 2 22 2" xfId="41938" xr:uid="{A4BB3317-545C-4404-AFFD-6824A1DD3301}"/>
    <cellStyle name="Note 16 6 2 23" xfId="27192" xr:uid="{8529DE57-0FDC-404D-83AB-DED803D97F01}"/>
    <cellStyle name="Note 16 6 2 23 2" xfId="45532" xr:uid="{0DACB36B-FA4F-421E-8362-34CD1D3C1C62}"/>
    <cellStyle name="Note 16 6 2 24" xfId="25224" xr:uid="{219E802A-F7EF-449D-A5A0-264ECB7DBCEE}"/>
    <cellStyle name="Note 16 6 2 24 2" xfId="44161" xr:uid="{AAD3915F-723B-47DE-8D95-9B70D000D670}"/>
    <cellStyle name="Note 16 6 2 25" xfId="29264" xr:uid="{E55F804E-64CE-4F3D-B01B-F06927E3DCA3}"/>
    <cellStyle name="Note 16 6 2 25 2" xfId="46779" xr:uid="{E6EE010A-E746-4A38-A4D3-B9A5E2852951}"/>
    <cellStyle name="Note 16 6 2 26" xfId="27397" xr:uid="{793C4243-C08A-40C9-A461-077732AAF7DE}"/>
    <cellStyle name="Note 16 6 2 26 2" xfId="45652" xr:uid="{7066DC0C-818C-4C51-A1CA-4EE70E94C682}"/>
    <cellStyle name="Note 16 6 2 27" xfId="29567" xr:uid="{9EA234A5-81EE-40D1-A65F-D6A4EAA1DEEC}"/>
    <cellStyle name="Note 16 6 2 27 2" xfId="46962" xr:uid="{DC5F331F-2EEC-4993-AE6B-29C1077C43FE}"/>
    <cellStyle name="Note 16 6 2 28" xfId="6363" xr:uid="{275473BF-78C0-4EF4-A533-CD2C6D42D6C5}"/>
    <cellStyle name="Note 16 6 2 3" xfId="9215" xr:uid="{752CF4AB-92A4-4195-BC5F-87AF7D2506FE}"/>
    <cellStyle name="Note 16 6 2 3 2" xfId="33209" xr:uid="{6DAC599E-3D2B-4CB9-B6AF-06EBD06F57B9}"/>
    <cellStyle name="Note 16 6 2 4" xfId="7788" xr:uid="{C442207C-B061-4D7C-B1BB-7AAB63583E82}"/>
    <cellStyle name="Note 16 6 2 4 2" xfId="32084" xr:uid="{1BCD75CA-64C5-41C8-930F-7978A242DD95}"/>
    <cellStyle name="Note 16 6 2 5" xfId="9006" xr:uid="{CB4E9488-AA02-4FFC-8B2D-514242B75743}"/>
    <cellStyle name="Note 16 6 2 5 2" xfId="33008" xr:uid="{E1F942F4-4B48-486C-A996-7F0A2C49E011}"/>
    <cellStyle name="Note 16 6 2 6" xfId="13083" xr:uid="{1909B11C-F078-4CE5-AD92-EFEA397F0F66}"/>
    <cellStyle name="Note 16 6 2 6 2" xfId="35431" xr:uid="{8F81D902-1E91-4F25-97C0-A2CEF05DB796}"/>
    <cellStyle name="Note 16 6 2 7" xfId="15063" xr:uid="{8C0DC0B0-B18F-4B0E-8171-2C0B4C67632E}"/>
    <cellStyle name="Note 16 6 2 7 2" xfId="36909" xr:uid="{7A08A1DB-3693-424A-A476-A152019445B6}"/>
    <cellStyle name="Note 16 6 2 8" xfId="14938" xr:uid="{F6A2C55D-B24D-4BAD-B341-DCCAB3D9770B}"/>
    <cellStyle name="Note 16 6 2 8 2" xfId="36813" xr:uid="{C1DEADF9-F6BE-40EB-99F6-6EFE0DDA2860}"/>
    <cellStyle name="Note 16 6 2 9" xfId="11790" xr:uid="{57D99C0B-4D4B-46D6-BF32-7847804CA6AC}"/>
    <cellStyle name="Note 16 6 2 9 2" xfId="34403" xr:uid="{B6528DFD-2DFC-4D9D-A293-534510B52CB8}"/>
    <cellStyle name="Note 16 6 20" xfId="22898" xr:uid="{522D36D0-7F2F-4355-AE75-3896FE2B52CA}"/>
    <cellStyle name="Note 16 6 20 2" xfId="42616" xr:uid="{29BC434C-75DB-464C-9DED-5831C472E388}"/>
    <cellStyle name="Note 16 6 21" xfId="18172" xr:uid="{6112820D-F0BF-49A8-A3C1-E283C64CF28C}"/>
    <cellStyle name="Note 16 6 21 2" xfId="39225" xr:uid="{AC3CA590-D66D-4981-B942-7A5366BAAB81}"/>
    <cellStyle name="Note 16 6 22" xfId="20372" xr:uid="{2A5E2FFE-5164-411B-9BB2-92A2113B48E2}"/>
    <cellStyle name="Note 16 6 22 2" xfId="40799" xr:uid="{0E37BEDE-7487-42D4-ABE3-25107B3D6614}"/>
    <cellStyle name="Note 16 6 23" xfId="25189" xr:uid="{68074925-95C3-4B52-BFB0-6D1148336210}"/>
    <cellStyle name="Note 16 6 23 2" xfId="44131" xr:uid="{35950EE5-A868-4A34-90A2-91A0C58500EC}"/>
    <cellStyle name="Note 16 6 24" xfId="27176" xr:uid="{BC380B03-EEBA-46BA-A206-50417DE94F6B}"/>
    <cellStyle name="Note 16 6 24 2" xfId="45517" xr:uid="{2330FF5A-AC6E-43B1-89C6-AF617723085A}"/>
    <cellStyle name="Note 16 6 25" xfId="30315" xr:uid="{150DAC3A-830E-41D0-83CA-40B982524D58}"/>
    <cellStyle name="Note 16 6 25 2" xfId="47463" xr:uid="{6F6D8DD8-222E-4650-9276-ED17C5F8582C}"/>
    <cellStyle name="Note 16 6 26" xfId="25468" xr:uid="{B2C4836D-61C5-4CB5-A46E-47BB2C37A512}"/>
    <cellStyle name="Note 16 6 26 2" xfId="44352" xr:uid="{0C1813FC-2651-4AE7-BEF5-CCB8DACA1C6D}"/>
    <cellStyle name="Note 16 6 27" xfId="23058" xr:uid="{1FE369E0-8303-4CD0-A13E-A05050C4E1B7}"/>
    <cellStyle name="Note 16 6 27 2" xfId="42692" xr:uid="{2E69B7BF-A175-4AFF-8903-C55FF87B29C8}"/>
    <cellStyle name="Note 16 6 28" xfId="28342" xr:uid="{AFD4BC36-5022-420A-865B-68BDAA5ECD3B}"/>
    <cellStyle name="Note 16 6 28 2" xfId="46209" xr:uid="{5A4134A6-FEF3-42B5-8B57-3F7E0F16C687}"/>
    <cellStyle name="Note 16 6 29" xfId="6362" xr:uid="{3A84196E-E45B-46C9-8305-083EC6EC8E2A}"/>
    <cellStyle name="Note 16 6 3" xfId="8176" xr:uid="{15E9DA31-1081-4DD6-8BD4-498083290B71}"/>
    <cellStyle name="Note 16 6 3 2" xfId="32417" xr:uid="{63324B6F-696F-430D-A301-7E28A670BD1A}"/>
    <cellStyle name="Note 16 6 4" xfId="9214" xr:uid="{FA66DFFA-2C70-4C71-BBF5-B3AF8FD1D87F}"/>
    <cellStyle name="Note 16 6 4 2" xfId="33208" xr:uid="{B815CBFC-9DB4-4381-992F-2FB08611B3AE}"/>
    <cellStyle name="Note 16 6 5" xfId="7789" xr:uid="{DEA28976-BFC9-4046-A05F-57AECAED89C8}"/>
    <cellStyle name="Note 16 6 5 2" xfId="32085" xr:uid="{2275DAF7-26B1-454C-B97E-854159B59303}"/>
    <cellStyle name="Note 16 6 6" xfId="9007" xr:uid="{8435A156-F474-4B14-9C56-B8AC93D0D751}"/>
    <cellStyle name="Note 16 6 6 2" xfId="33009" xr:uid="{EC156110-FB93-4A18-B779-212E67EC5978}"/>
    <cellStyle name="Note 16 6 7" xfId="10381" xr:uid="{ABAE1311-927E-4E3F-9B02-CFB5E68BFBE6}"/>
    <cellStyle name="Note 16 6 7 2" xfId="34016" xr:uid="{E4128886-5463-4A90-9629-BEA1221D7940}"/>
    <cellStyle name="Note 16 6 8" xfId="8563" xr:uid="{B9D7EF82-04B6-49CF-87F0-040E6E9169F9}"/>
    <cellStyle name="Note 16 6 8 2" xfId="32749" xr:uid="{166F537A-9129-480B-A65F-04ADD3E9430C}"/>
    <cellStyle name="Note 16 6 9" xfId="10537" xr:uid="{DE8E0378-C672-4239-A619-1F8F1D1BFAC2}"/>
    <cellStyle name="Note 16 6 9 2" xfId="34163" xr:uid="{CD61DE86-B690-4B9C-9DC2-3598C5A4C8CC}"/>
    <cellStyle name="Note 16 7" xfId="2827" xr:uid="{17A08D14-F33D-475C-BB24-2DFD267A0A27}"/>
    <cellStyle name="Note 16 7 10" xfId="7368" xr:uid="{CAC1671D-3264-4059-A513-75E1AE2E7282}"/>
    <cellStyle name="Note 16 7 10 2" xfId="31730" xr:uid="{7F3FD1A2-069A-41B6-8BD2-86067A65D107}"/>
    <cellStyle name="Note 16 7 11" xfId="14689" xr:uid="{526EA4BE-CA4C-415E-BE1D-97D800157BDA}"/>
    <cellStyle name="Note 16 7 11 2" xfId="36601" xr:uid="{6E543D9F-338A-4917-AE84-E71732207669}"/>
    <cellStyle name="Note 16 7 12" xfId="16647" xr:uid="{86F5E977-D544-4564-9ABE-E2C8CA0D85EB}"/>
    <cellStyle name="Note 16 7 12 2" xfId="38138" xr:uid="{BD369C87-56AF-4BB0-860D-0C84506AD31C}"/>
    <cellStyle name="Note 16 7 13" xfId="12720" xr:uid="{70471526-AF95-44EA-A154-D21B4DDE0F46}"/>
    <cellStyle name="Note 16 7 13 2" xfId="35133" xr:uid="{1769EA6A-2CA5-4EE6-874B-AF2FA862F9BD}"/>
    <cellStyle name="Note 16 7 14" xfId="13518" xr:uid="{141C4682-7F93-4154-9328-21B5494DB486}"/>
    <cellStyle name="Note 16 7 14 2" xfId="35767" xr:uid="{0EFB9400-4BA0-4A9C-B700-16E9911F9CC7}"/>
    <cellStyle name="Note 16 7 15" xfId="19792" xr:uid="{E01F89C6-EE3C-446D-A1DE-2A8389EFCB9D}"/>
    <cellStyle name="Note 16 7 15 2" xfId="40409" xr:uid="{8F32A401-5DF5-439C-A9EC-29B01C78A698}"/>
    <cellStyle name="Note 16 7 16" xfId="20013" xr:uid="{DFA55696-AE18-46D8-A219-ABFC8E120417}"/>
    <cellStyle name="Note 16 7 16 2" xfId="40579" xr:uid="{926508A8-199A-474C-A652-F0AE38A7719A}"/>
    <cellStyle name="Note 16 7 17" xfId="21472" xr:uid="{CE55401A-F4A9-47C1-A480-EC159B50173A}"/>
    <cellStyle name="Note 16 7 17 2" xfId="41601" xr:uid="{88D0FB5C-F434-4D9E-8518-F163C1D8BF3D}"/>
    <cellStyle name="Note 16 7 18" xfId="13961" xr:uid="{76CB0D39-E72C-4C57-ACDF-7F740BB1067D}"/>
    <cellStyle name="Note 16 7 18 2" xfId="36067" xr:uid="{C9A4504A-BC7D-4E74-B839-62022E957BB0}"/>
    <cellStyle name="Note 16 7 19" xfId="20704" xr:uid="{F562A11D-300A-4565-A81D-4E6AB5A3E512}"/>
    <cellStyle name="Note 16 7 19 2" xfId="41064" xr:uid="{FC379D93-061C-402C-AD09-8CF0A1A6E7B5}"/>
    <cellStyle name="Note 16 7 2" xfId="2828" xr:uid="{F6178E68-29B5-4C42-8749-83608E089274}"/>
    <cellStyle name="Note 16 7 2 10" xfId="14701" xr:uid="{30FE63E7-E228-47D6-BB83-332287807B8B}"/>
    <cellStyle name="Note 16 7 2 10 2" xfId="36613" xr:uid="{50C97008-52A2-4FBF-AAAD-779F09847B14}"/>
    <cellStyle name="Note 16 7 2 11" xfId="14077" xr:uid="{8F09F230-11C5-4645-9273-3D741E6EC8BC}"/>
    <cellStyle name="Note 16 7 2 11 2" xfId="36171" xr:uid="{B7D2F9C6-3F2C-4079-8B2E-832F54DF5F23}"/>
    <cellStyle name="Note 16 7 2 12" xfId="13668" xr:uid="{2CC17C58-0CC0-448D-BCF1-C29400197340}"/>
    <cellStyle name="Note 16 7 2 12 2" xfId="35824" xr:uid="{2497B892-3653-40B2-BE85-9B8E6CCFC529}"/>
    <cellStyle name="Note 16 7 2 13" xfId="15444" xr:uid="{3D74A31B-1017-45E7-9258-05E46D33103F}"/>
    <cellStyle name="Note 16 7 2 13 2" xfId="37119" xr:uid="{32EF3B41-D3E5-4617-810C-1598F7CCDE50}"/>
    <cellStyle name="Note 16 7 2 14" xfId="15723" xr:uid="{B0ABE5FE-9365-4155-90B8-70098C91752C}"/>
    <cellStyle name="Note 16 7 2 14 2" xfId="37353" xr:uid="{DE2801A8-203B-44A1-AF0B-AA6D6F1DAFAE}"/>
    <cellStyle name="Note 16 7 2 15" xfId="21645" xr:uid="{061D0390-EF25-46D7-BD5E-6E48C75B2AE1}"/>
    <cellStyle name="Note 16 7 2 15 2" xfId="41719" xr:uid="{429B9644-3FEE-48F3-A3F6-F9C1663FCD3C}"/>
    <cellStyle name="Note 16 7 2 16" xfId="17718" xr:uid="{0372BD75-E7E1-48E3-8191-227C6927D57E}"/>
    <cellStyle name="Note 16 7 2 16 2" xfId="38894" xr:uid="{B90C10D1-B1E8-467B-AEE0-A5FFB0C6A395}"/>
    <cellStyle name="Note 16 7 2 17" xfId="24125" xr:uid="{B39C4D1A-6EAD-4EDB-B692-2922DF8E9191}"/>
    <cellStyle name="Note 16 7 2 17 2" xfId="43501" xr:uid="{6E08B2B0-6F70-487D-8BCB-08E26B736835}"/>
    <cellStyle name="Note 16 7 2 18" xfId="18926" xr:uid="{D2A25839-B720-48BC-88B3-2F61AF084E76}"/>
    <cellStyle name="Note 16 7 2 18 2" xfId="39759" xr:uid="{1A84A06C-6B54-42F1-A560-5D0B4ED133F6}"/>
    <cellStyle name="Note 16 7 2 19" xfId="24788" xr:uid="{E7CB1086-5147-49D0-8506-BB79B41F29B6}"/>
    <cellStyle name="Note 16 7 2 19 2" xfId="43933" xr:uid="{3962B06A-2228-47CE-A6C7-AD595BE11E83}"/>
    <cellStyle name="Note 16 7 2 2" xfId="8172" xr:uid="{FF05D40D-0DED-4C84-8E60-EFD1F7F2C2AF}"/>
    <cellStyle name="Note 16 7 2 2 2" xfId="32414" xr:uid="{B4B9E13E-4A8E-45E1-8D24-7755A151A9C4}"/>
    <cellStyle name="Note 16 7 2 20" xfId="19319" xr:uid="{9CE78A8F-FE48-46D1-8405-480FBA1DCC1E}"/>
    <cellStyle name="Note 16 7 2 20 2" xfId="40082" xr:uid="{F03BD55F-51B1-48B5-A221-BF92E8C06D92}"/>
    <cellStyle name="Note 16 7 2 21" xfId="24571" xr:uid="{FA75BF68-9E8B-410B-9CC1-A513FC6E4511}"/>
    <cellStyle name="Note 16 7 2 21 2" xfId="43754" xr:uid="{E9D82B74-3F2F-4CCB-A5E4-CDEDDC5B8C64}"/>
    <cellStyle name="Note 16 7 2 22" xfId="19542" xr:uid="{79171319-F0D2-4232-8A11-660E867F4C74}"/>
    <cellStyle name="Note 16 7 2 22 2" xfId="40205" xr:uid="{FEA6FF20-3616-47EE-B640-0997A606B633}"/>
    <cellStyle name="Note 16 7 2 23" xfId="27191" xr:uid="{19D998B9-A632-4C66-A44D-745B3F900746}"/>
    <cellStyle name="Note 16 7 2 23 2" xfId="45531" xr:uid="{A58C919C-F9B1-4D76-A71C-B4FCC2F27AD0}"/>
    <cellStyle name="Note 16 7 2 24" xfId="19504" xr:uid="{CC94A0D1-7A81-4976-B043-DE4212BA822E}"/>
    <cellStyle name="Note 16 7 2 24 2" xfId="40181" xr:uid="{32518265-1EBF-4A0C-A9DB-0BB161328537}"/>
    <cellStyle name="Note 16 7 2 25" xfId="26929" xr:uid="{857D6266-FC91-4E69-B055-E61604D288F0}"/>
    <cellStyle name="Note 16 7 2 25 2" xfId="45344" xr:uid="{8192E14D-65A2-4209-AC0C-40D9D0A76FB2}"/>
    <cellStyle name="Note 16 7 2 26" xfId="27394" xr:uid="{A8E961F2-4CA8-4D15-A750-FF75D7AAAC6E}"/>
    <cellStyle name="Note 16 7 2 26 2" xfId="45649" xr:uid="{79CDB24F-45CA-4D40-AEAD-A38EB8CEECC6}"/>
    <cellStyle name="Note 16 7 2 27" xfId="26812" xr:uid="{57C75254-B530-42F6-A13D-A1EE5FAA7A34}"/>
    <cellStyle name="Note 16 7 2 27 2" xfId="45283" xr:uid="{BCAFC616-3C6C-45A3-A800-0FA3FB437CAA}"/>
    <cellStyle name="Note 16 7 2 28" xfId="6365" xr:uid="{7480ABB6-5E7C-4E45-8415-448AD8E2A256}"/>
    <cellStyle name="Note 16 7 2 3" xfId="9217" xr:uid="{872CD9F4-37F6-4FAF-85AD-071856597959}"/>
    <cellStyle name="Note 16 7 2 3 2" xfId="33211" xr:uid="{BA424CC1-0019-414F-AD72-4FA15E235B5B}"/>
    <cellStyle name="Note 16 7 2 4" xfId="7786" xr:uid="{CAF42344-5EA2-4F9D-86CF-FA8C91B3DD06}"/>
    <cellStyle name="Note 16 7 2 4 2" xfId="32082" xr:uid="{545E5795-BAFA-40DE-9203-5F64E1249209}"/>
    <cellStyle name="Note 16 7 2 5" xfId="13614" xr:uid="{1EE70678-FEAD-42A6-A641-778075627A66}"/>
    <cellStyle name="Note 16 7 2 5 2" xfId="35781" xr:uid="{C798F8C7-D470-4917-BC7D-F99C85251096}"/>
    <cellStyle name="Note 16 7 2 6" xfId="14355" xr:uid="{4FEAF4AD-2B5A-4F54-8C0B-A4F41E1DFAA8}"/>
    <cellStyle name="Note 16 7 2 6 2" xfId="36382" xr:uid="{CBE01C0B-7BAE-4704-B31D-4B41ECD21DFF}"/>
    <cellStyle name="Note 16 7 2 7" xfId="8562" xr:uid="{1B1E6D2F-BB56-440B-805A-0EA4C6AF1178}"/>
    <cellStyle name="Note 16 7 2 7 2" xfId="32748" xr:uid="{29F484BB-49FB-4D5A-8D19-7709F9DC88D9}"/>
    <cellStyle name="Note 16 7 2 8" xfId="14937" xr:uid="{B1796837-7FE9-4279-8277-B87BB2E3C28D}"/>
    <cellStyle name="Note 16 7 2 8 2" xfId="36812" xr:uid="{5F53CA36-8CCE-46BD-9539-32EA95D2CEB9}"/>
    <cellStyle name="Note 16 7 2 9" xfId="11789" xr:uid="{8894F706-5648-488E-818A-189B0921B35F}"/>
    <cellStyle name="Note 16 7 2 9 2" xfId="34402" xr:uid="{4EDA5560-F2AD-4312-9D3F-91D9FD2A0DCF}"/>
    <cellStyle name="Note 16 7 20" xfId="16926" xr:uid="{CDDB97B6-08F1-4EB2-AEAE-833AB4E67461}"/>
    <cellStyle name="Note 16 7 20 2" xfId="38297" xr:uid="{66F3068B-CF51-43E6-89D2-1B356FB698C0}"/>
    <cellStyle name="Note 16 7 21" xfId="18171" xr:uid="{95737E58-AA31-4103-897A-94B7583B26D4}"/>
    <cellStyle name="Note 16 7 21 2" xfId="39224" xr:uid="{20C95500-6AC1-43F2-A037-B787762A8AF4}"/>
    <cellStyle name="Note 16 7 22" xfId="21797" xr:uid="{4D45BBB8-38E2-43BC-8E39-BE51DB2D6EDD}"/>
    <cellStyle name="Note 16 7 22 2" xfId="41794" xr:uid="{4708C70E-CCEC-47CD-8E73-13C1AADBDD4D}"/>
    <cellStyle name="Note 16 7 23" xfId="25193" xr:uid="{F0297444-066C-4C51-BEF3-F2EFEF3AC6E1}"/>
    <cellStyle name="Note 16 7 23 2" xfId="44135" xr:uid="{A8AD6729-E3E9-44C6-9EE8-BE92BE8B3ACB}"/>
    <cellStyle name="Note 16 7 24" xfId="26125" xr:uid="{40CEFBCF-3E98-442D-9A01-49E83C84EEB0}"/>
    <cellStyle name="Note 16 7 24 2" xfId="44868" xr:uid="{D5CCC426-D103-4079-A256-5295F767FCCC}"/>
    <cellStyle name="Note 16 7 25" xfId="30314" xr:uid="{42760531-3BB6-4C04-9996-F40FADE949F5}"/>
    <cellStyle name="Note 16 7 25 2" xfId="47462" xr:uid="{8D996AC3-BA20-415D-A9D5-193D8CE11755}"/>
    <cellStyle name="Note 16 7 26" xfId="28855" xr:uid="{F85741EF-4066-4ACF-A0EB-4F18D6087C42}"/>
    <cellStyle name="Note 16 7 26 2" xfId="46476" xr:uid="{13EF1297-0419-4053-8527-9020150F4EEC}"/>
    <cellStyle name="Note 16 7 27" xfId="28665" xr:uid="{57CE4D0F-5708-479C-AE39-2F6179F74A52}"/>
    <cellStyle name="Note 16 7 27 2" xfId="46399" xr:uid="{EF99AA15-A267-429C-A120-38AFB4871FA6}"/>
    <cellStyle name="Note 16 7 28" xfId="29344" xr:uid="{92BAAB1B-988F-4748-A594-FC30D52473AA}"/>
    <cellStyle name="Note 16 7 28 2" xfId="46817" xr:uid="{DE06A272-7F1A-4233-A7E8-9266BB57C3A5}"/>
    <cellStyle name="Note 16 7 29" xfId="6364" xr:uid="{CAA27586-0ED1-49B7-A8D6-60431247E386}"/>
    <cellStyle name="Note 16 7 3" xfId="8173" xr:uid="{980A87C5-A441-41B8-8D7B-C918EB564F10}"/>
    <cellStyle name="Note 16 7 3 2" xfId="32415" xr:uid="{4AE2718C-0232-4B6F-8EEF-42EEE4087450}"/>
    <cellStyle name="Note 16 7 4" xfId="9216" xr:uid="{E999B0F7-B9A9-43ED-B230-7ACAEB437DC6}"/>
    <cellStyle name="Note 16 7 4 2" xfId="33210" xr:uid="{A036865A-D3BA-437E-AA2B-CD688AC32C13}"/>
    <cellStyle name="Note 16 7 5" xfId="7787" xr:uid="{4857D9E4-7E5B-4FCF-BE32-6393CC1BDD08}"/>
    <cellStyle name="Note 16 7 5 2" xfId="32083" xr:uid="{4A6A2874-F262-4329-8C88-F580D0D764A0}"/>
    <cellStyle name="Note 16 7 6" xfId="14567" xr:uid="{DFE451F8-2D25-4286-BA66-E6EE6BC401C9}"/>
    <cellStyle name="Note 16 7 6 2" xfId="36490" xr:uid="{36CED0A6-77C2-4F74-9B01-28131DA1DCD1}"/>
    <cellStyle name="Note 16 7 7" xfId="10382" xr:uid="{FDAB8BC4-2427-4C23-829B-AB1DC7D5BD4C}"/>
    <cellStyle name="Note 16 7 7 2" xfId="34017" xr:uid="{9D761070-8F45-42B1-BB6B-C10DE0BA3E0C}"/>
    <cellStyle name="Note 16 7 8" xfId="15060" xr:uid="{EFD04559-66D0-4A89-90AA-F0032FF9BF3B}"/>
    <cellStyle name="Note 16 7 8 2" xfId="36906" xr:uid="{E4AF047C-271D-4B10-BD7B-EF6D05C41D21}"/>
    <cellStyle name="Note 16 7 9" xfId="12940" xr:uid="{AC072E30-9838-4206-8C29-53A206430F9E}"/>
    <cellStyle name="Note 16 7 9 2" xfId="35296" xr:uid="{BDBE4B36-AC48-4210-843F-AF890AD71A21}"/>
    <cellStyle name="Note 16 8" xfId="2829" xr:uid="{5CFC9EDA-B52E-4C99-96AE-360EF3D23FB1}"/>
    <cellStyle name="Note 16 8 10" xfId="16005" xr:uid="{1995D658-39DB-425C-A3BE-9CEA55359715}"/>
    <cellStyle name="Note 16 8 10 2" xfId="37588" xr:uid="{03E7DDBA-6350-445F-81DD-1F8A41474A7F}"/>
    <cellStyle name="Note 16 8 11" xfId="16646" xr:uid="{92105BD3-29E5-4A27-9B4C-009410DCA2F5}"/>
    <cellStyle name="Note 16 8 11 2" xfId="38137" xr:uid="{2FC5D96F-D1BD-42B8-9632-5EC6CC09D022}"/>
    <cellStyle name="Note 16 8 12" xfId="15583" xr:uid="{8207F0AE-CF9F-4DC0-8797-2E03FAB59A50}"/>
    <cellStyle name="Note 16 8 12 2" xfId="37241" xr:uid="{46FAB1FC-A3EE-439B-9596-B482C0D84583}"/>
    <cellStyle name="Note 16 8 13" xfId="9825" xr:uid="{27713879-AB9C-4392-9FF5-1E2A46F26ED6}"/>
    <cellStyle name="Note 16 8 13 2" xfId="33590" xr:uid="{020740A9-E5BB-4A70-9C2A-0E7C9BD0ECA1}"/>
    <cellStyle name="Note 16 8 14" xfId="19791" xr:uid="{A2D23B37-B836-4DFF-8BC9-FB8D22B15334}"/>
    <cellStyle name="Note 16 8 14 2" xfId="40408" xr:uid="{D0F9BBAC-BEE4-4ED9-843D-6EACD6D137B1}"/>
    <cellStyle name="Note 16 8 15" xfId="19998" xr:uid="{18A45F4C-C519-46A9-AB89-C849940E18E1}"/>
    <cellStyle name="Note 16 8 15 2" xfId="40568" xr:uid="{A21744D6-3524-4124-A883-DC64F7932C68}"/>
    <cellStyle name="Note 16 8 16" xfId="21471" xr:uid="{8FE31FA4-FF0B-4B18-8D0A-D5AB75DDC875}"/>
    <cellStyle name="Note 16 8 16 2" xfId="41600" xr:uid="{4732B551-3A79-4A06-BF4E-E0809DAB418F}"/>
    <cellStyle name="Note 16 8 17" xfId="18349" xr:uid="{8CED0534-3CB4-444E-BD18-4000CC0F7B10}"/>
    <cellStyle name="Note 16 8 17 2" xfId="39379" xr:uid="{12433509-D745-4A5E-B751-5BE97D027FF4}"/>
    <cellStyle name="Note 16 8 18" xfId="20705" xr:uid="{E05AD1E2-6C79-4D2C-9739-831B3513CE08}"/>
    <cellStyle name="Note 16 8 18 2" xfId="41065" xr:uid="{31118889-E89F-4007-94AD-EE958F39518C}"/>
    <cellStyle name="Note 16 8 19" xfId="22349" xr:uid="{4F2553D2-9E9C-4D77-B82F-AB0F1E61F283}"/>
    <cellStyle name="Note 16 8 19 2" xfId="42204" xr:uid="{88986F83-2F9F-40B2-A6F9-874AD665C6F5}"/>
    <cellStyle name="Note 16 8 2" xfId="8171" xr:uid="{41259EBA-CECA-4D2C-9C36-C1A070E52CC9}"/>
    <cellStyle name="Note 16 8 2 2" xfId="32413" xr:uid="{14D4AC95-3E04-421F-AD4E-DED1DACA8D65}"/>
    <cellStyle name="Note 16 8 20" xfId="24922" xr:uid="{4396F52D-E06A-46B1-8A84-94263B709375}"/>
    <cellStyle name="Note 16 8 20 2" xfId="44008" xr:uid="{42F36378-86B3-402D-9205-C252535231EF}"/>
    <cellStyle name="Note 16 8 21" xfId="25282" xr:uid="{55ED8D80-5207-4F3E-8747-265930E226B3}"/>
    <cellStyle name="Note 16 8 21 2" xfId="44198" xr:uid="{13D1A78C-593F-41CB-AA51-C60A6320269B}"/>
    <cellStyle name="Note 16 8 22" xfId="21256" xr:uid="{21120DE8-29AF-41BC-AE5D-FF3C0A4F4F36}"/>
    <cellStyle name="Note 16 8 22 2" xfId="41438" xr:uid="{0F25FAD5-6C2C-4494-8AF3-04B76FF1DD68}"/>
    <cellStyle name="Note 16 8 23" xfId="25655" xr:uid="{16BC6517-5581-47BE-9D76-488183AB7845}"/>
    <cellStyle name="Note 16 8 23 2" xfId="44500" xr:uid="{780C0FC8-3723-4D57-972F-4F01EB03F5B0}"/>
    <cellStyle name="Note 16 8 24" xfId="30313" xr:uid="{A543C9AA-EE1D-42A6-A08E-F1E0267E91F2}"/>
    <cellStyle name="Note 16 8 24 2" xfId="47461" xr:uid="{3C9E7A03-94AD-46CA-9BAC-AFC8176C3BA8}"/>
    <cellStyle name="Note 16 8 25" xfId="23724" xr:uid="{6574E949-1931-4797-B8C7-B06F49FC909E}"/>
    <cellStyle name="Note 16 8 25 2" xfId="43140" xr:uid="{861AD805-C9FB-451D-83E6-90C5EF477BC1}"/>
    <cellStyle name="Note 16 8 26" xfId="28666" xr:uid="{84339498-C14C-4C45-BA03-BD691801A3E2}"/>
    <cellStyle name="Note 16 8 26 2" xfId="46400" xr:uid="{1B7EFD24-1D1F-415A-A57C-D9319D860E60}"/>
    <cellStyle name="Note 16 8 27" xfId="29566" xr:uid="{A6B4EAD9-D6FA-4B81-987F-B07F7BFBF5D3}"/>
    <cellStyle name="Note 16 8 27 2" xfId="46961" xr:uid="{CA2B5FF2-4800-4972-844C-729B17885457}"/>
    <cellStyle name="Note 16 8 28" xfId="6366" xr:uid="{528C1EB3-8619-4847-ABE7-F583505F8DD3}"/>
    <cellStyle name="Note 16 8 3" xfId="9218" xr:uid="{F3954DAF-07B6-42A6-AF1F-0B3117D478C3}"/>
    <cellStyle name="Note 16 8 3 2" xfId="33212" xr:uid="{4514C793-06D1-4465-8BB5-5227282CCF97}"/>
    <cellStyle name="Note 16 8 4" xfId="7785" xr:uid="{7D9EC386-0101-4988-82D3-3D26D0550C78}"/>
    <cellStyle name="Note 16 8 4 2" xfId="32081" xr:uid="{B229B863-2FCB-431D-9BD7-D71B9354EA37}"/>
    <cellStyle name="Note 16 8 5" xfId="14559" xr:uid="{72157347-65CB-40FB-A9A8-E4480CD579B9}"/>
    <cellStyle name="Note 16 8 5 2" xfId="36486" xr:uid="{6D1FC323-CF64-4D91-A875-1C34F22D8AF6}"/>
    <cellStyle name="Note 16 8 6" xfId="13082" xr:uid="{EA59586F-DE62-4C49-839A-1AF75247FA04}"/>
    <cellStyle name="Note 16 8 6 2" xfId="35430" xr:uid="{F7F8A62D-9829-4D77-AB7B-CFF7943D9BD1}"/>
    <cellStyle name="Note 16 8 7" xfId="8561" xr:uid="{9E70B180-B24E-4821-BAC9-1E2A6F7505A9}"/>
    <cellStyle name="Note 16 8 7 2" xfId="32747" xr:uid="{E67C9F61-B480-4594-9DD3-84EBE6901109}"/>
    <cellStyle name="Note 16 8 8" xfId="10538" xr:uid="{D8BEE469-44DB-4F51-82F3-29D7DAA912DF}"/>
    <cellStyle name="Note 16 8 8 2" xfId="34164" xr:uid="{02E65FD9-B23A-49FE-A099-CB3C2D47A38F}"/>
    <cellStyle name="Note 16 8 9" xfId="7367" xr:uid="{50BE1888-6E1D-45F2-8A02-5CFD2C3AEC69}"/>
    <cellStyle name="Note 16 8 9 2" xfId="31729" xr:uid="{4CD8A61A-1F22-4229-A58C-5DC71405704C}"/>
    <cellStyle name="Note 16 9" xfId="8187" xr:uid="{1126ADDE-437E-4CA1-A7F2-72D8A1B6ED60}"/>
    <cellStyle name="Note 16 9 2" xfId="32428" xr:uid="{94BCBA58-FD98-48E6-B967-31A28AFEE428}"/>
    <cellStyle name="Note 16_Sheet2" xfId="2830" xr:uid="{BE65F784-9491-48E1-B10C-4E1AA2BA026B}"/>
    <cellStyle name="Note 17" xfId="2831" xr:uid="{6709B547-19D7-4C00-ACF6-CE3BE43FFBF5}"/>
    <cellStyle name="Note 17 10" xfId="9219" xr:uid="{B921E5B2-B00A-43BC-AEE3-D9A57DAE174A}"/>
    <cellStyle name="Note 17 10 2" xfId="33213" xr:uid="{FF7411C0-F132-46C2-9E86-3A3BBC97C910}"/>
    <cellStyle name="Note 17 11" xfId="7784" xr:uid="{FB86DEF9-7615-4380-ACAA-C68B8A94A055}"/>
    <cellStyle name="Note 17 11 2" xfId="32080" xr:uid="{6A2C3312-B994-411C-B8CC-A7F19ADB4AC6}"/>
    <cellStyle name="Note 17 12" xfId="9005" xr:uid="{E30D921E-43F3-4DBE-A5D7-ABB61F823D16}"/>
    <cellStyle name="Note 17 12 2" xfId="33007" xr:uid="{43DD86D2-45EB-455B-A83A-719374625F9B}"/>
    <cellStyle name="Note 17 13" xfId="10384" xr:uid="{6C3E55EC-C703-4131-B229-3AD45A85A747}"/>
    <cellStyle name="Note 17 13 2" xfId="34019" xr:uid="{AFAB7A7E-9644-4FBE-A7B2-88A062A32007}"/>
    <cellStyle name="Note 17 14" xfId="13365" xr:uid="{36D766E6-0A7B-41D0-9DBE-60984A899157}"/>
    <cellStyle name="Note 17 14 2" xfId="35672" xr:uid="{514E7A7B-20BE-47AD-B274-AB19073E0CDB}"/>
    <cellStyle name="Note 17 15" xfId="14397" xr:uid="{C3DD0B29-FD5F-4856-BF01-3D231D7B1FFC}"/>
    <cellStyle name="Note 17 15 2" xfId="36391" xr:uid="{414253D0-E03B-4941-A8FF-6F181085ADBE}"/>
    <cellStyle name="Note 17 16" xfId="7366" xr:uid="{5B7B9F8A-60D5-45D7-B2C7-679DD68A45C7}"/>
    <cellStyle name="Note 17 16 2" xfId="31728" xr:uid="{F7A32A63-F204-4A5B-9B69-E9152570CE58}"/>
    <cellStyle name="Note 17 17" xfId="14700" xr:uid="{48187E00-79E7-4168-ACCA-A4DC14DEACA1}"/>
    <cellStyle name="Note 17 17 2" xfId="36612" xr:uid="{904D15D3-5D11-44B4-8C2B-F88455368FA4}"/>
    <cellStyle name="Note 17 18" xfId="16645" xr:uid="{5D25BD6A-0F99-4860-852C-2D301EAAE152}"/>
    <cellStyle name="Note 17 18 2" xfId="38136" xr:uid="{3460CE4A-3DC8-4460-A8E4-C0DA5642C4A3}"/>
    <cellStyle name="Note 17 19" xfId="13850" xr:uid="{49DA579F-DA5C-45C4-AD9E-9192CBED5412}"/>
    <cellStyle name="Note 17 19 2" xfId="35973" xr:uid="{837EA260-E8BD-4691-AC7C-BD7E15717006}"/>
    <cellStyle name="Note 17 2" xfId="2832" xr:uid="{0130DC17-1006-405E-8E94-BCE31142C0C0}"/>
    <cellStyle name="Note 17 2 10" xfId="14396" xr:uid="{1C676412-7B00-4234-9273-5858EC89FE0D}"/>
    <cellStyle name="Note 17 2 10 2" xfId="36390" xr:uid="{C552FDC8-D238-43E7-A1B1-34EA5991D83F}"/>
    <cellStyle name="Note 17 2 11" xfId="11788" xr:uid="{78782929-1D22-45EA-9DE5-B461283D27DB}"/>
    <cellStyle name="Note 17 2 11 2" xfId="34401" xr:uid="{008D14FF-68EE-4984-A57D-0EF07209C3E7}"/>
    <cellStyle name="Note 17 2 12" xfId="16004" xr:uid="{53B04C55-068F-4012-8256-CDEB58DC1255}"/>
    <cellStyle name="Note 17 2 12 2" xfId="37587" xr:uid="{1E6C4073-0D97-49D4-8D8D-365B9F0A50BD}"/>
    <cellStyle name="Note 17 2 13" xfId="19297" xr:uid="{62D850C6-C416-474C-8A0A-942033E6C908}"/>
    <cellStyle name="Note 17 2 13 2" xfId="40074" xr:uid="{414BEE10-EEA8-45B3-A6C1-046F9BADBCB7}"/>
    <cellStyle name="Note 17 2 14" xfId="14585" xr:uid="{05F12B6D-8167-427A-A468-34B69C3E9ACF}"/>
    <cellStyle name="Note 17 2 14 2" xfId="36503" xr:uid="{DF7C53A3-6F36-4780-A70B-5B6E83D97E65}"/>
    <cellStyle name="Note 17 2 15" xfId="9826" xr:uid="{56E8526C-B492-44AA-AAF2-D29FAB4E1D1C}"/>
    <cellStyle name="Note 17 2 15 2" xfId="33591" xr:uid="{46AF0742-7BFF-4D1C-B6A7-E7942006D1C4}"/>
    <cellStyle name="Note 17 2 16" xfId="20848" xr:uid="{9CEBD2D6-613D-4AA3-A63B-10D17245032B}"/>
    <cellStyle name="Note 17 2 16 2" xfId="41190" xr:uid="{BC294435-12B7-47B2-B933-B97EFC24CCCA}"/>
    <cellStyle name="Note 17 2 17" xfId="10054" xr:uid="{12825D58-70AD-49B9-9097-3EF046EA7BA8}"/>
    <cellStyle name="Note 17 2 17 2" xfId="33766" xr:uid="{F9E61D35-E10A-4F40-906D-E9C18182B775}"/>
    <cellStyle name="Note 17 2 18" xfId="19647" xr:uid="{90A597E3-9FF9-4F5A-8BBD-C333A96576E6}"/>
    <cellStyle name="Note 17 2 18 2" xfId="40287" xr:uid="{DC63F477-E8A2-4924-844C-6A2C6B7E5646}"/>
    <cellStyle name="Note 17 2 19" xfId="24127" xr:uid="{976F9E21-532B-453A-9395-A48ACB31C79F}"/>
    <cellStyle name="Note 17 2 19 2" xfId="43503" xr:uid="{BCFFE013-DD23-44F1-BA41-D3B7A3D2D6F2}"/>
    <cellStyle name="Note 17 2 2" xfId="2833" xr:uid="{ADB55879-D270-4369-9F53-092A6B526A07}"/>
    <cellStyle name="Note 17 2 2 10" xfId="7365" xr:uid="{26FCA182-63B7-43FA-B710-8453F10BB4C2}"/>
    <cellStyle name="Note 17 2 2 10 2" xfId="31727" xr:uid="{E2EB702C-AB7F-495A-8BFD-87E9B165CC55}"/>
    <cellStyle name="Note 17 2 2 11" xfId="12258" xr:uid="{066CADDD-163A-4ED0-B569-AB3DC9EC2973}"/>
    <cellStyle name="Note 17 2 2 11 2" xfId="34764" xr:uid="{7D969979-138C-4AEF-A473-CFE91CF2A0F9}"/>
    <cellStyle name="Note 17 2 2 12" xfId="18764" xr:uid="{9A4E239A-03FB-4696-9487-DC3BE907D447}"/>
    <cellStyle name="Note 17 2 2 12 2" xfId="39637" xr:uid="{D9CF8919-CE17-4703-A4F2-3F88AF941055}"/>
    <cellStyle name="Note 17 2 2 13" xfId="15584" xr:uid="{24815E5F-81A9-4F4D-85FA-296A34C97DFE}"/>
    <cellStyle name="Note 17 2 2 13 2" xfId="37242" xr:uid="{C24674D7-0B9D-41B9-ACD4-90E87961CC6C}"/>
    <cellStyle name="Note 17 2 2 14" xfId="20817" xr:uid="{0565BDF2-2AB3-411D-8533-895119698FD6}"/>
    <cellStyle name="Note 17 2 2 14 2" xfId="41177" xr:uid="{6B620192-6B9F-4D01-8AAD-377362513E2D}"/>
    <cellStyle name="Note 17 2 2 15" xfId="15159" xr:uid="{D72305E4-B3D6-49F3-BB08-4EE8F5A7592F}"/>
    <cellStyle name="Note 17 2 2 15 2" xfId="36948" xr:uid="{449D17F3-4AD3-410C-8E27-AFCDCD3C8C5B}"/>
    <cellStyle name="Note 17 2 2 16" xfId="10055" xr:uid="{2453E3C7-1178-41A2-A8BB-669A7BB50700}"/>
    <cellStyle name="Note 17 2 2 16 2" xfId="33767" xr:uid="{B7D6A3F5-9D91-4E81-9B50-14D652C3CD46}"/>
    <cellStyle name="Note 17 2 2 17" xfId="21469" xr:uid="{43F408C1-A7F4-4C84-A66A-11E75B14A7CB}"/>
    <cellStyle name="Note 17 2 2 17 2" xfId="41598" xr:uid="{3019B703-11AD-4FE9-81C7-D329E5A4EE6F}"/>
    <cellStyle name="Note 17 2 2 18" xfId="18348" xr:uid="{6AEDE13D-DA46-4991-AC9B-78D167522DC0}"/>
    <cellStyle name="Note 17 2 2 18 2" xfId="39378" xr:uid="{425D84FA-9CD3-43AC-868C-6997BE8B246C}"/>
    <cellStyle name="Note 17 2 2 19" xfId="16109" xr:uid="{291C8F68-48BB-4C31-A1E5-C56792B5D3B3}"/>
    <cellStyle name="Note 17 2 2 19 2" xfId="37679" xr:uid="{E563B828-AC0E-484C-B3D2-76BD2D6E0BDB}"/>
    <cellStyle name="Note 17 2 2 2" xfId="2834" xr:uid="{24FE0975-3ADF-4A1D-A57A-FE72DEE80E10}"/>
    <cellStyle name="Note 17 2 2 2 10" xfId="14699" xr:uid="{E3235C20-1699-465B-AEC8-504010603580}"/>
    <cellStyle name="Note 17 2 2 2 10 2" xfId="36611" xr:uid="{30193E0D-3CEA-437D-8F1F-4BA15E4C2594}"/>
    <cellStyle name="Note 17 2 2 2 11" xfId="14076" xr:uid="{CA39081A-4F90-4462-8509-4CA1DC1CCDB7}"/>
    <cellStyle name="Note 17 2 2 2 11 2" xfId="36170" xr:uid="{9F974EAE-B3F8-4B03-9C54-8536AF3F208E}"/>
    <cellStyle name="Note 17 2 2 2 12" xfId="16030" xr:uid="{57B0A256-BFB1-4B25-BE17-D26C6EA25343}"/>
    <cellStyle name="Note 17 2 2 2 12 2" xfId="37613" xr:uid="{05F83AE2-88D1-4DC7-AFD9-4346CDE90490}"/>
    <cellStyle name="Note 17 2 2 2 13" xfId="9848" xr:uid="{0438D7B7-EF17-451F-9DAD-7617489981F0}"/>
    <cellStyle name="Note 17 2 2 2 13 2" xfId="33594" xr:uid="{80277479-6D46-4C63-850A-9733423DD602}"/>
    <cellStyle name="Note 17 2 2 2 14" xfId="19789" xr:uid="{48878936-EB9A-466D-8592-9AD1FE925FF0}"/>
    <cellStyle name="Note 17 2 2 2 14 2" xfId="40406" xr:uid="{31E57CBA-7395-4D8C-9D75-3B3B47B3B793}"/>
    <cellStyle name="Note 17 2 2 2 15" xfId="21647" xr:uid="{E50F0FE9-C790-41B5-87D6-8FDA120BF38C}"/>
    <cellStyle name="Note 17 2 2 2 15 2" xfId="41721" xr:uid="{9B52A311-3CB2-405F-93FF-EC9CA6584205}"/>
    <cellStyle name="Note 17 2 2 2 16" xfId="20887" xr:uid="{BDFC6190-1CED-470E-A1B7-28DC7CB8B21C}"/>
    <cellStyle name="Note 17 2 2 2 16 2" xfId="41195" xr:uid="{B6A3A502-C94D-41C3-A9CA-2F45BE806CDA}"/>
    <cellStyle name="Note 17 2 2 2 17" xfId="24126" xr:uid="{B5120DAE-B99D-48D8-BB18-3F64DA6241CF}"/>
    <cellStyle name="Note 17 2 2 2 17 2" xfId="43502" xr:uid="{87E92DEA-BA74-4B78-B9DB-C55E374949EB}"/>
    <cellStyle name="Note 17 2 2 2 18" xfId="20706" xr:uid="{8BD5D9CE-3B4C-45AF-8FF7-B232CC59B1E8}"/>
    <cellStyle name="Note 17 2 2 2 18 2" xfId="41066" xr:uid="{9F2874C3-4C56-4EFB-ACB8-777DA86FD638}"/>
    <cellStyle name="Note 17 2 2 2 19" xfId="24786" xr:uid="{C6A4CAA1-E0E7-45BB-A9B2-BCD8DAA156C4}"/>
    <cellStyle name="Note 17 2 2 2 19 2" xfId="43931" xr:uid="{6D20B8A2-2C7B-450A-A2A4-8C53C18A5169}"/>
    <cellStyle name="Note 17 2 2 2 2" xfId="8167" xr:uid="{4FD627D9-165F-4EC8-9E40-CBC828658291}"/>
    <cellStyle name="Note 17 2 2 2 2 2" xfId="32409" xr:uid="{0AE2D9B8-1515-4F61-AC11-C4DF5AC4AEB2}"/>
    <cellStyle name="Note 17 2 2 2 20" xfId="24905" xr:uid="{3FC1AFB0-E4EB-4343-8771-DF84C9F9DCD7}"/>
    <cellStyle name="Note 17 2 2 2 20 2" xfId="43991" xr:uid="{748F8D26-EC3B-4C78-B4E4-1A8C4E0D4411}"/>
    <cellStyle name="Note 17 2 2 2 21" xfId="24570" xr:uid="{2EE288CF-2F75-4B53-971B-3540AB825016}"/>
    <cellStyle name="Note 17 2 2 2 21 2" xfId="43753" xr:uid="{AD827F5B-0F14-4606-B4C5-1C65E79EE868}"/>
    <cellStyle name="Note 17 2 2 2 22" xfId="24960" xr:uid="{0FE6BE7D-C59A-4209-B608-FB77D8CC3021}"/>
    <cellStyle name="Note 17 2 2 2 22 2" xfId="44042" xr:uid="{8D5F6141-E201-4F7F-9626-6852A86F4FA6}"/>
    <cellStyle name="Note 17 2 2 2 23" xfId="27189" xr:uid="{AE12BC96-8106-4114-93A7-EABDBC81B145}"/>
    <cellStyle name="Note 17 2 2 2 23 2" xfId="45529" xr:uid="{5D029D0C-A13F-44D6-915E-0FFE14F53757}"/>
    <cellStyle name="Note 17 2 2 2 24" xfId="30308" xr:uid="{6E202F48-BFD1-4C04-BDF9-CC3D73481EDD}"/>
    <cellStyle name="Note 17 2 2 2 24 2" xfId="47456" xr:uid="{EFCB10B7-0C27-41ED-871F-AC4B628589DD}"/>
    <cellStyle name="Note 17 2 2 2 25" xfId="29274" xr:uid="{B04D4E2F-F4DB-4188-803B-93EB2E57C0B2}"/>
    <cellStyle name="Note 17 2 2 2 25 2" xfId="46789" xr:uid="{DBD25E13-D95D-4018-8396-FEF2FE11676E}"/>
    <cellStyle name="Note 17 2 2 2 26" xfId="24153" xr:uid="{10E7E9E2-67BB-41AC-B7B2-6F646770F7A0}"/>
    <cellStyle name="Note 17 2 2 2 26 2" xfId="43512" xr:uid="{218943B7-14FD-4485-8D6B-CC4DCA1C4217}"/>
    <cellStyle name="Note 17 2 2 2 27" xfId="23753" xr:uid="{FDA00F2C-67AA-4E22-9077-30DB1290CCF3}"/>
    <cellStyle name="Note 17 2 2 2 27 2" xfId="43165" xr:uid="{8850E333-9E5C-414E-9417-957D95237C40}"/>
    <cellStyle name="Note 17 2 2 2 28" xfId="6370" xr:uid="{1F35F565-B1C0-4DBC-B19A-75022D46B797}"/>
    <cellStyle name="Note 17 2 2 2 3" xfId="9222" xr:uid="{75339F80-EB59-4FD9-9CD9-457205DCDF48}"/>
    <cellStyle name="Note 17 2 2 2 3 2" xfId="33216" xr:uid="{96CF66F0-A29D-4CD8-A92F-84020F9A8F42}"/>
    <cellStyle name="Note 17 2 2 2 4" xfId="7781" xr:uid="{1AFBECE8-E71D-4CA1-9D63-4463DB6E7425}"/>
    <cellStyle name="Note 17 2 2 2 4 2" xfId="32077" xr:uid="{8ED71029-B56A-4E03-A3FB-4D7508ABAA64}"/>
    <cellStyle name="Note 17 2 2 2 5" xfId="9003" xr:uid="{3D6EA78F-DE3B-47D3-986E-D32EB3E90DA8}"/>
    <cellStyle name="Note 17 2 2 2 5 2" xfId="33005" xr:uid="{177D5004-E95B-4C06-B07D-694741637F01}"/>
    <cellStyle name="Note 17 2 2 2 6" xfId="13080" xr:uid="{85496AC4-36F5-4BF2-B461-75A7311B9F95}"/>
    <cellStyle name="Note 17 2 2 2 6 2" xfId="35428" xr:uid="{B4CAAFCD-D157-40AE-ABA2-7850832011A8}"/>
    <cellStyle name="Note 17 2 2 2 7" xfId="13347" xr:uid="{C957798F-1467-4982-9E62-75BA9205ED92}"/>
    <cellStyle name="Note 17 2 2 2 7 2" xfId="35654" xr:uid="{01B558A1-F37D-4BA2-ABEF-4D204EA98A9B}"/>
    <cellStyle name="Note 17 2 2 2 8" xfId="12939" xr:uid="{88E5E20F-CEA0-481F-84E0-4F87F9E47367}"/>
    <cellStyle name="Note 17 2 2 2 8 2" xfId="35295" xr:uid="{7B69C426-2727-457C-8A5A-DEFB963AAE94}"/>
    <cellStyle name="Note 17 2 2 2 9" xfId="11787" xr:uid="{24CEFE98-1744-4FDC-8F8B-9C3CF3B92E97}"/>
    <cellStyle name="Note 17 2 2 2 9 2" xfId="34400" xr:uid="{B71D284D-14CA-4B8E-A377-4E13D37A35A9}"/>
    <cellStyle name="Note 17 2 2 20" xfId="20393" xr:uid="{147B2B7E-7D7E-4F6A-8F03-B8E427A7880D}"/>
    <cellStyle name="Note 17 2 2 20 2" xfId="40815" xr:uid="{EFFB5985-9E99-4B6C-933B-E39B418B3D5C}"/>
    <cellStyle name="Note 17 2 2 21" xfId="26934" xr:uid="{4780C09E-F5AA-4F40-800E-2C0E50C7722F}"/>
    <cellStyle name="Note 17 2 2 21 2" xfId="45349" xr:uid="{83E7A349-1490-41DC-BF4A-F01C02CEF074}"/>
    <cellStyle name="Note 17 2 2 22" xfId="25283" xr:uid="{75BDDA26-625C-4407-B59D-E5B7B108663C}"/>
    <cellStyle name="Note 17 2 2 22 2" xfId="44199" xr:uid="{70B09952-1672-4637-BEF8-9C4AD090C633}"/>
    <cellStyle name="Note 17 2 2 23" xfId="25179" xr:uid="{1A8AC8D7-BD67-4CC6-8E05-29DA37373437}"/>
    <cellStyle name="Note 17 2 2 23 2" xfId="44121" xr:uid="{87A21D0C-36FD-4654-BB25-2F87F7079855}"/>
    <cellStyle name="Note 17 2 2 24" xfId="26124" xr:uid="{13F320D9-032D-439F-9ADF-FC4CAC3D796C}"/>
    <cellStyle name="Note 17 2 2 24 2" xfId="44867" xr:uid="{5038AEB6-5BBB-4364-BBFD-A7361F4B28A9}"/>
    <cellStyle name="Note 17 2 2 25" xfId="27517" xr:uid="{AA1B2087-FED1-4BB0-BBCD-97B2FCADA84A}"/>
    <cellStyle name="Note 17 2 2 25 2" xfId="45711" xr:uid="{B2390641-26EB-409D-BBB1-0080CB778ECC}"/>
    <cellStyle name="Note 17 2 2 26" xfId="29446" xr:uid="{DE6E0437-F4E1-4011-9A94-48A83FD21BE0}"/>
    <cellStyle name="Note 17 2 2 26 2" xfId="46904" xr:uid="{D2D78387-CE94-4F13-885F-B69008D91D76}"/>
    <cellStyle name="Note 17 2 2 27" xfId="27398" xr:uid="{DBFC0322-6D1A-442A-906E-08292823697F}"/>
    <cellStyle name="Note 17 2 2 27 2" xfId="45653" xr:uid="{FA9DDBA7-8AE5-477A-8DE0-B52668FAFF86}"/>
    <cellStyle name="Note 17 2 2 28" xfId="28340" xr:uid="{CB23D8E5-C43D-4BC8-8998-E14A36C5E4B6}"/>
    <cellStyle name="Note 17 2 2 28 2" xfId="46207" xr:uid="{E6B01D51-B533-4308-8264-8F0F91AECB35}"/>
    <cellStyle name="Note 17 2 2 29" xfId="6369" xr:uid="{D4DF3AB2-2B17-480B-B466-4B2A4D6001F9}"/>
    <cellStyle name="Note 17 2 2 3" xfId="8168" xr:uid="{C7A35982-0B4B-4C72-B61A-3698DB3D2D0B}"/>
    <cellStyle name="Note 17 2 2 3 2" xfId="32410" xr:uid="{6AE404C5-EC87-4A62-8F56-D8451001FC29}"/>
    <cellStyle name="Note 17 2 2 4" xfId="9221" xr:uid="{E1748EEE-264E-43E9-958A-D892C16F6823}"/>
    <cellStyle name="Note 17 2 2 4 2" xfId="33215" xr:uid="{FF683056-861F-4FEB-881D-7DA8AFCCFEC3}"/>
    <cellStyle name="Note 17 2 2 5" xfId="7782" xr:uid="{CE4BB5F6-E412-4D48-9AB8-97C29D732305}"/>
    <cellStyle name="Note 17 2 2 5 2" xfId="32078" xr:uid="{1B4F70F9-A0D9-4F74-BA12-CB499C70EF3C}"/>
    <cellStyle name="Note 17 2 2 6" xfId="9004" xr:uid="{5341945E-5121-41C6-8878-18F7370D0A71}"/>
    <cellStyle name="Note 17 2 2 6 2" xfId="33006" xr:uid="{493798B1-D064-45F3-AE0D-D344B7438E32}"/>
    <cellStyle name="Note 17 2 2 7" xfId="10385" xr:uid="{5E834866-B9D8-42AF-BA34-0B587C2853B8}"/>
    <cellStyle name="Note 17 2 2 7 2" xfId="34020" xr:uid="{A077EB06-192D-47BB-8BB6-5E1429282E3A}"/>
    <cellStyle name="Note 17 2 2 8" xfId="13363" xr:uid="{E6629D2C-F09A-4655-9B3C-9A4B1143657A}"/>
    <cellStyle name="Note 17 2 2 8 2" xfId="35670" xr:uid="{2CC01689-7DD5-468D-856B-96C3326F3F07}"/>
    <cellStyle name="Note 17 2 2 9" xfId="14935" xr:uid="{A41BECAF-C37A-4D45-9BA8-3E6B31B05CC0}"/>
    <cellStyle name="Note 17 2 2 9 2" xfId="36810" xr:uid="{469745FD-15C2-4EC5-8031-26D9DDDF222A}"/>
    <cellStyle name="Note 17 2 20" xfId="24451" xr:uid="{1ACA19DF-2959-4972-B9BA-D52009B96388}"/>
    <cellStyle name="Note 17 2 20 2" xfId="43660" xr:uid="{9230741B-690D-4EEA-B936-57CB5E509081}"/>
    <cellStyle name="Note 17 2 21" xfId="24787" xr:uid="{B0F9FD57-402A-4EC8-99A3-734BF1C2B467}"/>
    <cellStyle name="Note 17 2 21 2" xfId="43932" xr:uid="{D1E609E1-D1B3-4E23-8217-0772B816E7CB}"/>
    <cellStyle name="Note 17 2 22" xfId="26732" xr:uid="{2453B1CF-090E-4FB5-AC38-99D59560836C}"/>
    <cellStyle name="Note 17 2 22 2" xfId="45260" xr:uid="{7A8CDD51-E4AC-467D-B33E-9128006E6E67}"/>
    <cellStyle name="Note 17 2 23" xfId="18628" xr:uid="{AC6CDCA5-2F7E-49D7-B217-8408628E5403}"/>
    <cellStyle name="Note 17 2 23 2" xfId="39526" xr:uid="{D5305585-605C-4744-9A11-134ABA51E08C}"/>
    <cellStyle name="Note 17 2 24" xfId="28138" xr:uid="{E33D335F-BB3E-4815-950D-F10FEBEB2851}"/>
    <cellStyle name="Note 17 2 24 2" xfId="46078" xr:uid="{D4F309B6-A537-4259-9D86-2ACA42476DB4}"/>
    <cellStyle name="Note 17 2 25" xfId="27190" xr:uid="{CB917063-1E74-4F5D-87FF-0C28EBAAC82B}"/>
    <cellStyle name="Note 17 2 25 2" xfId="45530" xr:uid="{DB9A5619-542B-4063-822D-DCCB3AB09015}"/>
    <cellStyle name="Note 17 2 26" xfId="27671" xr:uid="{14EF22DF-47A3-490F-B3EA-8D2CB0955B2A}"/>
    <cellStyle name="Note 17 2 26 2" xfId="45786" xr:uid="{9613E7E2-ADCE-4403-A33A-E3B5677D24C2}"/>
    <cellStyle name="Note 17 2 27" xfId="23602" xr:uid="{8B8B4C11-63F1-43BB-BD9C-DBF120CEDB64}"/>
    <cellStyle name="Note 17 2 27 2" xfId="43037" xr:uid="{82F7DAFD-713E-45D1-B8E9-8A67DDEF8D90}"/>
    <cellStyle name="Note 17 2 28" xfId="23057" xr:uid="{9A60D7B0-2E51-4EDE-9210-1A9990A1F0A5}"/>
    <cellStyle name="Note 17 2 28 2" xfId="42691" xr:uid="{C7350B78-289C-472A-8537-A2627AD9A07E}"/>
    <cellStyle name="Note 17 2 29" xfId="27034" xr:uid="{4C8BA787-DE2F-4B12-83E6-43BFAF68D6E1}"/>
    <cellStyle name="Note 17 2 29 2" xfId="45436" xr:uid="{10CE96D3-D795-4359-8510-9CB33B971F40}"/>
    <cellStyle name="Note 17 2 3" xfId="2835" xr:uid="{921BFC1D-AD18-40C5-BC73-1B9D2B4A1467}"/>
    <cellStyle name="Note 17 2 3 10" xfId="18455" xr:uid="{BF4AE40D-5F49-4D73-B747-17862B441792}"/>
    <cellStyle name="Note 17 2 3 10 2" xfId="39463" xr:uid="{3CC1406C-D9D7-49A9-BBC0-4BEA72D81059}"/>
    <cellStyle name="Note 17 2 3 11" xfId="14075" xr:uid="{5DD1F8E7-7C35-4B59-9BA3-E975232BC588}"/>
    <cellStyle name="Note 17 2 3 11 2" xfId="36169" xr:uid="{1ADF5B7F-F999-4DD9-B8EF-B885B6129C14}"/>
    <cellStyle name="Note 17 2 3 12" xfId="12719" xr:uid="{AC32C7D6-883F-428E-B985-6C6C9CCB57CE}"/>
    <cellStyle name="Note 17 2 3 12 2" xfId="35132" xr:uid="{3046FEDB-BF36-4358-9740-2FF44B11E910}"/>
    <cellStyle name="Note 17 2 3 13" xfId="9849" xr:uid="{C3384B05-BBAA-49C8-8D51-7C2BF80082FB}"/>
    <cellStyle name="Note 17 2 3 13 2" xfId="33595" xr:uid="{A91C1209-7231-4E57-88FF-8B389D408A69}"/>
    <cellStyle name="Note 17 2 3 14" xfId="17977" xr:uid="{F229A9C4-10BB-45D9-A9F3-709F1FD82A74}"/>
    <cellStyle name="Note 17 2 3 14 2" xfId="39075" xr:uid="{3445F7A0-E2B9-4CD3-8B66-D923B34D92AA}"/>
    <cellStyle name="Note 17 2 3 15" xfId="10056" xr:uid="{69C19956-368C-4B6E-8D2B-692E2EE0E5EE}"/>
    <cellStyle name="Note 17 2 3 15 2" xfId="33768" xr:uid="{8604334C-2D61-47F0-A9EF-F4E9541EF4C1}"/>
    <cellStyle name="Note 17 2 3 16" xfId="21468" xr:uid="{D6441E15-1379-4504-B782-19C36754267B}"/>
    <cellStyle name="Note 17 2 3 16 2" xfId="41597" xr:uid="{F89F30BF-2356-42FB-B018-E85E0F894168}"/>
    <cellStyle name="Note 17 2 3 17" xfId="18347" xr:uid="{7E183E1B-52AC-48CC-8043-E5B7B5A722F3}"/>
    <cellStyle name="Note 17 2 3 17 2" xfId="39377" xr:uid="{77B05DCE-A499-4B66-BA16-1CD20889B009}"/>
    <cellStyle name="Note 17 2 3 18" xfId="18927" xr:uid="{6FCE124A-8833-4F6C-9657-2344775F7B9C}"/>
    <cellStyle name="Note 17 2 3 18 2" xfId="39760" xr:uid="{3815E13E-5001-49D1-8C0C-A0CC3B4A9140}"/>
    <cellStyle name="Note 17 2 3 19" xfId="22896" xr:uid="{98CA4964-4529-4C6D-A36F-D83E67CE5F79}"/>
    <cellStyle name="Note 17 2 3 19 2" xfId="42614" xr:uid="{B76BAC9C-59AC-4587-B4CC-A360BB18F8BD}"/>
    <cellStyle name="Note 17 2 3 2" xfId="8166" xr:uid="{80E6420D-8CA8-4F40-B67F-DDDBEEDDD934}"/>
    <cellStyle name="Note 17 2 3 2 2" xfId="32408" xr:uid="{B2DD07FB-8114-40BE-B96B-53A32B973916}"/>
    <cellStyle name="Note 17 2 3 20" xfId="19318" xr:uid="{C0E7F5B0-8715-456B-9FBB-2E9A7D7C65CE}"/>
    <cellStyle name="Note 17 2 3 20 2" xfId="40081" xr:uid="{C3EEBB6E-CDB8-4E76-B6ED-24F70C314FDA}"/>
    <cellStyle name="Note 17 2 3 21" xfId="22769" xr:uid="{99F27A6F-2D0C-472C-BA4F-3B60C5E301CD}"/>
    <cellStyle name="Note 17 2 3 21 2" xfId="42526" xr:uid="{9A54D069-40F1-4E46-BF41-C4D096A26158}"/>
    <cellStyle name="Note 17 2 3 22" xfId="25178" xr:uid="{A07D9261-122E-47EF-B985-E93B3B0DC457}"/>
    <cellStyle name="Note 17 2 3 22 2" xfId="44120" xr:uid="{E28A0441-7702-4757-8696-C2CDAEF8932F}"/>
    <cellStyle name="Note 17 2 3 23" xfId="20296" xr:uid="{FF629DC0-113A-4C2B-B6A0-74A81346ACDE}"/>
    <cellStyle name="Note 17 2 3 23 2" xfId="40733" xr:uid="{C8981EDE-AB62-4ABB-88ED-D790285ADA15}"/>
    <cellStyle name="Note 17 2 3 24" xfId="30311" xr:uid="{E745FCE4-25E7-45AF-9796-1E5AE51D7BDD}"/>
    <cellStyle name="Note 17 2 3 24 2" xfId="47459" xr:uid="{CDC72521-A8D9-4830-9DC2-CA201BA7443B}"/>
    <cellStyle name="Note 17 2 3 25" xfId="24388" xr:uid="{9EF8FC30-E8A6-4EA4-985F-912F73CB560E}"/>
    <cellStyle name="Note 17 2 3 25 2" xfId="43629" xr:uid="{DE1F4F9A-064B-42BC-B74C-B5DC213E92B5}"/>
    <cellStyle name="Note 17 2 3 26" xfId="15407" xr:uid="{BEDF7B23-6E42-40AD-8971-8CF8C95FB479}"/>
    <cellStyle name="Note 17 2 3 26 2" xfId="37101" xr:uid="{518DD043-032F-4F60-A2C2-5117FA850B77}"/>
    <cellStyle name="Note 17 2 3 27" xfId="28339" xr:uid="{80997E9B-03FB-4653-8482-40FFD766FE6E}"/>
    <cellStyle name="Note 17 2 3 27 2" xfId="46206" xr:uid="{6733D903-A280-4193-9E42-63D083B50947}"/>
    <cellStyle name="Note 17 2 3 28" xfId="6371" xr:uid="{5E136AAD-30D9-49F1-9AA6-2B296BA830EF}"/>
    <cellStyle name="Note 17 2 3 3" xfId="9223" xr:uid="{7343A9DC-DE75-4235-BC16-8935A3868D0B}"/>
    <cellStyle name="Note 17 2 3 3 2" xfId="33217" xr:uid="{A0336215-5E71-4A8A-8BEE-B830C3180699}"/>
    <cellStyle name="Note 17 2 3 4" xfId="7780" xr:uid="{9A1C40CE-0BE1-42A9-8C9F-4A3C031BF5C8}"/>
    <cellStyle name="Note 17 2 3 4 2" xfId="32076" xr:uid="{AC694E9D-48F3-4595-BC96-5EB7450047CD}"/>
    <cellStyle name="Note 17 2 3 5" xfId="9001" xr:uid="{B10D8E4D-866F-4D23-853A-4187784903D7}"/>
    <cellStyle name="Note 17 2 3 5 2" xfId="33004" xr:uid="{8CBB01EA-BF98-4505-8EC5-83809ADD94F1}"/>
    <cellStyle name="Note 17 2 3 6" xfId="10399" xr:uid="{B0793FE4-1209-4051-BC35-9FF0BC3F05BD}"/>
    <cellStyle name="Note 17 2 3 6 2" xfId="34034" xr:uid="{8DE00F1E-1239-4825-B5E9-53866EA6E9DE}"/>
    <cellStyle name="Note 17 2 3 7" xfId="15321" xr:uid="{C5993D61-0C5E-43B9-A3C3-E5218E9FBF9D}"/>
    <cellStyle name="Note 17 2 3 7 2" xfId="37023" xr:uid="{E8A1CF0E-81B4-49FC-AC0D-AF4C5E793069}"/>
    <cellStyle name="Note 17 2 3 8" xfId="14934" xr:uid="{AD6E5E1E-9918-4F87-A9CF-3A256AB31F22}"/>
    <cellStyle name="Note 17 2 3 8 2" xfId="36809" xr:uid="{F9D981BE-C3D3-40F4-A030-36E2A5F9CEE1}"/>
    <cellStyle name="Note 17 2 3 9" xfId="7364" xr:uid="{AEDD36BC-B82C-4F6A-8D29-1A0C3E03C208}"/>
    <cellStyle name="Note 17 2 3 9 2" xfId="31726" xr:uid="{AB817E32-0768-4222-B578-C1C99394F67A}"/>
    <cellStyle name="Note 17 2 30" xfId="6368" xr:uid="{986A0FB7-5465-472C-B1D0-1E311C397899}"/>
    <cellStyle name="Note 17 2 4" xfId="8169" xr:uid="{2F082564-9C11-4857-90C2-CF3BCF741185}"/>
    <cellStyle name="Note 17 2 4 2" xfId="32411" xr:uid="{8A8D7BEE-D475-4C21-8A04-253CD417002F}"/>
    <cellStyle name="Note 17 2 5" xfId="9220" xr:uid="{8C0AB464-A2C2-42C5-9CBB-16AFE270006C}"/>
    <cellStyle name="Note 17 2 5 2" xfId="33214" xr:uid="{C3195F42-0897-4673-A530-F7C5D1C431AE}"/>
    <cellStyle name="Note 17 2 6" xfId="7783" xr:uid="{E3C1EF9D-EF0C-4433-A0B6-4498ED7A4EEC}"/>
    <cellStyle name="Note 17 2 6 2" xfId="32079" xr:uid="{A6A4425F-13A4-471E-A2F9-34F577BECD3F}"/>
    <cellStyle name="Note 17 2 7" xfId="15327" xr:uid="{669DCA29-C3A7-40C0-86CD-A985699F606B}"/>
    <cellStyle name="Note 17 2 7 2" xfId="37027" xr:uid="{1D8DF8DE-515E-4FA3-8EED-65375BB9F74D}"/>
    <cellStyle name="Note 17 2 8" xfId="13081" xr:uid="{113B2782-B1A5-4A1D-A16A-2E059CFCC964}"/>
    <cellStyle name="Note 17 2 8 2" xfId="35429" xr:uid="{9AEEECCC-7E0E-433A-8B2D-89E476EDEE44}"/>
    <cellStyle name="Note 17 2 9" xfId="13348" xr:uid="{9E63A485-3DB8-4198-986F-5D643EA1A3E6}"/>
    <cellStyle name="Note 17 2 9 2" xfId="35655" xr:uid="{BE53A67B-C7D3-4A01-85DB-BA4A904CA036}"/>
    <cellStyle name="Note 17 2_Sheet2" xfId="2836" xr:uid="{94C16DD4-6386-4F39-B19C-16721E147F02}"/>
    <cellStyle name="Note 17 20" xfId="12792" xr:uid="{1BC2F743-464C-428F-89AF-A523D1E7315A}"/>
    <cellStyle name="Note 17 20 2" xfId="35194" xr:uid="{CABFC2C4-C82B-452E-8B81-089B73E8F6CD}"/>
    <cellStyle name="Note 17 21" xfId="19790" xr:uid="{C4ED0E8A-F9AA-4DC0-BDDB-FC7F29BAF9E3}"/>
    <cellStyle name="Note 17 21 2" xfId="40407" xr:uid="{A610B4F5-A5BC-4515-8878-A6F2C22B8916}"/>
    <cellStyle name="Note 17 22" xfId="21643" xr:uid="{27FE7221-574B-44BF-BC01-762E6E833F0F}"/>
    <cellStyle name="Note 17 22 2" xfId="41717" xr:uid="{625E1FF6-5D28-4050-8BA9-9401640F519F}"/>
    <cellStyle name="Note 17 23" xfId="21470" xr:uid="{81D6739F-76E0-49A7-9C85-3694DCCF0E4D}"/>
    <cellStyle name="Note 17 23 2" xfId="41599" xr:uid="{498A031A-E30F-406F-8B70-30D8636453D3}"/>
    <cellStyle name="Note 17 24" xfId="16327" xr:uid="{D401A4D5-FFC0-42B6-9131-77B32A077A93}"/>
    <cellStyle name="Note 17 24 2" xfId="37864" xr:uid="{0DF16AEB-B8F7-4B70-A79A-356D72CACB7E}"/>
    <cellStyle name="Note 17 25" xfId="24916" xr:uid="{DB55E174-B71F-444A-AC01-689F2458C711}"/>
    <cellStyle name="Note 17 25 2" xfId="44002" xr:uid="{756C0E51-8B71-4A1E-916F-8867F7156DD6}"/>
    <cellStyle name="Note 17 26" xfId="22897" xr:uid="{81AF9E8E-CA44-44F0-B758-6D8862526B32}"/>
    <cellStyle name="Note 17 26 2" xfId="42615" xr:uid="{7EB389F8-9093-4942-9EE5-66415DE0B346}"/>
    <cellStyle name="Note 17 27" xfId="24920" xr:uid="{BFE3E589-DD89-4DF8-A879-4997E4619939}"/>
    <cellStyle name="Note 17 27 2" xfId="44006" xr:uid="{15BA018F-CBE4-475C-96F0-02E0AE5FE1E2}"/>
    <cellStyle name="Note 17 28" xfId="22770" xr:uid="{DE09501E-0DA6-4670-977C-C13096CFA2D9}"/>
    <cellStyle name="Note 17 28 2" xfId="42527" xr:uid="{E90EC114-2D2F-4A88-ACC4-ABC3A1D31D38}"/>
    <cellStyle name="Note 17 29" xfId="25182" xr:uid="{C7DDB07A-300C-4BB5-AA78-B14DAF148D70}"/>
    <cellStyle name="Note 17 29 2" xfId="44124" xr:uid="{394E1C68-4F3B-4D87-912C-3B7C4AC1FB76}"/>
    <cellStyle name="Note 17 3" xfId="2837" xr:uid="{58DCE191-47D3-492E-8F69-7E3478E039EB}"/>
    <cellStyle name="Note 17 3 10" xfId="7363" xr:uid="{A863AF2A-5683-44AD-A3E1-C9991889414D}"/>
    <cellStyle name="Note 17 3 10 2" xfId="31725" xr:uid="{81CECBC8-2FC6-48B8-898C-9686ED65DA35}"/>
    <cellStyle name="Note 17 3 11" xfId="12259" xr:uid="{0DA2E976-D9DB-4D99-9BA1-58C21C7E40DB}"/>
    <cellStyle name="Note 17 3 11 2" xfId="34765" xr:uid="{C0CB2F1D-A250-4ECB-9FD1-62AE9637235C}"/>
    <cellStyle name="Note 17 3 12" xfId="19531" xr:uid="{F3137C24-7350-400F-A58E-6B9459DD413E}"/>
    <cellStyle name="Note 17 3 12 2" xfId="40200" xr:uid="{F8DB75C1-176A-453E-AEE2-B3B2B362CDF4}"/>
    <cellStyle name="Note 17 3 13" xfId="13687" xr:uid="{6E84E5F9-E1CA-489B-86B0-AB35FCBDDCB7}"/>
    <cellStyle name="Note 17 3 13 2" xfId="35843" xr:uid="{7B841FE3-D732-4C37-AEE5-3850B75C99D3}"/>
    <cellStyle name="Note 17 3 14" xfId="9850" xr:uid="{AAB57B34-57EF-4C02-9994-2C05045BB714}"/>
    <cellStyle name="Note 17 3 14 2" xfId="33596" xr:uid="{1CE0E2DF-B9F1-4802-BBE9-EAE708FC1474}"/>
    <cellStyle name="Note 17 3 15" xfId="19788" xr:uid="{B9068279-08EB-4188-B421-4408DA1D23BA}"/>
    <cellStyle name="Note 17 3 15 2" xfId="40405" xr:uid="{6BA6F540-87C0-44B9-8CA8-4FAC1829AF18}"/>
    <cellStyle name="Note 17 3 16" xfId="10057" xr:uid="{45E65D14-A296-461A-9166-A118D277A414}"/>
    <cellStyle name="Note 17 3 16 2" xfId="33769" xr:uid="{B05264C8-C4A5-4344-A59E-69E90E28DADC}"/>
    <cellStyle name="Note 17 3 17" xfId="21467" xr:uid="{3C50B440-9666-4D10-839C-7FF7294C669F}"/>
    <cellStyle name="Note 17 3 17 2" xfId="41596" xr:uid="{E09D3969-98CF-425B-AED3-4FAABFF29DA6}"/>
    <cellStyle name="Note 17 3 18" xfId="18346" xr:uid="{9E70E9CB-49DB-4522-B336-F2AE46A05655}"/>
    <cellStyle name="Note 17 3 18 2" xfId="39376" xr:uid="{769CD181-06AC-406D-8CA0-667CBB44ACF4}"/>
    <cellStyle name="Note 17 3 19" xfId="20707" xr:uid="{A71D4E08-FB75-4948-944B-A8816C54313B}"/>
    <cellStyle name="Note 17 3 19 2" xfId="41067" xr:uid="{97C85D8C-F2B9-4FFC-BE11-0EB5454EAD07}"/>
    <cellStyle name="Note 17 3 2" xfId="2838" xr:uid="{892552BB-081B-45AB-B750-40E16DDE86E7}"/>
    <cellStyle name="Note 17 3 2 10" xfId="14698" xr:uid="{CEFCB1E7-A41D-4F4A-87ED-71B75787A486}"/>
    <cellStyle name="Note 17 3 2 10 2" xfId="36610" xr:uid="{90F2CDC2-AA9F-4C95-919B-9A5F63160B62}"/>
    <cellStyle name="Note 17 3 2 11" xfId="19527" xr:uid="{572A973F-B1E9-43E2-9560-3923852A4824}"/>
    <cellStyle name="Note 17 3 2 11 2" xfId="40196" xr:uid="{B544773B-10CA-4A9C-8CE6-59D6165D5D42}"/>
    <cellStyle name="Note 17 3 2 12" xfId="15585" xr:uid="{1DD4A0A6-5B0A-43B4-B944-287A4019ED71}"/>
    <cellStyle name="Note 17 3 2 12 2" xfId="37243" xr:uid="{1D0CE929-6988-4291-A47A-8F9A5DF60C94}"/>
    <cellStyle name="Note 17 3 2 13" xfId="17589" xr:uid="{333F9580-3F8C-42EE-9623-8BA4802FBABF}"/>
    <cellStyle name="Note 17 3 2 13 2" xfId="38835" xr:uid="{25B52883-A0C9-4236-A993-EA02BC767C02}"/>
    <cellStyle name="Note 17 3 2 14" xfId="17976" xr:uid="{DA5EE2DB-789D-4358-92C0-309FC9846AD2}"/>
    <cellStyle name="Note 17 3 2 14 2" xfId="39074" xr:uid="{9E87D133-BBE1-468F-9DF7-A3D78156E513}"/>
    <cellStyle name="Note 17 3 2 15" xfId="21648" xr:uid="{C1650123-E25C-4080-9428-E6828E925303}"/>
    <cellStyle name="Note 17 3 2 15 2" xfId="41722" xr:uid="{A5C71F15-01AC-445B-9F80-87604E338362}"/>
    <cellStyle name="Note 17 3 2 16" xfId="19646" xr:uid="{F5AF7E09-7C4F-4F51-B8D7-7198BFA3C810}"/>
    <cellStyle name="Note 17 3 2 16 2" xfId="40286" xr:uid="{2AB7C9DA-FFEB-433A-9523-8890C13D3D22}"/>
    <cellStyle name="Note 17 3 2 17" xfId="15820" xr:uid="{50BAE988-5918-4266-80FD-265ACFCD1506}"/>
    <cellStyle name="Note 17 3 2 17 2" xfId="37435" xr:uid="{E2BEB9BD-770E-48DA-85D9-C913C4F840E9}"/>
    <cellStyle name="Note 17 3 2 18" xfId="15361" xr:uid="{D58B7804-4DE5-4525-987A-A4886CEAD539}"/>
    <cellStyle name="Note 17 3 2 18 2" xfId="37061" xr:uid="{C728C088-4A7A-4784-9DA5-60ECB2C65E28}"/>
    <cellStyle name="Note 17 3 2 19" xfId="22348" xr:uid="{4B13AB2C-B421-4126-92D8-3194DD268B2E}"/>
    <cellStyle name="Note 17 3 2 19 2" xfId="42203" xr:uid="{6D068DED-9258-489E-BCEA-CF7052890FB0}"/>
    <cellStyle name="Note 17 3 2 2" xfId="8164" xr:uid="{1BA8157D-0BD4-4776-9A89-E2079477E0EB}"/>
    <cellStyle name="Note 17 3 2 2 2" xfId="32406" xr:uid="{76330E86-CFB1-4E63-844E-5EC70B4E97E2}"/>
    <cellStyle name="Note 17 3 2 20" xfId="26932" xr:uid="{5D542A7F-0C9E-41E2-985C-072BDAF29764}"/>
    <cellStyle name="Note 17 3 2 20 2" xfId="45347" xr:uid="{D4FA140A-087B-4B8D-968B-797B3E1E7115}"/>
    <cellStyle name="Note 17 3 2 21" xfId="21798" xr:uid="{3321BB4A-B1AC-4BFD-9638-462150BB0F0A}"/>
    <cellStyle name="Note 17 3 2 21 2" xfId="41795" xr:uid="{499DE079-4C10-4E90-9BB3-CB13CEAE0A2A}"/>
    <cellStyle name="Note 17 3 2 22" xfId="21257" xr:uid="{697E4BFC-52A9-4BB3-B206-C17BF0C9B382}"/>
    <cellStyle name="Note 17 3 2 22 2" xfId="41439" xr:uid="{C48138CA-A188-4367-B11E-BA4465E0DC49}"/>
    <cellStyle name="Note 17 3 2 23" xfId="26122" xr:uid="{96B61847-08EC-4856-95B4-D9FCF0C5C035}"/>
    <cellStyle name="Note 17 3 2 23 2" xfId="44865" xr:uid="{949C0E41-B98A-4D07-88CD-23A6A8B1C990}"/>
    <cellStyle name="Note 17 3 2 24" xfId="29164" xr:uid="{F360C8E5-0885-4430-97A2-880C95E00D5B}"/>
    <cellStyle name="Note 17 3 2 24 2" xfId="46692" xr:uid="{CED85BAD-48FF-418D-848B-10313BAF7E03}"/>
    <cellStyle name="Note 17 3 2 25" xfId="29273" xr:uid="{F02788CC-917E-41FD-9FEE-B201760D3643}"/>
    <cellStyle name="Note 17 3 2 25 2" xfId="46788" xr:uid="{AAA8DF54-59D9-4A78-965E-5580B16722E3}"/>
    <cellStyle name="Note 17 3 2 26" xfId="20434" xr:uid="{C7ED1B62-4AAE-4A31-9E61-242EE7F03C1D}"/>
    <cellStyle name="Note 17 3 2 26 2" xfId="40836" xr:uid="{B54A27A4-3F6C-401F-BA05-9A0052193C44}"/>
    <cellStyle name="Note 17 3 2 27" xfId="26046" xr:uid="{5225A23C-291F-46F6-A934-87E348BC776A}"/>
    <cellStyle name="Note 17 3 2 27 2" xfId="44816" xr:uid="{EC389A52-B3DB-40B3-AB9A-EFD9666F54B0}"/>
    <cellStyle name="Note 17 3 2 28" xfId="6373" xr:uid="{A51BCA94-7B4F-47C3-AACF-70CD135E74CC}"/>
    <cellStyle name="Note 17 3 2 3" xfId="9225" xr:uid="{8135F0ED-4D8E-4A94-925B-F1D80D61B06D}"/>
    <cellStyle name="Note 17 3 2 3 2" xfId="33219" xr:uid="{4EC3334E-22A9-4810-8D1C-90BF12445267}"/>
    <cellStyle name="Note 17 3 2 4" xfId="7778" xr:uid="{2115EB80-2A0E-4B0C-AEC8-9366D20E76D9}"/>
    <cellStyle name="Note 17 3 2 4 2" xfId="32074" xr:uid="{5F844670-5DA9-4696-9487-C53522B0499A}"/>
    <cellStyle name="Note 17 3 2 5" xfId="8999" xr:uid="{56EA1CF7-9C61-4DC6-B47F-78C058D108A4}"/>
    <cellStyle name="Note 17 3 2 5 2" xfId="33002" xr:uid="{75AEF527-E656-4AA3-AB9C-DDA066D2BC15}"/>
    <cellStyle name="Note 17 3 2 6" xfId="10386" xr:uid="{C5C3E6CB-A48F-41CE-BB48-0AC203F66FF3}"/>
    <cellStyle name="Note 17 3 2 6 2" xfId="34021" xr:uid="{8E7FAAFD-F8B0-4EF1-8F74-5C59731B701C}"/>
    <cellStyle name="Note 17 3 2 7" xfId="15065" xr:uid="{36B16A0B-B256-4ABE-AB32-58DACEB4432D}"/>
    <cellStyle name="Note 17 3 2 7 2" xfId="36911" xr:uid="{19FC2F7E-6AAC-4091-ABDB-4BD8FDE111E5}"/>
    <cellStyle name="Note 17 3 2 8" xfId="10548" xr:uid="{639C3C6C-2B46-41A7-B604-49261A8556DF}"/>
    <cellStyle name="Note 17 3 2 8 2" xfId="34174" xr:uid="{FC2FDBEB-2071-4476-8F6D-25FE187909C3}"/>
    <cellStyle name="Note 17 3 2 9" xfId="11786" xr:uid="{A6D65016-B8F0-4466-881F-E22A5C9658B1}"/>
    <cellStyle name="Note 17 3 2 9 2" xfId="34399" xr:uid="{AC02A6B9-6206-4801-8187-4C48ADF52B4F}"/>
    <cellStyle name="Note 17 3 20" xfId="24785" xr:uid="{31A41454-91D3-4CF0-877B-81DE66E66CC0}"/>
    <cellStyle name="Note 17 3 20 2" xfId="43930" xr:uid="{E1431335-7A66-4A0E-9E53-D11461A87BEB}"/>
    <cellStyle name="Note 17 3 21" xfId="15778" xr:uid="{A494DC10-97D2-48C8-843C-D9C8B991F209}"/>
    <cellStyle name="Note 17 3 21 2" xfId="37398" xr:uid="{1DFF7812-84A8-4ED4-8258-2D11A49801F0}"/>
    <cellStyle name="Note 17 3 22" xfId="25284" xr:uid="{4ED71AA8-A9F0-409F-8D15-886021C4FF2C}"/>
    <cellStyle name="Note 17 3 22 2" xfId="44200" xr:uid="{2EAB83CF-2B2A-4DB8-A770-B6D2B5BEE199}"/>
    <cellStyle name="Note 17 3 23" xfId="22035" xr:uid="{CADA7B54-3106-49C7-9E1C-89E7D96C30BE}"/>
    <cellStyle name="Note 17 3 23 2" xfId="41930" xr:uid="{087FE0D8-B864-445C-B637-15AB4AC3B8F2}"/>
    <cellStyle name="Note 17 3 24" xfId="27187" xr:uid="{ADB9AF23-E917-411C-BA66-7C54168C40BF}"/>
    <cellStyle name="Note 17 3 24 2" xfId="45528" xr:uid="{53B0A2EB-B058-4890-9AE8-64324A02D154}"/>
    <cellStyle name="Note 17 3 25" xfId="30310" xr:uid="{AB87CD37-EBD6-4F32-A538-DB8A4167306A}"/>
    <cellStyle name="Note 17 3 25 2" xfId="47458" xr:uid="{D4B8C03A-9D79-4C50-9347-70D5C5734D55}"/>
    <cellStyle name="Note 17 3 26" xfId="29386" xr:uid="{BDDFA355-C97E-4DF4-9DB6-6C128F26DE8F}"/>
    <cellStyle name="Note 17 3 26 2" xfId="46853" xr:uid="{442E4971-940F-4AEC-A960-C8402437F59C}"/>
    <cellStyle name="Note 17 3 27" xfId="23056" xr:uid="{02338644-BBDD-4C8F-95E1-7D291DE64FD3}"/>
    <cellStyle name="Note 17 3 27 2" xfId="42690" xr:uid="{4A2ED23A-2867-4E6A-873F-1D3F6FCBB9EB}"/>
    <cellStyle name="Note 17 3 28" xfId="28338" xr:uid="{30160DCF-5D80-42D0-ABC5-AA2B5F401CAE}"/>
    <cellStyle name="Note 17 3 28 2" xfId="46205" xr:uid="{E79E1830-542A-4199-9019-57394042D876}"/>
    <cellStyle name="Note 17 3 29" xfId="6372" xr:uid="{D887D20F-3CB9-4050-B44B-5E81CF3CE5CC}"/>
    <cellStyle name="Note 17 3 3" xfId="8165" xr:uid="{2C10AB31-E8AF-4D7C-A92D-18FE73403DCE}"/>
    <cellStyle name="Note 17 3 3 2" xfId="32407" xr:uid="{6FE2BEAC-9792-44F2-BF5E-D0AB70CD1C19}"/>
    <cellStyle name="Note 17 3 4" xfId="9224" xr:uid="{FB207592-3F90-4DEA-B741-0D9376A38954}"/>
    <cellStyle name="Note 17 3 4 2" xfId="33218" xr:uid="{385CBF4F-44D7-4186-9A46-FF36DA65C03F}"/>
    <cellStyle name="Note 17 3 5" xfId="7779" xr:uid="{F4974F38-42AC-4CF6-9038-29346491E439}"/>
    <cellStyle name="Note 17 3 5 2" xfId="32075" xr:uid="{B0461143-54F1-4FA6-A471-D8011D9EDA91}"/>
    <cellStyle name="Note 17 3 6" xfId="9000" xr:uid="{EB0F9DD5-D406-47FA-A8B3-F386850EDA76}"/>
    <cellStyle name="Note 17 3 6 2" xfId="33003" xr:uid="{BBB62210-B6AE-46B0-B562-B37D6F461186}"/>
    <cellStyle name="Note 17 3 7" xfId="13079" xr:uid="{35A8A53A-98A6-4A21-9777-74531462AF2C}"/>
    <cellStyle name="Note 17 3 7 2" xfId="35427" xr:uid="{949BD613-9C5F-449A-AD88-9BE09EC7A145}"/>
    <cellStyle name="Note 17 3 8" xfId="8560" xr:uid="{F99B41C9-0F42-471E-A27C-5422614356FD}"/>
    <cellStyle name="Note 17 3 8 2" xfId="32746" xr:uid="{4F81DADB-48A2-4FE1-ABD1-62CC2A4F0B66}"/>
    <cellStyle name="Note 17 3 9" xfId="14933" xr:uid="{A9A59B62-42CC-4FEA-B767-569D2E46FF1B}"/>
    <cellStyle name="Note 17 3 9 2" xfId="36808" xr:uid="{F883BBF6-7084-4AF1-8FD6-E92BE27FB2B3}"/>
    <cellStyle name="Note 17 30" xfId="26801" xr:uid="{FE996F95-2796-42BC-B2E6-DFD0CA36326E}"/>
    <cellStyle name="Note 17 30 2" xfId="45276" xr:uid="{6967F86D-7350-4B12-85DD-FE66231DEE49}"/>
    <cellStyle name="Note 17 31" xfId="28653" xr:uid="{D6FB17D0-5817-40E5-AC02-FB2A34D63687}"/>
    <cellStyle name="Note 17 31 2" xfId="46387" xr:uid="{93FE070A-26F4-4E21-9D2B-ED9BF654107F}"/>
    <cellStyle name="Note 17 32" xfId="24363" xr:uid="{654F6F96-8F39-40FE-AEDB-FB28FB39CE67}"/>
    <cellStyle name="Note 17 32 2" xfId="43616" xr:uid="{A1581595-382F-4CBA-82CD-5AC23D1AAD1D}"/>
    <cellStyle name="Note 17 33" xfId="28667" xr:uid="{6E9DDBAF-E11B-4939-84EE-D078C819C7D9}"/>
    <cellStyle name="Note 17 33 2" xfId="46401" xr:uid="{B10C3462-459C-40B1-8D66-C97AF17D758E}"/>
    <cellStyle name="Note 17 34" xfId="28341" xr:uid="{71B53627-C2F6-4CF8-BD25-23C4E8B21E8D}"/>
    <cellStyle name="Note 17 34 2" xfId="46208" xr:uid="{8B4D3077-172C-4F75-936B-E8924D7C7074}"/>
    <cellStyle name="Note 17 35" xfId="6367" xr:uid="{A3EA8A14-5343-4981-800E-D9CA3C099D1E}"/>
    <cellStyle name="Note 17 4" xfId="2839" xr:uid="{A2699939-618E-4D1A-B420-CCB0B32E371F}"/>
    <cellStyle name="Note 17 4 10" xfId="7362" xr:uid="{347AD0D3-3870-433A-9ED2-6E0A843AA2DF}"/>
    <cellStyle name="Note 17 4 10 2" xfId="31724" xr:uid="{1E20F6F5-4AAF-49D7-845F-E3AC70BD0C96}"/>
    <cellStyle name="Note 17 4 11" xfId="18666" xr:uid="{FA194E94-6C0A-4B0B-9F5A-9C780592EDD7}"/>
    <cellStyle name="Note 17 4 11 2" xfId="39550" xr:uid="{E07AFEAC-7D51-433F-A92E-EC69E24B90F2}"/>
    <cellStyle name="Note 17 4 12" xfId="16642" xr:uid="{14ACEA99-B996-4EEF-BCE5-463B86F7E1F4}"/>
    <cellStyle name="Note 17 4 12 2" xfId="38135" xr:uid="{8C7A4D3E-CE19-4041-8A85-E1EFDC753963}"/>
    <cellStyle name="Note 17 4 13" xfId="14584" xr:uid="{9581A93D-BD98-4EFD-8217-F3B4DE8FA3D0}"/>
    <cellStyle name="Note 17 4 13 2" xfId="36502" xr:uid="{7649EE9B-BB28-4BF9-AD86-E23CBE9EA0C3}"/>
    <cellStyle name="Note 17 4 14" xfId="20813" xr:uid="{DBD982E9-674C-49AE-8A14-46F9C8857ECB}"/>
    <cellStyle name="Note 17 4 14 2" xfId="41173" xr:uid="{E46DE971-6DC1-4E47-A84A-B2DF6F5D7D76}"/>
    <cellStyle name="Note 17 4 15" xfId="19787" xr:uid="{28EB5FE0-CE15-45D4-9894-7A0156E6C135}"/>
    <cellStyle name="Note 17 4 15 2" xfId="40404" xr:uid="{01CA7053-3EC5-41D6-866C-344897680951}"/>
    <cellStyle name="Note 17 4 16" xfId="21646" xr:uid="{B992E0A0-2B74-4BCB-BB92-A84E49F055C2}"/>
    <cellStyle name="Note 17 4 16 2" xfId="41720" xr:uid="{55277383-98B0-4221-AF4E-BBEACD0186F7}"/>
    <cellStyle name="Note 17 4 17" xfId="21466" xr:uid="{B9BA2E2B-12EE-44AE-AE89-52C8E49F06F0}"/>
    <cellStyle name="Note 17 4 17 2" xfId="41595" xr:uid="{D699941D-96DD-485E-BCD5-FEF2B8FEC7F1}"/>
    <cellStyle name="Note 17 4 18" xfId="25912" xr:uid="{8096B803-E97B-4A0D-9646-B435D6B3E81F}"/>
    <cellStyle name="Note 17 4 18 2" xfId="44716" xr:uid="{DF66CC52-AB3A-4A40-9728-F4D4EF216CFD}"/>
    <cellStyle name="Note 17 4 19" xfId="20708" xr:uid="{885778EC-BAA3-4BF3-B6D7-333AE068FEB9}"/>
    <cellStyle name="Note 17 4 19 2" xfId="41068" xr:uid="{79C22948-8828-431F-88C7-D844C9666F4B}"/>
    <cellStyle name="Note 17 4 2" xfId="2840" xr:uid="{2910B8A9-B2BE-4D87-A648-988BEEBFCB5C}"/>
    <cellStyle name="Note 17 4 2 10" xfId="14697" xr:uid="{E203F764-E2DA-4840-B4F2-A7030177F8AB}"/>
    <cellStyle name="Note 17 4 2 10 2" xfId="36609" xr:uid="{5245A1B1-5CCB-4BE0-83BA-CCB71B50859F}"/>
    <cellStyle name="Note 17 4 2 11" xfId="12521" xr:uid="{5F32A8EC-B082-4DCE-9D20-AC0209FC0E51}"/>
    <cellStyle name="Note 17 4 2 11 2" xfId="34965" xr:uid="{5D961214-1CC6-4106-90DB-15D60E1DA76A}"/>
    <cellStyle name="Note 17 4 2 12" xfId="13669" xr:uid="{A63B8981-3595-49F4-8C4E-2222E682B890}"/>
    <cellStyle name="Note 17 4 2 12 2" xfId="35825" xr:uid="{8A6AF869-94E8-46BA-AD4D-BEB3E33170F1}"/>
    <cellStyle name="Note 17 4 2 13" xfId="17592" xr:uid="{A31D0112-C395-417C-8AF9-1E967F38CE00}"/>
    <cellStyle name="Note 17 4 2 13 2" xfId="38838" xr:uid="{C5F31913-5E69-48DD-A769-EC66B289D152}"/>
    <cellStyle name="Note 17 4 2 14" xfId="13917" xr:uid="{A10E76C9-2328-4A6B-97D8-85652853AD2E}"/>
    <cellStyle name="Note 17 4 2 14 2" xfId="36029" xr:uid="{84FEF51D-0717-46E1-AED3-2E189AB9DF08}"/>
    <cellStyle name="Note 17 4 2 15" xfId="20024" xr:uid="{A6DE5629-46F0-45D4-9171-9301DB1EDB5E}"/>
    <cellStyle name="Note 17 4 2 15 2" xfId="40590" xr:uid="{8E7CF6BD-B389-4ED7-9491-61561CB51D60}"/>
    <cellStyle name="Note 17 4 2 16" xfId="20888" xr:uid="{73C6CF74-F8A7-4A0A-B266-C16003BBDA62}"/>
    <cellStyle name="Note 17 4 2 16 2" xfId="41196" xr:uid="{FBCC9C68-76FC-46AC-8A35-6D5B5993C56C}"/>
    <cellStyle name="Note 17 4 2 17" xfId="18345" xr:uid="{3EFB4392-2C56-48E5-B966-7BC2120F47B6}"/>
    <cellStyle name="Note 17 4 2 17 2" xfId="39375" xr:uid="{53242033-4728-46B2-9442-A0F8304A4812}"/>
    <cellStyle name="Note 17 4 2 18" xfId="18928" xr:uid="{B11DD090-692C-4B38-A21F-45D636A0660D}"/>
    <cellStyle name="Note 17 4 2 18 2" xfId="39761" xr:uid="{02B2E03D-84DD-47BD-9704-8C404444FF34}"/>
    <cellStyle name="Note 17 4 2 19" xfId="22895" xr:uid="{C7C92BC2-5653-4581-84FD-8BC06658DD7A}"/>
    <cellStyle name="Note 17 4 2 19 2" xfId="42613" xr:uid="{44D68C92-6897-40A7-83B6-869A1D2C68E3}"/>
    <cellStyle name="Note 17 4 2 2" xfId="8162" xr:uid="{51AF9676-4529-4EE0-AEE9-3BEF6829CBBC}"/>
    <cellStyle name="Note 17 4 2 2 2" xfId="32404" xr:uid="{AB2F9C0A-C192-4BDD-9547-91C3A1BB7F61}"/>
    <cellStyle name="Note 17 4 2 20" xfId="24933" xr:uid="{017EA51C-46A8-4485-816C-CC5BFF811054}"/>
    <cellStyle name="Note 17 4 2 20 2" xfId="44015" xr:uid="{12E3FCD7-1A01-4482-BBA3-C4D1B20927E7}"/>
    <cellStyle name="Note 17 4 2 21" xfId="22789" xr:uid="{AFA98AC9-3EB3-4224-AFA1-4126FDA4C919}"/>
    <cellStyle name="Note 17 4 2 21 2" xfId="42541" xr:uid="{F3CD9362-CBED-4B1B-AE5C-7E5513D79208}"/>
    <cellStyle name="Note 17 4 2 22" xfId="19393" xr:uid="{39ECBB47-4066-4A8E-A55A-D172F6238D22}"/>
    <cellStyle name="Note 17 4 2 22 2" xfId="40114" xr:uid="{437645E8-F68F-4389-A3E2-4668EE560C44}"/>
    <cellStyle name="Note 17 4 2 23" xfId="23772" xr:uid="{C8378021-9FF6-4FD6-9E21-36D79CB0CF31}"/>
    <cellStyle name="Note 17 4 2 23 2" xfId="43175" xr:uid="{2B07F6CB-A07B-44AD-80A9-CA225ACDD60A}"/>
    <cellStyle name="Note 17 4 2 24" xfId="23907" xr:uid="{F0BE3526-8350-4FD0-B24D-D9D9C30D80A3}"/>
    <cellStyle name="Note 17 4 2 24 2" xfId="43285" xr:uid="{3639D63E-722A-4174-8955-81C9CB85BD6E}"/>
    <cellStyle name="Note 17 4 2 25" xfId="24394" xr:uid="{F55F7B7F-BA01-4E90-AD6B-359F17E953E8}"/>
    <cellStyle name="Note 17 4 2 25 2" xfId="43635" xr:uid="{7BF0800D-4AAF-4DED-8EC7-F12D7C50732B}"/>
    <cellStyle name="Note 17 4 2 26" xfId="22423" xr:uid="{4B58D948-D1C2-45D3-AA12-5579B7AC0264}"/>
    <cellStyle name="Note 17 4 2 26 2" xfId="42237" xr:uid="{45D79EE5-D114-4412-9146-6630AA6C9C6D}"/>
    <cellStyle name="Note 17 4 2 27" xfId="28336" xr:uid="{1E7313EB-2DB3-4DA8-9EEA-B27C8AD5D7E6}"/>
    <cellStyle name="Note 17 4 2 27 2" xfId="46203" xr:uid="{C51B7658-BDEE-4B16-AFA8-2B2FCFC74552}"/>
    <cellStyle name="Note 17 4 2 28" xfId="6375" xr:uid="{82D00A6D-B331-4144-83E7-3ED559569563}"/>
    <cellStyle name="Note 17 4 2 3" xfId="9227" xr:uid="{CE72B0D3-06A6-4D9C-B6F3-C0796DF2F10E}"/>
    <cellStyle name="Note 17 4 2 3 2" xfId="33221" xr:uid="{9F6AC0CB-D227-4AB8-B70F-519435E09D99}"/>
    <cellStyle name="Note 17 4 2 4" xfId="7776" xr:uid="{D166B9E0-8C78-41A5-BC41-1A05DEDB8A3C}"/>
    <cellStyle name="Note 17 4 2 4 2" xfId="32072" xr:uid="{9D8ADD15-015A-4DE9-8F49-36113A302C37}"/>
    <cellStyle name="Note 17 4 2 5" xfId="8997" xr:uid="{89909F8E-F189-4EAF-8219-6524C3D4F041}"/>
    <cellStyle name="Note 17 4 2 5 2" xfId="33000" xr:uid="{0FE26718-5AE8-4F27-A69C-B684C012AEDE}"/>
    <cellStyle name="Note 17 4 2 6" xfId="10387" xr:uid="{9C881EE4-9D5E-4BD1-B431-3AD0F50F5656}"/>
    <cellStyle name="Note 17 4 2 6 2" xfId="34022" xr:uid="{81B2B067-F694-4176-9485-BE86D5D290D9}"/>
    <cellStyle name="Note 17 4 2 7" xfId="15066" xr:uid="{F83C1ABB-6C26-4512-B7FD-7D7A0F8BA3F7}"/>
    <cellStyle name="Note 17 4 2 7 2" xfId="36912" xr:uid="{D885340B-5A64-485A-AED4-339E6BDEFF43}"/>
    <cellStyle name="Note 17 4 2 8" xfId="14932" xr:uid="{FB2DF023-237B-47BD-B85F-49D96AC2BDC9}"/>
    <cellStyle name="Note 17 4 2 8 2" xfId="36807" xr:uid="{2D11BCC1-D212-43F0-8D10-6314782FF234}"/>
    <cellStyle name="Note 17 4 2 9" xfId="11785" xr:uid="{B507453B-B7D1-4F3E-8BE5-FE223FC636EE}"/>
    <cellStyle name="Note 17 4 2 9 2" xfId="34398" xr:uid="{109A3683-C391-4DE8-85BD-B8DDE35E365E}"/>
    <cellStyle name="Note 17 4 20" xfId="24784" xr:uid="{6A17917A-F83F-492F-B9FA-FB138EC7352A}"/>
    <cellStyle name="Note 17 4 20 2" xfId="43929" xr:uid="{35645A3A-3A7B-443B-B028-5C33C2E0AB6E}"/>
    <cellStyle name="Note 17 4 21" xfId="16241" xr:uid="{6C8C8819-0B33-4000-8235-07ABBDDF49F2}"/>
    <cellStyle name="Note 17 4 21 2" xfId="37785" xr:uid="{E4BFA09D-D0CA-4F95-8CB6-E91882DDC288}"/>
    <cellStyle name="Note 17 4 22" xfId="24555" xr:uid="{3F95FDC9-891C-4CF8-A91B-1106C199D563}"/>
    <cellStyle name="Note 17 4 22 2" xfId="43738" xr:uid="{511F144D-C65F-4B1E-B586-E4DC860BFB78}"/>
    <cellStyle name="Note 17 4 23" xfId="17895" xr:uid="{FF88E50B-CBFF-4493-9D4A-27F2AE68ECCB}"/>
    <cellStyle name="Note 17 4 23 2" xfId="39002" xr:uid="{404FAB46-AD6C-4931-9870-C0C40559163A}"/>
    <cellStyle name="Note 17 4 24" xfId="27186" xr:uid="{574EE82A-4AE7-4A78-88A4-5521B98A5367}"/>
    <cellStyle name="Note 17 4 24 2" xfId="45527" xr:uid="{3B5D6FE8-296F-4242-AF9A-F4E5837F6601}"/>
    <cellStyle name="Note 17 4 25" xfId="30309" xr:uid="{753746D2-61E9-4A09-A156-5DDA9453747B}"/>
    <cellStyle name="Note 17 4 25 2" xfId="47457" xr:uid="{1B54910A-D51E-4533-AD6C-14F4788DC6B4}"/>
    <cellStyle name="Note 17 4 26" xfId="29261" xr:uid="{106F27DA-D972-4A4E-BBBB-20E26075403A}"/>
    <cellStyle name="Note 17 4 26 2" xfId="46776" xr:uid="{00BA3347-AFC8-4239-AB36-6F69C0713B2A}"/>
    <cellStyle name="Note 17 4 27" xfId="23055" xr:uid="{DAA1CDE8-3AD7-4CC7-94E3-48596D43F846}"/>
    <cellStyle name="Note 17 4 27 2" xfId="42689" xr:uid="{8062734F-8276-427E-AF98-AFD85F9EC1B1}"/>
    <cellStyle name="Note 17 4 28" xfId="28337" xr:uid="{B368E374-E295-4D7D-96DF-0D2DBF863141}"/>
    <cellStyle name="Note 17 4 28 2" xfId="46204" xr:uid="{3E1D2553-B5AD-4366-B436-60A407550ACB}"/>
    <cellStyle name="Note 17 4 29" xfId="6374" xr:uid="{2CE74DD7-9340-4851-B9ED-F9F13BAC8EF8}"/>
    <cellStyle name="Note 17 4 3" xfId="8163" xr:uid="{08170F3C-2538-4455-81A2-0AB975EA9B50}"/>
    <cellStyle name="Note 17 4 3 2" xfId="32405" xr:uid="{E54A2142-55E1-47D9-9CA3-B7B942121D37}"/>
    <cellStyle name="Note 17 4 4" xfId="9226" xr:uid="{36E6A779-2860-4DA0-8385-21331CBC5DA9}"/>
    <cellStyle name="Note 17 4 4 2" xfId="33220" xr:uid="{F974BB95-ACE1-46AA-BD64-A407C4C083B4}"/>
    <cellStyle name="Note 17 4 5" xfId="7777" xr:uid="{E575FD8C-1F63-4E86-9E43-FEFE301FF2FE}"/>
    <cellStyle name="Note 17 4 5 2" xfId="32073" xr:uid="{ED6B05ED-5BC0-4763-8A0F-912B1F508E84}"/>
    <cellStyle name="Note 17 4 6" xfId="8998" xr:uid="{B343B2F5-81C2-4AEF-BC84-6DFC4E931CDB}"/>
    <cellStyle name="Note 17 4 6 2" xfId="33001" xr:uid="{F0C0BBF0-357D-4627-B1EE-B8AFFCFA800D}"/>
    <cellStyle name="Note 17 4 7" xfId="15425" xr:uid="{0AA6E759-A9CF-4B9E-B7B1-8097658ABE27}"/>
    <cellStyle name="Note 17 4 7 2" xfId="37112" xr:uid="{F62CA1C6-9BAD-4DE4-B07E-CAFA44DFF8F1}"/>
    <cellStyle name="Note 17 4 8" xfId="13386" xr:uid="{3F6D38E3-570C-4C2A-85B8-DFF096D3FA27}"/>
    <cellStyle name="Note 17 4 8 2" xfId="35693" xr:uid="{566C08BB-931F-4B7A-8948-E6384683757C}"/>
    <cellStyle name="Note 17 4 9" xfId="12938" xr:uid="{9C71E20E-FB1F-4B59-A91D-C098ED97C6BF}"/>
    <cellStyle name="Note 17 4 9 2" xfId="35294" xr:uid="{A6106D62-009B-4AE1-9EBB-BC0AAFEFC3A0}"/>
    <cellStyle name="Note 17 5" xfId="2841" xr:uid="{E0D4FC31-38EC-4806-AC20-171B13E0A2E9}"/>
    <cellStyle name="Note 17 5 10" xfId="7361" xr:uid="{43A4E730-44AB-439A-935A-A6EC3DBBFF3E}"/>
    <cellStyle name="Note 17 5 10 2" xfId="31723" xr:uid="{76D86DA9-3E2A-40E4-A9A5-4B14B29A0392}"/>
    <cellStyle name="Note 17 5 11" xfId="18454" xr:uid="{40912B86-BD36-4F2D-B507-5D3456F4CB3A}"/>
    <cellStyle name="Note 17 5 11 2" xfId="39462" xr:uid="{9A6A05CC-E0F2-41F0-9E5A-186BD32CCCE6}"/>
    <cellStyle name="Note 17 5 12" xfId="16641" xr:uid="{A929F67F-DABB-4E7E-B5EA-1AD328A03EA1}"/>
    <cellStyle name="Note 17 5 12 2" xfId="38134" xr:uid="{4ABA1BEC-5FC3-47A1-86EC-0B74EBB4CD5C}"/>
    <cellStyle name="Note 17 5 13" xfId="15586" xr:uid="{596B785B-1DA8-4B93-B453-9181F8486545}"/>
    <cellStyle name="Note 17 5 13 2" xfId="37244" xr:uid="{661ABC13-7BE2-46C1-BE24-F91D78BAE5D4}"/>
    <cellStyle name="Note 17 5 14" xfId="20816" xr:uid="{80819325-A2FD-4DE0-8876-028F6315E22D}"/>
    <cellStyle name="Note 17 5 14 2" xfId="41176" xr:uid="{845C9C6E-3028-4B8E-8650-F5B9F1FFD003}"/>
    <cellStyle name="Note 17 5 15" xfId="19786" xr:uid="{6512C793-2AE5-48C8-94F7-3C7CEAE25896}"/>
    <cellStyle name="Note 17 5 15 2" xfId="40403" xr:uid="{308C2276-5872-4616-B6C6-21FB8F26A98A}"/>
    <cellStyle name="Note 17 5 16" xfId="19522" xr:uid="{0C058867-6D39-43E9-A256-2D8FFB56E1F7}"/>
    <cellStyle name="Note 17 5 16 2" xfId="40192" xr:uid="{C9CCC743-87A4-43F2-8B5C-486597301711}"/>
    <cellStyle name="Note 17 5 17" xfId="21465" xr:uid="{5DD02B37-077C-4F5C-B707-526C835F3843}"/>
    <cellStyle name="Note 17 5 17 2" xfId="41594" xr:uid="{726B7D70-2707-4F64-8190-2204EA5FCF40}"/>
    <cellStyle name="Note 17 5 18" xfId="16326" xr:uid="{7E14FC87-6DE2-4AE7-989B-28D4A12E6E6E}"/>
    <cellStyle name="Note 17 5 18 2" xfId="37863" xr:uid="{858E64B8-09B1-4699-81C8-CBFA6477AE78}"/>
    <cellStyle name="Note 17 5 19" xfId="20709" xr:uid="{DFA79364-330C-4C6A-B13C-BC74E6AE81F3}"/>
    <cellStyle name="Note 17 5 19 2" xfId="41069" xr:uid="{59147FA5-AF6A-475A-8468-129F958F94E7}"/>
    <cellStyle name="Note 17 5 2" xfId="2842" xr:uid="{51E14D10-66F9-46FF-9701-003F855A5F76}"/>
    <cellStyle name="Note 17 5 2 10" xfId="18670" xr:uid="{8B0135AC-9993-4833-8C08-452612754B54}"/>
    <cellStyle name="Note 17 5 2 10 2" xfId="39553" xr:uid="{D01E336C-D831-4159-8296-EBF0EE66646D}"/>
    <cellStyle name="Note 17 5 2 11" xfId="14074" xr:uid="{1B39B67C-F725-4A67-90EA-72CCA8C6B2C2}"/>
    <cellStyle name="Note 17 5 2 11 2" xfId="36168" xr:uid="{282BF940-0339-4E07-9231-1B4C3A580850}"/>
    <cellStyle name="Note 17 5 2 12" xfId="14583" xr:uid="{478E5BD8-1B2D-4DEA-A355-A4076CFC59FF}"/>
    <cellStyle name="Note 17 5 2 12 2" xfId="36501" xr:uid="{9095B302-21A0-4C79-8865-DAF480BDACAE}"/>
    <cellStyle name="Note 17 5 2 13" xfId="13514" xr:uid="{FB475238-73E1-46D7-9D09-5186AEA1F654}"/>
    <cellStyle name="Note 17 5 2 13 2" xfId="35766" xr:uid="{D74DE472-2AC7-4491-87EA-FB57EA704406}"/>
    <cellStyle name="Note 17 5 2 14" xfId="19769" xr:uid="{A9532E53-345D-4D7A-9F7F-29026EF73E21}"/>
    <cellStyle name="Note 17 5 2 14 2" xfId="40386" xr:uid="{E1B3B9C6-F24A-461E-A01C-8D3D40667FF9}"/>
    <cellStyle name="Note 17 5 2 15" xfId="20025" xr:uid="{0B7F60AB-39B9-4DEC-A2C2-55E2258229BB}"/>
    <cellStyle name="Note 17 5 2 15 2" xfId="40591" xr:uid="{815DE9FF-6677-4DD7-B97C-60CD01828D79}"/>
    <cellStyle name="Note 17 5 2 16" xfId="12883" xr:uid="{C38E20F1-F7B7-435E-81C9-6E0ECB117E79}"/>
    <cellStyle name="Note 17 5 2 16 2" xfId="35243" xr:uid="{3C4D550F-78AB-45C3-AA71-5BDB5AFC2E45}"/>
    <cellStyle name="Note 17 5 2 17" xfId="18344" xr:uid="{EE8C5D38-1E1B-4D64-AFC8-8B3937250DFA}"/>
    <cellStyle name="Note 17 5 2 17 2" xfId="39374" xr:uid="{8EC0321F-C153-4922-9748-8F388EBAA675}"/>
    <cellStyle name="Note 17 5 2 18" xfId="16108" xr:uid="{44727D19-C7F8-4A9D-80BC-9AD6F7DEFA97}"/>
    <cellStyle name="Note 17 5 2 18 2" xfId="37678" xr:uid="{A6FB966C-909E-48B0-B2FD-36A4A4E2B404}"/>
    <cellStyle name="Note 17 5 2 19" xfId="18778" xr:uid="{E183B06B-4314-4ADF-A6CE-F0621EDAACF7}"/>
    <cellStyle name="Note 17 5 2 19 2" xfId="39645" xr:uid="{2AC3452A-C59A-4051-BCC4-CB53E065FD8D}"/>
    <cellStyle name="Note 17 5 2 2" xfId="8160" xr:uid="{C4A85A2D-7A94-451D-B3E2-ABA76A255E21}"/>
    <cellStyle name="Note 17 5 2 2 2" xfId="32402" xr:uid="{A4C039AF-CF93-44B8-9BC1-FE1F85BDDB53}"/>
    <cellStyle name="Note 17 5 2 20" xfId="24934" xr:uid="{F3BEACF5-B5B0-4F8E-A725-AB3517E42010}"/>
    <cellStyle name="Note 17 5 2 20 2" xfId="44016" xr:uid="{15B612B7-CBFE-45DD-ADD1-CE7F613CCDC8}"/>
    <cellStyle name="Note 17 5 2 21" xfId="22768" xr:uid="{B8D8602E-3698-4349-82D6-B9646026C4D7}"/>
    <cellStyle name="Note 17 5 2 21 2" xfId="42525" xr:uid="{1898B0BD-BB39-4790-9710-8646E442EB2C}"/>
    <cellStyle name="Note 17 5 2 22" xfId="25191" xr:uid="{C48BE915-D1E2-4023-B496-04809ED0E403}"/>
    <cellStyle name="Note 17 5 2 22 2" xfId="44133" xr:uid="{498E0522-4FAB-4D24-A06C-CDFD2DA92AC2}"/>
    <cellStyle name="Note 17 5 2 23" xfId="26802" xr:uid="{5DBA6F3A-3BEF-4522-91E6-8B1F46408A35}"/>
    <cellStyle name="Note 17 5 2 23 2" xfId="45277" xr:uid="{A4CC0DE6-59C8-4F21-963E-105D4839FA66}"/>
    <cellStyle name="Note 17 5 2 24" xfId="30304" xr:uid="{2A1731FA-7AB3-4D25-913C-B7DB76F771DB}"/>
    <cellStyle name="Note 17 5 2 24 2" xfId="47452" xr:uid="{92286187-48CA-407C-B3F2-EF07E267838C}"/>
    <cellStyle name="Note 17 5 2 25" xfId="23623" xr:uid="{982024C0-99A4-44AC-A54B-E14382799CD2}"/>
    <cellStyle name="Note 17 5 2 25 2" xfId="43054" xr:uid="{6EAAB81C-27DD-4C6F-B1A5-700C87A964C6}"/>
    <cellStyle name="Note 17 5 2 26" xfId="28668" xr:uid="{EA16FA78-B915-43AE-B886-120F6B53C7E9}"/>
    <cellStyle name="Note 17 5 2 26 2" xfId="46402" xr:uid="{0A10FA4E-F850-4808-99F6-0D55774204FF}"/>
    <cellStyle name="Note 17 5 2 27" xfId="28335" xr:uid="{97E66B6F-120E-4472-B2B5-F507D2C47CCE}"/>
    <cellStyle name="Note 17 5 2 27 2" xfId="46202" xr:uid="{91C00B72-4640-44E9-8CCB-831C15F54A86}"/>
    <cellStyle name="Note 17 5 2 28" xfId="6377" xr:uid="{E71AC48E-AF9E-48B5-9645-F427B4303E6D}"/>
    <cellStyle name="Note 17 5 2 3" xfId="9229" xr:uid="{97F00430-466C-4E3A-9C22-7778E24C9438}"/>
    <cellStyle name="Note 17 5 2 3 2" xfId="33223" xr:uid="{EE9C35B8-22C4-4FC8-B2C0-FE1A46240C2D}"/>
    <cellStyle name="Note 17 5 2 4" xfId="7774" xr:uid="{9293A817-8505-4142-AE58-E8643A2E2D22}"/>
    <cellStyle name="Note 17 5 2 4 2" xfId="32070" xr:uid="{EF9E4FFA-C6AD-4A81-B261-CA8AEBCC4E6D}"/>
    <cellStyle name="Note 17 5 2 5" xfId="14329" xr:uid="{E18A1E30-CD6D-4B48-994A-E755E30885DC}"/>
    <cellStyle name="Note 17 5 2 5 2" xfId="36372" xr:uid="{27E70955-1CB4-403E-972E-641B9EF2405A}"/>
    <cellStyle name="Note 17 5 2 6" xfId="14360" xr:uid="{A688C9E3-298D-4AFF-A797-6B4FC098FB8B}"/>
    <cellStyle name="Note 17 5 2 6 2" xfId="36386" xr:uid="{7E82B867-7907-4634-8670-CF641B175B03}"/>
    <cellStyle name="Note 17 5 2 7" xfId="15067" xr:uid="{97F744FC-438A-404B-99E6-4890B0FCB482}"/>
    <cellStyle name="Note 17 5 2 7 2" xfId="36913" xr:uid="{EC3FBAB2-F308-4F86-9249-A903C39DD068}"/>
    <cellStyle name="Note 17 5 2 8" xfId="10539" xr:uid="{33D3A612-2DAE-4C5F-9E02-A95B8D2DDA72}"/>
    <cellStyle name="Note 17 5 2 8 2" xfId="34165" xr:uid="{7969E33E-007D-49B1-8DBF-AB7BA98AC6F6}"/>
    <cellStyle name="Note 17 5 2 9" xfId="11784" xr:uid="{06939006-C5D0-4A77-8471-61732D2DF8C1}"/>
    <cellStyle name="Note 17 5 2 9 2" xfId="34397" xr:uid="{AA028802-51A1-4129-8B7B-D0CB47D8F98A}"/>
    <cellStyle name="Note 17 5 20" xfId="24783" xr:uid="{50EF0DB4-55B5-4323-872F-C16360508C4D}"/>
    <cellStyle name="Note 17 5 20 2" xfId="43928" xr:uid="{40EC0780-1655-4A1E-B239-0C69A815DBC9}"/>
    <cellStyle name="Note 17 5 21" xfId="12625" xr:uid="{6B214BD8-6A50-4AB9-9C6E-08B543165A1C}"/>
    <cellStyle name="Note 17 5 21 2" xfId="35055" xr:uid="{8C6F21F4-89F7-4509-B5EE-5DCF8B924A09}"/>
    <cellStyle name="Note 17 5 22" xfId="22295" xr:uid="{6740DC29-78A6-4D1D-AC0E-F1A1D6916BB8}"/>
    <cellStyle name="Note 17 5 22 2" xfId="42159" xr:uid="{A20F1460-9776-4317-AC90-7C0B618F5557}"/>
    <cellStyle name="Note 17 5 23" xfId="17892" xr:uid="{05DBE7AF-B03F-40F8-9EDA-8D2F305DBF18}"/>
    <cellStyle name="Note 17 5 23 2" xfId="38999" xr:uid="{16883D96-8E80-420F-B7D9-1A2142FD4188}"/>
    <cellStyle name="Note 17 5 24" xfId="27185" xr:uid="{9B12EDE9-9B65-4726-8B5F-62028B4E29F0}"/>
    <cellStyle name="Note 17 5 24 2" xfId="45526" xr:uid="{C63DF55E-D7F0-4EEC-977E-BD32833829BD}"/>
    <cellStyle name="Note 17 5 25" xfId="26008" xr:uid="{9C61AA3A-5048-41F2-8DD5-CDCF921C8B53}"/>
    <cellStyle name="Note 17 5 25 2" xfId="44785" xr:uid="{628E4F3E-A29C-4BC8-9D9A-E1C5569FEFC0}"/>
    <cellStyle name="Note 17 5 26" xfId="29250" xr:uid="{92B1F457-9DD1-441A-8C9C-DEF74702EE33}"/>
    <cellStyle name="Note 17 5 26 2" xfId="46767" xr:uid="{72FC5168-858B-41FD-B4F3-D49A0B89CA35}"/>
    <cellStyle name="Note 17 5 27" xfId="27399" xr:uid="{699EFF18-D011-4960-85BD-FF51A5F0B77D}"/>
    <cellStyle name="Note 17 5 27 2" xfId="45654" xr:uid="{EE07A2CA-14CB-4750-A109-F9CD5CEB9E7C}"/>
    <cellStyle name="Note 17 5 28" xfId="25617" xr:uid="{98161921-5422-4564-AA51-CEECCC84CA7E}"/>
    <cellStyle name="Note 17 5 28 2" xfId="44476" xr:uid="{AEA7A9F8-33FC-474B-8F71-5A07CFB22142}"/>
    <cellStyle name="Note 17 5 29" xfId="6376" xr:uid="{51641D55-2E63-4336-90FD-313B0CF83EE6}"/>
    <cellStyle name="Note 17 5 3" xfId="8161" xr:uid="{711F11D6-763B-4086-AE11-AA864BCA9F8E}"/>
    <cellStyle name="Note 17 5 3 2" xfId="32403" xr:uid="{72A9D981-6C49-42E8-B45F-5C5488F64562}"/>
    <cellStyle name="Note 17 5 4" xfId="9228" xr:uid="{0D0269BF-4BC6-4D01-83AD-A8D88911DC22}"/>
    <cellStyle name="Note 17 5 4 2" xfId="33222" xr:uid="{603C5B95-9DB3-4AA8-B99E-32C9DFBCF072}"/>
    <cellStyle name="Note 17 5 5" xfId="7775" xr:uid="{56E0E871-5E9C-43AE-8E98-334F90CC81AB}"/>
    <cellStyle name="Note 17 5 5 2" xfId="32071" xr:uid="{0C0BF846-8603-4336-AA12-544F030B880A}"/>
    <cellStyle name="Note 17 5 6" xfId="8913" xr:uid="{13E4EFE6-4760-4DC1-956C-6360F3550AF3}"/>
    <cellStyle name="Note 17 5 6 2" xfId="32999" xr:uid="{D3B1E8E0-7FFD-4ABF-A6CB-37CF895752FE}"/>
    <cellStyle name="Note 17 5 7" xfId="13077" xr:uid="{F207AB78-C9CD-40D7-BA1D-2676B2E90FD3}"/>
    <cellStyle name="Note 17 5 7 2" xfId="35425" xr:uid="{06CE1D8A-18CC-4315-A8D0-F2C7A6C6D773}"/>
    <cellStyle name="Note 17 5 8" xfId="8559" xr:uid="{EA6E867D-F322-42F6-814E-D831805F6D3E}"/>
    <cellStyle name="Note 17 5 8 2" xfId="32745" xr:uid="{340968D6-286F-4879-B1CA-0B0FD0AE7703}"/>
    <cellStyle name="Note 17 5 9" xfId="14395" xr:uid="{03ACD2B3-3374-4CE5-B65B-1BEADE6D2DAA}"/>
    <cellStyle name="Note 17 5 9 2" xfId="36389" xr:uid="{EF6411AC-FDD4-45F8-9851-893FF369784E}"/>
    <cellStyle name="Note 17 6" xfId="2843" xr:uid="{A607DF38-5F2F-4C83-B310-7880A27F4439}"/>
    <cellStyle name="Note 17 6 10" xfId="7360" xr:uid="{3629F085-AF6A-4C64-9DEC-57954586F94C}"/>
    <cellStyle name="Note 17 6 10 2" xfId="31722" xr:uid="{11A8BB01-9755-4081-95B9-B57F65CDFBD0}"/>
    <cellStyle name="Note 17 6 11" xfId="18453" xr:uid="{E4355E27-E4AF-480D-9CA7-45B8A38CFF2B}"/>
    <cellStyle name="Note 17 6 11 2" xfId="39461" xr:uid="{41E149B1-C1EB-4FC5-A3B2-65182D45CDCB}"/>
    <cellStyle name="Note 17 6 12" xfId="12498" xr:uid="{123E43A4-62D4-43CB-B597-F73AC6DA56CB}"/>
    <cellStyle name="Note 17 6 12 2" xfId="34943" xr:uid="{CFABF163-59D3-4985-BE94-22407B3C5D1B}"/>
    <cellStyle name="Note 17 6 13" xfId="13852" xr:uid="{CB310249-D5B4-4014-925F-041735FA8B36}"/>
    <cellStyle name="Note 17 6 13 2" xfId="35975" xr:uid="{93E3BBEB-8FB6-4A98-8B15-4DEEA580384C}"/>
    <cellStyle name="Note 17 6 14" xfId="20815" xr:uid="{C38207C6-CA6A-4739-BF65-A5ADED91C128}"/>
    <cellStyle name="Note 17 6 14 2" xfId="41175" xr:uid="{4B6F7F35-A770-4DC8-8F63-67E11DB98CF4}"/>
    <cellStyle name="Note 17 6 15" xfId="17975" xr:uid="{8D629EE8-93EC-4C5F-A9C2-91A362F177A3}"/>
    <cellStyle name="Note 17 6 15 2" xfId="39073" xr:uid="{CABF54FF-0179-4714-971C-24E68B339E6E}"/>
    <cellStyle name="Note 17 6 16" xfId="21651" xr:uid="{E3D8EA44-00A2-4989-8B49-5D04BAB15BDA}"/>
    <cellStyle name="Note 17 6 16 2" xfId="41724" xr:uid="{96118D64-0C5C-4D53-998D-22EAF2E18119}"/>
    <cellStyle name="Note 17 6 17" xfId="21464" xr:uid="{9B557AF2-D2F9-4718-ADB1-39B1F2F777E6}"/>
    <cellStyle name="Note 17 6 17 2" xfId="41593" xr:uid="{C329C099-87CB-4743-A9BC-9DBEF912EFA3}"/>
    <cellStyle name="Note 17 6 18" xfId="13964" xr:uid="{81C0A647-AA59-4283-9528-926A3066FB7C}"/>
    <cellStyle name="Note 17 6 18 2" xfId="36070" xr:uid="{D47249BF-5BA9-4075-9B9E-C79FFAD90D80}"/>
    <cellStyle name="Note 17 6 19" xfId="20710" xr:uid="{D409DA5A-CE48-4245-932C-10F7B49FFB8F}"/>
    <cellStyle name="Note 17 6 19 2" xfId="41070" xr:uid="{F81CA209-3987-4BB0-A6D0-3A470DD47A20}"/>
    <cellStyle name="Note 17 6 2" xfId="2844" xr:uid="{F69AC3AC-99DD-4AF6-BB63-982024606954}"/>
    <cellStyle name="Note 17 6 2 10" xfId="18671" xr:uid="{808C88E4-B5A9-4299-8835-D84128F9D53A}"/>
    <cellStyle name="Note 17 6 2 10 2" xfId="39554" xr:uid="{95F47117-B100-47A8-9D72-78C8C9BC0548}"/>
    <cellStyle name="Note 17 6 2 11" xfId="16640" xr:uid="{9D81B66C-3AB8-4F7C-9186-945AD231D4E7}"/>
    <cellStyle name="Note 17 6 2 11 2" xfId="38133" xr:uid="{36F6FBF8-0BC3-49F8-B4D2-7DABA78E656D}"/>
    <cellStyle name="Note 17 6 2 12" xfId="13670" xr:uid="{BFF1E734-1AAF-4AFB-99F7-ED3BE7FD8D0A}"/>
    <cellStyle name="Note 17 6 2 12 2" xfId="35826" xr:uid="{ACAE7470-A8E1-426B-857A-3748289E3A36}"/>
    <cellStyle name="Note 17 6 2 13" xfId="17591" xr:uid="{FF9DEF0F-8C6F-422C-A4D1-C3042212F131}"/>
    <cellStyle name="Note 17 6 2 13 2" xfId="38837" xr:uid="{6047FE64-E671-43C9-9E25-5F9EF84A7EA2}"/>
    <cellStyle name="Note 17 6 2 14" xfId="19785" xr:uid="{B9CB8913-747B-4FA4-9737-694F97B9E83D}"/>
    <cellStyle name="Note 17 6 2 14 2" xfId="40402" xr:uid="{D65E7245-F8DC-44AF-8A95-B031C3F07B66}"/>
    <cellStyle name="Note 17 6 2 15" xfId="18414" xr:uid="{DEB5DE15-0778-42B7-AEE5-B28CFDB2AA33}"/>
    <cellStyle name="Note 17 6 2 15 2" xfId="39425" xr:uid="{C21E810A-4024-4681-A5DF-28FD397643A0}"/>
    <cellStyle name="Note 17 6 2 16" xfId="19645" xr:uid="{3CDB28CD-EB08-4861-B48B-C5C7BA6BCDC3}"/>
    <cellStyle name="Note 17 6 2 16 2" xfId="40285" xr:uid="{72EF2BEE-3C41-4B6D-B183-E7CE6CA6E690}"/>
    <cellStyle name="Note 17 6 2 17" xfId="18343" xr:uid="{3A873D7A-BA23-4D41-8BAB-E2CA3F697E87}"/>
    <cellStyle name="Note 17 6 2 17 2" xfId="39373" xr:uid="{D4440292-4793-45D7-AD47-C30A53116B82}"/>
    <cellStyle name="Note 17 6 2 18" xfId="24915" xr:uid="{385AC320-0B97-4D1E-9BC2-8775D577FC86}"/>
    <cellStyle name="Note 17 6 2 18 2" xfId="44001" xr:uid="{D959A255-A526-4747-B93A-6D0E490B483F}"/>
    <cellStyle name="Note 17 6 2 19" xfId="22894" xr:uid="{E4793552-E537-4542-A91B-C3A31C1AF549}"/>
    <cellStyle name="Note 17 6 2 19 2" xfId="42612" xr:uid="{71FA6E07-8B54-4DEF-A802-B04F32172345}"/>
    <cellStyle name="Note 17 6 2 2" xfId="8158" xr:uid="{59A8B671-39EA-4579-B70E-F3A363A858D7}"/>
    <cellStyle name="Note 17 6 2 2 2" xfId="32400" xr:uid="{185CB1B5-01AE-4E41-A826-F3DF85F9F7CF}"/>
    <cellStyle name="Note 17 6 2 20" xfId="18169" xr:uid="{5B702DC1-1D74-4B68-817C-1BA423D64885}"/>
    <cellStyle name="Note 17 6 2 20 2" xfId="39223" xr:uid="{F6C7CCBE-2BA9-44F5-8DA1-4C82B73A800E}"/>
    <cellStyle name="Note 17 6 2 21" xfId="25285" xr:uid="{2C141F7C-9571-4C95-96A1-3EF54D71EBD0}"/>
    <cellStyle name="Note 17 6 2 21 2" xfId="44201" xr:uid="{38A1BCF6-284A-4903-A4A7-E2672241599E}"/>
    <cellStyle name="Note 17 6 2 22" xfId="22034" xr:uid="{A041296C-224C-467F-B4DF-264A375AF640}"/>
    <cellStyle name="Note 17 6 2 22 2" xfId="41929" xr:uid="{DD6D8EB2-A508-4203-A51F-0800ACCF2428}"/>
    <cellStyle name="Note 17 6 2 23" xfId="26121" xr:uid="{5C0ACEB1-65AE-4142-B8A7-5F86D58F0C1B}"/>
    <cellStyle name="Note 17 6 2 23 2" xfId="44864" xr:uid="{E898ACE8-EB5B-4717-9C64-CC754C7AD066}"/>
    <cellStyle name="Note 17 6 2 24" xfId="26735" xr:uid="{7A0C0642-2BF7-4746-BECF-C5A59B255B96}"/>
    <cellStyle name="Note 17 6 2 24 2" xfId="45263" xr:uid="{92FF241C-7844-4C23-B06C-C211D0448295}"/>
    <cellStyle name="Note 17 6 2 25" xfId="25469" xr:uid="{32F8D7A3-20D0-4742-8AED-EE2C90293FA8}"/>
    <cellStyle name="Note 17 6 2 25 2" xfId="44353" xr:uid="{B1834C56-2F3B-4796-94A5-D0757E7FDABC}"/>
    <cellStyle name="Note 17 6 2 26" xfId="27400" xr:uid="{BDF2B08B-D89F-4902-805B-AE92907747F4}"/>
    <cellStyle name="Note 17 6 2 26 2" xfId="45655" xr:uid="{9300F328-95FD-4841-896F-46C5D869DC4D}"/>
    <cellStyle name="Note 17 6 2 27" xfId="28334" xr:uid="{FE9BF296-4BD4-452E-BA6C-E0BFFE071713}"/>
    <cellStyle name="Note 17 6 2 27 2" xfId="46201" xr:uid="{59402A84-C774-4B79-B092-340C0BFB6112}"/>
    <cellStyle name="Note 17 6 2 28" xfId="6379" xr:uid="{69E05B92-FD9F-4798-B483-3DDC596F933E}"/>
    <cellStyle name="Note 17 6 2 3" xfId="9231" xr:uid="{BB35CC89-42E2-434C-9639-0B40D821DBB9}"/>
    <cellStyle name="Note 17 6 2 3 2" xfId="33225" xr:uid="{7E94DCA1-D228-4674-9D72-CCAA2B790518}"/>
    <cellStyle name="Note 17 6 2 4" xfId="13405" xr:uid="{1A47F737-CF39-486F-ADD5-6C8B17B33E62}"/>
    <cellStyle name="Note 17 6 2 4 2" xfId="35712" xr:uid="{2B958E7A-D453-4571-87D6-221B799DF4F4}"/>
    <cellStyle name="Note 17 6 2 5" xfId="8911" xr:uid="{65AF6EF6-FA78-4C84-8960-2A5893AF3D84}"/>
    <cellStyle name="Note 17 6 2 5 2" xfId="32997" xr:uid="{76DF061F-0FBF-4B04-B441-F7263DA09500}"/>
    <cellStyle name="Note 17 6 2 6" xfId="13076" xr:uid="{A6B6FFBA-3427-492A-90C6-5F14A3432C21}"/>
    <cellStyle name="Note 17 6 2 6 2" xfId="35424" xr:uid="{2E0C2D8A-55A0-45DB-8C7D-644935344E0B}"/>
    <cellStyle name="Note 17 6 2 7" xfId="8558" xr:uid="{B4074056-A3C3-4A54-9F89-AE87608B3A54}"/>
    <cellStyle name="Note 17 6 2 7 2" xfId="32744" xr:uid="{D33BDA67-4362-43D7-B577-1E91C90FA14D}"/>
    <cellStyle name="Note 17 6 2 8" xfId="14931" xr:uid="{9E88D777-24F8-4395-AE34-35DD57021017}"/>
    <cellStyle name="Note 17 6 2 8 2" xfId="36806" xr:uid="{F5E11F93-65E7-439B-B840-6893A9F5B308}"/>
    <cellStyle name="Note 17 6 2 9" xfId="11783" xr:uid="{30DC2075-8E4D-4930-A864-4973CDA15233}"/>
    <cellStyle name="Note 17 6 2 9 2" xfId="34396" xr:uid="{A925BB3E-A835-4DBB-BC5F-405BCA766467}"/>
    <cellStyle name="Note 17 6 20" xfId="24782" xr:uid="{C607FB01-6BC6-46E5-A8E3-17919A918E10}"/>
    <cellStyle name="Note 17 6 20 2" xfId="43927" xr:uid="{9EF1622A-96ED-4BC3-AA6C-65D485E20023}"/>
    <cellStyle name="Note 17 6 21" xfId="24931" xr:uid="{D69889CF-2840-479F-B577-EC05F3BC32DF}"/>
    <cellStyle name="Note 17 6 21 2" xfId="44014" xr:uid="{2CABAFC9-DA4E-45A1-8C9C-94BC17AEB3D1}"/>
    <cellStyle name="Note 17 6 22" xfId="24569" xr:uid="{05F86769-2267-42C0-B885-FCDE2EC9B274}"/>
    <cellStyle name="Note 17 6 22 2" xfId="43752" xr:uid="{CB995B78-B3DB-4FD2-AB5C-7D9B240E7AF7}"/>
    <cellStyle name="Note 17 6 23" xfId="25174" xr:uid="{51A000B9-C387-4C87-81D3-CAC47D1F36F4}"/>
    <cellStyle name="Note 17 6 23 2" xfId="44117" xr:uid="{1A4F3D73-C074-4E66-A27C-23FD1E2FD63F}"/>
    <cellStyle name="Note 17 6 24" xfId="27184" xr:uid="{004E561B-E758-4BC3-893D-8410CAE7069F}"/>
    <cellStyle name="Note 17 6 24 2" xfId="45525" xr:uid="{BB9572A1-73C5-4205-A631-65E8469660D6}"/>
    <cellStyle name="Note 17 6 25" xfId="30307" xr:uid="{71C59C4A-E0F4-43C5-AEEE-D344CA867359}"/>
    <cellStyle name="Note 17 6 25 2" xfId="47455" xr:uid="{D58B8939-BAA5-47E9-AD83-EFA01708D888}"/>
    <cellStyle name="Note 17 6 26" xfId="21925" xr:uid="{0955EDA0-A4A5-480F-ADAD-DA43CA6BECA3}"/>
    <cellStyle name="Note 17 6 26 2" xfId="41841" xr:uid="{952CCDAD-6222-47ED-BFE5-0013ECE015D8}"/>
    <cellStyle name="Note 17 6 27" xfId="20429" xr:uid="{CFD9E3DE-A8FC-4C8A-A2BE-7EEDFA098B53}"/>
    <cellStyle name="Note 17 6 27 2" xfId="40831" xr:uid="{F619A287-E81E-49FD-917A-97F805BA974C}"/>
    <cellStyle name="Note 17 6 28" xfId="27032" xr:uid="{F56C02D5-75EF-472B-A87B-4B099BD6D772}"/>
    <cellStyle name="Note 17 6 28 2" xfId="45435" xr:uid="{2B7A2AD9-51CD-4101-868A-FCFD0F4E0BBA}"/>
    <cellStyle name="Note 17 6 29" xfId="6378" xr:uid="{69457752-DBFA-4159-B356-C694C7118882}"/>
    <cellStyle name="Note 17 6 3" xfId="8159" xr:uid="{67CD16D1-A521-4A6F-A0D5-39956273D0F3}"/>
    <cellStyle name="Note 17 6 3 2" xfId="32401" xr:uid="{ED251DA5-874B-4C46-A612-52D825541178}"/>
    <cellStyle name="Note 17 6 4" xfId="9230" xr:uid="{87A0332F-ECDA-49C4-A648-869C73FB5350}"/>
    <cellStyle name="Note 17 6 4 2" xfId="33224" xr:uid="{2DDD5153-36D0-49AE-82F7-36FD29404635}"/>
    <cellStyle name="Note 17 6 5" xfId="12890" xr:uid="{4AC2709A-308D-4D0A-B216-FAAE23470FB0}"/>
    <cellStyle name="Note 17 6 5 2" xfId="35247" xr:uid="{6498129F-DB9A-4BB0-A220-5B0503E21DCD}"/>
    <cellStyle name="Note 17 6 6" xfId="8912" xr:uid="{7BAAECCD-D1A0-4C49-8769-F986B3B94FE8}"/>
    <cellStyle name="Note 17 6 6 2" xfId="32998" xr:uid="{ABED59C2-0C8B-4F30-AF9F-E1818C3B3E36}"/>
    <cellStyle name="Note 17 6 7" xfId="10388" xr:uid="{60CDA984-9F0E-46C2-B8C0-48F632020FBB}"/>
    <cellStyle name="Note 17 6 7 2" xfId="34023" xr:uid="{758B2B68-F13D-49AA-AA54-D9221840C2B6}"/>
    <cellStyle name="Note 17 6 8" xfId="15064" xr:uid="{48F9CC75-8385-4AE9-8E93-AE8F42904B1A}"/>
    <cellStyle name="Note 17 6 8 2" xfId="36910" xr:uid="{7011B7FA-CD3B-4691-A065-0863CDC9CFDC}"/>
    <cellStyle name="Note 17 6 9" xfId="12937" xr:uid="{5F998768-C994-4C43-A715-8DA03395F63E}"/>
    <cellStyle name="Note 17 6 9 2" xfId="35293" xr:uid="{09A76AD2-4CF7-4FA3-B989-E42D7EC73724}"/>
    <cellStyle name="Note 17 7" xfId="2845" xr:uid="{1425B256-26A4-4DC3-B7CE-E60B6FE85D48}"/>
    <cellStyle name="Note 17 7 10" xfId="7359" xr:uid="{21CB47B3-0EBD-4995-BBE6-954BF98995A8}"/>
    <cellStyle name="Note 17 7 10 2" xfId="31721" xr:uid="{0FA365F7-69F8-4784-8513-BC881B76EC5B}"/>
    <cellStyle name="Note 17 7 11" xfId="17932" xr:uid="{D30A5216-0B5F-4A7A-A5F3-B35CF55B87AE}"/>
    <cellStyle name="Note 17 7 11 2" xfId="39030" xr:uid="{957F3942-7D2A-494A-93FB-D7A35C503FA5}"/>
    <cellStyle name="Note 17 7 12" xfId="12491" xr:uid="{AA186BF3-2EA5-4467-BA65-0826AF57F65F}"/>
    <cellStyle name="Note 17 7 12 2" xfId="34936" xr:uid="{9EED6BDE-9441-46BD-9F61-72296717AA0B}"/>
    <cellStyle name="Note 17 7 13" xfId="13678" xr:uid="{7996C949-BB41-443B-A13D-73D4B24FBDF1}"/>
    <cellStyle name="Note 17 7 13 2" xfId="35834" xr:uid="{8BB148AC-5EA8-4811-942C-DB2FC4D805D0}"/>
    <cellStyle name="Note 17 7 14" xfId="20814" xr:uid="{9D0AEDC6-EA1E-4DC5-8FCD-9E80CD3CB2F7}"/>
    <cellStyle name="Note 17 7 14 2" xfId="41174" xr:uid="{5EBE2524-20E5-4DDE-A7FD-ED5DF3DDDB83}"/>
    <cellStyle name="Note 17 7 15" xfId="15721" xr:uid="{5655C6CA-8737-463F-8804-9F16986253C1}"/>
    <cellStyle name="Note 17 7 15 2" xfId="37352" xr:uid="{C89CB447-FCF3-4BC1-9C6C-D12D7F24796F}"/>
    <cellStyle name="Note 17 7 16" xfId="21652" xr:uid="{F1D1E44C-A98B-41E1-8698-CD733D5A73FA}"/>
    <cellStyle name="Note 17 7 16 2" xfId="41725" xr:uid="{FC5EAA0C-FD93-4ADC-AD11-A78F80581E65}"/>
    <cellStyle name="Note 17 7 17" xfId="21463" xr:uid="{12E5E1FE-ACA9-4A23-AC50-E17714C9404E}"/>
    <cellStyle name="Note 17 7 17 2" xfId="41592" xr:uid="{746B46C5-09AE-4466-9E2E-40EF5EA03D4F}"/>
    <cellStyle name="Note 17 7 18" xfId="16325" xr:uid="{AE9B78BF-8DA6-4C56-96F7-253B2DCA37FA}"/>
    <cellStyle name="Note 17 7 18 2" xfId="37862" xr:uid="{8A4C35A9-3769-4B6B-985E-FE2A5346BFE6}"/>
    <cellStyle name="Note 17 7 19" xfId="24917" xr:uid="{65F7279D-CDA8-4816-B7D6-822DBDCF830D}"/>
    <cellStyle name="Note 17 7 19 2" xfId="44003" xr:uid="{2045C7F7-6851-40D4-8B06-3CE630DD291F}"/>
    <cellStyle name="Note 17 7 2" xfId="2846" xr:uid="{C3486B18-3A73-4B98-ACEF-3D22B8C30378}"/>
    <cellStyle name="Note 17 7 2 10" xfId="18672" xr:uid="{12B40F91-F746-4FCD-98DC-C1310B59B945}"/>
    <cellStyle name="Note 17 7 2 10 2" xfId="39555" xr:uid="{7093E3A9-682A-4E28-9B1E-236B6475D50A}"/>
    <cellStyle name="Note 17 7 2 11" xfId="16639" xr:uid="{15BCFAB1-4672-4EFD-87B6-1BF110D04BB3}"/>
    <cellStyle name="Note 17 7 2 11 2" xfId="38132" xr:uid="{C4E38506-8F84-42C4-B647-76D58CC2B8A7}"/>
    <cellStyle name="Note 17 7 2 12" xfId="14582" xr:uid="{60FF8A36-F606-478E-BC00-8ED0EFC30992}"/>
    <cellStyle name="Note 17 7 2 12 2" xfId="36500" xr:uid="{7BE5A1AB-524A-49E2-81F0-DBDC19B24CF2}"/>
    <cellStyle name="Note 17 7 2 13" xfId="15451" xr:uid="{1B1C7763-2AB9-478C-8F33-03DB00F891C8}"/>
    <cellStyle name="Note 17 7 2 13 2" xfId="37120" xr:uid="{24228006-4485-4B94-A729-B3A26296B62B}"/>
    <cellStyle name="Note 17 7 2 14" xfId="19784" xr:uid="{4D25517E-7FFC-4DA0-9462-F2DE63F901AA}"/>
    <cellStyle name="Note 17 7 2 14 2" xfId="40401" xr:uid="{23491469-16DC-4683-8BF4-CCA88AB360AC}"/>
    <cellStyle name="Note 17 7 2 15" xfId="21649" xr:uid="{314945AC-E3F3-4B55-8B1A-3C5B1F07C573}"/>
    <cellStyle name="Note 17 7 2 15 2" xfId="41723" xr:uid="{6CB714C2-F314-48EA-A812-21EF72EB7398}"/>
    <cellStyle name="Note 17 7 2 16" xfId="17719" xr:uid="{B110ECBB-1F94-4BC6-95D7-2FE26A82AA5C}"/>
    <cellStyle name="Note 17 7 2 16 2" xfId="38895" xr:uid="{30743939-BEC7-40C4-B608-3D8765A7C282}"/>
    <cellStyle name="Note 17 7 2 17" xfId="18342" xr:uid="{B6C6C7EB-591E-4174-896B-BDAF8CF47B5E}"/>
    <cellStyle name="Note 17 7 2 17 2" xfId="39372" xr:uid="{FC8A3AB1-FEBD-4E34-B2E4-E1431A34AAEA}"/>
    <cellStyle name="Note 17 7 2 18" xfId="24907" xr:uid="{CC5C7491-A5E7-4A28-818E-C9527CA8063A}"/>
    <cellStyle name="Note 17 7 2 18 2" xfId="43993" xr:uid="{A1351E86-9D0D-4273-9244-CFEEAD26F035}"/>
    <cellStyle name="Note 17 7 2 19" xfId="24780" xr:uid="{D5A2BB6B-2AE1-47A0-960A-312F8104DAB8}"/>
    <cellStyle name="Note 17 7 2 19 2" xfId="43925" xr:uid="{2A0AE660-DA29-417C-B7CB-4856C289BB73}"/>
    <cellStyle name="Note 17 7 2 2" xfId="8156" xr:uid="{156D7779-704A-4CCE-9932-E7063E5B3597}"/>
    <cellStyle name="Note 17 7 2 2 2" xfId="32398" xr:uid="{1F5D043C-BAA0-4406-ADA8-9199C0BCFEC3}"/>
    <cellStyle name="Note 17 7 2 20" xfId="18165" xr:uid="{32D23ED5-BBC2-402B-AC40-1E8DCB69FD3A}"/>
    <cellStyle name="Note 17 7 2 20 2" xfId="39219" xr:uid="{488859E4-6CC1-4A0D-90BA-D84FB3959F1A}"/>
    <cellStyle name="Note 17 7 2 21" xfId="24568" xr:uid="{B3951CD3-DAE0-4242-9517-71DDB088B2D7}"/>
    <cellStyle name="Note 17 7 2 21 2" xfId="43751" xr:uid="{2D85B7FC-77A7-4B91-9E2D-665930E4C275}"/>
    <cellStyle name="Note 17 7 2 22" xfId="18632" xr:uid="{BE468D80-1A6A-4DAA-B1C7-EA1E477B7675}"/>
    <cellStyle name="Note 17 7 2 22 2" xfId="39529" xr:uid="{73C6014C-1B5D-46D1-B3AA-955B6ADD0129}"/>
    <cellStyle name="Note 17 7 2 23" xfId="27183" xr:uid="{CA63FBB9-701B-4893-A4ED-DE3A29F04CB0}"/>
    <cellStyle name="Note 17 7 2 23 2" xfId="45524" xr:uid="{22853374-849F-4BA2-8C8C-35DB2060E1B3}"/>
    <cellStyle name="Note 17 7 2 24" xfId="28235" xr:uid="{958A8F22-9F4E-4E26-A1BE-FDD12DF74018}"/>
    <cellStyle name="Note 17 7 2 24 2" xfId="46112" xr:uid="{8AB38CAD-E96A-42E5-84A2-A62BE258064B}"/>
    <cellStyle name="Note 17 7 2 25" xfId="24393" xr:uid="{7D8ECD15-F8FB-4695-9651-3F13AC511A08}"/>
    <cellStyle name="Note 17 7 2 25 2" xfId="43634" xr:uid="{C315AC9E-C5C0-4ECD-911A-345484B23BFA}"/>
    <cellStyle name="Note 17 7 2 26" xfId="23054" xr:uid="{52625EB1-42FE-4734-A2CD-D45583F50543}"/>
    <cellStyle name="Note 17 7 2 26 2" xfId="42688" xr:uid="{3BDFF04D-3BDD-4F71-A2E6-B18BB9479A21}"/>
    <cellStyle name="Note 17 7 2 27" xfId="26045" xr:uid="{0D7F740C-400E-43B1-AE3C-6B3B0FBB0825}"/>
    <cellStyle name="Note 17 7 2 27 2" xfId="44815" xr:uid="{44A3EFFD-309C-43D2-8A2A-D9FDC5EAD2A7}"/>
    <cellStyle name="Note 17 7 2 28" xfId="6381" xr:uid="{E0D9E912-A4D0-435B-A3F1-1460EB5A74EE}"/>
    <cellStyle name="Note 17 7 2 3" xfId="9241" xr:uid="{FC56B481-BB92-49C8-8C39-8088934361C7}"/>
    <cellStyle name="Note 17 7 2 3 2" xfId="33227" xr:uid="{60C138ED-FCF6-466B-92C5-547FD999A1CF}"/>
    <cellStyle name="Note 17 7 2 4" xfId="7772" xr:uid="{6A11E308-C6D3-47EF-AE26-BF7E367AE3DF}"/>
    <cellStyle name="Note 17 7 2 4 2" xfId="32068" xr:uid="{C63D75DD-00A3-456E-BDCD-6E7EBE5F944F}"/>
    <cellStyle name="Note 17 7 2 5" xfId="8910" xr:uid="{7C6D0060-3E86-43E3-896E-5ECD9B081DAF}"/>
    <cellStyle name="Note 17 7 2 5 2" xfId="32996" xr:uid="{3E720130-3463-4263-BDF6-641AE2E369E1}"/>
    <cellStyle name="Note 17 7 2 6" xfId="13075" xr:uid="{F072A217-97C7-4E7B-A4A8-05807EC341D5}"/>
    <cellStyle name="Note 17 7 2 6 2" xfId="35423" xr:uid="{12595E04-1116-4D78-A5CA-8C81806D5F0A}"/>
    <cellStyle name="Note 17 7 2 7" xfId="8557" xr:uid="{00B069E2-7BF5-4873-8303-7FF60204BF0A}"/>
    <cellStyle name="Note 17 7 2 7 2" xfId="32743" xr:uid="{25BAAFAF-6036-4AA6-B66E-9D2F31C38399}"/>
    <cellStyle name="Note 17 7 2 8" xfId="14930" xr:uid="{B37FD8DD-B130-46A3-AD4B-B671D24A83AA}"/>
    <cellStyle name="Note 17 7 2 8 2" xfId="36805" xr:uid="{8437A960-244F-4AA0-A5D4-7853CF79F529}"/>
    <cellStyle name="Note 17 7 2 9" xfId="7358" xr:uid="{3E7C42C2-C9D8-403B-9608-66705656A03B}"/>
    <cellStyle name="Note 17 7 2 9 2" xfId="31720" xr:uid="{76396038-F47D-4244-B219-C579E806C04A}"/>
    <cellStyle name="Note 17 7 20" xfId="24196" xr:uid="{F15B9E07-53BE-4E9A-922C-58DECA04EBBD}"/>
    <cellStyle name="Note 17 7 20 2" xfId="43519" xr:uid="{0BAB07DE-B402-4E62-AA8C-0E0E3F61A5B1}"/>
    <cellStyle name="Note 17 7 21" xfId="23292" xr:uid="{97A60FB2-D72F-44F4-8CC2-852E9CD5B303}"/>
    <cellStyle name="Note 17 7 21 2" xfId="42866" xr:uid="{BA8C6CFB-8510-4447-A21B-B5E7CD727629}"/>
    <cellStyle name="Note 17 7 22" xfId="21056" xr:uid="{ABEB6A68-FEE5-49E2-8673-CBE0973830D9}"/>
    <cellStyle name="Note 17 7 22 2" xfId="41302" xr:uid="{2DDAD485-E14F-43C1-8E28-6CE1DDB826BE}"/>
    <cellStyle name="Note 17 7 23" xfId="19543" xr:uid="{C926E08D-9CB4-40E5-A4E2-202DCE13F4FC}"/>
    <cellStyle name="Note 17 7 23 2" xfId="40206" xr:uid="{A580B1B2-1BD9-4D0B-8CE8-A348B642B713}"/>
    <cellStyle name="Note 17 7 24" xfId="26103" xr:uid="{CF663FDB-23B2-4D0B-92B9-B6A26645A43D}"/>
    <cellStyle name="Note 17 7 24 2" xfId="44846" xr:uid="{8F7CEDD1-B40F-4121-A875-0ADC81C0E91F}"/>
    <cellStyle name="Note 17 7 25" xfId="30306" xr:uid="{20C7D7D2-DA5E-4B51-98C8-9C75AC83DDF2}"/>
    <cellStyle name="Note 17 7 25 2" xfId="47454" xr:uid="{21753128-11E0-463D-82CF-D6CBD89B4143}"/>
    <cellStyle name="Note 17 7 26" xfId="29450" xr:uid="{99DDE3CF-DB12-41F7-8C91-B1829EE7630B}"/>
    <cellStyle name="Note 17 7 26 2" xfId="46908" xr:uid="{72156C4B-29F0-452E-81A5-6F3CB9312EA7}"/>
    <cellStyle name="Note 17 7 27" xfId="28672" xr:uid="{4EAFE306-8A5E-4E30-9484-3B1AAC619EFF}"/>
    <cellStyle name="Note 17 7 27 2" xfId="46406" xr:uid="{E0B1D847-9205-4312-B4F3-FD83287955D0}"/>
    <cellStyle name="Note 17 7 28" xfId="30134" xr:uid="{D4DB3229-8162-46CA-8D4A-0FABC9A54189}"/>
    <cellStyle name="Note 17 7 28 2" xfId="47302" xr:uid="{E96F1533-18EE-4669-AF78-67D244EB9369}"/>
    <cellStyle name="Note 17 7 29" xfId="6380" xr:uid="{13110718-A71F-4111-90F0-C23F599A7E7C}"/>
    <cellStyle name="Note 17 7 3" xfId="8157" xr:uid="{8AEDCA85-D119-48AC-B9E3-08ADFEC04077}"/>
    <cellStyle name="Note 17 7 3 2" xfId="32399" xr:uid="{B70E420C-EECE-48A3-845C-30F924085FB5}"/>
    <cellStyle name="Note 17 7 4" xfId="9232" xr:uid="{BED8261C-4F9C-4D8B-B4C6-CE0DBD987535}"/>
    <cellStyle name="Note 17 7 4 2" xfId="33226" xr:uid="{36F0510A-ACBC-4277-A6DE-21C2584AE412}"/>
    <cellStyle name="Note 17 7 5" xfId="13633" xr:uid="{FB77BEE9-AC92-48A3-ADAF-BABE95976EA9}"/>
    <cellStyle name="Note 17 7 5 2" xfId="35798" xr:uid="{B7BC5691-440B-4C2A-9BB4-7C666096CA35}"/>
    <cellStyle name="Note 17 7 6" xfId="14328" xr:uid="{01D93B44-A986-459B-BBF9-0D5718737D8F}"/>
    <cellStyle name="Note 17 7 6 2" xfId="36371" xr:uid="{57B45F09-2C25-4401-950E-C5C04907560E}"/>
    <cellStyle name="Note 17 7 7" xfId="10389" xr:uid="{0FEB6800-A0B1-447C-B8E9-E2DFCEABF709}"/>
    <cellStyle name="Note 17 7 7 2" xfId="34024" xr:uid="{6C3A3123-32E8-4858-8DD4-DE182121EDC4}"/>
    <cellStyle name="Note 17 7 8" xfId="13374" xr:uid="{22D97C26-13E7-4563-8317-8285E0F5B114}"/>
    <cellStyle name="Note 17 7 8 2" xfId="35681" xr:uid="{ED7BF8D0-E48B-4EBB-AD90-A279832D5B7E}"/>
    <cellStyle name="Note 17 7 9" xfId="10540" xr:uid="{5141BB41-8A08-4D57-A7F2-28F78BEBE107}"/>
    <cellStyle name="Note 17 7 9 2" xfId="34166" xr:uid="{49945EF1-3CA3-4F9D-9C28-86ADB58C1C64}"/>
    <cellStyle name="Note 17 8" xfId="2847" xr:uid="{901F5568-E4A7-4462-84CD-9E86A0B7833B}"/>
    <cellStyle name="Note 17 8 10" xfId="12261" xr:uid="{AEB5D039-F062-4D49-99EF-98274F6DDD6E}"/>
    <cellStyle name="Note 17 8 10 2" xfId="34767" xr:uid="{D317E5E3-8CF9-4398-8DFE-0752A1CF262E}"/>
    <cellStyle name="Note 17 8 11" xfId="14073" xr:uid="{37BE68ED-2190-4A0B-B797-97574BA7ECBF}"/>
    <cellStyle name="Note 17 8 11 2" xfId="36167" xr:uid="{C985E4FF-EEDE-4A7D-B9BD-D823544DCC24}"/>
    <cellStyle name="Note 17 8 12" xfId="12717" xr:uid="{6A20D1B2-81B3-4DA0-9844-D5CE26E4C27A}"/>
    <cellStyle name="Note 17 8 12 2" xfId="35130" xr:uid="{05FF8ADF-BD8A-481A-9D57-1A65B878FABF}"/>
    <cellStyle name="Note 17 8 13" xfId="17590" xr:uid="{78E83DDC-A502-4399-89CA-64C5C757424E}"/>
    <cellStyle name="Note 17 8 13 2" xfId="38836" xr:uid="{DA230DAB-863E-4726-AE21-B737358EAD8B}"/>
    <cellStyle name="Note 17 8 14" xfId="17974" xr:uid="{67C3FE2B-ECD5-4CCD-AEBA-8BE2F395EB78}"/>
    <cellStyle name="Note 17 8 14 2" xfId="39072" xr:uid="{45AD343A-25C6-47ED-9B02-AAA3B57DEB7C}"/>
    <cellStyle name="Note 17 8 15" xfId="20034" xr:uid="{876DAC5F-CB03-4AC2-BD6A-D3FFC1E6979C}"/>
    <cellStyle name="Note 17 8 15 2" xfId="40600" xr:uid="{961805F2-00BB-414F-AFDF-CD45E1C65308}"/>
    <cellStyle name="Note 17 8 16" xfId="19644" xr:uid="{8C93323C-3ADD-4E47-B4BA-434E4BF107C7}"/>
    <cellStyle name="Note 17 8 16 2" xfId="40284" xr:uid="{20456967-28FF-4B0E-A0BF-4ED7D8A2C7E2}"/>
    <cellStyle name="Note 17 8 17" xfId="15819" xr:uid="{447613AF-C8C2-429E-95B3-3F4B7E0BC96A}"/>
    <cellStyle name="Note 17 8 17 2" xfId="37434" xr:uid="{0E9F76CF-31ED-4463-B599-1866D5BD8024}"/>
    <cellStyle name="Note 17 8 18" xfId="18929" xr:uid="{21F4746A-DC78-4304-B098-992EA2550E49}"/>
    <cellStyle name="Note 17 8 18 2" xfId="39762" xr:uid="{6EBF4DC1-0D8D-4973-8786-348BE6F89E6C}"/>
    <cellStyle name="Note 17 8 19" xfId="22347" xr:uid="{A67AD1A9-1F55-4AA4-82F4-73CA39EDAAA9}"/>
    <cellStyle name="Note 17 8 19 2" xfId="42202" xr:uid="{DF843C12-79CE-423C-BF61-7E4BCC5AF6B4}"/>
    <cellStyle name="Note 17 8 2" xfId="8155" xr:uid="{DBD8A137-F048-40E4-8395-BA9BC6EE5F37}"/>
    <cellStyle name="Note 17 8 2 2" xfId="32397" xr:uid="{0DC3816B-6943-4960-BB1A-9B67A599F9F3}"/>
    <cellStyle name="Note 17 8 20" xfId="24350" xr:uid="{693DB02F-86BC-4822-9CE9-B408025677C3}"/>
    <cellStyle name="Note 17 8 20 2" xfId="43606" xr:uid="{1CE14677-7D76-4FE0-8F87-12E58FC27D59}"/>
    <cellStyle name="Note 17 8 21" xfId="25286" xr:uid="{E5E13B04-3DC3-4560-BC32-D886E4885F51}"/>
    <cellStyle name="Note 17 8 21 2" xfId="44202" xr:uid="{D0275ECD-D842-4A3E-9CB7-B0D5F2C7C51D}"/>
    <cellStyle name="Note 17 8 22" xfId="21258" xr:uid="{2E03D75E-3AFC-4C9B-AACA-92D9BB97F42B}"/>
    <cellStyle name="Note 17 8 22 2" xfId="41440" xr:uid="{6646759F-02F4-4C59-9E9D-81DCE271DE7A}"/>
    <cellStyle name="Note 17 8 23" xfId="25654" xr:uid="{0E01C91D-E2D2-472D-89A3-331A15CC992C}"/>
    <cellStyle name="Note 17 8 23 2" xfId="44499" xr:uid="{51BC0992-5469-4859-A7C5-3CAC64A282E3}"/>
    <cellStyle name="Note 17 8 24" xfId="30305" xr:uid="{93272C21-C98C-45CA-AF79-0D73DFE5C4D7}"/>
    <cellStyle name="Note 17 8 24 2" xfId="47453" xr:uid="{3D649DDF-D7AA-4B70-9BF7-13B7F87B6123}"/>
    <cellStyle name="Note 17 8 25" xfId="27461" xr:uid="{99E3C477-E52C-4884-A340-C41685F3E670}"/>
    <cellStyle name="Note 17 8 25 2" xfId="45692" xr:uid="{207BF7FB-5E8C-40A9-978E-81840E114517}"/>
    <cellStyle name="Note 17 8 26" xfId="27401" xr:uid="{DD163987-92EA-4EBE-AD5F-455F811B1935}"/>
    <cellStyle name="Note 17 8 26 2" xfId="45656" xr:uid="{25388B2E-3DB7-4FAD-BA15-DB1F9AAD9E8A}"/>
    <cellStyle name="Note 17 8 27" xfId="28333" xr:uid="{DC0D0203-141E-4CAB-890D-0F3E0D6508C2}"/>
    <cellStyle name="Note 17 8 27 2" xfId="46200" xr:uid="{BDAF443E-1EC7-49FB-94B0-B6682B77C4F4}"/>
    <cellStyle name="Note 17 8 28" xfId="6382" xr:uid="{2FF9919F-FC7A-4BD9-BF6F-D641B33DBB23}"/>
    <cellStyle name="Note 17 8 3" xfId="9242" xr:uid="{00E82B48-1F4D-4C04-94AF-0F1DA64A5D42}"/>
    <cellStyle name="Note 17 8 3 2" xfId="33228" xr:uid="{F62398C3-B66A-4172-A1F7-9BD736CA5F83}"/>
    <cellStyle name="Note 17 8 4" xfId="7771" xr:uid="{BA050E4E-2A03-425B-AA24-7970DA510246}"/>
    <cellStyle name="Note 17 8 4 2" xfId="32067" xr:uid="{07C7F9C1-4F25-45E1-86F2-2C638E58836E}"/>
    <cellStyle name="Note 17 8 5" xfId="8909" xr:uid="{7090D238-EA11-4562-A294-6141A64E6D66}"/>
    <cellStyle name="Note 17 8 5 2" xfId="32995" xr:uid="{6E48FF83-D4A5-40EF-8C90-64C8BB432ED6}"/>
    <cellStyle name="Note 17 8 6" xfId="10390" xr:uid="{8B82438E-01B9-417B-8830-585C55AC2111}"/>
    <cellStyle name="Note 17 8 6 2" xfId="34025" xr:uid="{B3B05F15-339A-48D7-B1EE-03E98B6AF978}"/>
    <cellStyle name="Note 17 8 7" xfId="15070" xr:uid="{EDA6DE74-835D-42F0-A4AE-CC7571E824EA}"/>
    <cellStyle name="Note 17 8 7 2" xfId="36915" xr:uid="{847D68E6-7860-42B8-A834-4E71B472EA83}"/>
    <cellStyle name="Note 17 8 8" xfId="12936" xr:uid="{BA8BAD54-7A8B-45AB-99D8-92FEFFA29CC1}"/>
    <cellStyle name="Note 17 8 8 2" xfId="35292" xr:uid="{9EECAC7F-61BE-4BAB-B2F7-550D77ADFEAC}"/>
    <cellStyle name="Note 17 8 9" xfId="7357" xr:uid="{A7158CCA-BFA4-4BEA-AA4B-28138DF38ACC}"/>
    <cellStyle name="Note 17 8 9 2" xfId="31719" xr:uid="{22577757-1A8B-473F-BA5F-69A3DDE7C728}"/>
    <cellStyle name="Note 17 9" xfId="8170" xr:uid="{434D0756-D690-4A81-AB4C-186206F10A42}"/>
    <cellStyle name="Note 17 9 2" xfId="32412" xr:uid="{C165B832-46AB-45A3-BD20-40BB0A7A49B7}"/>
    <cellStyle name="Note 17_Sheet2" xfId="2848" xr:uid="{0592D6F2-C38A-4E84-AA83-52F1A35BFED0}"/>
    <cellStyle name="Note 18" xfId="2849" xr:uid="{E861F775-1CB6-49E7-BEDF-B7EB494D0CF8}"/>
    <cellStyle name="Note 18 10" xfId="9243" xr:uid="{4E023DBA-6936-41CD-AA5B-E32CDC2AEE04}"/>
    <cellStyle name="Note 18 10 2" xfId="33229" xr:uid="{9C7CF961-841E-42C2-8571-01934382B2E9}"/>
    <cellStyle name="Note 18 11" xfId="7770" xr:uid="{0DDBA3EA-196A-4263-883D-BCBE1A780E3B}"/>
    <cellStyle name="Note 18 11 2" xfId="32066" xr:uid="{6CC3AC33-48D4-460B-BA9A-FD6543307300}"/>
    <cellStyle name="Note 18 12" xfId="8908" xr:uid="{7524DFE3-DB99-47ED-B676-BB0D689D1037}"/>
    <cellStyle name="Note 18 12 2" xfId="32994" xr:uid="{01773266-583B-45A2-B5E4-D4DF309BFE50}"/>
    <cellStyle name="Note 18 13" xfId="10391" xr:uid="{4759E3CB-2012-4623-9070-52F592F761A9}"/>
    <cellStyle name="Note 18 13 2" xfId="34026" xr:uid="{7DB50CE4-C94D-4D1D-A58E-A5B50FFAF133}"/>
    <cellStyle name="Note 18 14" xfId="15071" xr:uid="{ECA25244-30B0-465C-9274-AA8A66B6A887}"/>
    <cellStyle name="Note 18 14 2" xfId="36916" xr:uid="{BC6E42F8-74FB-452E-8365-4F2DC5FFC143}"/>
    <cellStyle name="Note 18 15" xfId="10541" xr:uid="{7CFC478B-CB37-43DD-9333-CBEBE5BB005E}"/>
    <cellStyle name="Note 18 15 2" xfId="34167" xr:uid="{3FEA81B9-B315-445C-BF06-CADCC358D4FE}"/>
    <cellStyle name="Note 18 16" xfId="11735" xr:uid="{C23F27EB-8276-4D54-9353-35A1E8F504ED}"/>
    <cellStyle name="Note 18 16 2" xfId="34348" xr:uid="{B25FDCBA-C577-446E-BF43-09253B1D1A7C}"/>
    <cellStyle name="Note 18 17" xfId="12262" xr:uid="{B0921A18-6CA3-4C7B-8994-C3138A2ABEAC}"/>
    <cellStyle name="Note 18 17 2" xfId="34768" xr:uid="{F757BD39-FF39-46ED-897C-3B839B1C324C}"/>
    <cellStyle name="Note 18 18" xfId="12492" xr:uid="{D5335AA2-DCE7-4A50-9668-F8DD1206D5B9}"/>
    <cellStyle name="Note 18 18 2" xfId="34937" xr:uid="{1D5086B4-0C1C-48DC-866E-8786674B34C2}"/>
    <cellStyle name="Note 18 19" xfId="15588" xr:uid="{4344DADC-4A93-42E2-A48F-70F9179441D8}"/>
    <cellStyle name="Note 18 19 2" xfId="37246" xr:uid="{AB52FDC1-9481-4D6E-AF48-7861C8FA756D}"/>
    <cellStyle name="Note 18 2" xfId="2850" xr:uid="{0EF626E6-70C6-4653-91C4-154699CEF7E3}"/>
    <cellStyle name="Note 18 2 10" xfId="14929" xr:uid="{4DED9F40-91CF-4B6C-9E97-543A870BEA8C}"/>
    <cellStyle name="Note 18 2 10 2" xfId="36804" xr:uid="{6C5BB58A-C21F-4A34-B514-800623BCD076}"/>
    <cellStyle name="Note 18 2 11" xfId="11734" xr:uid="{3E25F587-7E51-4F27-931F-716B477BAE4F}"/>
    <cellStyle name="Note 18 2 11 2" xfId="34347" xr:uid="{64FE7157-59AC-471F-8DEE-5659722527AE}"/>
    <cellStyle name="Note 18 2 12" xfId="18683" xr:uid="{A73E70C2-C2D2-43B8-8E37-76AED7B82636}"/>
    <cellStyle name="Note 18 2 12 2" xfId="39565" xr:uid="{5AA59FEF-030D-4F69-BBD6-523AE2444B44}"/>
    <cellStyle name="Note 18 2 13" xfId="16638" xr:uid="{D1A75C5A-0E1E-4CB2-B0A3-D96F2099C641}"/>
    <cellStyle name="Note 18 2 13 2" xfId="38131" xr:uid="{A3583173-F739-4A13-B7AC-397F9FC89C8D}"/>
    <cellStyle name="Note 18 2 14" xfId="14581" xr:uid="{C1F21781-1F4C-408A-8C43-6C8FA743EBAF}"/>
    <cellStyle name="Note 18 2 14 2" xfId="36499" xr:uid="{793B3301-BC35-44A4-9AC3-FC6A3CAAD9D2}"/>
    <cellStyle name="Note 18 2 15" xfId="9851" xr:uid="{566F3767-7D20-4849-BA2B-098F2C6048C3}"/>
    <cellStyle name="Note 18 2 15 2" xfId="33597" xr:uid="{D2E8A5A4-A9E9-4809-ADF4-44D4CADA55CA}"/>
    <cellStyle name="Note 18 2 16" xfId="19783" xr:uid="{6C6EBDAC-9E02-4BD4-BAD1-F0B233FAAAAB}"/>
    <cellStyle name="Note 18 2 16 2" xfId="40400" xr:uid="{F6EB05AC-39BD-48B1-8C47-E59F13BE93CC}"/>
    <cellStyle name="Note 18 2 17" xfId="18397" xr:uid="{3746D15A-883D-468B-9F1F-79E8E9C72B2C}"/>
    <cellStyle name="Note 18 2 17 2" xfId="39408" xr:uid="{664FB6E6-B984-43D2-9472-C438F0581B41}"/>
    <cellStyle name="Note 18 2 18" xfId="19643" xr:uid="{1F17855A-FE9F-4F71-9205-F9C63AEF02D5}"/>
    <cellStyle name="Note 18 2 18 2" xfId="40283" xr:uid="{63CC7EF2-D277-46B5-9A21-3EA2F36AF99E}"/>
    <cellStyle name="Note 18 2 19" xfId="12606" xr:uid="{95A47A9D-7B53-4A84-B4B0-439A185B15ED}"/>
    <cellStyle name="Note 18 2 19 2" xfId="35038" xr:uid="{648FA43C-10D0-40B9-B6C1-270D2A8E59F8}"/>
    <cellStyle name="Note 18 2 2" xfId="2851" xr:uid="{F43043FD-9AA9-48C6-BE6F-A44CEEDFBA9F}"/>
    <cellStyle name="Note 18 2 2 10" xfId="11733" xr:uid="{7E50998D-B066-49EF-8857-EFCA618C94D1}"/>
    <cellStyle name="Note 18 2 2 10 2" xfId="34346" xr:uid="{83C23C8A-F2F1-4A7B-B61A-B456E682DC39}"/>
    <cellStyle name="Note 18 2 2 11" xfId="18680" xr:uid="{DF3CCFEB-0FB7-4175-A2F3-F71AC2066D75}"/>
    <cellStyle name="Note 18 2 2 11 2" xfId="39562" xr:uid="{4BC05B3A-23B5-4DD7-BF94-688E13EED803}"/>
    <cellStyle name="Note 18 2 2 12" xfId="14072" xr:uid="{44C1F580-80C8-4BDE-B63E-A170FC0AD25A}"/>
    <cellStyle name="Note 18 2 2 12 2" xfId="36166" xr:uid="{E3330D0D-2DB7-4C61-B521-C5682F91EB36}"/>
    <cellStyle name="Note 18 2 2 13" xfId="13853" xr:uid="{EF831D29-7535-4419-B663-2D9634BEB202}"/>
    <cellStyle name="Note 18 2 2 13 2" xfId="35976" xr:uid="{5A04E1F9-57C2-4956-8E22-1E525F299B19}"/>
    <cellStyle name="Note 18 2 2 14" xfId="15452" xr:uid="{76E3EBE9-D430-4C88-9C93-9ADC04E31CD1}"/>
    <cellStyle name="Note 18 2 2 14 2" xfId="37121" xr:uid="{BE9F5A85-993E-4EE5-B40E-E44ACC43F6F7}"/>
    <cellStyle name="Note 18 2 2 15" xfId="17973" xr:uid="{295F23A8-8692-46B1-8107-08CB06A58326}"/>
    <cellStyle name="Note 18 2 2 15 2" xfId="39071" xr:uid="{06D9BD58-840D-40A3-B15D-C4323C23FDC6}"/>
    <cellStyle name="Note 18 2 2 16" xfId="18412" xr:uid="{D1271F42-0681-487D-B6BA-92FB668ECFB6}"/>
    <cellStyle name="Note 18 2 2 16 2" xfId="39423" xr:uid="{AFA92893-E8C5-461B-A914-79D3F3DE6059}"/>
    <cellStyle name="Note 18 2 2 17" xfId="21461" xr:uid="{77370E35-75E8-4F86-9310-C0A55B8FB98A}"/>
    <cellStyle name="Note 18 2 2 17 2" xfId="41590" xr:uid="{24047079-A64A-422B-8533-EF0C69124424}"/>
    <cellStyle name="Note 18 2 2 18" xfId="18339" xr:uid="{A03B75C0-7568-402E-B772-BD3A36689820}"/>
    <cellStyle name="Note 18 2 2 18 2" xfId="39370" xr:uid="{E147A956-7380-4AA5-903D-DB9DCA167740}"/>
    <cellStyle name="Note 18 2 2 19" xfId="20711" xr:uid="{E04023FC-14FD-4444-9830-00D77A01BEA5}"/>
    <cellStyle name="Note 18 2 2 19 2" xfId="41071" xr:uid="{79A92BDD-3D5E-40BF-B7A1-8DAC1E02D33E}"/>
    <cellStyle name="Note 18 2 2 2" xfId="2852" xr:uid="{EDAC32C7-145F-425B-BED1-C11BCE018570}"/>
    <cellStyle name="Note 18 2 2 2 10" xfId="14696" xr:uid="{9D334A8A-1B33-4362-9065-AF3AA189F73D}"/>
    <cellStyle name="Note 18 2 2 2 10 2" xfId="36608" xr:uid="{FF37DCC3-1207-4A45-8F1B-59D4F254563F}"/>
    <cellStyle name="Note 18 2 2 2 11" xfId="16620" xr:uid="{F8AC7287-8997-4F82-9F11-69C7D68B80BF}"/>
    <cellStyle name="Note 18 2 2 2 11 2" xfId="38113" xr:uid="{4FE01159-DB2A-470A-B4C4-41720E234F1C}"/>
    <cellStyle name="Note 18 2 2 2 12" xfId="14427" xr:uid="{4416767B-3915-4A70-8891-89517A79373D}"/>
    <cellStyle name="Note 18 2 2 2 12 2" xfId="36416" xr:uid="{D7D3E396-33AD-4784-A3CF-91A6B86E60D2}"/>
    <cellStyle name="Note 18 2 2 2 13" xfId="17586" xr:uid="{05631602-F389-49F5-81A3-7A15BBADB486}"/>
    <cellStyle name="Note 18 2 2 2 13 2" xfId="38832" xr:uid="{10D04B08-33CB-4E2B-99F2-956632EE1D1B}"/>
    <cellStyle name="Note 18 2 2 2 14" xfId="15720" xr:uid="{4D227EB0-6A50-4339-82C3-E5F96AEA18E6}"/>
    <cellStyle name="Note 18 2 2 2 14 2" xfId="37351" xr:uid="{2C4A3E37-B153-4DFA-9D00-3B28AC029A22}"/>
    <cellStyle name="Note 18 2 2 2 15" xfId="18396" xr:uid="{60CFA36A-EB93-430C-942A-FF5E2BA6AC03}"/>
    <cellStyle name="Note 18 2 2 2 15 2" xfId="39407" xr:uid="{B46AE910-59A7-4B2D-B102-7614650D47C9}"/>
    <cellStyle name="Note 18 2 2 2 16" xfId="21460" xr:uid="{0C45C625-6D98-4D9A-A593-15A6649348DC}"/>
    <cellStyle name="Note 18 2 2 2 16 2" xfId="41589" xr:uid="{0BA1F12D-EA66-4AA0-8E20-60DE2FD36FE1}"/>
    <cellStyle name="Note 18 2 2 2 17" xfId="16324" xr:uid="{25B85009-65AA-4764-8B26-EB38C579E053}"/>
    <cellStyle name="Note 18 2 2 2 17 2" xfId="37861" xr:uid="{3225F68F-3F46-409A-8646-F1816D42B64B}"/>
    <cellStyle name="Note 18 2 2 2 18" xfId="17830" xr:uid="{06615825-78EE-47D9-869C-8F4B0203BEC5}"/>
    <cellStyle name="Note 18 2 2 2 18 2" xfId="38950" xr:uid="{6858F83A-7660-48DC-8BF4-EDED8AB52C20}"/>
    <cellStyle name="Note 18 2 2 2 19" xfId="20392" xr:uid="{A6F8ACCC-9430-4607-A076-032066BAD805}"/>
    <cellStyle name="Note 18 2 2 2 19 2" xfId="40814" xr:uid="{2A7231C7-A55C-4120-B9CE-566E6D82D7CA}"/>
    <cellStyle name="Note 18 2 2 2 2" xfId="8151" xr:uid="{7CBD8549-E723-49C6-89FA-8F2FA8C9FB46}"/>
    <cellStyle name="Note 18 2 2 2 2 2" xfId="32393" xr:uid="{A3985F44-5463-457E-8298-740F546BC3F8}"/>
    <cellStyle name="Note 18 2 2 2 20" xfId="24936" xr:uid="{964C112E-A17B-4BE6-AFA1-077785C545ED}"/>
    <cellStyle name="Note 18 2 2 2 20 2" xfId="44018" xr:uid="{53E0D835-5E6B-46C4-8A63-E0B03CF7FC68}"/>
    <cellStyle name="Note 18 2 2 2 21" xfId="22767" xr:uid="{2FED6844-0189-4406-80BB-AA396665012C}"/>
    <cellStyle name="Note 18 2 2 2 21 2" xfId="42524" xr:uid="{46E32570-F19A-4E29-AB84-690837E2F117}"/>
    <cellStyle name="Note 18 2 2 2 22" xfId="22033" xr:uid="{2CDBE5C4-0F8E-4622-BD1E-A747E817012B}"/>
    <cellStyle name="Note 18 2 2 2 22 2" xfId="41928" xr:uid="{54E21879-AFC8-4FA3-9C14-DF7FE59BDB6B}"/>
    <cellStyle name="Note 18 2 2 2 23" xfId="27180" xr:uid="{D4B5E45C-9495-4843-9968-10FB314F4682}"/>
    <cellStyle name="Note 18 2 2 2 23 2" xfId="45521" xr:uid="{012CAFB4-D4B9-4C11-B710-D58FFD0095A3}"/>
    <cellStyle name="Note 18 2 2 2 24" xfId="28654" xr:uid="{4FD9B946-4963-4CAE-8DE5-FF23B382AA59}"/>
    <cellStyle name="Note 18 2 2 2 24 2" xfId="46388" xr:uid="{AE81ABBE-BF17-439F-B8D7-771611329AB2}"/>
    <cellStyle name="Note 18 2 2 2 25" xfId="23679" xr:uid="{C5D953B6-6B38-4F23-B18A-0B61E341B5B6}"/>
    <cellStyle name="Note 18 2 2 2 25 2" xfId="43101" xr:uid="{36A7C12E-55C4-4CD4-91B2-F5D67D31C7B1}"/>
    <cellStyle name="Note 18 2 2 2 26" xfId="23052" xr:uid="{4475B2E9-5F8E-43CE-BE28-3A94C9E19773}"/>
    <cellStyle name="Note 18 2 2 2 26 2" xfId="42686" xr:uid="{E0E142ED-B955-423C-BEC6-1DEB1632641E}"/>
    <cellStyle name="Note 18 2 2 2 27" xfId="26999" xr:uid="{CF004732-4D7D-4536-8A38-FC094844102D}"/>
    <cellStyle name="Note 18 2 2 2 27 2" xfId="45406" xr:uid="{AD903570-85C8-4C15-87FE-A76166AA92E6}"/>
    <cellStyle name="Note 18 2 2 2 28" xfId="6386" xr:uid="{61AAC9E5-99E5-48B9-AD13-2B4760F6165A}"/>
    <cellStyle name="Note 18 2 2 2 3" xfId="9246" xr:uid="{0EB3CDE7-0FC6-463C-B036-467BDFFC58FF}"/>
    <cellStyle name="Note 18 2 2 2 3 2" xfId="33232" xr:uid="{B0E0F030-4DFF-480C-A0DE-630611F70843}"/>
    <cellStyle name="Note 18 2 2 2 4" xfId="13403" xr:uid="{445D0DD5-9687-4EEB-A038-770FE2BBCA2C}"/>
    <cellStyle name="Note 18 2 2 2 4 2" xfId="35710" xr:uid="{A95AB1DC-6D16-4366-A288-727F68353E68}"/>
    <cellStyle name="Note 18 2 2 2 5" xfId="14326" xr:uid="{23AAA1AC-C7DA-4B07-9346-BD5C40E4EF4A}"/>
    <cellStyle name="Note 18 2 2 2 5 2" xfId="36369" xr:uid="{953C5608-B868-4394-AFB2-1B4E18CE178D}"/>
    <cellStyle name="Note 18 2 2 2 6" xfId="14359" xr:uid="{E01A6F1E-4072-4D5A-9C2F-36C72111C37B}"/>
    <cellStyle name="Note 18 2 2 2 6 2" xfId="36385" xr:uid="{36631713-22C4-46AF-AA29-0CF44E285BAA}"/>
    <cellStyle name="Note 18 2 2 2 7" xfId="13375" xr:uid="{CEC81E05-023A-43D2-962C-A054025350D6}"/>
    <cellStyle name="Note 18 2 2 2 7 2" xfId="35682" xr:uid="{036B19B9-B93F-4E98-BD05-20B401DC2263}"/>
    <cellStyle name="Note 18 2 2 2 8" xfId="10542" xr:uid="{14132099-7E6E-473A-A796-E1F6130298AA}"/>
    <cellStyle name="Note 18 2 2 2 8 2" xfId="34168" xr:uid="{CB07A46B-D10A-4952-B558-C9CAF1F4C4E5}"/>
    <cellStyle name="Note 18 2 2 2 9" xfId="7305" xr:uid="{1DF3B1F7-BAB3-4913-A52C-FA2C4112B710}"/>
    <cellStyle name="Note 18 2 2 2 9 2" xfId="31668" xr:uid="{94D45F6B-EE86-44D2-8538-29113D15A9D9}"/>
    <cellStyle name="Note 18 2 2 20" xfId="24779" xr:uid="{7B1C765C-DDBF-43D8-A586-3109E48C7353}"/>
    <cellStyle name="Note 18 2 2 20 2" xfId="43924" xr:uid="{66B63CDD-1228-4112-8D8F-457B3A149BEA}"/>
    <cellStyle name="Note 18 2 2 21" xfId="25932" xr:uid="{851DA383-EB4B-4502-93A5-2EDB43BB772F}"/>
    <cellStyle name="Note 18 2 2 21 2" xfId="44728" xr:uid="{DDA410D0-D36D-4970-9DCE-3727C47D895C}"/>
    <cellStyle name="Note 18 2 2 22" xfId="21799" xr:uid="{BD3DED9F-2A07-4211-B18D-7680A855E9BF}"/>
    <cellStyle name="Note 18 2 2 22 2" xfId="41796" xr:uid="{D41565E0-811E-4FE8-BFB1-4B955A974A04}"/>
    <cellStyle name="Note 18 2 2 23" xfId="17792" xr:uid="{943A9504-4C33-4A4B-8819-0DF1C9EAB7DD}"/>
    <cellStyle name="Note 18 2 2 23 2" xfId="38920" xr:uid="{2394042E-2BE0-4457-8C18-09B58FDA2FBF}"/>
    <cellStyle name="Note 18 2 2 24" xfId="26120" xr:uid="{6B55BF6A-DE72-48A8-8D28-96D097A67795}"/>
    <cellStyle name="Note 18 2 2 24 2" xfId="44863" xr:uid="{1238E9C8-4362-4C15-811C-E43057FB8B05}"/>
    <cellStyle name="Note 18 2 2 25" xfId="30303" xr:uid="{0412B90E-46DA-48BE-B66A-64A35AECA5EA}"/>
    <cellStyle name="Note 18 2 2 25 2" xfId="47451" xr:uid="{BAB5E41C-BD2A-4E4D-BF9E-2FA66392FC70}"/>
    <cellStyle name="Note 18 2 2 26" xfId="29137" xr:uid="{E4634D38-617F-4EDF-B8AB-3D72D0CD05CC}"/>
    <cellStyle name="Note 18 2 2 26 2" xfId="46679" xr:uid="{5AE7911A-2F57-442D-BA6A-9A88B5DEE3F1}"/>
    <cellStyle name="Note 18 2 2 27" xfId="22422" xr:uid="{9227B362-927E-4B94-BDF8-A23FB2E9A8A1}"/>
    <cellStyle name="Note 18 2 2 27 2" xfId="42236" xr:uid="{8AF35129-8C29-4F74-B78A-F7B0E69C1BDF}"/>
    <cellStyle name="Note 18 2 2 28" xfId="28325" xr:uid="{CF19D2DC-DCF1-4BDD-A086-A5B7D922951B}"/>
    <cellStyle name="Note 18 2 2 28 2" xfId="46192" xr:uid="{E3F591AB-9B0D-49F8-987D-863CEA84A40E}"/>
    <cellStyle name="Note 18 2 2 29" xfId="6385" xr:uid="{F8419718-8B27-444C-890A-17130AD48BB2}"/>
    <cellStyle name="Note 18 2 2 3" xfId="8152" xr:uid="{CE674ABF-2099-462B-8628-EB327E35CF64}"/>
    <cellStyle name="Note 18 2 2 3 2" xfId="32394" xr:uid="{D4F28987-7AA0-4C59-BAFB-1A5C56B2723E}"/>
    <cellStyle name="Note 18 2 2 4" xfId="9245" xr:uid="{49823071-7178-487E-A5C8-3C831F08A781}"/>
    <cellStyle name="Note 18 2 2 4 2" xfId="33231" xr:uid="{D5435ED2-B945-40C1-913B-0F9BDD060309}"/>
    <cellStyle name="Note 18 2 2 5" xfId="13619" xr:uid="{1CC23B93-054A-488E-B1FC-62C6CD005834}"/>
    <cellStyle name="Note 18 2 2 5 2" xfId="35784" xr:uid="{AA655A6B-5ADB-4E46-B875-68A605AA45B6}"/>
    <cellStyle name="Note 18 2 2 6" xfId="8907" xr:uid="{8B983BCE-7A3C-46E7-920D-C2DCB0AAD57E}"/>
    <cellStyle name="Note 18 2 2 6 2" xfId="32993" xr:uid="{0E48C8F0-E8AE-41C1-8545-49BF583070F8}"/>
    <cellStyle name="Note 18 2 2 7" xfId="10392" xr:uid="{81EE1740-4A2A-4069-B510-95308B3949DF}"/>
    <cellStyle name="Note 18 2 2 7 2" xfId="34027" xr:uid="{9235B958-126C-44AD-BDF5-B8B6CDAF950D}"/>
    <cellStyle name="Note 18 2 2 8" xfId="8540" xr:uid="{D1035BE5-C1FF-43B7-AC73-8E42B5B121E0}"/>
    <cellStyle name="Note 18 2 2 8 2" xfId="32727" xr:uid="{10B9E36D-37DB-4B3A-915E-D9574091F222}"/>
    <cellStyle name="Note 18 2 2 9" xfId="14928" xr:uid="{9356FD30-9E76-46EC-9DC8-BFDB1865FA00}"/>
    <cellStyle name="Note 18 2 2 9 2" xfId="36803" xr:uid="{1BC8844F-4196-4B11-B2EA-CED3FD882A09}"/>
    <cellStyle name="Note 18 2 20" xfId="18534" xr:uid="{D214E9C9-D70D-43E9-9798-469E0A396BC4}"/>
    <cellStyle name="Note 18 2 20 2" xfId="39486" xr:uid="{4FFD66B3-064E-4038-9382-42EF4D3CD131}"/>
    <cellStyle name="Note 18 2 21" xfId="22343" xr:uid="{1647D2BC-F1BA-48D9-9453-B7B6B82B7920}"/>
    <cellStyle name="Note 18 2 21 2" xfId="42198" xr:uid="{9EB1EC5E-CABE-4E3E-9F1B-63B6AAD83DD3}"/>
    <cellStyle name="Note 18 2 22" xfId="22788" xr:uid="{0288082A-2673-4653-9B49-9CA08E366B30}"/>
    <cellStyle name="Note 18 2 22 2" xfId="42540" xr:uid="{146051EA-C867-48A9-9A18-785175E14A59}"/>
    <cellStyle name="Note 18 2 23" xfId="24567" xr:uid="{EC74876C-6890-4F16-B61C-E9DBF8484A71}"/>
    <cellStyle name="Note 18 2 23 2" xfId="43750" xr:uid="{136AFE3F-AB4E-4435-9201-F6E7757B811D}"/>
    <cellStyle name="Note 18 2 24" xfId="17896" xr:uid="{1E571A60-8561-4371-8F6B-B08E7B7DEBF5}"/>
    <cellStyle name="Note 18 2 24 2" xfId="39003" xr:uid="{08361D6D-E22D-48DC-89C1-1DEFD7967DA8}"/>
    <cellStyle name="Note 18 2 25" xfId="22626" xr:uid="{C622FDCA-3B8E-4BAA-B873-0ED99830FF0A}"/>
    <cellStyle name="Note 18 2 25 2" xfId="42402" xr:uid="{048F8702-78D9-4E6D-A36D-698DD47F658F}"/>
    <cellStyle name="Note 18 2 26" xfId="30300" xr:uid="{AB4EBBAB-42D1-4FFF-8BE3-B66538B6DFB3}"/>
    <cellStyle name="Note 18 2 26 2" xfId="47448" xr:uid="{D8852B28-3FD9-43B1-9B03-F9BEE4FEE9CF}"/>
    <cellStyle name="Note 18 2 27" xfId="25546" xr:uid="{A8B0D824-D68F-4CA7-9A65-CB006F5A30F1}"/>
    <cellStyle name="Note 18 2 27 2" xfId="44420" xr:uid="{AFB3707D-2D92-48AA-B7EC-DA0844D7BAAC}"/>
    <cellStyle name="Note 18 2 28" xfId="18795" xr:uid="{E2A5FECC-BD80-43EE-89F7-34CA23AA9418}"/>
    <cellStyle name="Note 18 2 28 2" xfId="39652" xr:uid="{C12A5A90-752D-482D-BCF3-7A03B53FE54D}"/>
    <cellStyle name="Note 18 2 29" xfId="29347" xr:uid="{DA410D19-0FFA-41E1-93EE-EB28EFFFD713}"/>
    <cellStyle name="Note 18 2 29 2" xfId="46820" xr:uid="{460A3C64-8170-4B4C-B580-35558340EF34}"/>
    <cellStyle name="Note 18 2 3" xfId="2853" xr:uid="{6361B7EA-89E4-4559-9E22-57525A16F1BB}"/>
    <cellStyle name="Note 18 2 3 10" xfId="12263" xr:uid="{8FC9CB4C-47A8-4584-B912-CC28A6CB3BF3}"/>
    <cellStyle name="Note 18 2 3 10 2" xfId="34769" xr:uid="{BEAAF368-C909-45BA-AE68-0762D05AFEAD}"/>
    <cellStyle name="Note 18 2 3 11" xfId="16637" xr:uid="{5F6C41CD-EA3F-4A80-B219-445700D2C435}"/>
    <cellStyle name="Note 18 2 3 11 2" xfId="38130" xr:uid="{66C4FE9E-A8AB-4EC8-8865-CBE6CDB25757}"/>
    <cellStyle name="Note 18 2 3 12" xfId="14426" xr:uid="{98A4FD1E-708A-4A9F-B530-3F2E812BC7C8}"/>
    <cellStyle name="Note 18 2 3 12 2" xfId="36415" xr:uid="{5A3C0ACF-D088-4FCA-BAA5-8EAAE1474A9E}"/>
    <cellStyle name="Note 18 2 3 13" xfId="9832" xr:uid="{E552B6EA-FF2F-4E55-9B2D-C0C45E488451}"/>
    <cellStyle name="Note 18 2 3 13 2" xfId="33592" xr:uid="{A4E2E938-EE8A-4E4B-8C67-D9C9514C7472}"/>
    <cellStyle name="Note 18 2 3 14" xfId="19781" xr:uid="{EFF0C09E-31B4-4686-AF30-4DB746A3CCF6}"/>
    <cellStyle name="Note 18 2 3 14 2" xfId="40398" xr:uid="{0DD4181C-2BBA-438B-AE47-F72DA04894AF}"/>
    <cellStyle name="Note 18 2 3 15" xfId="21655" xr:uid="{0E28328F-551E-4ECB-9E35-873FD1ED0D9D}"/>
    <cellStyle name="Note 18 2 3 15 2" xfId="41728" xr:uid="{A07EEC9B-FD50-41BC-BB50-C0B3E3A3E8B8}"/>
    <cellStyle name="Note 18 2 3 16" xfId="17720" xr:uid="{3EC939D8-F2CF-46E7-9803-DB707427ADBB}"/>
    <cellStyle name="Note 18 2 3 16 2" xfId="38896" xr:uid="{6DFDEF69-5CAB-4A6A-8F45-101B31467730}"/>
    <cellStyle name="Note 18 2 3 17" xfId="15208" xr:uid="{E1C53BA4-CFFA-4786-8EE9-50026C4F654B}"/>
    <cellStyle name="Note 18 2 3 17 2" xfId="36978" xr:uid="{83FE056E-CCE7-48DC-8017-80814B1857EE}"/>
    <cellStyle name="Note 18 2 3 18" xfId="20712" xr:uid="{BF66098B-9062-4614-9E53-F823BE154D93}"/>
    <cellStyle name="Note 18 2 3 18 2" xfId="41072" xr:uid="{CAB61808-AC9C-4ED6-BE9D-3F05CBEE4F9D}"/>
    <cellStyle name="Note 18 2 3 19" xfId="24778" xr:uid="{81C65FFC-BCFB-4226-91EC-CE37972541A5}"/>
    <cellStyle name="Note 18 2 3 19 2" xfId="43923" xr:uid="{6BEBBA92-4E28-44DB-B649-56F877764695}"/>
    <cellStyle name="Note 18 2 3 2" xfId="8150" xr:uid="{F0AAEA42-79D6-4BD9-B2EB-192A4594F66A}"/>
    <cellStyle name="Note 18 2 3 2 2" xfId="32392" xr:uid="{2D8A8E4B-3585-4849-81BC-68E1EAF368BF}"/>
    <cellStyle name="Note 18 2 3 20" xfId="23290" xr:uid="{82843763-C4EF-4029-B9C1-C6DD2D6C8E4D}"/>
    <cellStyle name="Note 18 2 3 20 2" xfId="42864" xr:uid="{65F163AB-5777-4D88-9D62-00C939169AE7}"/>
    <cellStyle name="Note 18 2 3 21" xfId="25784" xr:uid="{BF564D16-F869-4169-9E16-E7EF5A1A845D}"/>
    <cellStyle name="Note 18 2 3 21 2" xfId="44612" xr:uid="{2C937701-70EB-47D0-AC04-21D0C08DEADB}"/>
    <cellStyle name="Note 18 2 3 22" xfId="17028" xr:uid="{95C342B5-47BB-48D5-9421-D9E00C2B9F15}"/>
    <cellStyle name="Note 18 2 3 22 2" xfId="38373" xr:uid="{AA9E37D1-C367-4026-9D78-1EDE695C7F18}"/>
    <cellStyle name="Note 18 2 3 23" xfId="22623" xr:uid="{046C2726-BB61-4FC5-A677-B3BBCEE43105}"/>
    <cellStyle name="Note 18 2 3 23 2" xfId="42400" xr:uid="{D0B9EF4A-5A8C-4FC1-B7DB-6A562786729D}"/>
    <cellStyle name="Note 18 2 3 24" xfId="30302" xr:uid="{C760FE90-F578-41A3-A215-17E2312573CE}"/>
    <cellStyle name="Note 18 2 3 24 2" xfId="47450" xr:uid="{7E63DCF8-7187-48D4-9F04-BF76F3C52684}"/>
    <cellStyle name="Note 18 2 3 25" xfId="24392" xr:uid="{6178FCFB-2A6D-42F0-9F3D-6CCEDB22A21C}"/>
    <cellStyle name="Note 18 2 3 25 2" xfId="43633" xr:uid="{319A3A68-1D03-4FDD-A2EE-C0D4FEBD06DB}"/>
    <cellStyle name="Note 18 2 3 26" xfId="20433" xr:uid="{19C560CA-4DC5-4E14-AB85-0846F056371F}"/>
    <cellStyle name="Note 18 2 3 26 2" xfId="40835" xr:uid="{06D30F05-FCFB-42E3-A68A-1CA84C19DFE8}"/>
    <cellStyle name="Note 18 2 3 27" xfId="27026" xr:uid="{C4980842-357C-4DDD-B54D-59A42AB52E94}"/>
    <cellStyle name="Note 18 2 3 27 2" xfId="45429" xr:uid="{299F660A-585D-4831-A5D7-054A0D6C66DB}"/>
    <cellStyle name="Note 18 2 3 28" xfId="6387" xr:uid="{3EAB0426-6B60-4664-AD84-39B7DF2F3918}"/>
    <cellStyle name="Note 18 2 3 3" xfId="9279" xr:uid="{CD8B706E-E24F-4A7E-880C-9C72D94EB774}"/>
    <cellStyle name="Note 18 2 3 3 2" xfId="33265" xr:uid="{5C736945-ED4C-40E9-B071-9F0B8C0B4F27}"/>
    <cellStyle name="Note 18 2 3 4" xfId="13620" xr:uid="{C071784E-8AF8-488F-94AF-2C570EE0D9C7}"/>
    <cellStyle name="Note 18 2 3 4 2" xfId="35785" xr:uid="{92EE4650-DF38-4E9F-A9EC-A7E38030F0B7}"/>
    <cellStyle name="Note 18 2 3 5" xfId="8906" xr:uid="{A1114BA9-47CC-4A14-A732-C76166857C13}"/>
    <cellStyle name="Note 18 2 3 5 2" xfId="32992" xr:uid="{D1F1815B-666C-4754-89F8-4931B66DBBF2}"/>
    <cellStyle name="Note 18 2 3 6" xfId="13073" xr:uid="{7BBF62E9-7DA7-4DC1-9972-54C61C7BD7AD}"/>
    <cellStyle name="Note 18 2 3 6 2" xfId="35421" xr:uid="{2851D379-27F8-474C-8CB7-6E7B6CEC343F}"/>
    <cellStyle name="Note 18 2 3 7" xfId="15073" xr:uid="{1E48F61D-BBEF-4AFA-9532-9A390B623C6B}"/>
    <cellStyle name="Note 18 2 3 7 2" xfId="36918" xr:uid="{52564974-7A04-459B-92E3-3A2FBD3FC842}"/>
    <cellStyle name="Note 18 2 3 8" xfId="14927" xr:uid="{476172C2-6D32-4635-A9C5-93AA470B758F}"/>
    <cellStyle name="Note 18 2 3 8 2" xfId="36802" xr:uid="{1A04B35E-9A77-453B-A53F-264D7FF2696A}"/>
    <cellStyle name="Note 18 2 3 9" xfId="11732" xr:uid="{196D7F19-1C24-44E9-B6DB-52B1257FB734}"/>
    <cellStyle name="Note 18 2 3 9 2" xfId="34345" xr:uid="{A2E7B43A-9292-4FB9-9B04-62ADF94DC1B8}"/>
    <cellStyle name="Note 18 2 30" xfId="6384" xr:uid="{28B83534-A696-42D4-AD74-AF36A3882316}"/>
    <cellStyle name="Note 18 2 4" xfId="8153" xr:uid="{BCFA313C-C5D5-468F-8552-88C0942B3DE2}"/>
    <cellStyle name="Note 18 2 4 2" xfId="32395" xr:uid="{4DF98044-7812-4B71-91FA-F42E1A6B6F12}"/>
    <cellStyle name="Note 18 2 5" xfId="9244" xr:uid="{70EEF0B7-7EA2-45F0-9EFE-5A450A8D11FB}"/>
    <cellStyle name="Note 18 2 5 2" xfId="33230" xr:uid="{56C3A120-FDCA-4840-9956-9DE1C2B8B4BD}"/>
    <cellStyle name="Note 18 2 6" xfId="13404" xr:uid="{DF47260E-AAD1-4457-8C96-2BFFDA14782A}"/>
    <cellStyle name="Note 18 2 6 2" xfId="35711" xr:uid="{132F8E5F-2376-4C78-8DB1-37F4F993E9A7}"/>
    <cellStyle name="Note 18 2 7" xfId="14327" xr:uid="{888CC381-5C60-4747-B5B7-00BBA69FA3EB}"/>
    <cellStyle name="Note 18 2 7 2" xfId="36370" xr:uid="{9390A442-FCAD-4B6D-AE43-54C7D8EC8304}"/>
    <cellStyle name="Note 18 2 8" xfId="13074" xr:uid="{F23B2713-AC15-4EE6-925C-49100631FD82}"/>
    <cellStyle name="Note 18 2 8 2" xfId="35422" xr:uid="{6F3DE458-3562-4416-A587-2AC1C2869139}"/>
    <cellStyle name="Note 18 2 9" xfId="15068" xr:uid="{AD889BBB-B997-45BC-8295-544BD1CBD1A0}"/>
    <cellStyle name="Note 18 2 9 2" xfId="36914" xr:uid="{633A157D-D54C-4F66-BE65-2F56A9F44203}"/>
    <cellStyle name="Note 18 2_Sheet2" xfId="2854" xr:uid="{7E7A64DC-64CF-4448-8D87-36F2A98B4E75}"/>
    <cellStyle name="Note 18 20" xfId="12788" xr:uid="{35F28EDA-27DF-48EF-BBE5-F82E6D8607E9}"/>
    <cellStyle name="Note 18 20 2" xfId="35193" xr:uid="{DD31476A-8EB1-4F5A-8AD6-4501004013E6}"/>
    <cellStyle name="Note 18 21" xfId="12652" xr:uid="{057BB775-FFB9-4CA3-9270-CDC5AC4B1165}"/>
    <cellStyle name="Note 18 21 2" xfId="35078" xr:uid="{8D658B53-3943-4687-8D57-D18665A28774}"/>
    <cellStyle name="Note 18 22" xfId="20023" xr:uid="{DD148E9B-EC5B-4EBB-AC79-4874D6E00575}"/>
    <cellStyle name="Note 18 22 2" xfId="40589" xr:uid="{AA0AD280-3ADC-4D32-847C-D12AC0C99E95}"/>
    <cellStyle name="Note 18 23" xfId="21462" xr:uid="{452239A7-47DA-4FF6-9080-801633195A61}"/>
    <cellStyle name="Note 18 23 2" xfId="41591" xr:uid="{09907669-0053-4C55-9449-227D3103E425}"/>
    <cellStyle name="Note 18 24" xfId="18340" xr:uid="{EEE32739-3808-4295-9C16-F60A372D0EA1}"/>
    <cellStyle name="Note 18 24 2" xfId="39371" xr:uid="{C46319BE-AF67-4937-A8F5-2C4AEAFF5673}"/>
    <cellStyle name="Note 18 25" xfId="15363" xr:uid="{ED6F46EC-6DCA-4DC5-88FC-AA65984FB371}"/>
    <cellStyle name="Note 18 25 2" xfId="37063" xr:uid="{4949581D-051B-4A9C-8CB3-8DEFE04251A9}"/>
    <cellStyle name="Note 18 26" xfId="22893" xr:uid="{200C47E8-3338-4FCB-848D-B93AFF18677A}"/>
    <cellStyle name="Note 18 26 2" xfId="42611" xr:uid="{B0E67CAB-E623-4E12-AD2B-BB6AE466C602}"/>
    <cellStyle name="Note 18 27" xfId="23273" xr:uid="{DB266F60-C0F9-4185-A07A-62F1126FA2B8}"/>
    <cellStyle name="Note 18 27 2" xfId="42847" xr:uid="{5A482618-40E5-45A2-94FE-88E3D10ACF93}"/>
    <cellStyle name="Note 18 28" xfId="23501" xr:uid="{2479F1BF-A22F-440B-BF0F-305530B8131A}"/>
    <cellStyle name="Note 18 28 2" xfId="42969" xr:uid="{2DF10D94-F2AB-4A86-82E3-84270CAEDD5B}"/>
    <cellStyle name="Note 18 29" xfId="22561" xr:uid="{12F2F856-5A52-451E-A961-5FDDFC85B9EA}"/>
    <cellStyle name="Note 18 29 2" xfId="42351" xr:uid="{F026499F-149C-4DCE-A19C-F7B2E29195A7}"/>
    <cellStyle name="Note 18 3" xfId="2855" xr:uid="{D45A7CAE-0FBB-4A7A-881F-15AC909332AF}"/>
    <cellStyle name="Note 18 3 10" xfId="15913" xr:uid="{12269577-E164-41B8-B422-ED2A99CAD0D3}"/>
    <cellStyle name="Note 18 3 10 2" xfId="37504" xr:uid="{931B3C35-03D8-4FDE-8387-AD12B82DF48B}"/>
    <cellStyle name="Note 18 3 11" xfId="12264" xr:uid="{CF2948F9-1352-423B-BE10-DF882B47B42A}"/>
    <cellStyle name="Note 18 3 11 2" xfId="34770" xr:uid="{A363518C-DB94-4EEA-AA7D-3A57EFE5171B}"/>
    <cellStyle name="Note 18 3 12" xfId="16636" xr:uid="{37514E25-E080-4C40-96EA-B5D5FD62D86A}"/>
    <cellStyle name="Note 18 3 12 2" xfId="38129" xr:uid="{7A282E6E-8490-4C12-A5EE-322F75CA7486}"/>
    <cellStyle name="Note 18 3 13" xfId="15170" xr:uid="{3F925520-E850-4AB6-86B8-3A10BF5CEE19}"/>
    <cellStyle name="Note 18 3 13 2" xfId="36958" xr:uid="{D8E3F0D0-9ACD-4FE1-8FE1-E02FD21F4CFA}"/>
    <cellStyle name="Note 18 3 14" xfId="9852" xr:uid="{40763781-2D6A-47A4-BA87-E4C53D21A51E}"/>
    <cellStyle name="Note 18 3 14 2" xfId="33598" xr:uid="{268B28AF-87B1-426B-AA1D-FF5C89163EEE}"/>
    <cellStyle name="Note 18 3 15" xfId="19780" xr:uid="{884369C7-C824-452C-B37A-710818A1A507}"/>
    <cellStyle name="Note 18 3 15 2" xfId="40397" xr:uid="{4DD26B9D-697B-4DD2-9936-9D80F2F3E7AD}"/>
    <cellStyle name="Note 18 3 16" xfId="21656" xr:uid="{057F0CCD-79DA-4A4C-A124-B508B15F77C0}"/>
    <cellStyle name="Note 18 3 16 2" xfId="41729" xr:uid="{74787807-BE46-4679-BF46-6F06D18AEAB1}"/>
    <cellStyle name="Note 18 3 17" xfId="19642" xr:uid="{D8E0462E-AF29-4D78-86CF-FD188936FE35}"/>
    <cellStyle name="Note 18 3 17 2" xfId="40282" xr:uid="{358DBEBE-822C-4A34-B1FD-416D812A9897}"/>
    <cellStyle name="Note 18 3 18" xfId="16314" xr:uid="{45034CFF-63A3-4F80-AF84-DEB811EDD377}"/>
    <cellStyle name="Note 18 3 18 2" xfId="37851" xr:uid="{282CEC88-1DFD-4D21-8387-D55B495275E9}"/>
    <cellStyle name="Note 18 3 19" xfId="25896" xr:uid="{E4B4E1D6-3923-491D-87FE-3928AAE992A7}"/>
    <cellStyle name="Note 18 3 19 2" xfId="44701" xr:uid="{34923582-AE10-42DD-99FE-A6382B7707FD}"/>
    <cellStyle name="Note 18 3 2" xfId="2856" xr:uid="{192F694E-C1DE-4CF6-A250-104C17EAF2E6}"/>
    <cellStyle name="Note 18 3 2 10" xfId="14695" xr:uid="{181ADA4A-D6D1-4709-913A-97CE0438E107}"/>
    <cellStyle name="Note 18 3 2 10 2" xfId="36607" xr:uid="{59BCBE94-848C-4F33-94C4-5E084870C21E}"/>
    <cellStyle name="Note 18 3 2 11" xfId="14071" xr:uid="{E4F7B82C-DF84-45E9-BF06-D28A88D3BF28}"/>
    <cellStyle name="Note 18 3 2 11 2" xfId="36165" xr:uid="{39FE2BD4-0C8A-464F-ABCB-636FE75738A7}"/>
    <cellStyle name="Note 18 3 2 12" xfId="13671" xr:uid="{8E524DBB-21EB-4BFB-A140-7806FC98BC4F}"/>
    <cellStyle name="Note 18 3 2 12 2" xfId="35827" xr:uid="{F593BCA3-C430-4FC9-B26C-E894D21437D8}"/>
    <cellStyle name="Note 18 3 2 13" xfId="22716" xr:uid="{32C96DE3-1559-4EBF-8C01-52E6B840319C}"/>
    <cellStyle name="Note 18 3 2 13 2" xfId="42475" xr:uid="{3C949BA4-A2D4-4CF2-A69C-2EE42472AEC7}"/>
    <cellStyle name="Note 18 3 2 14" xfId="13916" xr:uid="{E5785316-A8A2-4138-A743-FC11291DFA5A}"/>
    <cellStyle name="Note 18 3 2 14 2" xfId="36028" xr:uid="{D67CF3C1-9B11-424B-83DB-E8D0CEB3CDBE}"/>
    <cellStyle name="Note 18 3 2 15" xfId="21653" xr:uid="{EDAF2465-2723-4B13-8C68-825180E95B24}"/>
    <cellStyle name="Note 18 3 2 15 2" xfId="41726" xr:uid="{1444E58E-8F58-4EDB-81B9-FF69C84DE9EA}"/>
    <cellStyle name="Note 18 3 2 16" xfId="21459" xr:uid="{4C51C061-1134-41E5-A5C0-F26EBFAAAC6B}"/>
    <cellStyle name="Note 18 3 2 16 2" xfId="41588" xr:uid="{05295C93-A4D0-4871-9424-91E51C7301F1}"/>
    <cellStyle name="Note 18 3 2 17" xfId="15818" xr:uid="{0C52822C-0D1D-4EF5-BE42-9E4C89332202}"/>
    <cellStyle name="Note 18 3 2 17 2" xfId="37433" xr:uid="{217F50F1-4C68-4220-8EF5-A43BE65C7CEE}"/>
    <cellStyle name="Note 18 3 2 18" xfId="25694" xr:uid="{528D41BB-0A59-41DA-BB6D-E5786D08DE9C}"/>
    <cellStyle name="Note 18 3 2 18 2" xfId="44531" xr:uid="{FA54B333-AEC6-46C9-B210-FBB44C522446}"/>
    <cellStyle name="Note 18 3 2 19" xfId="22346" xr:uid="{87B5FDE3-D5D7-47B4-A446-637A72259FF1}"/>
    <cellStyle name="Note 18 3 2 19 2" xfId="42201" xr:uid="{F05AD9F1-9BD3-4396-9EB2-B11EC09A4A3D}"/>
    <cellStyle name="Note 18 3 2 2" xfId="8148" xr:uid="{38E006DB-C632-47E9-8C48-796C99B3B716}"/>
    <cellStyle name="Note 18 3 2 2 2" xfId="32390" xr:uid="{C1478AEB-384C-4B2F-855B-8F06FA46FEF6}"/>
    <cellStyle name="Note 18 3 2 20" xfId="25930" xr:uid="{F303F515-85DD-401E-A3F7-9269F672DCB7}"/>
    <cellStyle name="Note 18 3 2 20 2" xfId="44726" xr:uid="{FD75B508-7979-46A3-A0AF-A5D32BD88516}"/>
    <cellStyle name="Note 18 3 2 21" xfId="24559" xr:uid="{FD9F759D-393E-433C-A505-4013959E0654}"/>
    <cellStyle name="Note 18 3 2 21 2" xfId="43742" xr:uid="{52115A1B-6308-49ED-80A7-0CEBBBB32F65}"/>
    <cellStyle name="Note 18 3 2 22" xfId="29688" xr:uid="{6E16A0D9-55D0-4144-BE0C-399FF76D6E9E}"/>
    <cellStyle name="Note 18 3 2 22 2" xfId="47041" xr:uid="{BFC162DA-7652-4A5C-8E7D-5D9DC52C7623}"/>
    <cellStyle name="Note 18 3 2 23" xfId="27179" xr:uid="{91DC060E-19A7-464A-82A5-CDA223E7F883}"/>
    <cellStyle name="Note 18 3 2 23 2" xfId="45520" xr:uid="{8CFD5CA3-6574-4D7E-8759-1F3E9AEE6E74}"/>
    <cellStyle name="Note 18 3 2 24" xfId="28891" xr:uid="{D84352A3-6010-4556-B956-F8ADEC32E7D9}"/>
    <cellStyle name="Note 18 3 2 24 2" xfId="46499" xr:uid="{B2717B62-3F1B-413B-A7DB-3D4290AE922B}"/>
    <cellStyle name="Note 18 3 2 25" xfId="23716" xr:uid="{3932C852-2901-4104-8922-D03215011CD8}"/>
    <cellStyle name="Note 18 3 2 25 2" xfId="43134" xr:uid="{8E61CA1A-A59E-4D46-BAE3-8AFC14F5AAD1}"/>
    <cellStyle name="Note 18 3 2 26" xfId="22421" xr:uid="{53A52387-C5C0-4E71-9A84-C5A9BE6B8F47}"/>
    <cellStyle name="Note 18 3 2 26 2" xfId="42235" xr:uid="{5CFF1CEB-050B-45D5-A617-4C38B4FED8D8}"/>
    <cellStyle name="Note 18 3 2 27" xfId="28324" xr:uid="{D595F36A-B2E5-4E79-A6D2-32DFF2722910}"/>
    <cellStyle name="Note 18 3 2 27 2" xfId="46191" xr:uid="{98D31F75-A4E6-4711-A7B5-529454D6EBD7}"/>
    <cellStyle name="Note 18 3 2 28" xfId="6389" xr:uid="{259B0499-4CA2-4DF7-897E-7A397834712E}"/>
    <cellStyle name="Note 18 3 2 3" xfId="9248" xr:uid="{ABBF0411-EC23-4792-B65A-F38C0C18AC68}"/>
    <cellStyle name="Note 18 3 2 3 2" xfId="33234" xr:uid="{1A82A512-4435-49C9-92A8-13D8FC028B68}"/>
    <cellStyle name="Note 18 3 2 4" xfId="7769" xr:uid="{B01E639A-710B-4DD7-B3F5-26E7B9023020}"/>
    <cellStyle name="Note 18 3 2 4 2" xfId="32065" xr:uid="{3CC5FC90-655B-4F00-A0E4-4601BB0552F6}"/>
    <cellStyle name="Note 18 3 2 5" xfId="16188" xr:uid="{EBDC37DA-DC06-4778-B890-D1996036B0B5}"/>
    <cellStyle name="Note 18 3 2 5 2" xfId="37747" xr:uid="{C8175393-8CCF-4E00-8127-0709EF6F8833}"/>
    <cellStyle name="Note 18 3 2 6" xfId="10394" xr:uid="{8672A249-65F3-4DC0-89AC-CE9DBC1B4FF7}"/>
    <cellStyle name="Note 18 3 2 6 2" xfId="34029" xr:uid="{417AEEE9-1855-4F04-8BEC-CBBD52B2B919}"/>
    <cellStyle name="Note 18 3 2 7" xfId="8555" xr:uid="{CA281D77-032F-4B43-8DDC-01E37948376D}"/>
    <cellStyle name="Note 18 3 2 7 2" xfId="32741" xr:uid="{B1EFBCF3-EFF2-40AC-8E8F-C6AB8272B2A7}"/>
    <cellStyle name="Note 18 3 2 8" xfId="10543" xr:uid="{085B02C7-A3EC-4223-9793-E5EBC581F261}"/>
    <cellStyle name="Note 18 3 2 8 2" xfId="34169" xr:uid="{FEF6DC08-19A1-4739-BFE7-3453955CCD1C}"/>
    <cellStyle name="Note 18 3 2 9" xfId="15910" xr:uid="{BB0BAF55-12B7-4BD2-80AB-6EA9EFDC4290}"/>
    <cellStyle name="Note 18 3 2 9 2" xfId="37501" xr:uid="{DB4236BF-76C9-497C-8F58-B5DBABEF8ACD}"/>
    <cellStyle name="Note 18 3 20" xfId="24777" xr:uid="{E10E659E-7A2C-4C24-95EC-0CC074651BCB}"/>
    <cellStyle name="Note 18 3 20 2" xfId="43922" xr:uid="{FB84EF93-E80B-454B-8B8A-E2091367DA45}"/>
    <cellStyle name="Note 18 3 21" xfId="24935" xr:uid="{BF5BA310-FC60-4E88-BEC4-2D74E42FDD36}"/>
    <cellStyle name="Note 18 3 21 2" xfId="44017" xr:uid="{152C496F-41C6-4A46-82E2-44DB6B0171B6}"/>
    <cellStyle name="Note 18 3 22" xfId="24566" xr:uid="{20876778-4402-4377-A81A-E776A36BD271}"/>
    <cellStyle name="Note 18 3 22 2" xfId="43749" xr:uid="{4C13B4DB-8D1B-4A16-AE15-5C526029C281}"/>
    <cellStyle name="Note 18 3 23" xfId="27383" xr:uid="{55D3C3B0-C9B6-4061-822B-B120E1FCF78C}"/>
    <cellStyle name="Note 18 3 23 2" xfId="45640" xr:uid="{D3B554E6-EADD-4ADE-8CF2-50A1B9A34841}"/>
    <cellStyle name="Note 18 3 24" xfId="26119" xr:uid="{B83DBC94-E904-47CB-B069-48B58E95E3B4}"/>
    <cellStyle name="Note 18 3 24 2" xfId="44862" xr:uid="{F4CCBEB3-ECBD-478D-8407-CF5A4A3745D4}"/>
    <cellStyle name="Note 18 3 25" xfId="30301" xr:uid="{D8591DB5-2FF1-46FA-9046-58E4D7714C4F}"/>
    <cellStyle name="Note 18 3 25 2" xfId="47449" xr:uid="{CB8F132F-A115-4D4E-A067-2D9977852177}"/>
    <cellStyle name="Note 18 3 26" xfId="23603" xr:uid="{03238295-482F-4CBF-A6AC-4E1FFB44A7D6}"/>
    <cellStyle name="Note 18 3 26 2" xfId="43038" xr:uid="{C1C846AE-C39E-455B-881B-161FC1CB424D}"/>
    <cellStyle name="Note 18 3 27" xfId="23051" xr:uid="{CD9EB52F-63E9-4B80-8232-BA50746EF182}"/>
    <cellStyle name="Note 18 3 27 2" xfId="42685" xr:uid="{83F84BB0-7AB5-476A-A476-3B6458B478BA}"/>
    <cellStyle name="Note 18 3 28" xfId="28776" xr:uid="{0330D3DC-3E3A-4B3A-B17C-B7B704E7D3C9}"/>
    <cellStyle name="Note 18 3 28 2" xfId="46452" xr:uid="{2D25EE12-F6BD-4135-9BB0-58676E929A13}"/>
    <cellStyle name="Note 18 3 29" xfId="6388" xr:uid="{6248A498-568E-47E0-8F8F-DD10D94416D7}"/>
    <cellStyle name="Note 18 3 3" xfId="8149" xr:uid="{F1A49085-8173-4841-9D83-4B7B8E153B05}"/>
    <cellStyle name="Note 18 3 3 2" xfId="32391" xr:uid="{7C84116B-4079-4B36-A060-53163DDE8E39}"/>
    <cellStyle name="Note 18 3 4" xfId="9247" xr:uid="{D3739C0C-CF8A-466C-BBED-9C02970E1620}"/>
    <cellStyle name="Note 18 3 4 2" xfId="33233" xr:uid="{93EE407B-3B81-4538-8A7D-4E1A98199443}"/>
    <cellStyle name="Note 18 3 5" xfId="13623" xr:uid="{B5AAE5FE-39DC-40B8-8657-5C82CAE3D6E2}"/>
    <cellStyle name="Note 18 3 5 2" xfId="35788" xr:uid="{D432E827-08C6-47B8-9C0A-3776252C382F}"/>
    <cellStyle name="Note 18 3 6" xfId="8905" xr:uid="{A3106BAB-38D6-4999-BA72-4B423853E2C0}"/>
    <cellStyle name="Note 18 3 6 2" xfId="32991" xr:uid="{4EC17D56-D250-4CC2-A6BF-C851F658B05F}"/>
    <cellStyle name="Note 18 3 7" xfId="13072" xr:uid="{955A80AC-5650-4514-9BD2-B59DD747AE4C}"/>
    <cellStyle name="Note 18 3 7 2" xfId="35420" xr:uid="{01D3C570-501C-4DC7-A492-C9AB9C8B0B4F}"/>
    <cellStyle name="Note 18 3 8" xfId="15074" xr:uid="{8440948B-9B1C-42FC-8746-C66DDD720074}"/>
    <cellStyle name="Note 18 3 8 2" xfId="36919" xr:uid="{72D4AF8A-0125-4C5C-8E19-6B41BCA289F3}"/>
    <cellStyle name="Note 18 3 9" xfId="14926" xr:uid="{2B51668A-4E32-48DD-B5A8-B491E3309C77}"/>
    <cellStyle name="Note 18 3 9 2" xfId="36801" xr:uid="{313AC21E-74F2-41EC-BC82-A42B6A5AD8B1}"/>
    <cellStyle name="Note 18 30" xfId="27182" xr:uid="{B3994786-1FAE-4DF8-AC24-BE0104273D86}"/>
    <cellStyle name="Note 18 30 2" xfId="45523" xr:uid="{3E4ECD36-0F0B-49B0-B7C2-67FDB4802AA8}"/>
    <cellStyle name="Note 18 31" xfId="29064" xr:uid="{00B9E1DD-6E6B-43E1-BE46-27F5196DE666}"/>
    <cellStyle name="Note 18 31 2" xfId="46639" xr:uid="{653EF757-E322-4976-9AE3-112ED1654BF9}"/>
    <cellStyle name="Note 18 32" xfId="24309" xr:uid="{362F9D1E-EC02-4FA0-9114-A25F1D5D04C8}"/>
    <cellStyle name="Note 18 32 2" xfId="43578" xr:uid="{6254AD4E-E6C8-4BBE-9F26-569594F92EC9}"/>
    <cellStyle name="Note 18 33" xfId="23053" xr:uid="{EDC15408-C711-486E-A4B4-8E14582734D1}"/>
    <cellStyle name="Note 18 33 2" xfId="42687" xr:uid="{48135261-FC02-4975-91B5-7F9113DF74CC}"/>
    <cellStyle name="Note 18 34" xfId="28778" xr:uid="{2107CA89-5BDE-4867-B4BE-521D3B8390EC}"/>
    <cellStyle name="Note 18 34 2" xfId="46454" xr:uid="{652B13D7-EA31-4396-B4F1-9A8BB8D15B40}"/>
    <cellStyle name="Note 18 35" xfId="6383" xr:uid="{BFBC6708-3E03-4EAD-A9CD-7DB2E5FFAA7C}"/>
    <cellStyle name="Note 18 4" xfId="2857" xr:uid="{5E6A4EAD-A12F-4673-8EB9-8CDA942E8113}"/>
    <cellStyle name="Note 18 4 10" xfId="7304" xr:uid="{98A0214F-EDD2-4477-965F-4EDDFD3CBB12}"/>
    <cellStyle name="Note 18 4 10 2" xfId="31667" xr:uid="{69D0C738-3E5E-4A4B-863E-E40426DC0B59}"/>
    <cellStyle name="Note 18 4 11" xfId="12265" xr:uid="{806533DD-D920-42E3-9FF4-E41AA33DDCF6}"/>
    <cellStyle name="Note 18 4 11 2" xfId="34771" xr:uid="{04F694CF-C1FE-436B-B76A-1F398FAB5493}"/>
    <cellStyle name="Note 18 4 12" xfId="16635" xr:uid="{A9CD16B6-B12B-4876-88F4-6B4F94E9C5D6}"/>
    <cellStyle name="Note 18 4 12 2" xfId="38128" xr:uid="{3E7F8656-5F66-4304-BC6D-C86F16321BAA}"/>
    <cellStyle name="Note 18 4 13" xfId="15589" xr:uid="{DF53318E-D102-4C72-9D52-B6D15849087C}"/>
    <cellStyle name="Note 18 4 13 2" xfId="37247" xr:uid="{C05960B1-EA70-47CA-B2C4-C645F283659D}"/>
    <cellStyle name="Note 18 4 14" xfId="9853" xr:uid="{EF98BAB4-E3AF-4D96-9A04-DEB82238DD8E}"/>
    <cellStyle name="Note 18 4 14 2" xfId="33599" xr:uid="{DD0A4047-9E34-4F54-A18B-D17DD321EDE7}"/>
    <cellStyle name="Note 18 4 15" xfId="19779" xr:uid="{F9F9D050-F069-4108-9CF3-1194BAD13E70}"/>
    <cellStyle name="Note 18 4 15 2" xfId="40396" xr:uid="{027C0005-BE3E-49EB-AFAA-1609E7372C06}"/>
    <cellStyle name="Note 18 4 16" xfId="10058" xr:uid="{89E9804A-F89E-4E2F-AF76-18A292C7814D}"/>
    <cellStyle name="Note 18 4 16 2" xfId="33770" xr:uid="{A8D35E32-46E0-44C5-9150-01975CD1AA21}"/>
    <cellStyle name="Note 18 4 17" xfId="22508" xr:uid="{430475E4-831D-4B23-A70B-2A01B740DC22}"/>
    <cellStyle name="Note 18 4 17 2" xfId="42307" xr:uid="{E63A23F2-C888-40C8-B0F1-529BA213EECD}"/>
    <cellStyle name="Note 18 4 18" xfId="25731" xr:uid="{9A70D2A2-BF7F-446C-851B-D266CF09F5F6}"/>
    <cellStyle name="Note 18 4 18 2" xfId="44568" xr:uid="{F79D426C-C313-40CD-8438-4E3F6DDD6286}"/>
    <cellStyle name="Note 18 4 19" xfId="25895" xr:uid="{CFA77817-E8F6-4A75-8D65-97F83211F830}"/>
    <cellStyle name="Note 18 4 19 2" xfId="44700" xr:uid="{3475EF26-3482-4EBF-BFA5-45043C7C5F94}"/>
    <cellStyle name="Note 18 4 2" xfId="2858" xr:uid="{2607BF08-F062-49FA-9CAA-BCA2A3556EA3}"/>
    <cellStyle name="Note 18 4 2 10" xfId="14694" xr:uid="{563B31EE-CA76-4EA2-86A9-D75E050427CA}"/>
    <cellStyle name="Note 18 4 2 10 2" xfId="36606" xr:uid="{0DCDBBF5-4BAA-4D5E-AC8C-6D02EC4C790E}"/>
    <cellStyle name="Note 18 4 2 11" xfId="12493" xr:uid="{31398DCA-DF4E-4732-B803-E9178628A0CE}"/>
    <cellStyle name="Note 18 4 2 11 2" xfId="34938" xr:uid="{A3904597-05ED-4655-919E-401268925932}"/>
    <cellStyle name="Note 18 4 2 12" xfId="14579" xr:uid="{E502427C-C386-42FD-92B2-141F1BF69C6D}"/>
    <cellStyle name="Note 18 4 2 12 2" xfId="36497" xr:uid="{3CC46826-B7B5-4F08-99BD-0EEDF06C89E1}"/>
    <cellStyle name="Note 18 4 2 13" xfId="17587" xr:uid="{D538D734-AE81-435B-B6FA-4473C7F9ABEA}"/>
    <cellStyle name="Note 18 4 2 13 2" xfId="38833" xr:uid="{C1E69AED-E316-4A93-BBED-151780A79305}"/>
    <cellStyle name="Note 18 4 2 14" xfId="17972" xr:uid="{55851C03-1236-4F74-A244-9CB8B50FC391}"/>
    <cellStyle name="Note 18 4 2 14 2" xfId="39070" xr:uid="{E6744359-DBC5-4B13-9C21-0752FDF88700}"/>
    <cellStyle name="Note 18 4 2 15" xfId="20027" xr:uid="{9646BA38-F84F-4898-BE29-8E272FC6D026}"/>
    <cellStyle name="Note 18 4 2 15 2" xfId="40593" xr:uid="{96A932BC-4E57-4FEF-856D-B497E1712430}"/>
    <cellStyle name="Note 18 4 2 16" xfId="21458" xr:uid="{377609FF-B9C7-4706-838E-533417C8ED69}"/>
    <cellStyle name="Note 18 4 2 16 2" xfId="41587" xr:uid="{55F190AC-47A3-4319-8FAF-BD2202D56768}"/>
    <cellStyle name="Note 18 4 2 17" xfId="18338" xr:uid="{AB7DFF53-61C2-4E2C-837C-47FBA5E64D0A}"/>
    <cellStyle name="Note 18 4 2 17 2" xfId="39369" xr:uid="{7749C7D4-1F45-4759-96B6-5F74D4175BA8}"/>
    <cellStyle name="Note 18 4 2 18" xfId="25732" xr:uid="{0DA97442-3B80-469D-A5F7-1D35CFFB3D70}"/>
    <cellStyle name="Note 18 4 2 18 2" xfId="44569" xr:uid="{D633A0D7-2ADD-48AB-9CF2-547597B71387}"/>
    <cellStyle name="Note 18 4 2 19" xfId="22892" xr:uid="{EB445670-A279-486D-B41C-72C272FBC71C}"/>
    <cellStyle name="Note 18 4 2 19 2" xfId="42610" xr:uid="{C357B7AB-B1A3-4C8C-A170-ACD73EBB1A27}"/>
    <cellStyle name="Note 18 4 2 2" xfId="8146" xr:uid="{3680A0AE-A193-4C91-BE17-266ADE8B67D9}"/>
    <cellStyle name="Note 18 4 2 2 2" xfId="32388" xr:uid="{02B99EEA-52A0-48A9-BC87-C7FF3DDF389C}"/>
    <cellStyle name="Note 18 4 2 20" xfId="18182" xr:uid="{F0F624F8-A982-4EB7-A440-BAE7924205EB}"/>
    <cellStyle name="Note 18 4 2 20 2" xfId="39234" xr:uid="{B2F89787-CC56-4E44-9EE7-8806156F5748}"/>
    <cellStyle name="Note 18 4 2 21" xfId="22294" xr:uid="{0206EB05-B999-4A0B-9C9D-7C27EA664BCD}"/>
    <cellStyle name="Note 18 4 2 21 2" xfId="42158" xr:uid="{FCA748F4-BE40-4FB2-A1DC-EFC9989B100B}"/>
    <cellStyle name="Note 18 4 2 22" xfId="27384" xr:uid="{C4F80A28-3BA8-431C-A93B-8A8C11785B05}"/>
    <cellStyle name="Note 18 4 2 22 2" xfId="45641" xr:uid="{AA52060A-6BC0-4081-9491-2DD477F9D5B1}"/>
    <cellStyle name="Note 18 4 2 23" xfId="27178" xr:uid="{D2B0BB2C-A31D-4523-95E2-6C60F24D47CE}"/>
    <cellStyle name="Note 18 4 2 23 2" xfId="45519" xr:uid="{F7A492FA-F957-4DD7-9B2D-E878E2191D7A}"/>
    <cellStyle name="Note 18 4 2 24" xfId="30443" xr:uid="{B4461303-72F7-42C2-83BA-70BCEE313B6A}"/>
    <cellStyle name="Note 18 4 2 24 2" xfId="47492" xr:uid="{D1D84C15-7579-43E2-A52E-3E6739B1BA28}"/>
    <cellStyle name="Note 18 4 2 25" xfId="27460" xr:uid="{780E3F31-A714-475B-99D3-7FC6B77C881C}"/>
    <cellStyle name="Note 18 4 2 25 2" xfId="45691" xr:uid="{8AF1A678-BA7A-40A9-911D-A122C6241AEE}"/>
    <cellStyle name="Note 18 4 2 26" xfId="29447" xr:uid="{BC3F06FA-3132-47C6-9C7C-4BAB2FDBFBDA}"/>
    <cellStyle name="Note 18 4 2 26 2" xfId="46905" xr:uid="{6838871C-AEB1-414E-B9FF-2122F50E1268}"/>
    <cellStyle name="Note 18 4 2 27" xfId="26042" xr:uid="{EEEF4A57-7DA8-4BAE-930F-504349D7F82B}"/>
    <cellStyle name="Note 18 4 2 27 2" xfId="44812" xr:uid="{B5DC570A-04D7-401D-AED1-BABF44CB61DF}"/>
    <cellStyle name="Note 18 4 2 28" xfId="6391" xr:uid="{9315723B-2A34-4D39-9BF9-4EADAAE61577}"/>
    <cellStyle name="Note 18 4 2 3" xfId="9250" xr:uid="{8A2C8DAC-9452-43A3-8E70-C5B8FF9295E5}"/>
    <cellStyle name="Note 18 4 2 3 2" xfId="33236" xr:uid="{82FD0E46-FDAB-47DA-93C3-63D3F15E7EF9}"/>
    <cellStyle name="Note 18 4 2 4" xfId="7767" xr:uid="{2574751C-306E-4630-B33C-6BF6793EE56D}"/>
    <cellStyle name="Note 18 4 2 4 2" xfId="32063" xr:uid="{426BC5FA-BA42-40AE-9779-FD4AC7DE6B8D}"/>
    <cellStyle name="Note 18 4 2 5" xfId="8903" xr:uid="{36775114-25F0-4E73-B6E0-45CACB3802D4}"/>
    <cellStyle name="Note 18 4 2 5 2" xfId="32989" xr:uid="{71E4A5DE-2C62-4E6D-9FC8-ACD04A87EE5B}"/>
    <cellStyle name="Note 18 4 2 6" xfId="13071" xr:uid="{0BC67952-EB2A-4217-BD95-BEDB04FAB536}"/>
    <cellStyle name="Note 18 4 2 6 2" xfId="35419" xr:uid="{67E666B7-889A-4351-8CD9-B0D076B6C19D}"/>
    <cellStyle name="Note 18 4 2 7" xfId="15072" xr:uid="{EBB81002-FB4E-4AB1-90C8-F0ECA878BBC9}"/>
    <cellStyle name="Note 18 4 2 7 2" xfId="36917" xr:uid="{ADEEF81F-2648-4031-BBE7-3A2717340F14}"/>
    <cellStyle name="Note 18 4 2 8" xfId="12934" xr:uid="{7A2B690A-E64D-476E-AFCE-601E5FB6CDE4}"/>
    <cellStyle name="Note 18 4 2 8 2" xfId="35290" xr:uid="{07F7CB7C-F4B8-4A24-96A5-C77254E7037E}"/>
    <cellStyle name="Note 18 4 2 9" xfId="11731" xr:uid="{687EDC0F-A9F9-436F-85A9-B00294B28F5E}"/>
    <cellStyle name="Note 18 4 2 9 2" xfId="34344" xr:uid="{3B2C1813-0D1A-498F-AE04-E907E2E86624}"/>
    <cellStyle name="Note 18 4 20" xfId="24776" xr:uid="{51DB82DB-A352-4BED-9A66-6D2F65B421A2}"/>
    <cellStyle name="Note 18 4 20 2" xfId="43921" xr:uid="{421BDB05-45F8-432E-A447-4D2DE541D3F7}"/>
    <cellStyle name="Note 18 4 21" xfId="18168" xr:uid="{5FDBBD2D-FF59-49C1-82EB-25FD8C6BBE63}"/>
    <cellStyle name="Note 18 4 21 2" xfId="39222" xr:uid="{97E578D2-A922-438D-9783-3D648D96CF71}"/>
    <cellStyle name="Note 18 4 22" xfId="22766" xr:uid="{53CF2FCC-63D4-4068-9489-E8962A59D0F0}"/>
    <cellStyle name="Note 18 4 22 2" xfId="42523" xr:uid="{DE32F368-9EF0-4977-A2D8-013ED69B729E}"/>
    <cellStyle name="Note 18 4 23" xfId="26569" xr:uid="{53D525D2-12F1-4662-A6DD-0062E5A1ADF1}"/>
    <cellStyle name="Note 18 4 23 2" xfId="45135" xr:uid="{C80DEA32-5312-430F-A760-8A364A7D1DD8}"/>
    <cellStyle name="Note 18 4 24" xfId="25653" xr:uid="{FE431D91-5E39-4ED9-A0E4-E9B3558D9036}"/>
    <cellStyle name="Note 18 4 24 2" xfId="44498" xr:uid="{67C502C9-3BB1-402D-941F-6F76556DE317}"/>
    <cellStyle name="Note 18 4 25" xfId="28072" xr:uid="{94917596-44C8-4933-B3D7-4EB8D0287B91}"/>
    <cellStyle name="Note 18 4 25 2" xfId="46057" xr:uid="{541158BA-30FF-4BB2-BAB2-E2EE0E32BDB7}"/>
    <cellStyle name="Note 18 4 26" xfId="25470" xr:uid="{520CFF23-5003-46B4-A032-2A4F11954D14}"/>
    <cellStyle name="Note 18 4 26 2" xfId="44354" xr:uid="{DD6B3001-304B-42DC-A9CF-7CD6537CE395}"/>
    <cellStyle name="Note 18 4 27" xfId="28659" xr:uid="{F16DEEDB-08FE-4E8C-B4B2-C04C13E117C2}"/>
    <cellStyle name="Note 18 4 27 2" xfId="46393" xr:uid="{A421E339-6146-4244-9F3F-C49D20C98B1B}"/>
    <cellStyle name="Note 18 4 28" xfId="27594" xr:uid="{65BA8201-8826-491C-BF4D-C8B7C8D23044}"/>
    <cellStyle name="Note 18 4 28 2" xfId="45743" xr:uid="{794998A9-F559-4CD6-AEC1-8668A0137E09}"/>
    <cellStyle name="Note 18 4 29" xfId="6390" xr:uid="{2B445AEF-FB1E-48E9-A4E5-7242F11DC59D}"/>
    <cellStyle name="Note 18 4 3" xfId="8147" xr:uid="{7C3E421D-0CF3-46FE-8971-E26D44CD7918}"/>
    <cellStyle name="Note 18 4 3 2" xfId="32389" xr:uid="{346D3135-37F5-4464-BC81-E1857A9DF963}"/>
    <cellStyle name="Note 18 4 4" xfId="9249" xr:uid="{1F382F6F-00E7-411A-9C2E-6C276E4494C1}"/>
    <cellStyle name="Note 18 4 4 2" xfId="33235" xr:uid="{C5A1515D-464F-4443-8740-57F1078A8BF5}"/>
    <cellStyle name="Note 18 4 5" xfId="7768" xr:uid="{AE63F8AC-761B-40F8-9E52-850F9800F56D}"/>
    <cellStyle name="Note 18 4 5 2" xfId="32064" xr:uid="{95FA64F9-1924-4749-932B-FB6B6136C3AE}"/>
    <cellStyle name="Note 18 4 6" xfId="8904" xr:uid="{E283B1F0-82ED-490F-967F-72418C5A3BF7}"/>
    <cellStyle name="Note 18 4 6 2" xfId="32990" xr:uid="{9FA99A7B-57CA-41A6-ACF4-2042C79D6716}"/>
    <cellStyle name="Note 18 4 7" xfId="14362" xr:uid="{1805BED1-C852-46F6-BDD5-07D914DDA5EC}"/>
    <cellStyle name="Note 18 4 7 2" xfId="36388" xr:uid="{56B49FB6-56E6-4DB9-8922-85192F8C4D9E}"/>
    <cellStyle name="Note 18 4 8" xfId="15075" xr:uid="{5C818765-9FAB-4AC0-B72D-01EB36FCEC94}"/>
    <cellStyle name="Note 18 4 8 2" xfId="36920" xr:uid="{DEF8B414-6847-43B6-9ED2-D7927508A2EE}"/>
    <cellStyle name="Note 18 4 9" xfId="14925" xr:uid="{578C9C94-621F-4144-814C-4D6ED4E2B02B}"/>
    <cellStyle name="Note 18 4 9 2" xfId="36800" xr:uid="{B7640D24-5691-4D08-8F3B-77EE47F7B673}"/>
    <cellStyle name="Note 18 5" xfId="2859" xr:uid="{4B2AC238-6DBF-45F3-871B-B4FFC60C5F5A}"/>
    <cellStyle name="Note 18 5 10" xfId="7302" xr:uid="{1278EAC7-474D-4080-980B-16543D5D8CD6}"/>
    <cellStyle name="Note 18 5 10 2" xfId="31666" xr:uid="{377E8733-F72F-4736-964E-677B7187D381}"/>
    <cellStyle name="Note 18 5 11" xfId="12278" xr:uid="{46C5E33B-8B8C-4FBE-BFE4-E0CD4C35DCA4}"/>
    <cellStyle name="Note 18 5 11 2" xfId="34784" xr:uid="{4A94CE8C-4196-483A-94B8-DDE1C2052947}"/>
    <cellStyle name="Note 18 5 12" xfId="16634" xr:uid="{360DE3DB-5919-42C3-91ED-1D82BF89DB9D}"/>
    <cellStyle name="Note 18 5 12 2" xfId="38127" xr:uid="{CA0C3D83-007B-48C2-8C4E-E26B63E42621}"/>
    <cellStyle name="Note 18 5 13" xfId="12716" xr:uid="{0189A6DC-393F-464E-90F5-960CA6991234}"/>
    <cellStyle name="Note 18 5 13 2" xfId="35129" xr:uid="{8FA57E80-0617-450C-B885-5548D2B14FC6}"/>
    <cellStyle name="Note 18 5 14" xfId="13513" xr:uid="{B2823F71-5E4C-445D-8FD2-B5B82E9B54B2}"/>
    <cellStyle name="Note 18 5 14 2" xfId="35765" xr:uid="{6EC1F12F-5A29-4716-AFBA-2D3DF2AEF827}"/>
    <cellStyle name="Note 18 5 15" xfId="19778" xr:uid="{F96F7A79-E0EF-420E-8FBC-93B6CC23CEC4}"/>
    <cellStyle name="Note 18 5 15 2" xfId="40395" xr:uid="{23FEC9CD-E8D3-4218-8640-1054E3DAE1FC}"/>
    <cellStyle name="Note 18 5 16" xfId="10059" xr:uid="{6597F835-59B3-45F8-8852-84C26A2B71C7}"/>
    <cellStyle name="Note 18 5 16 2" xfId="33771" xr:uid="{1189C7DC-768C-45D8-919E-5E7059D9CD80}"/>
    <cellStyle name="Note 18 5 17" xfId="19641" xr:uid="{EA2BFB7C-4596-4BE8-9032-4222B75F5744}"/>
    <cellStyle name="Note 18 5 17 2" xfId="40281" xr:uid="{4DFCE5BA-89FD-4146-A0E9-DB38FB411F02}"/>
    <cellStyle name="Note 18 5 18" xfId="16323" xr:uid="{EB415900-AE75-48AA-89A8-5A746BDF18FA}"/>
    <cellStyle name="Note 18 5 18 2" xfId="37860" xr:uid="{510025EF-0298-4808-9CAD-78D910C31358}"/>
    <cellStyle name="Note 18 5 19" xfId="16107" xr:uid="{16DDBC92-AF30-4E6B-9D79-20B61793B4FC}"/>
    <cellStyle name="Note 18 5 19 2" xfId="37677" xr:uid="{8B831F62-257A-46C4-9575-473C586F8371}"/>
    <cellStyle name="Note 18 5 2" xfId="2860" xr:uid="{D2C81CAA-655F-4D6B-9E53-0C52602AD0B0}"/>
    <cellStyle name="Note 18 5 2 10" xfId="12266" xr:uid="{932C033E-DDA6-4FFA-8E5C-E5196B945B32}"/>
    <cellStyle name="Note 18 5 2 10 2" xfId="34772" xr:uid="{C948C8DC-CD0F-4DCC-9014-5A74EFE780F0}"/>
    <cellStyle name="Note 18 5 2 11" xfId="14070" xr:uid="{383B152F-71D5-4B12-843D-4CCAD8017E02}"/>
    <cellStyle name="Note 18 5 2 11 2" xfId="36164" xr:uid="{14581899-9144-4FC9-9201-8E70E6A2A09A}"/>
    <cellStyle name="Note 18 5 2 12" xfId="13672" xr:uid="{EAC8495F-4C53-41CE-93F7-CC92758081C8}"/>
    <cellStyle name="Note 18 5 2 12 2" xfId="35828" xr:uid="{395707C9-A155-48F9-9ECE-BDC07977AFEE}"/>
    <cellStyle name="Note 18 5 2 13" xfId="17582" xr:uid="{7B3D1B41-A28E-4362-BE51-BA6F09EFB25F}"/>
    <cellStyle name="Note 18 5 2 13 2" xfId="38828" xr:uid="{6A8758D1-A362-482A-9F5F-50D0E3F29A51}"/>
    <cellStyle name="Note 18 5 2 14" xfId="15719" xr:uid="{C8EB4415-1518-4C87-8CB8-0D6F0F579863}"/>
    <cellStyle name="Note 18 5 2 14 2" xfId="37350" xr:uid="{119FD54A-0684-43FF-B5E1-CDD3C059D57B}"/>
    <cellStyle name="Note 18 5 2 15" xfId="20028" xr:uid="{B7024A52-B7A7-474E-8FDC-7CA3649D9BCF}"/>
    <cellStyle name="Note 18 5 2 15 2" xfId="40594" xr:uid="{3DA1D511-3B92-44B5-8372-4B26853E5D2F}"/>
    <cellStyle name="Note 18 5 2 16" xfId="21457" xr:uid="{EE1BB94C-6340-48A4-A9F3-16EF3F0A7637}"/>
    <cellStyle name="Note 18 5 2 16 2" xfId="41586" xr:uid="{FFF2E3F4-E099-4C5B-A301-E084ED5ECE83}"/>
    <cellStyle name="Note 18 5 2 17" xfId="25730" xr:uid="{1BCD7CFB-C333-4708-B5DF-A08178C8EF9F}"/>
    <cellStyle name="Note 18 5 2 17 2" xfId="44567" xr:uid="{FCB161B2-52B8-4FD6-A6BD-BFFA4EAB911D}"/>
    <cellStyle name="Note 18 5 2 18" xfId="18930" xr:uid="{1ED99F06-DE25-4451-8F91-166ADD91F30A}"/>
    <cellStyle name="Note 18 5 2 18 2" xfId="39763" xr:uid="{F30CE33C-C137-4D59-9B98-274F9486112B}"/>
    <cellStyle name="Note 18 5 2 19" xfId="15412" xr:uid="{32376481-58FA-4829-8CEF-4EEDD9805B6A}"/>
    <cellStyle name="Note 18 5 2 19 2" xfId="37103" xr:uid="{9DA5AE2E-4612-4D23-80E3-6B81CA2310A1}"/>
    <cellStyle name="Note 18 5 2 2" xfId="8144" xr:uid="{C89BA058-A0D3-4ACC-BEF2-C668DA65BC84}"/>
    <cellStyle name="Note 18 5 2 2 2" xfId="32386" xr:uid="{51AA3119-F23C-4C47-8E89-7A0E112881BC}"/>
    <cellStyle name="Note 18 5 2 20" xfId="16240" xr:uid="{3B04FAA2-1615-4F05-B59D-6B096253BA77}"/>
    <cellStyle name="Note 18 5 2 20 2" xfId="37784" xr:uid="{E2D69838-25DE-4B2C-808B-777097146820}"/>
    <cellStyle name="Note 18 5 2 21" xfId="24565" xr:uid="{576AF206-E5F3-47F0-AEFE-55DA37FDBBBB}"/>
    <cellStyle name="Note 18 5 2 21 2" xfId="43748" xr:uid="{236127C9-F358-47A1-AFC5-00C9FDE2535B}"/>
    <cellStyle name="Note 18 5 2 22" xfId="27381" xr:uid="{12A235B6-AF58-4E74-A1DC-6BC3BC467861}"/>
    <cellStyle name="Note 18 5 2 22 2" xfId="45639" xr:uid="{024A612E-1B27-43C7-9B4C-0304F2B58BA5}"/>
    <cellStyle name="Note 18 5 2 23" xfId="27177" xr:uid="{91EF2304-F058-4A2D-94FE-595372C93A00}"/>
    <cellStyle name="Note 18 5 2 23 2" xfId="45518" xr:uid="{BF89C033-4B7A-4D36-B13D-567BEF6406F6}"/>
    <cellStyle name="Note 18 5 2 24" xfId="23906" xr:uid="{D70B5E53-D100-420A-A1B5-D7E97150AECF}"/>
    <cellStyle name="Note 18 5 2 24 2" xfId="43284" xr:uid="{AE534444-C838-4454-B6A6-FD6A3BEA6F15}"/>
    <cellStyle name="Note 18 5 2 25" xfId="25547" xr:uid="{1FDD896A-C548-48AA-9AE5-FC0E930B8E6E}"/>
    <cellStyle name="Note 18 5 2 25 2" xfId="44421" xr:uid="{2CC70FB0-6A6D-4074-8AEE-39F6C0D8CE89}"/>
    <cellStyle name="Note 18 5 2 26" xfId="28657" xr:uid="{BFF1D747-DA8E-4540-A5B9-2258EB6A3F80}"/>
    <cellStyle name="Note 18 5 2 26 2" xfId="46391" xr:uid="{AF65A0F8-198D-4177-928D-082AFC01535A}"/>
    <cellStyle name="Note 18 5 2 27" xfId="26998" xr:uid="{C7F92AC2-E778-494E-8C92-553750DC55CA}"/>
    <cellStyle name="Note 18 5 2 27 2" xfId="45405" xr:uid="{0149DFBA-EC3F-4071-B1FB-8762C6AAF451}"/>
    <cellStyle name="Note 18 5 2 28" xfId="6393" xr:uid="{917493F6-C7EF-489E-982A-6096F794643C}"/>
    <cellStyle name="Note 18 5 2 3" xfId="9252" xr:uid="{212C0FE4-E1C9-47C0-BBB3-2E6176736D9B}"/>
    <cellStyle name="Note 18 5 2 3 2" xfId="33238" xr:uid="{ECCDCCE8-896B-46E1-A0FA-8B8DCE5442B8}"/>
    <cellStyle name="Note 18 5 2 4" xfId="13631" xr:uid="{0BCAC692-5E85-4EF1-B359-E4466C633F2F}"/>
    <cellStyle name="Note 18 5 2 4 2" xfId="35796" xr:uid="{02D8CFD6-BF4D-49C5-AB65-D724E9808771}"/>
    <cellStyle name="Note 18 5 2 5" xfId="8901" xr:uid="{1790A74C-79A9-4772-907D-48DB39EBF091}"/>
    <cellStyle name="Note 18 5 2 5 2" xfId="32987" xr:uid="{84690529-3E95-4A1A-A7F8-AC124409B2BF}"/>
    <cellStyle name="Note 18 5 2 6" xfId="10395" xr:uid="{0BDEF05B-0011-4A7E-B275-24242C66322B}"/>
    <cellStyle name="Note 18 5 2 6 2" xfId="34030" xr:uid="{7F512489-4CBE-49BC-8CC1-D8CAE03C3A4F}"/>
    <cellStyle name="Note 18 5 2 7" xfId="8552" xr:uid="{EC640DB2-88F8-412B-B1CF-F1838E8DAA7F}"/>
    <cellStyle name="Note 18 5 2 7 2" xfId="32739" xr:uid="{CBBAA6FF-386F-499A-8238-6EC097676CB2}"/>
    <cellStyle name="Note 18 5 2 8" xfId="10544" xr:uid="{6B739038-C55E-4D18-B5DF-02A6919873CA}"/>
    <cellStyle name="Note 18 5 2 8 2" xfId="34170" xr:uid="{70C4A26A-F7D0-42FE-B57C-F61E1E44EF41}"/>
    <cellStyle name="Note 18 5 2 9" xfId="11730" xr:uid="{5B1E2B73-848D-44B3-95E6-673C8009FE97}"/>
    <cellStyle name="Note 18 5 2 9 2" xfId="34343" xr:uid="{8396834D-09F9-43A4-8A81-3947F58DDF77}"/>
    <cellStyle name="Note 18 5 20" xfId="24775" xr:uid="{E1697114-6F3E-4ECC-9E73-F295A77AD612}"/>
    <cellStyle name="Note 18 5 20 2" xfId="43920" xr:uid="{4950C357-96B0-4B32-8551-7AD5612A2CD1}"/>
    <cellStyle name="Note 18 5 21" xfId="23301" xr:uid="{8BA6F07D-97F0-4551-ABD9-89F5B2BE1463}"/>
    <cellStyle name="Note 18 5 21 2" xfId="42873" xr:uid="{5129BACD-931B-47AE-A612-702A15C60225}"/>
    <cellStyle name="Note 18 5 22" xfId="25288" xr:uid="{9001D295-689C-4B9D-8534-A087C5699ED0}"/>
    <cellStyle name="Note 18 5 22 2" xfId="44204" xr:uid="{18D53792-724D-4040-8FEA-4BD5CE3BD7FF}"/>
    <cellStyle name="Note 18 5 23" xfId="29523" xr:uid="{4A465A0D-BE89-4968-BCDF-143E421EF3DB}"/>
    <cellStyle name="Note 18 5 23 2" xfId="46931" xr:uid="{7D77A7F2-1D05-42F7-9559-86B788B74532}"/>
    <cellStyle name="Note 18 5 24" xfId="26118" xr:uid="{B1D68A39-5A71-4A69-8B04-91C344053DF8}"/>
    <cellStyle name="Note 18 5 24 2" xfId="44861" xr:uid="{E18376C6-DCA1-4671-A97F-C243AEAE081D}"/>
    <cellStyle name="Note 18 5 25" xfId="21004" xr:uid="{B93D8CBC-AB31-4BF3-94FF-DB7E9A4899FA}"/>
    <cellStyle name="Note 18 5 25 2" xfId="41262" xr:uid="{D1019B39-A209-4EE4-85B2-4D7F5A7FEFB9}"/>
    <cellStyle name="Note 18 5 26" xfId="28224" xr:uid="{1B38D741-03F3-43EE-83F4-F5438691B966}"/>
    <cellStyle name="Note 18 5 26 2" xfId="46107" xr:uid="{986F5665-6546-4339-81B7-F2FE7A5E7291}"/>
    <cellStyle name="Note 18 5 27" xfId="28642" xr:uid="{83802D82-61C5-4FBD-9793-1D05B35C0BF1}"/>
    <cellStyle name="Note 18 5 27 2" xfId="46376" xr:uid="{11FC74A2-D44E-4221-9385-2A178B282DA6}"/>
    <cellStyle name="Note 18 5 28" xfId="29572" xr:uid="{85CDF7A9-E7DB-4076-B630-8085BFDE5EDA}"/>
    <cellStyle name="Note 18 5 28 2" xfId="46967" xr:uid="{B8862F39-2B03-458E-991D-EDCA26CC5CE7}"/>
    <cellStyle name="Note 18 5 29" xfId="6392" xr:uid="{161DD27F-0B92-40AE-A92A-0CA67518B4E4}"/>
    <cellStyle name="Note 18 5 3" xfId="8145" xr:uid="{44CE3512-76F8-4BAD-AC2F-A0EB9E823D2F}"/>
    <cellStyle name="Note 18 5 3 2" xfId="32387" xr:uid="{340F39A6-8C3E-41AF-90B8-685124E5C089}"/>
    <cellStyle name="Note 18 5 4" xfId="9251" xr:uid="{552D25EB-E300-482B-BFAB-7B2D6A7AC200}"/>
    <cellStyle name="Note 18 5 4 2" xfId="33237" xr:uid="{45756334-8D19-43C3-B41E-744D4F1AFF07}"/>
    <cellStyle name="Note 18 5 5" xfId="13635" xr:uid="{4441039F-EB41-45E7-99FC-4429EE1C39E3}"/>
    <cellStyle name="Note 18 5 5 2" xfId="35800" xr:uid="{51EE59DE-FFCE-4462-804C-398726A81724}"/>
    <cellStyle name="Note 18 5 6" xfId="8902" xr:uid="{6050C3A4-F157-4F02-B9D6-9E69B2BE74B8}"/>
    <cellStyle name="Note 18 5 6 2" xfId="32988" xr:uid="{2BF6DE36-DFDF-4E80-A7BE-0A19D49C2BE8}"/>
    <cellStyle name="Note 18 5 7" xfId="13053" xr:uid="{C95792E0-7735-403D-B5CC-459D0F496AAA}"/>
    <cellStyle name="Note 18 5 7 2" xfId="35401" xr:uid="{E37EFDA4-E3A6-4AA5-8AB2-50D8827E2B07}"/>
    <cellStyle name="Note 18 5 8" xfId="8554" xr:uid="{ED50D249-AAD1-4948-AF27-8599F7D0A98B}"/>
    <cellStyle name="Note 18 5 8 2" xfId="32740" xr:uid="{087DCFD2-6C60-4AA1-91BF-0F4E12254FAF}"/>
    <cellStyle name="Note 18 5 9" xfId="14924" xr:uid="{4BA8322C-6E38-43EA-A659-3776DC79FB46}"/>
    <cellStyle name="Note 18 5 9 2" xfId="36799" xr:uid="{C8F230DA-D2BF-4ED1-A103-52AD0CE2F256}"/>
    <cellStyle name="Note 18 6" xfId="2861" xr:uid="{AB23BA26-9D26-49DF-966B-F6916CB3A7C8}"/>
    <cellStyle name="Note 18 6 10" xfId="7301" xr:uid="{4DF05C55-896E-4E9F-AE78-A01D6FC68E1D}"/>
    <cellStyle name="Note 18 6 10 2" xfId="31665" xr:uid="{3C10E8FA-39DD-44DF-B0EB-BD76681B94D3}"/>
    <cellStyle name="Note 18 6 11" xfId="12267" xr:uid="{CD80D29B-E6A3-48DA-AC89-EFC3B8583347}"/>
    <cellStyle name="Note 18 6 11 2" xfId="34773" xr:uid="{94735F61-219F-4D78-B789-0A50CA57BB0D}"/>
    <cellStyle name="Note 18 6 12" xfId="16633" xr:uid="{C167E11C-A64B-4CD9-BEFB-62DAA347952B}"/>
    <cellStyle name="Note 18 6 12 2" xfId="38126" xr:uid="{84E5D349-C461-461C-9810-2E2619C058E0}"/>
    <cellStyle name="Note 18 6 13" xfId="15590" xr:uid="{1EA0642A-6D1F-43E0-BA6E-14EB69E451EB}"/>
    <cellStyle name="Note 18 6 13 2" xfId="37248" xr:uid="{2A257257-9591-4DEE-86EA-E05F4C2E974D}"/>
    <cellStyle name="Note 18 6 14" xfId="17585" xr:uid="{FA9B7043-7A2C-4F02-82D1-8A15F7EB5076}"/>
    <cellStyle name="Note 18 6 14 2" xfId="38831" xr:uid="{2896FF52-01B7-4477-B757-1BDAD3031B16}"/>
    <cellStyle name="Note 18 6 15" xfId="19777" xr:uid="{B93A5F9F-D774-46D6-AD53-2B91BA059A2D}"/>
    <cellStyle name="Note 18 6 15 2" xfId="40394" xr:uid="{4E5DF622-0B4B-44C9-AB5F-0AF916F49745}"/>
    <cellStyle name="Note 18 6 16" xfId="20026" xr:uid="{2CD35F0E-347F-4886-90C8-BA39D37A8285}"/>
    <cellStyle name="Note 18 6 16 2" xfId="40592" xr:uid="{2E1C3C87-6A8F-4EB6-9555-D677CA278D96}"/>
    <cellStyle name="Note 18 6 17" xfId="17721" xr:uid="{7DA6A723-34FE-49A4-8F4C-9F824ED1F265}"/>
    <cellStyle name="Note 18 6 17 2" xfId="38897" xr:uid="{DB6E0821-4994-4CE6-832A-EACBF3949A02}"/>
    <cellStyle name="Note 18 6 18" xfId="18337" xr:uid="{966E351B-C77B-425C-9AD6-0B48C5579F8D}"/>
    <cellStyle name="Note 18 6 18 2" xfId="39368" xr:uid="{91790223-E322-4BE4-94AE-B6AFFE76B26E}"/>
    <cellStyle name="Note 18 6 19" xfId="20714" xr:uid="{9F20FD0A-C03C-40CF-AC27-AAFD8F1CEC81}"/>
    <cellStyle name="Note 18 6 19 2" xfId="41074" xr:uid="{CB1D9916-2708-4F70-8223-C19337471F9A}"/>
    <cellStyle name="Note 18 6 2" xfId="2862" xr:uid="{F2BDA5EA-AF7C-445A-851F-6BB05E9630E9}"/>
    <cellStyle name="Note 18 6 2 10" xfId="12268" xr:uid="{FFBBE4A1-E1E6-4B4B-8388-07226F03FA05}"/>
    <cellStyle name="Note 18 6 2 10 2" xfId="34774" xr:uid="{B0456378-5396-4B9B-B41D-1B17478272BC}"/>
    <cellStyle name="Note 18 6 2 11" xfId="14069" xr:uid="{B2E914F3-3FE6-4B9E-948D-16AB31B1FE0F}"/>
    <cellStyle name="Note 18 6 2 11 2" xfId="36163" xr:uid="{155BCED4-6AEB-44B4-9BEF-C2EB1FBBCF16}"/>
    <cellStyle name="Note 18 6 2 12" xfId="14578" xr:uid="{356DD17D-1BBA-486C-AE8C-A4E9CBFD78C7}"/>
    <cellStyle name="Note 18 6 2 12 2" xfId="36496" xr:uid="{7BBAC2C3-7B1C-4B0F-9690-3FFCDFE8055A}"/>
    <cellStyle name="Note 18 6 2 13" xfId="15453" xr:uid="{4AFB57E7-C33F-49F9-9941-2FB8E07781F7}"/>
    <cellStyle name="Note 18 6 2 13 2" xfId="37122" xr:uid="{8C389B10-318F-473D-97DB-41C7DE03F296}"/>
    <cellStyle name="Note 18 6 2 14" xfId="17971" xr:uid="{A42D3B57-6B4F-4CDA-A914-1333CE22075B}"/>
    <cellStyle name="Note 18 6 2 14 2" xfId="39069" xr:uid="{7D86C9C6-B874-4AA9-A205-9580921855D1}"/>
    <cellStyle name="Note 18 6 2 15" xfId="10061" xr:uid="{59F9D7E7-B40B-472A-8D5D-1D79F5711924}"/>
    <cellStyle name="Note 18 6 2 15 2" xfId="33773" xr:uid="{F1DE79A6-4000-44BC-B31C-69A45D3BF7BF}"/>
    <cellStyle name="Note 18 6 2 16" xfId="21441" xr:uid="{C3121CAD-A278-4268-B709-1B828E63B5D2}"/>
    <cellStyle name="Note 18 6 2 16 2" xfId="41570" xr:uid="{64E615A3-123E-4F7B-82FC-04B974880EA1}"/>
    <cellStyle name="Note 18 6 2 17" xfId="13963" xr:uid="{10D69A1A-EF14-4619-929A-DF3A6CFE0DA0}"/>
    <cellStyle name="Note 18 6 2 17 2" xfId="36069" xr:uid="{522DCDB8-77BA-445C-96F2-DAB386C0779B}"/>
    <cellStyle name="Note 18 6 2 18" xfId="17069" xr:uid="{5D1A2B25-5114-4547-B677-A7C5D58E5F0D}"/>
    <cellStyle name="Note 18 6 2 18 2" xfId="38408" xr:uid="{C12A96A3-6438-4217-8D38-19D01D9CD86E}"/>
    <cellStyle name="Note 18 6 2 19" xfId="22891" xr:uid="{C13DBDC8-E99F-4208-9695-46A5C197BBE8}"/>
    <cellStyle name="Note 18 6 2 19 2" xfId="42609" xr:uid="{4A8E04FC-9570-4CF4-8A80-9B0BF7CBB091}"/>
    <cellStyle name="Note 18 6 2 2" xfId="8142" xr:uid="{9FBE1D59-F21F-4388-9749-2CEE0E0B9FB8}"/>
    <cellStyle name="Note 18 6 2 2 2" xfId="32384" xr:uid="{F8B6C1DE-8F01-4574-BF2C-1DE82FE8FD3A}"/>
    <cellStyle name="Note 18 6 2 20" xfId="23302" xr:uid="{23974C7A-3863-4639-A4DA-E27F455FC6FF}"/>
    <cellStyle name="Note 18 6 2 20 2" xfId="42874" xr:uid="{CFDB0F26-D29B-423D-8B09-04F5959F752C}"/>
    <cellStyle name="Note 18 6 2 21" xfId="21057" xr:uid="{F6B1889D-B41C-4E7E-9DF8-051763D54914}"/>
    <cellStyle name="Note 18 6 2 21 2" xfId="41303" xr:uid="{F67C325B-A385-4D78-9BDE-8D4D4B85E6F5}"/>
    <cellStyle name="Note 18 6 2 22" xfId="22553" xr:uid="{B28D0B5B-F33F-4FB6-8384-C3C6820B7000}"/>
    <cellStyle name="Note 18 6 2 22 2" xfId="42344" xr:uid="{5B2F49C9-69AD-4066-A182-5247A9C7F5DB}"/>
    <cellStyle name="Note 18 6 2 23" xfId="28640" xr:uid="{1CCBE887-2A91-4D43-B394-235C48999F6A}"/>
    <cellStyle name="Note 18 6 2 23 2" xfId="46374" xr:uid="{DF58BB88-5A9C-4367-85A5-D890952A4B27}"/>
    <cellStyle name="Note 18 6 2 24" xfId="22218" xr:uid="{E92A6B7B-F185-4440-A4D7-B05C8B583365}"/>
    <cellStyle name="Note 18 6 2 24 2" xfId="42097" xr:uid="{385B0448-9768-40ED-B812-2F4DC99D698B}"/>
    <cellStyle name="Note 18 6 2 25" xfId="29385" xr:uid="{1F552560-AAC6-4E20-B66D-DC8F075F1E7A}"/>
    <cellStyle name="Note 18 6 2 25 2" xfId="46852" xr:uid="{A3C22DB4-6161-4EE9-A62C-83C35A1FB2F8}"/>
    <cellStyle name="Note 18 6 2 26" xfId="23050" xr:uid="{AB653663-27FA-42AF-8E68-14CE5702142E}"/>
    <cellStyle name="Note 18 6 2 26 2" xfId="42684" xr:uid="{AF80A30A-71DF-4F6A-A089-D738F5A8A8D4}"/>
    <cellStyle name="Note 18 6 2 27" xfId="29571" xr:uid="{250FAB1F-3D6E-44F2-9668-270FFEF91C90}"/>
    <cellStyle name="Note 18 6 2 27 2" xfId="46966" xr:uid="{CD87DA8B-788C-4719-A3E1-57B0DCBC9F0E}"/>
    <cellStyle name="Note 18 6 2 28" xfId="6395" xr:uid="{39EA189D-3FC9-40EF-A2CB-6833D277886E}"/>
    <cellStyle name="Note 18 6 2 3" xfId="9254" xr:uid="{216BDB51-A7E6-4431-B72F-FECB04E1AC05}"/>
    <cellStyle name="Note 18 6 2 3 2" xfId="33240" xr:uid="{8922BEA3-0BDD-4477-895C-8FD3B56020C9}"/>
    <cellStyle name="Note 18 6 2 4" xfId="7765" xr:uid="{EBE795DC-EDD2-401B-9714-93CA0CF7F21C}"/>
    <cellStyle name="Note 18 6 2 4 2" xfId="32061" xr:uid="{1D8FA633-E426-4404-BB99-71FC0C0F8E16}"/>
    <cellStyle name="Note 18 6 2 5" xfId="8862" xr:uid="{6350B86D-624A-4ABB-9858-F68A41213A85}"/>
    <cellStyle name="Note 18 6 2 5 2" xfId="32984" xr:uid="{65423EC0-05BB-4766-B63E-8DF736AC7BFB}"/>
    <cellStyle name="Note 18 6 2 6" xfId="10396" xr:uid="{AA7B9FC7-770F-4D44-B786-D269E0A0BD81}"/>
    <cellStyle name="Note 18 6 2 6 2" xfId="34031" xr:uid="{1F5E63E9-8E5B-4722-B6A8-759B72176FCF}"/>
    <cellStyle name="Note 18 6 2 7" xfId="8551" xr:uid="{AA711F8F-AB0E-4BB3-AB5D-3EC0E3B84D9A}"/>
    <cellStyle name="Note 18 6 2 7 2" xfId="32738" xr:uid="{22AC70B2-D0EA-4192-8075-24351FE95CA0}"/>
    <cellStyle name="Note 18 6 2 8" xfId="12933" xr:uid="{F33B568F-FCA9-4ED0-B80A-4B7DAE79635B}"/>
    <cellStyle name="Note 18 6 2 8 2" xfId="35289" xr:uid="{D02C22A2-A7DF-4E7A-9054-DC94D6C1BD5C}"/>
    <cellStyle name="Note 18 6 2 9" xfId="7287" xr:uid="{237C43B2-4DA9-4FA6-82FE-271215CCA8F4}"/>
    <cellStyle name="Note 18 6 2 9 2" xfId="31651" xr:uid="{32866E1A-D411-4C67-9971-951C23CCED31}"/>
    <cellStyle name="Note 18 6 20" xfId="24774" xr:uid="{264391B4-5503-4B13-B7DC-ED782C73E471}"/>
    <cellStyle name="Note 18 6 20 2" xfId="43919" xr:uid="{6CC758E7-6153-42B2-9851-B91EA687CC91}"/>
    <cellStyle name="Note 18 6 21" xfId="25190" xr:uid="{50EC7022-3782-4985-AACF-B3B31E543863}"/>
    <cellStyle name="Note 18 6 21 2" xfId="44132" xr:uid="{99172249-6F1A-4ECF-BEFE-ADBC9ECDD63A}"/>
    <cellStyle name="Note 18 6 22" xfId="22764" xr:uid="{5767CC61-D416-4A1E-813B-B5986DD706F1}"/>
    <cellStyle name="Note 18 6 22 2" xfId="42521" xr:uid="{7CDB7EBC-DF9A-4A2B-8AEF-B4631A8D212B}"/>
    <cellStyle name="Note 18 6 23" xfId="27626" xr:uid="{E66BFB91-CEA2-4B02-8AB2-14C99D8641E7}"/>
    <cellStyle name="Note 18 6 23 2" xfId="45764" xr:uid="{F466097F-F7C8-4271-93A0-E6631011D7C4}"/>
    <cellStyle name="Note 18 6 24" xfId="23771" xr:uid="{9D5391E7-FA06-4FC2-BA07-A26BF6AB6473}"/>
    <cellStyle name="Note 18 6 24 2" xfId="43174" xr:uid="{A178DCCC-A4C1-47B8-B62C-45E003923609}"/>
    <cellStyle name="Note 18 6 25" xfId="29108" xr:uid="{36B74A47-9FEA-4D89-BD8D-FED1F3CF8451}"/>
    <cellStyle name="Note 18 6 25 2" xfId="46674" xr:uid="{68B2518C-FECC-42C5-AD40-DD567E77AEE6}"/>
    <cellStyle name="Note 18 6 26" xfId="21945" xr:uid="{1F824E6F-6F68-4CE5-96E7-542812D7FD04}"/>
    <cellStyle name="Note 18 6 26 2" xfId="41858" xr:uid="{0ED4B458-4E20-4685-871A-FB144151CC2A}"/>
    <cellStyle name="Note 18 6 27" xfId="28641" xr:uid="{38BE79B5-2BC9-4D14-8E24-9610C931BB49}"/>
    <cellStyle name="Note 18 6 27 2" xfId="46375" xr:uid="{6D7007E3-E3E9-465B-9364-AF36826D8F76}"/>
    <cellStyle name="Note 18 6 28" xfId="28323" xr:uid="{0798C78D-B22F-4707-8D84-4C6EFDFB4F12}"/>
    <cellStyle name="Note 18 6 28 2" xfId="46190" xr:uid="{8AD5680A-2D85-4BC3-BB73-9B5274C70F7A}"/>
    <cellStyle name="Note 18 6 29" xfId="6394" xr:uid="{DDA42994-C5B4-46A1-AC9D-69BADD4A7C61}"/>
    <cellStyle name="Note 18 6 3" xfId="8143" xr:uid="{36BD9AA8-1E36-4EFF-9A61-04F91A91F6D1}"/>
    <cellStyle name="Note 18 6 3 2" xfId="32385" xr:uid="{55BDD717-7EF3-4A24-95A5-6EA321B96BAA}"/>
    <cellStyle name="Note 18 6 4" xfId="9253" xr:uid="{67DCE94D-E271-416C-B0EF-B3CC1D6A21D9}"/>
    <cellStyle name="Note 18 6 4 2" xfId="33239" xr:uid="{A4877A49-177F-42FF-B19D-1DEF9C8AABE6}"/>
    <cellStyle name="Note 18 6 5" xfId="7766" xr:uid="{B9630712-1187-4857-BEC8-AEA92C2A3EEF}"/>
    <cellStyle name="Note 18 6 5 2" xfId="32062" xr:uid="{1C6472C1-B8F3-4C45-8B5A-2DE796431D2F}"/>
    <cellStyle name="Note 18 6 6" xfId="8900" xr:uid="{B5219AB5-E656-48B4-BFAE-16E1209C7D0F}"/>
    <cellStyle name="Note 18 6 6 2" xfId="32986" xr:uid="{02A40E52-AFFA-4901-97B3-692477C9CAB1}"/>
    <cellStyle name="Note 18 6 7" xfId="13070" xr:uid="{E686BBAC-977B-4E24-9541-7FCF51063B6B}"/>
    <cellStyle name="Note 18 6 7 2" xfId="35418" xr:uid="{718B4F09-D863-4798-B61C-F68E73128864}"/>
    <cellStyle name="Note 18 6 8" xfId="13377" xr:uid="{CE08DA10-3644-412F-82AF-05675820B987}"/>
    <cellStyle name="Note 18 6 8 2" xfId="35684" xr:uid="{AC53772B-C15A-409F-AFB1-ED5FFE6C4565}"/>
    <cellStyle name="Note 18 6 9" xfId="14923" xr:uid="{F0D6D142-6915-4FF8-9B5D-1B757759C485}"/>
    <cellStyle name="Note 18 6 9 2" xfId="36798" xr:uid="{24679F93-5229-438D-B90E-935D92A6C7B6}"/>
    <cellStyle name="Note 18 7" xfId="2863" xr:uid="{D7BD116D-B115-4F84-B36D-64290C10CD78}"/>
    <cellStyle name="Note 18 7 10" xfId="11729" xr:uid="{09C36591-6728-494D-9ED0-02F1E144B99C}"/>
    <cellStyle name="Note 18 7 10 2" xfId="34342" xr:uid="{43F8FE78-3E17-47CF-9131-039C22FB2386}"/>
    <cellStyle name="Note 18 7 11" xfId="14693" xr:uid="{42B212DA-9F75-4030-A4BB-FABB1E32F458}"/>
    <cellStyle name="Note 18 7 11 2" xfId="36605" xr:uid="{B9B6C82B-A8D7-48A6-9E89-58EFA959AFDF}"/>
    <cellStyle name="Note 18 7 12" xfId="16632" xr:uid="{19133D48-89A4-40CD-BCDE-916AC5AAD097}"/>
    <cellStyle name="Note 18 7 12 2" xfId="38125" xr:uid="{CE3CEDA6-7E94-46CA-84F0-8C655C4A7113}"/>
    <cellStyle name="Note 18 7 13" xfId="13854" xr:uid="{44DA6CCD-2E35-49C9-9E0A-BE735E3AC9B4}"/>
    <cellStyle name="Note 18 7 13 2" xfId="35977" xr:uid="{03F9B5A3-C937-43D4-908B-4192899367CD}"/>
    <cellStyle name="Note 18 7 14" xfId="17584" xr:uid="{91F83279-E55F-4E95-BFC6-00C001CA42CF}"/>
    <cellStyle name="Note 18 7 14 2" xfId="38830" xr:uid="{3B7B888B-DFB5-4494-AAD6-12CA0ED2EFB4}"/>
    <cellStyle name="Note 18 7 15" xfId="19776" xr:uid="{FDC26BA0-8367-4849-A1D3-7349C976F12F}"/>
    <cellStyle name="Note 18 7 15 2" xfId="40393" xr:uid="{28EA48B9-5DD1-4301-8D94-42662159ABCC}"/>
    <cellStyle name="Note 18 7 16" xfId="10062" xr:uid="{4DB685A7-A909-40A7-9280-4EADE584CC8B}"/>
    <cellStyle name="Note 18 7 16 2" xfId="33774" xr:uid="{6DF86C2B-92BA-43D3-AAA3-97F7E990470D}"/>
    <cellStyle name="Note 18 7 17" xfId="21456" xr:uid="{10CE25E4-3747-4AC2-90BA-CF1DA7D8ADE2}"/>
    <cellStyle name="Note 18 7 17 2" xfId="41585" xr:uid="{C1E61B79-0245-4134-8806-1F95797ED83A}"/>
    <cellStyle name="Note 18 7 18" xfId="25729" xr:uid="{24E816EE-A864-4212-884E-3B1242D16072}"/>
    <cellStyle name="Note 18 7 18 2" xfId="44566" xr:uid="{6D19A88C-4013-459E-B833-0D2E6F8E6B47}"/>
    <cellStyle name="Note 18 7 19" xfId="20715" xr:uid="{A693F831-228B-4478-B5C0-EA6F65E3AAC4}"/>
    <cellStyle name="Note 18 7 19 2" xfId="41075" xr:uid="{F53AB331-AD49-4301-BC02-09B357B71A0B}"/>
    <cellStyle name="Note 18 7 2" xfId="2864" xr:uid="{312FFEF4-ACDA-493E-B725-56A82CB760A5}"/>
    <cellStyle name="Note 18 7 2 10" xfId="12269" xr:uid="{E38A6943-3C31-438E-8001-8775FDFB335A}"/>
    <cellStyle name="Note 18 7 2 10 2" xfId="34775" xr:uid="{860431E0-B2B4-4059-9C10-F696C6D2B8E8}"/>
    <cellStyle name="Note 18 7 2 11" xfId="12494" xr:uid="{666FE3B7-7A24-4A02-A3ED-221D915DDF25}"/>
    <cellStyle name="Note 18 7 2 11 2" xfId="34939" xr:uid="{45E8364A-EFE1-439E-9945-957959F319A0}"/>
    <cellStyle name="Note 18 7 2 12" xfId="13673" xr:uid="{9FA6C591-F687-4536-BCF4-0C2D4C05E329}"/>
    <cellStyle name="Note 18 7 2 12 2" xfId="35829" xr:uid="{DF96401C-DF79-4235-B82B-C3ED61D365C6}"/>
    <cellStyle name="Note 18 7 2 13" xfId="9855" xr:uid="{E7F4E784-618B-4323-BC54-294CCE6BBF90}"/>
    <cellStyle name="Note 18 7 2 13 2" xfId="33601" xr:uid="{18C00E7F-4CBC-4601-BD96-852B1F2EA3F0}"/>
    <cellStyle name="Note 18 7 2 14" xfId="12653" xr:uid="{E65ED5CD-0E21-4D61-AEEA-8DB53D692DB4}"/>
    <cellStyle name="Note 18 7 2 14 2" xfId="35079" xr:uid="{6B7D39D0-0BA5-4E5E-9BF3-133D12CB98CA}"/>
    <cellStyle name="Note 18 7 2 15" xfId="18424" xr:uid="{E478723F-A7FA-4CD7-9293-1C9B98B7FA88}"/>
    <cellStyle name="Note 18 7 2 15 2" xfId="39435" xr:uid="{9D057331-67CA-49E7-BFF8-E5D2EA84B5C4}"/>
    <cellStyle name="Note 18 7 2 16" xfId="19640" xr:uid="{915E2743-60A8-42A0-9CD0-8936ACE20645}"/>
    <cellStyle name="Note 18 7 2 16 2" xfId="40280" xr:uid="{BC47CCA4-3D85-46B2-B51F-D4DD7E738586}"/>
    <cellStyle name="Note 18 7 2 17" xfId="18336" xr:uid="{9628391D-A9FC-4791-B9FB-A503D43865E3}"/>
    <cellStyle name="Note 18 7 2 17 2" xfId="39367" xr:uid="{6B46548C-1F89-4E84-8283-DFD644F4D7CF}"/>
    <cellStyle name="Note 18 7 2 18" xfId="18931" xr:uid="{3615FCDE-94C1-4973-832D-71BADD56C584}"/>
    <cellStyle name="Note 18 7 2 18 2" xfId="39764" xr:uid="{D0D18E57-F5B3-4AC2-B826-DA081747C517}"/>
    <cellStyle name="Note 18 7 2 19" xfId="22345" xr:uid="{A91332E6-71D1-41CA-9B32-311E74AB01A2}"/>
    <cellStyle name="Note 18 7 2 19 2" xfId="42200" xr:uid="{4215C23D-67C6-422F-AC74-DB9454EBD6A2}"/>
    <cellStyle name="Note 18 7 2 2" xfId="8140" xr:uid="{3F5C42BC-B693-4145-A930-FEFB7C296B59}"/>
    <cellStyle name="Note 18 7 2 2 2" xfId="32382" xr:uid="{B33C875E-FF83-404B-9830-ECF9132C0F77}"/>
    <cellStyle name="Note 18 7 2 20" xfId="18141" xr:uid="{D36FD0F1-092D-4803-9A1E-123C5F8B7D08}"/>
    <cellStyle name="Note 18 7 2 20 2" xfId="39215" xr:uid="{E5C89BE3-866D-4A6B-A44C-AC127A88F109}"/>
    <cellStyle name="Note 18 7 2 21" xfId="24564" xr:uid="{3F3DA984-DE45-45C3-8B00-F07435B8243E}"/>
    <cellStyle name="Note 18 7 2 21 2" xfId="43747" xr:uid="{386452C8-F950-4AC4-A3F6-8CDAF41C4947}"/>
    <cellStyle name="Note 18 7 2 22" xfId="27385" xr:uid="{0B88CDB4-C0C1-4348-8D83-9701B7F83767}"/>
    <cellStyle name="Note 18 7 2 22 2" xfId="45642" xr:uid="{1B7FCBF6-FB8E-424A-9F08-F7F3594A2D3C}"/>
    <cellStyle name="Note 18 7 2 23" xfId="28639" xr:uid="{48B4309D-FA3A-4759-BFA8-37257EAFC2CC}"/>
    <cellStyle name="Note 18 7 2 23 2" xfId="46373" xr:uid="{64F317D2-D01D-4B19-8221-44275C47AD13}"/>
    <cellStyle name="Note 18 7 2 24" xfId="23904" xr:uid="{8358C525-1AA7-421C-A641-5FEF304C5AF2}"/>
    <cellStyle name="Note 18 7 2 24 2" xfId="43282" xr:uid="{E44340C1-2AEB-4A8F-AFFD-97E1D45008FF}"/>
    <cellStyle name="Note 18 7 2 25" xfId="25551" xr:uid="{12FBFCC0-0D5B-45D4-AF46-A8AED170F8FD}"/>
    <cellStyle name="Note 18 7 2 25 2" xfId="44425" xr:uid="{D86DCA43-743B-441B-AC56-0CCBDD7AC6AA}"/>
    <cellStyle name="Note 18 7 2 26" xfId="23049" xr:uid="{C58AFCA6-1C6E-42EA-960B-645DF4F591D4}"/>
    <cellStyle name="Note 18 7 2 26 2" xfId="42683" xr:uid="{1FE42EC5-EC84-4ED9-B4E9-A9C2D25B0F4E}"/>
    <cellStyle name="Note 18 7 2 27" xfId="23752" xr:uid="{D50D1C49-72BB-4A1B-BDA6-86A68B4F212C}"/>
    <cellStyle name="Note 18 7 2 27 2" xfId="43164" xr:uid="{337C516C-710D-4567-B9EE-51E46FC7A8BF}"/>
    <cellStyle name="Note 18 7 2 28" xfId="6397" xr:uid="{57172691-6A7D-4C29-904A-CA61ACDA253D}"/>
    <cellStyle name="Note 18 7 2 3" xfId="9256" xr:uid="{A571F0B8-4CF7-4078-89FB-F128E6ED2980}"/>
    <cellStyle name="Note 18 7 2 3 2" xfId="33242" xr:uid="{21F770C4-31F7-4BF8-A0F8-8C0677D0BBEA}"/>
    <cellStyle name="Note 18 7 2 4" xfId="7764" xr:uid="{7E1298F8-3382-4CA6-8C0E-6AFEB8A85EB6}"/>
    <cellStyle name="Note 18 7 2 4 2" xfId="32060" xr:uid="{65DEB0F6-45E0-4078-A8F8-A98B1E5BD906}"/>
    <cellStyle name="Note 18 7 2 5" xfId="8860" xr:uid="{86CA705F-2F4B-4E4A-9C64-149A8E085602}"/>
    <cellStyle name="Note 18 7 2 5 2" xfId="32982" xr:uid="{6EE4503F-797F-4F83-8CC3-BBE9F40AE623}"/>
    <cellStyle name="Note 18 7 2 6" xfId="10397" xr:uid="{3005B6F1-B0ED-4F10-A686-0E13D91A2944}"/>
    <cellStyle name="Note 18 7 2 6 2" xfId="34032" xr:uid="{0B6B80E1-877E-4293-A618-8BA45B416B34}"/>
    <cellStyle name="Note 18 7 2 7" xfId="13378" xr:uid="{4401A0FA-39A5-411B-8F33-CE0FCDC9F324}"/>
    <cellStyle name="Note 18 7 2 7 2" xfId="35685" xr:uid="{AB084C1C-AFCF-40A3-AE4E-036067AD2D4B}"/>
    <cellStyle name="Note 18 7 2 8" xfId="10546" xr:uid="{0CA69B03-18C6-41AF-A345-1FF09ABDC716}"/>
    <cellStyle name="Note 18 7 2 8 2" xfId="34172" xr:uid="{E6D3E6DF-4929-4271-B6E0-061667A2DE6A}"/>
    <cellStyle name="Note 18 7 2 9" xfId="15911" xr:uid="{84A4E34C-BB9D-40E5-888B-4847A6B0D193}"/>
    <cellStyle name="Note 18 7 2 9 2" xfId="37502" xr:uid="{D9CC7FB1-E235-42C9-A4F4-AE54A41B9802}"/>
    <cellStyle name="Note 18 7 20" xfId="24773" xr:uid="{D138493E-E77F-4510-BF35-612EB9958003}"/>
    <cellStyle name="Note 18 7 20 2" xfId="43918" xr:uid="{1217E5E4-2CCF-4519-8580-2E2C0001E619}"/>
    <cellStyle name="Note 18 7 21" xfId="18167" xr:uid="{398F9B8E-3963-4943-AEED-5CC7C4DF858C}"/>
    <cellStyle name="Note 18 7 21 2" xfId="39221" xr:uid="{62FA0094-D2D1-416E-9A36-2FB716EF2FCB}"/>
    <cellStyle name="Note 18 7 22" xfId="25289" xr:uid="{6BDFADE4-0AB1-4D80-AA8E-59A3AD64436D}"/>
    <cellStyle name="Note 18 7 22 2" xfId="44205" xr:uid="{63559C65-A05E-499D-900A-BC502BB30649}"/>
    <cellStyle name="Note 18 7 23" xfId="26321" xr:uid="{38DC95E0-FB65-4E83-B0AC-71F1FB89B7CA}"/>
    <cellStyle name="Note 18 7 23 2" xfId="45006" xr:uid="{DE289D78-4123-4204-A732-A0A408720257}"/>
    <cellStyle name="Note 18 7 24" xfId="26117" xr:uid="{BF628C6A-7F11-4D09-A3F4-B2AE142A976D}"/>
    <cellStyle name="Note 18 7 24 2" xfId="44860" xr:uid="{0BAA2552-0DD5-4370-BF9D-124905382E5D}"/>
    <cellStyle name="Note 18 7 25" xfId="18758" xr:uid="{72D875F2-EF77-4C29-8541-D2C870535E43}"/>
    <cellStyle name="Note 18 7 25 2" xfId="39633" xr:uid="{8574A7DF-2E06-45EF-9E63-ED249DD81709}"/>
    <cellStyle name="Note 18 7 26" xfId="24390" xr:uid="{20B8C796-D54C-445D-BC9A-EB96CAD79B47}"/>
    <cellStyle name="Note 18 7 26 2" xfId="43631" xr:uid="{84E58140-9B82-4F57-868A-0268CAA6C8BF}"/>
    <cellStyle name="Note 18 7 27" xfId="18797" xr:uid="{4D934823-D4C3-4F67-A7DD-3387024E9EA6}"/>
    <cellStyle name="Note 18 7 27 2" xfId="39654" xr:uid="{3F39B244-DFC3-4030-943E-9480741EC3B8}"/>
    <cellStyle name="Note 18 7 28" xfId="27593" xr:uid="{3C824367-6A5D-442E-B386-8AF2D5F04B1B}"/>
    <cellStyle name="Note 18 7 28 2" xfId="45742" xr:uid="{6F3273A0-4384-49F8-A9C3-C0EE8FFA51BA}"/>
    <cellStyle name="Note 18 7 29" xfId="6396" xr:uid="{F03C8DDC-4B59-4E2A-B4FC-922C7604C6F5}"/>
    <cellStyle name="Note 18 7 3" xfId="8141" xr:uid="{645B8FCA-D5C6-4FD5-B005-86EB50152C41}"/>
    <cellStyle name="Note 18 7 3 2" xfId="32383" xr:uid="{E1376A5F-5675-419E-AE02-54930670DE98}"/>
    <cellStyle name="Note 18 7 4" xfId="9255" xr:uid="{3892097F-B25C-496D-9114-C4D51898139E}"/>
    <cellStyle name="Note 18 7 4 2" xfId="33241" xr:uid="{0FCD7B25-651C-4551-B8D1-6395D172E1B4}"/>
    <cellStyle name="Note 18 7 5" xfId="7730" xr:uid="{AC1E9E71-6F9B-4256-9E7E-2A86140AEAF3}"/>
    <cellStyle name="Note 18 7 5 2" xfId="32027" xr:uid="{34C70B6A-1D4B-4AFF-B6B9-75A3436A7138}"/>
    <cellStyle name="Note 18 7 6" xfId="8861" xr:uid="{6375AD28-D084-43CF-8426-8276DB2A5BB4}"/>
    <cellStyle name="Note 18 7 6 2" xfId="32983" xr:uid="{5DAC41E1-6F65-4E64-830D-A528893AA44E}"/>
    <cellStyle name="Note 18 7 7" xfId="13069" xr:uid="{726D0EB6-EB64-482C-AB6B-B15062A0B690}"/>
    <cellStyle name="Note 18 7 7 2" xfId="35417" xr:uid="{55B76338-964A-46F1-92B0-6E996FE48143}"/>
    <cellStyle name="Note 18 7 8" xfId="15077" xr:uid="{1677A023-50FA-41F4-A918-0DDE6AA66AE2}"/>
    <cellStyle name="Note 18 7 8 2" xfId="36922" xr:uid="{2161CA4B-C016-48AC-9DAC-BE73CE81BB02}"/>
    <cellStyle name="Note 18 7 9" xfId="14922" xr:uid="{4F6D301A-25B4-4948-9221-E12F2AC6E9D0}"/>
    <cellStyle name="Note 18 7 9 2" xfId="36797" xr:uid="{47875046-1B68-40E4-9A1D-4C50EBB66E21}"/>
    <cellStyle name="Note 18 8" xfId="2865" xr:uid="{33F50254-EDD0-4CD7-8DDC-969AF04FA3DF}"/>
    <cellStyle name="Note 18 8 10" xfId="14684" xr:uid="{428665CA-A7AE-4CA4-9A50-9FB0D479D4B2}"/>
    <cellStyle name="Note 18 8 10 2" xfId="36596" xr:uid="{107E11AF-DBA3-41DD-98E2-97BAF56C6748}"/>
    <cellStyle name="Note 18 8 11" xfId="16631" xr:uid="{5B5EB651-1D68-475E-98B2-6539A1C2760E}"/>
    <cellStyle name="Note 18 8 11 2" xfId="38124" xr:uid="{B18A8D31-19EA-48E0-A5FF-2EAE468B44A3}"/>
    <cellStyle name="Note 18 8 12" xfId="15591" xr:uid="{51903302-8A3E-41ED-A610-30822E124010}"/>
    <cellStyle name="Note 18 8 12 2" xfId="37249" xr:uid="{C109BE04-B30B-468D-BBFA-7EDBB80B58FD}"/>
    <cellStyle name="Note 18 8 13" xfId="17583" xr:uid="{D9BA66AC-C715-4F14-8488-F21C547BE7BA}"/>
    <cellStyle name="Note 18 8 13 2" xfId="38829" xr:uid="{A0E8A690-39CB-4446-A37C-C439E2E0AEC2}"/>
    <cellStyle name="Note 18 8 14" xfId="19775" xr:uid="{96D9295B-42DD-4FF6-B3DB-0E912E90BDE8}"/>
    <cellStyle name="Note 18 8 14 2" xfId="40392" xr:uid="{F0D49A64-483D-4E14-B27B-C03895054CA8}"/>
    <cellStyle name="Note 18 8 15" xfId="10063" xr:uid="{CADF950C-F710-4DA2-9728-0AA4525B462F}"/>
    <cellStyle name="Note 18 8 15 2" xfId="33775" xr:uid="{BB32AD15-DF58-4856-9BEA-5BC3F7004BB0}"/>
    <cellStyle name="Note 18 8 16" xfId="22509" xr:uid="{F8283A4F-BD15-4C63-B306-2E3C857E2211}"/>
    <cellStyle name="Note 18 8 16 2" xfId="42308" xr:uid="{4237A632-C4B2-4B12-B9B7-05FC3867FCE9}"/>
    <cellStyle name="Note 18 8 17" xfId="16322" xr:uid="{B61FCF26-EC5B-4CB0-91FE-9227999F79DA}"/>
    <cellStyle name="Note 18 8 17 2" xfId="37859" xr:uid="{91CA4AA4-C1B7-4F79-AB75-B559CEC5BA07}"/>
    <cellStyle name="Note 18 8 18" xfId="20716" xr:uid="{0379F769-19C5-455F-9006-26BF43330CA0}"/>
    <cellStyle name="Note 18 8 18 2" xfId="41076" xr:uid="{22646808-283A-4BF2-B18E-7289BD6713E4}"/>
    <cellStyle name="Note 18 8 19" xfId="24772" xr:uid="{C009317E-2F65-4A84-8342-47CD7B81E442}"/>
    <cellStyle name="Note 18 8 19 2" xfId="43917" xr:uid="{E3027B08-EA89-42BB-ABF0-E8DF6651167A}"/>
    <cellStyle name="Note 18 8 2" xfId="8139" xr:uid="{81286CB3-CDC9-4546-A1D7-A2D8EED66241}"/>
    <cellStyle name="Note 18 8 2 2" xfId="32381" xr:uid="{7060D703-4BD6-419D-B59E-7929B441B177}"/>
    <cellStyle name="Note 18 8 20" xfId="24939" xr:uid="{0C5EB3A0-3548-4828-A0AA-1E6AA9CDAA6D}"/>
    <cellStyle name="Note 18 8 20 2" xfId="44021" xr:uid="{077A324D-237C-497A-A5A7-D24A30D1F49D}"/>
    <cellStyle name="Note 18 8 21" xfId="22763" xr:uid="{855F2AAC-5A58-4384-9E9B-4153C156975A}"/>
    <cellStyle name="Note 18 8 21 2" xfId="42520" xr:uid="{D7D1453E-5598-4E71-86EE-64FDB71926D2}"/>
    <cellStyle name="Note 18 8 22" xfId="24961" xr:uid="{CC0485BB-C360-4C7C-9560-A2E4825F3CAE}"/>
    <cellStyle name="Note 18 8 22 2" xfId="44043" xr:uid="{07659F67-906F-494F-92F5-E59D6141E0D3}"/>
    <cellStyle name="Note 18 8 23" xfId="27175" xr:uid="{C3E5AA10-074E-46C7-86D0-E2C0A6B0FB8D}"/>
    <cellStyle name="Note 18 8 23 2" xfId="45516" xr:uid="{B6C6D835-D1F6-4F83-B911-7DD405774DFB}"/>
    <cellStyle name="Note 18 8 24" xfId="20335" xr:uid="{E1823FD6-B873-4797-8E7D-29F2AB5A3E96}"/>
    <cellStyle name="Note 18 8 24 2" xfId="40768" xr:uid="{B7439CED-F458-4519-9290-5C933D1C52EA}"/>
    <cellStyle name="Note 18 8 25" xfId="26444" xr:uid="{376BD441-8FBD-4313-908A-DC59A4CA93DF}"/>
    <cellStyle name="Note 18 8 25 2" xfId="45075" xr:uid="{31B33ED2-4AE1-4A20-A1B6-F00A5E4E6237}"/>
    <cellStyle name="Note 18 8 26" xfId="22420" xr:uid="{2A1567D5-A649-4361-AD19-BC321939F01D}"/>
    <cellStyle name="Note 18 8 26 2" xfId="42234" xr:uid="{82F19A48-B870-44D3-8AB0-F70C8E68DE0F}"/>
    <cellStyle name="Note 18 8 27" xfId="29449" xr:uid="{EFEC6601-457A-47B4-87F5-8D2D720B5539}"/>
    <cellStyle name="Note 18 8 27 2" xfId="46907" xr:uid="{1F4E5149-DB49-4530-8F21-19A8C74FA594}"/>
    <cellStyle name="Note 18 8 28" xfId="6398" xr:uid="{285505B4-6868-490A-B588-2863CB6866F0}"/>
    <cellStyle name="Note 18 8 3" xfId="9257" xr:uid="{99F086C7-55B6-4CF1-A2CE-B9A298096736}"/>
    <cellStyle name="Note 18 8 3 2" xfId="33243" xr:uid="{E79D7E44-11F4-44C0-9EEA-9B834393753B}"/>
    <cellStyle name="Note 18 8 4" xfId="7763" xr:uid="{45DD9F9C-3286-4457-8109-E48884D0450F}"/>
    <cellStyle name="Note 18 8 4 2" xfId="32059" xr:uid="{BEFD5B88-E62C-4D11-A0AF-01982A03AD66}"/>
    <cellStyle name="Note 18 8 5" xfId="8859" xr:uid="{A2BA9D37-C324-427C-9F68-B4C9D1D30A0E}"/>
    <cellStyle name="Note 18 8 5 2" xfId="32981" xr:uid="{CE63B470-3EE1-4B2B-B9CF-1E0C9FA42EE3}"/>
    <cellStyle name="Note 18 8 6" xfId="13068" xr:uid="{F8DD59B7-1A63-4AEB-B6D4-0CDC209D4153}"/>
    <cellStyle name="Note 18 8 6 2" xfId="35416" xr:uid="{384C6E2B-6932-4004-A22F-D37A51CF0A13}"/>
    <cellStyle name="Note 18 8 7" xfId="15078" xr:uid="{3397DB6E-ADB6-4488-BEB7-DBBF20D8E05A}"/>
    <cellStyle name="Note 18 8 7 2" xfId="36923" xr:uid="{35BFEDAF-B5FF-49D1-9254-E843DA02B5DF}"/>
    <cellStyle name="Note 18 8 8" xfId="14921" xr:uid="{865B3360-618C-49AA-8E18-9F4F99EE592D}"/>
    <cellStyle name="Note 18 8 8 2" xfId="36796" xr:uid="{3253EFDA-8653-415B-9BB6-1EA20325F051}"/>
    <cellStyle name="Note 18 8 9" xfId="7300" xr:uid="{6459E0F1-67D5-44A3-97B3-8297A3EA25EA}"/>
    <cellStyle name="Note 18 8 9 2" xfId="31664" xr:uid="{B8AE943C-8CF4-4DEA-9BEF-3F63FA5AE2E6}"/>
    <cellStyle name="Note 18 9" xfId="8154" xr:uid="{1E16546F-A1BF-4AEF-A99E-36CCE08E27C4}"/>
    <cellStyle name="Note 18 9 2" xfId="32396" xr:uid="{89F70015-738B-4A62-BDC3-BE91D0A3BCDD}"/>
    <cellStyle name="Note 18_Sheet2" xfId="2866" xr:uid="{0DE06020-0C1A-49E6-BC87-DFB9345679C7}"/>
    <cellStyle name="Note 19" xfId="2867" xr:uid="{E26656E2-4B0C-4454-8A67-AE84CF8D3F15}"/>
    <cellStyle name="Note 19 10" xfId="9258" xr:uid="{B3E74BDA-3559-41CC-877A-DE9D6B6A0BF2}"/>
    <cellStyle name="Note 19 10 2" xfId="33244" xr:uid="{B3F0AA89-3316-4DD9-B21D-D1DD9662245B}"/>
    <cellStyle name="Note 19 11" xfId="7762" xr:uid="{3C4EBC0D-0F2E-408F-8267-5681431A64FF}"/>
    <cellStyle name="Note 19 11 2" xfId="32058" xr:uid="{A8853F3A-4299-48F6-9C92-B95C1CC9DC1F}"/>
    <cellStyle name="Note 19 12" xfId="8858" xr:uid="{CE797EAE-C227-4172-BB25-C7AF350AC1A1}"/>
    <cellStyle name="Note 19 12 2" xfId="32980" xr:uid="{E41FA5A0-7B20-4516-B904-B679581DF04D}"/>
    <cellStyle name="Note 19 13" xfId="10432" xr:uid="{069CB355-0748-4E69-8546-18B349E2734C}"/>
    <cellStyle name="Note 19 13 2" xfId="34067" xr:uid="{F258640F-E5EB-46A0-93E6-7F707C79F37D}"/>
    <cellStyle name="Note 19 14" xfId="15079" xr:uid="{5BB3BE66-780B-49B1-81D3-47D964E30C14}"/>
    <cellStyle name="Note 19 14 2" xfId="36924" xr:uid="{469E6048-BDB5-4FF6-9B8D-615530E721FD}"/>
    <cellStyle name="Note 19 15" xfId="14920" xr:uid="{15AC6088-6728-483E-BFA2-6DA23A5BA17B}"/>
    <cellStyle name="Note 19 15 2" xfId="36795" xr:uid="{36934AC2-F52E-43A0-94DD-B876B675D164}"/>
    <cellStyle name="Note 19 16" xfId="7299" xr:uid="{C6F7A46A-81E0-4DD1-8DF1-59AAEC736B4A}"/>
    <cellStyle name="Note 19 16 2" xfId="31663" xr:uid="{0DFFD2EE-5884-469A-A43B-4FCE2A39FE8A}"/>
    <cellStyle name="Note 19 17" xfId="12270" xr:uid="{BE160F6D-832A-4EA0-9150-34F9B5254D70}"/>
    <cellStyle name="Note 19 17 2" xfId="34776" xr:uid="{5135A469-747A-4896-90E9-D5A24C815D3D}"/>
    <cellStyle name="Note 19 18" xfId="16630" xr:uid="{75F72774-3CA5-42BC-801A-C9EA6463E4C4}"/>
    <cellStyle name="Note 19 18 2" xfId="38123" xr:uid="{54A0CEA3-FB50-46D9-99B9-30E6D7A972B9}"/>
    <cellStyle name="Note 19 19" xfId="12715" xr:uid="{8D759E2F-338C-4483-B207-E6142A77E143}"/>
    <cellStyle name="Note 19 19 2" xfId="35128" xr:uid="{B128CCD0-76D8-48C9-B5FF-DBE4292E180D}"/>
    <cellStyle name="Note 19 2" xfId="2868" xr:uid="{F57A7C30-773F-4679-998F-14973D5A6FAB}"/>
    <cellStyle name="Note 19 2 10" xfId="12932" xr:uid="{C7BBF730-AC50-42EF-92A9-F63BAE3A3B94}"/>
    <cellStyle name="Note 19 2 10 2" xfId="35288" xr:uid="{49C8CC83-63B5-4D6F-871B-ECCA1AACC5FA}"/>
    <cellStyle name="Note 19 2 11" xfId="15427" xr:uid="{27AA6813-C275-4A2F-ABD1-D5B62219CDDD}"/>
    <cellStyle name="Note 19 2 11 2" xfId="37113" xr:uid="{36B73261-DC23-47FE-B25E-9DAA3118F037}"/>
    <cellStyle name="Note 19 2 12" xfId="14692" xr:uid="{3258FC10-87C5-4FE3-83E8-C83343D200CE}"/>
    <cellStyle name="Note 19 2 12 2" xfId="36604" xr:uid="{79F2BE93-04A1-4D80-B280-A47DF0BC23A4}"/>
    <cellStyle name="Note 19 2 13" xfId="12495" xr:uid="{10B51D7B-877B-49B6-9ABB-008CDF1205B7}"/>
    <cellStyle name="Note 19 2 13 2" xfId="34940" xr:uid="{7C6B72D9-0690-46F4-A9B1-66F815263A89}"/>
    <cellStyle name="Note 19 2 14" xfId="13674" xr:uid="{F6DBF51C-CAE9-47B0-A306-A24ECDC69831}"/>
    <cellStyle name="Note 19 2 14 2" xfId="35830" xr:uid="{20F04D06-6BFF-4F3A-B48D-5B35EF56B68A}"/>
    <cellStyle name="Note 19 2 15" xfId="17578" xr:uid="{9EC644DD-B8F2-45B1-8B04-13D290A742AA}"/>
    <cellStyle name="Note 19 2 15 2" xfId="38824" xr:uid="{9770F351-2087-4D8B-87F7-DE2F41FA6131}"/>
    <cellStyle name="Note 19 2 16" xfId="19369" xr:uid="{CFDCF1D2-797F-41E4-989D-76092D349578}"/>
    <cellStyle name="Note 19 2 16 2" xfId="40094" xr:uid="{3FAF292E-14CA-4B3B-A159-405C877D6D75}"/>
    <cellStyle name="Note 19 2 17" xfId="10030" xr:uid="{6D920C87-F02F-4347-B636-54A64D355134}"/>
    <cellStyle name="Note 19 2 17 2" xfId="33743" xr:uid="{FA0F7BEF-4BEF-4263-A0D2-B3B8954EF5D0}"/>
    <cellStyle name="Note 19 2 18" xfId="21455" xr:uid="{8CFB3474-0DA9-4387-8CAD-39A2CDBD09C6}"/>
    <cellStyle name="Note 19 2 18 2" xfId="41584" xr:uid="{48A4A9A1-FFE1-4250-830C-248B6BD286C1}"/>
    <cellStyle name="Note 19 2 19" xfId="21998" xr:uid="{4D719855-812D-41D0-AB62-72EE93D80BE8}"/>
    <cellStyle name="Note 19 2 19 2" xfId="41893" xr:uid="{50DFA2E2-DE35-466C-BD0F-56A0D13540C8}"/>
    <cellStyle name="Note 19 2 2" xfId="2869" xr:uid="{1ECA9AEC-CDC9-4A50-9DB6-13F454B5D6A3}"/>
    <cellStyle name="Note 19 2 2 10" xfId="15912" xr:uid="{50E0AF65-CBF7-49D8-971A-D1D758ABC675}"/>
    <cellStyle name="Note 19 2 2 10 2" xfId="37503" xr:uid="{1E9D8298-7423-45DA-B6D6-205C2B180963}"/>
    <cellStyle name="Note 19 2 2 11" xfId="12271" xr:uid="{D1CFBB4C-B9A9-4D42-80DA-F80D44A267A8}"/>
    <cellStyle name="Note 19 2 2 11 2" xfId="34777" xr:uid="{11CE0C1B-CB1F-4F67-955B-F08884E06A3B}"/>
    <cellStyle name="Note 19 2 2 12" xfId="16629" xr:uid="{67E57BC1-8F38-4FBB-BFBF-C21B13D77A4B}"/>
    <cellStyle name="Note 19 2 2 12 2" xfId="38122" xr:uid="{5959F686-4386-4596-A165-6F971000D226}"/>
    <cellStyle name="Note 19 2 2 13" xfId="15592" xr:uid="{1A60C62A-1614-47B3-A814-0B440C8ECBC9}"/>
    <cellStyle name="Note 19 2 2 13 2" xfId="37250" xr:uid="{925D32E3-33C7-4D07-88DB-27B3D3221C37}"/>
    <cellStyle name="Note 19 2 2 14" xfId="17581" xr:uid="{8CA5991F-C36E-464B-B60C-546A1AFB1701}"/>
    <cellStyle name="Note 19 2 2 14 2" xfId="38827" xr:uid="{705FC0C7-81B3-469F-AEBB-DFC309F41935}"/>
    <cellStyle name="Note 19 2 2 15" xfId="19773" xr:uid="{E8FB7208-D398-4CC4-8124-6F3AB22AD80E}"/>
    <cellStyle name="Note 19 2 2 15 2" xfId="40390" xr:uid="{E0BB547D-3AFC-4BDD-B70C-3B5556584F19}"/>
    <cellStyle name="Note 19 2 2 16" xfId="20278" xr:uid="{88E7C512-0C03-49FD-B524-4B0E25B2A5D6}"/>
    <cellStyle name="Note 19 2 2 16 2" xfId="40717" xr:uid="{110D3DC8-AC40-4873-AD83-600E4CE4BC61}"/>
    <cellStyle name="Note 19 2 2 17" xfId="19639" xr:uid="{4BA5D0E7-A80F-4F99-86BD-8D3A8725ECAE}"/>
    <cellStyle name="Note 19 2 2 17 2" xfId="40279" xr:uid="{386CCFEE-892C-40B3-9900-9EF6CA9D526A}"/>
    <cellStyle name="Note 19 2 2 18" xfId="25725" xr:uid="{93ECC1EE-BDEE-4C89-898C-71F10C980E1D}"/>
    <cellStyle name="Note 19 2 2 18 2" xfId="44562" xr:uid="{E1EB2376-6E6B-46F4-B844-48456938BA18}"/>
    <cellStyle name="Note 19 2 2 19" xfId="18932" xr:uid="{D5B6CDD0-B63F-459E-8D4C-672FF11F0099}"/>
    <cellStyle name="Note 19 2 2 19 2" xfId="39765" xr:uid="{0DE345D0-2645-411A-B59D-D26CE83EE130}"/>
    <cellStyle name="Note 19 2 2 2" xfId="2870" xr:uid="{3FDBD27A-3AED-4681-811F-F96154192C6C}"/>
    <cellStyle name="Note 19 2 2 2 10" xfId="14691" xr:uid="{8F162E60-BE1C-4EEF-8E03-70640AA5CB63}"/>
    <cellStyle name="Note 19 2 2 2 10 2" xfId="36603" xr:uid="{945C2E6A-FA13-4B75-9E5B-54E240B794ED}"/>
    <cellStyle name="Note 19 2 2 2 11" xfId="14068" xr:uid="{6660BA48-32DB-4902-B452-6E0BE164F1E5}"/>
    <cellStyle name="Note 19 2 2 2 11 2" xfId="36162" xr:uid="{6A0FF5A5-5571-4494-B96B-9EE801E23E8A}"/>
    <cellStyle name="Note 19 2 2 2 12" xfId="14577" xr:uid="{37B028B5-4963-4895-9FA2-10ABC9E0B48B}"/>
    <cellStyle name="Note 19 2 2 2 12 2" xfId="36495" xr:uid="{9CE46413-C6D7-422A-8DB3-19DA31B700A9}"/>
    <cellStyle name="Note 19 2 2 2 13" xfId="15454" xr:uid="{74D03D75-04BD-4A6E-B12B-100459A4E6FF}"/>
    <cellStyle name="Note 19 2 2 2 13 2" xfId="37123" xr:uid="{F3DF66DE-E4F1-43CD-9DC3-6572EDBF6AB8}"/>
    <cellStyle name="Note 19 2 2 2 14" xfId="15718" xr:uid="{4114421B-B5A5-48F3-A32D-B3660700BFD4}"/>
    <cellStyle name="Note 19 2 2 2 14 2" xfId="37349" xr:uid="{60F5A809-2DF4-4372-8793-DBB4EBCE62AD}"/>
    <cellStyle name="Note 19 2 2 2 15" xfId="18425" xr:uid="{09CA2868-7CE6-43FF-B007-C782CBFFDBB3}"/>
    <cellStyle name="Note 19 2 2 2 15 2" xfId="39436" xr:uid="{D0763401-0ED5-4E6E-B6A2-5A76B3289790}"/>
    <cellStyle name="Note 19 2 2 2 16" xfId="21454" xr:uid="{A6C6053A-0199-40F1-A974-770AECA77B3D}"/>
    <cellStyle name="Note 19 2 2 2 16 2" xfId="41583" xr:uid="{00ABC75C-9559-456F-AF89-87DFB7CDFF6C}"/>
    <cellStyle name="Note 19 2 2 2 17" xfId="18335" xr:uid="{28A510AC-B1F2-4DDF-9596-552FB6989A75}"/>
    <cellStyle name="Note 19 2 2 2 17 2" xfId="39366" xr:uid="{8EB4B588-94A8-40BF-AC67-64C355471F75}"/>
    <cellStyle name="Note 19 2 2 2 18" xfId="20718" xr:uid="{CF382C72-24EF-4D2C-B40D-89B1B8545A2F}"/>
    <cellStyle name="Note 19 2 2 2 18 2" xfId="41078" xr:uid="{6D4DF052-33AC-4DE9-81FC-CB0034013865}"/>
    <cellStyle name="Note 19 2 2 2 19" xfId="22890" xr:uid="{CD040465-9D5F-43FD-940A-B46DCD3097D3}"/>
    <cellStyle name="Note 19 2 2 2 19 2" xfId="42608" xr:uid="{25144393-7131-448D-A33A-851C996B53F7}"/>
    <cellStyle name="Note 19 2 2 2 2" xfId="8135" xr:uid="{5A4C8DEB-C06C-4737-B590-1EE4F6B9D8A2}"/>
    <cellStyle name="Note 19 2 2 2 2 2" xfId="32377" xr:uid="{E186C332-0595-4309-B375-7C1A44844D9D}"/>
    <cellStyle name="Note 19 2 2 2 20" xfId="24938" xr:uid="{3F1BB8E7-A223-4BBD-8A4D-DA4B523BCCC1}"/>
    <cellStyle name="Note 19 2 2 2 20 2" xfId="44020" xr:uid="{7E527F20-3E7F-460A-AAE3-892EDA5FC7E9}"/>
    <cellStyle name="Note 19 2 2 2 21" xfId="15415" xr:uid="{24A842AB-F881-4010-8AB7-91BE69B7F018}"/>
    <cellStyle name="Note 19 2 2 2 21 2" xfId="37105" xr:uid="{1E5868A5-9A7D-4F96-8E79-1D0EEB5117EC}"/>
    <cellStyle name="Note 19 2 2 2 22" xfId="19562" xr:uid="{B6BEA5FE-DF51-4131-9DD2-3DEF6AA57883}"/>
    <cellStyle name="Note 19 2 2 2 22 2" xfId="40220" xr:uid="{D3B1FEE1-8EC8-406A-9E20-2A604A2388EF}"/>
    <cellStyle name="Note 19 2 2 2 23" xfId="28637" xr:uid="{C3FAADCA-EECB-4245-96A1-C43964B114B2}"/>
    <cellStyle name="Note 19 2 2 2 23 2" xfId="46371" xr:uid="{F530FF1C-A9A8-4553-84CA-924CB69B055E}"/>
    <cellStyle name="Note 19 2 2 2 24" xfId="23400" xr:uid="{D67104BD-0B94-4B46-A9E5-4D7E054D37A1}"/>
    <cellStyle name="Note 19 2 2 2 24 2" xfId="42922" xr:uid="{F11F0E04-895A-48AB-A9A7-B7A88F6F2937}"/>
    <cellStyle name="Note 19 2 2 2 25" xfId="25548" xr:uid="{2D13C611-BB87-4EBC-A321-6EEDCFC863A2}"/>
    <cellStyle name="Note 19 2 2 2 25 2" xfId="44422" xr:uid="{60C5F451-E61D-4C15-BA28-A87BD0043F05}"/>
    <cellStyle name="Note 19 2 2 2 26" xfId="28670" xr:uid="{EC698837-E02E-48C4-AFA3-1A41052B35D3}"/>
    <cellStyle name="Note 19 2 2 2 26 2" xfId="46404" xr:uid="{FB62842D-04B4-4817-9BF7-794CC8564A05}"/>
    <cellStyle name="Note 19 2 2 2 27" xfId="29579" xr:uid="{E846FA32-0166-4603-A899-CC7D6DFC152A}"/>
    <cellStyle name="Note 19 2 2 2 27 2" xfId="46974" xr:uid="{6F863DE1-795D-496F-B5A7-186DD476E236}"/>
    <cellStyle name="Note 19 2 2 2 28" xfId="6402" xr:uid="{F1E34FF4-1FF4-4E2E-8D7F-48E6D5E3CFF9}"/>
    <cellStyle name="Note 19 2 2 2 3" xfId="9261" xr:uid="{2B763564-C4FF-4CFE-B8D8-ED8D463CE574}"/>
    <cellStyle name="Note 19 2 2 2 3 2" xfId="33247" xr:uid="{489E9918-826D-4785-BC27-929A4DA2FCFD}"/>
    <cellStyle name="Note 19 2 2 2 4" xfId="7758" xr:uid="{42E2B511-B251-4E55-A6DC-D09095D44DB1}"/>
    <cellStyle name="Note 19 2 2 2 4 2" xfId="32055" xr:uid="{07408E89-1D29-4A41-9F93-0F76D6F7ACDB}"/>
    <cellStyle name="Note 19 2 2 2 5" xfId="8855" xr:uid="{AC42A374-4A66-415F-BB04-6D574FEDFDE8}"/>
    <cellStyle name="Note 19 2 2 2 5 2" xfId="32977" xr:uid="{8F61C05D-0695-45A3-8908-55C7B5C3B97B}"/>
    <cellStyle name="Note 19 2 2 2 6" xfId="10398" xr:uid="{9CBD5C96-16EB-4E47-9282-9F0D41E24328}"/>
    <cellStyle name="Note 19 2 2 2 6 2" xfId="34033" xr:uid="{C8DEBFF9-74D2-4137-BE89-63EA7F18B1D8}"/>
    <cellStyle name="Note 19 2 2 2 7" xfId="13376" xr:uid="{4CDF57E9-5B88-428E-BDC1-F269EBF14C47}"/>
    <cellStyle name="Note 19 2 2 2 7 2" xfId="35683" xr:uid="{0845F5B8-D8DB-406B-BB85-D8AD19A6BB51}"/>
    <cellStyle name="Note 19 2 2 2 8" xfId="10547" xr:uid="{32D09030-7EAF-4D3C-BFE1-E912F03B6B38}"/>
    <cellStyle name="Note 19 2 2 2 8 2" xfId="34173" xr:uid="{7D635FE0-E9AC-44EC-B9EF-59DF63E55F39}"/>
    <cellStyle name="Note 19 2 2 2 9" xfId="16180" xr:uid="{C593CF2A-DD22-469D-9821-29C436D0376B}"/>
    <cellStyle name="Note 19 2 2 2 9 2" xfId="37740" xr:uid="{4660D4BC-AF1E-45C6-A953-9D97CA363A46}"/>
    <cellStyle name="Note 19 2 2 20" xfId="24770" xr:uid="{B95F01E7-7196-47E5-816E-43E004978069}"/>
    <cellStyle name="Note 19 2 2 20 2" xfId="43915" xr:uid="{0D6837A6-68A7-44BD-B762-A6EC166630DF}"/>
    <cellStyle name="Note 19 2 2 21" xfId="24941" xr:uid="{3B7AD5C5-3C9B-4577-AB6B-3F331868B301}"/>
    <cellStyle name="Note 19 2 2 21 2" xfId="44023" xr:uid="{D0D9B2C6-4A54-44F0-9171-E70DF09335C9}"/>
    <cellStyle name="Note 19 2 2 22" xfId="22762" xr:uid="{58906BBB-4E92-4DBB-B105-7BA7ED66DC16}"/>
    <cellStyle name="Note 19 2 2 22 2" xfId="42519" xr:uid="{F5CDF01D-804F-4B0D-9E6E-AAD3BDA484D4}"/>
    <cellStyle name="Note 19 2 2 23" xfId="27386" xr:uid="{BA75012A-42F0-4C9E-AADF-46CC400A2B63}"/>
    <cellStyle name="Note 19 2 2 23 2" xfId="45643" xr:uid="{7362A1D4-1211-4921-8887-1C5D9F7A3268}"/>
    <cellStyle name="Note 19 2 2 24" xfId="29752" xr:uid="{2D9AC7BE-B74C-4380-8D7B-32BAC164C4FB}"/>
    <cellStyle name="Note 19 2 2 24 2" xfId="47071" xr:uid="{18D7D12D-0799-4813-90BC-204EAE8B43B4}"/>
    <cellStyle name="Note 19 2 2 25" xfId="30298" xr:uid="{E759F6D8-9B7E-4A5A-B19C-FECFF113610B}"/>
    <cellStyle name="Note 19 2 2 25 2" xfId="47446" xr:uid="{E309B4BC-681D-4F1A-B1B2-2EEB49B94216}"/>
    <cellStyle name="Note 19 2 2 26" xfId="25471" xr:uid="{B048A5D9-C891-4736-8568-91809D299844}"/>
    <cellStyle name="Note 19 2 2 26 2" xfId="44355" xr:uid="{440FBC82-894C-4C65-8C12-15C1BE853CF4}"/>
    <cellStyle name="Note 19 2 2 27" xfId="23048" xr:uid="{1D299FF2-7F9B-4995-A964-DC95916BA0DE}"/>
    <cellStyle name="Note 19 2 2 27 2" xfId="42682" xr:uid="{B9AC96C9-9343-446A-ACD4-6A23F5F97B93}"/>
    <cellStyle name="Note 19 2 2 28" xfId="28977" xr:uid="{CBC38D8D-6506-4D25-BEE8-DE3670752B8E}"/>
    <cellStyle name="Note 19 2 2 28 2" xfId="46571" xr:uid="{49266531-77D3-4D87-ABD5-E6E5E0400530}"/>
    <cellStyle name="Note 19 2 2 29" xfId="6401" xr:uid="{75375AF6-82E8-4219-B24A-6416FB8E1153}"/>
    <cellStyle name="Note 19 2 2 3" xfId="8136" xr:uid="{38188B87-BBC6-4104-9D35-3AF396B3A109}"/>
    <cellStyle name="Note 19 2 2 3 2" xfId="32378" xr:uid="{C4DFA5B5-4E9B-4728-8848-75E345A5FA0E}"/>
    <cellStyle name="Note 19 2 2 4" xfId="9260" xr:uid="{6CAC85DF-B613-4649-B02E-F742D48CF3F7}"/>
    <cellStyle name="Note 19 2 2 4 2" xfId="33246" xr:uid="{931750F9-3397-4201-B272-BBCCE4A69E6F}"/>
    <cellStyle name="Note 19 2 2 5" xfId="7760" xr:uid="{DFD767A3-F3B8-4369-ABBB-076962D9523D}"/>
    <cellStyle name="Note 19 2 2 5 2" xfId="32056" xr:uid="{6BDAA4E6-4BD1-41D5-915C-1526C909FD43}"/>
    <cellStyle name="Note 19 2 2 6" xfId="8856" xr:uid="{B52046A3-D3F2-49CE-8E77-49F04B07E7E3}"/>
    <cellStyle name="Note 19 2 2 6 2" xfId="32978" xr:uid="{01A9BB01-D1C6-454C-A34F-7FC887F2ED8F}"/>
    <cellStyle name="Note 19 2 2 7" xfId="13067" xr:uid="{219D2B01-E24D-49B0-A486-0555D7194F37}"/>
    <cellStyle name="Note 19 2 2 7 2" xfId="35415" xr:uid="{DE854499-E572-4505-A4D4-37B5E70ED041}"/>
    <cellStyle name="Note 19 2 2 8" xfId="13379" xr:uid="{A49C0288-C188-4978-A50C-58B4F9E7F377}"/>
    <cellStyle name="Note 19 2 2 8 2" xfId="35686" xr:uid="{7F637E9A-958D-4ADB-8931-91BA2062E97D}"/>
    <cellStyle name="Note 19 2 2 9" xfId="14919" xr:uid="{8992040A-6DD0-472E-9F01-C927F5A620D0}"/>
    <cellStyle name="Note 19 2 2 9 2" xfId="36794" xr:uid="{688C3C92-1A48-4841-B608-E372C2598164}"/>
    <cellStyle name="Note 19 2 20" xfId="20717" xr:uid="{12B677E8-9949-4FA3-9A34-26E4CD859B94}"/>
    <cellStyle name="Note 19 2 20 2" xfId="41077" xr:uid="{46C50809-F805-430A-AEF0-C1FC5B0AA3F2}"/>
    <cellStyle name="Note 19 2 21" xfId="20391" xr:uid="{40462ABB-FAF7-4D33-8933-9A03A2F1570B}"/>
    <cellStyle name="Note 19 2 21 2" xfId="40813" xr:uid="{DD99E4DA-CC36-4C59-90DA-54383A7487AC}"/>
    <cellStyle name="Note 19 2 22" xfId="23303" xr:uid="{A34D12B5-2509-428A-8042-1541F26A565E}"/>
    <cellStyle name="Note 19 2 22 2" xfId="42875" xr:uid="{5A53473B-7CD0-4170-A3E3-CF471D82BEB2}"/>
    <cellStyle name="Note 19 2 23" xfId="24563" xr:uid="{D33F6430-C5E4-47C5-A6EA-6DDEF4F627C0}"/>
    <cellStyle name="Note 19 2 23 2" xfId="43746" xr:uid="{BDC787DC-65D9-4FA6-A15B-8FBEE3A4EF03}"/>
    <cellStyle name="Note 19 2 24" xfId="17791" xr:uid="{091C0AD7-55CD-4195-BE3B-DFD1D2317F4D}"/>
    <cellStyle name="Note 19 2 24 2" xfId="38919" xr:uid="{D8981D5A-C612-4CC3-A8BF-EA37D1CC91AA}"/>
    <cellStyle name="Note 19 2 25" xfId="25652" xr:uid="{19DCD56C-706B-4943-86ED-7847703419E6}"/>
    <cellStyle name="Note 19 2 25 2" xfId="44497" xr:uid="{376C064E-312F-4343-92DB-FA04D7FD0110}"/>
    <cellStyle name="Note 19 2 26" xfId="23903" xr:uid="{BBECEC5B-60D2-4142-A97E-76495D9A67ED}"/>
    <cellStyle name="Note 19 2 26 2" xfId="43281" xr:uid="{24151642-971F-4A5F-B7FC-599B5D41EC94}"/>
    <cellStyle name="Note 19 2 27" xfId="24389" xr:uid="{19A5ADA3-87FE-4C63-B94C-C196DE4784D1}"/>
    <cellStyle name="Note 19 2 27 2" xfId="43630" xr:uid="{50C4224C-7611-4F69-BFDF-5F78AA4A7AF9}"/>
    <cellStyle name="Note 19 2 28" xfId="28669" xr:uid="{7E003160-048B-4F78-87F1-F69B1D9DC9B0}"/>
    <cellStyle name="Note 19 2 28 2" xfId="46403" xr:uid="{8A28D801-E6FF-4B84-BE0A-E76603D77D45}"/>
    <cellStyle name="Note 19 2 29" xfId="27018" xr:uid="{7F9551EA-D505-4DE8-8CA9-F5335BFCE8BA}"/>
    <cellStyle name="Note 19 2 29 2" xfId="45421" xr:uid="{A30DFF1F-899F-41C7-AD14-C0685E5CB4E2}"/>
    <cellStyle name="Note 19 2 3" xfId="2871" xr:uid="{8D5B1A5F-0BE5-4F93-8921-18F91A8BDC45}"/>
    <cellStyle name="Note 19 2 3 10" xfId="12272" xr:uid="{1EAC04FD-FDC2-4216-9F7E-1DBC4590C0B5}"/>
    <cellStyle name="Note 19 2 3 10 2" xfId="34778" xr:uid="{6BF3777C-6567-4D73-94B3-5FB0DB0760BB}"/>
    <cellStyle name="Note 19 2 3 11" xfId="12511" xr:uid="{02A68A6F-65D6-477C-AF62-5FCF76FF5C3F}"/>
    <cellStyle name="Note 19 2 3 11 2" xfId="34955" xr:uid="{F74DA866-61FE-48A6-B321-118DAD227D00}"/>
    <cellStyle name="Note 19 2 3 12" xfId="13855" xr:uid="{883E23E7-9F5E-4B48-BAFD-81072843A907}"/>
    <cellStyle name="Note 19 2 3 12 2" xfId="35978" xr:uid="{F43AAC34-25A0-40B1-9F82-735E3478304F}"/>
    <cellStyle name="Note 19 2 3 13" xfId="17580" xr:uid="{7AC20C75-903C-4532-A860-0810C65D0E8B}"/>
    <cellStyle name="Note 19 2 3 13 2" xfId="38826" xr:uid="{70482C8F-39AD-4A8A-983B-7AADB99AC909}"/>
    <cellStyle name="Note 19 2 3 14" xfId="17970" xr:uid="{33AD2069-C05A-4B34-975C-B953C329E7F8}"/>
    <cellStyle name="Note 19 2 3 14 2" xfId="39068" xr:uid="{1D24CB9B-9C4D-4012-B811-356F8D1EDEE5}"/>
    <cellStyle name="Note 19 2 3 15" xfId="18423" xr:uid="{C45142C6-57CC-487F-9DCE-7C2A2C2FF619}"/>
    <cellStyle name="Note 19 2 3 15 2" xfId="39434" xr:uid="{88440DCD-920E-4DF5-8D1F-EC93E9034D6B}"/>
    <cellStyle name="Note 19 2 3 16" xfId="19638" xr:uid="{CA8DE3E7-7E97-47F0-8400-560CE285A3FA}"/>
    <cellStyle name="Note 19 2 3 16 2" xfId="40278" xr:uid="{A004FAFB-95F8-4CDD-B616-8E5D792DE4BF}"/>
    <cellStyle name="Note 19 2 3 17" xfId="25728" xr:uid="{AF1BA1A4-8C6C-4572-9486-E61682D4302A}"/>
    <cellStyle name="Note 19 2 3 17 2" xfId="44565" xr:uid="{FECDC450-6F7F-4C35-8A94-665B016CE6C1}"/>
    <cellStyle name="Note 19 2 3 18" xfId="17070" xr:uid="{56F7685E-8F91-43DB-B4C5-A87E65DC3200}"/>
    <cellStyle name="Note 19 2 3 18 2" xfId="38409" xr:uid="{5AB4696C-797A-4AD1-97B6-B927432B9A43}"/>
    <cellStyle name="Note 19 2 3 19" xfId="24769" xr:uid="{2BFA47AE-0DA2-4372-B983-D2AA88D2858B}"/>
    <cellStyle name="Note 19 2 3 19 2" xfId="43914" xr:uid="{E347264B-5046-40AB-AF20-180F7F225BFF}"/>
    <cellStyle name="Note 19 2 3 2" xfId="8134" xr:uid="{33F8B96A-926D-43A8-9650-F0237E552649}"/>
    <cellStyle name="Note 19 2 3 2 2" xfId="32376" xr:uid="{8721D8FE-664B-43BB-A19B-5C43C98E99EF}"/>
    <cellStyle name="Note 19 2 3 20" xfId="23300" xr:uid="{F3246128-470C-4429-B987-F20441663DAF}"/>
    <cellStyle name="Note 19 2 3 20 2" xfId="42872" xr:uid="{9F598BC1-63FF-4438-8F1F-0E260531546B}"/>
    <cellStyle name="Note 19 2 3 21" xfId="25291" xr:uid="{DA2203E0-2AFA-447D-94B9-BBDEB3B80D85}"/>
    <cellStyle name="Note 19 2 3 21 2" xfId="44207" xr:uid="{1DA33473-6632-46EA-8BAB-755F098CD8F4}"/>
    <cellStyle name="Note 19 2 3 22" xfId="26322" xr:uid="{EB148193-9610-43E6-BD9A-243CA5077023}"/>
    <cellStyle name="Note 19 2 3 22 2" xfId="45007" xr:uid="{EF3AC110-2B6E-40AA-BF42-E3871EE16900}"/>
    <cellStyle name="Note 19 2 3 23" xfId="27174" xr:uid="{6F884D53-8E70-462A-83B0-7B25F3194940}"/>
    <cellStyle name="Note 19 2 3 23 2" xfId="45515" xr:uid="{F9793323-0AE0-4D3F-BB4E-2211EA79DE51}"/>
    <cellStyle name="Note 19 2 3 24" xfId="30297" xr:uid="{772B937F-8187-41C9-BC92-D5F0C21431E7}"/>
    <cellStyle name="Note 19 2 3 24 2" xfId="47445" xr:uid="{577C0F8E-2896-40DF-9B8D-EFE72A730B16}"/>
    <cellStyle name="Note 19 2 3 25" xfId="23606" xr:uid="{AE67AB72-93E4-497C-AE86-B29A3EA57D32}"/>
    <cellStyle name="Note 19 2 3 25 2" xfId="43041" xr:uid="{232EA234-C302-4875-AA69-26EA3E917B1C}"/>
    <cellStyle name="Note 19 2 3 26" xfId="20432" xr:uid="{07C34FFE-0935-4FC3-BAD8-B371FDEDB2E1}"/>
    <cellStyle name="Note 19 2 3 26 2" xfId="40834" xr:uid="{4EC2AACD-D6B3-474F-ADC3-4D05D2574BDA}"/>
    <cellStyle name="Note 19 2 3 27" xfId="28305" xr:uid="{EFE6DE86-42A1-4EDA-B3F6-95572B3FE5F3}"/>
    <cellStyle name="Note 19 2 3 27 2" xfId="46172" xr:uid="{0DD96A16-822C-4A11-AEC0-73C26D1A7887}"/>
    <cellStyle name="Note 19 2 3 28" xfId="6403" xr:uid="{0BA9B903-A922-489F-8237-33D5AA5BE6B0}"/>
    <cellStyle name="Note 19 2 3 3" xfId="9262" xr:uid="{5DF927EE-EBB7-4FAE-A0D1-91D63FB0CEB5}"/>
    <cellStyle name="Note 19 2 3 3 2" xfId="33248" xr:uid="{26CA112D-3321-4C3D-9455-F18611113576}"/>
    <cellStyle name="Note 19 2 3 4" xfId="7757" xr:uid="{2E898754-B7B4-4EA7-B9D2-8262487C02FD}"/>
    <cellStyle name="Note 19 2 3 4 2" xfId="32054" xr:uid="{2A9CDC1F-9305-48E6-89EF-366BB26A4619}"/>
    <cellStyle name="Note 19 2 3 5" xfId="8854" xr:uid="{717F96A8-CEC2-41E9-B120-D63E7218E725}"/>
    <cellStyle name="Note 19 2 3 5 2" xfId="32976" xr:uid="{3F4268D2-B91B-42F6-BED5-54A8F54D8174}"/>
    <cellStyle name="Note 19 2 3 6" xfId="13066" xr:uid="{E587CF4D-900B-41BA-B951-EDE3B87D01D6}"/>
    <cellStyle name="Note 19 2 3 6 2" xfId="35414" xr:uid="{8339B7D0-469C-4A4C-890B-A02957400F6F}"/>
    <cellStyle name="Note 19 2 3 7" xfId="8550" xr:uid="{B55C98E0-9607-4267-8E28-BD9DA3298018}"/>
    <cellStyle name="Note 19 2 3 7 2" xfId="32737" xr:uid="{E45A8F5F-3F3D-48FC-AEBE-3A89724CE25E}"/>
    <cellStyle name="Note 19 2 3 8" xfId="14918" xr:uid="{1BF6E5F6-3FEC-4494-825F-FA13961E1251}"/>
    <cellStyle name="Note 19 2 3 8 2" xfId="36793" xr:uid="{21165C58-8734-4C04-8573-C06FBD0FBB1F}"/>
    <cellStyle name="Note 19 2 3 9" xfId="11728" xr:uid="{6C2B9EAF-1651-4587-8F80-207392023F29}"/>
    <cellStyle name="Note 19 2 3 9 2" xfId="34341" xr:uid="{17F7B373-5A31-44B1-B722-02C1688C513F}"/>
    <cellStyle name="Note 19 2 30" xfId="6400" xr:uid="{AD51EF30-AB70-40F1-978F-0E025DB81279}"/>
    <cellStyle name="Note 19 2 4" xfId="8137" xr:uid="{5C3750B1-F1E5-4D5E-A3EE-E65ECFBFAF56}"/>
    <cellStyle name="Note 19 2 4 2" xfId="32379" xr:uid="{AA42F6E7-EAAC-44DF-B6E4-54BF88A8B5BE}"/>
    <cellStyle name="Note 19 2 5" xfId="9259" xr:uid="{681DAE8B-17B6-4E03-A7F5-CF5DF1849B39}"/>
    <cellStyle name="Note 19 2 5 2" xfId="33245" xr:uid="{67D85404-5FFA-41FD-926F-A558AC760752}"/>
    <cellStyle name="Note 19 2 6" xfId="7761" xr:uid="{A0D362EE-4DE7-419A-8081-5000596A2016}"/>
    <cellStyle name="Note 19 2 6 2" xfId="32057" xr:uid="{B9E63CB6-04AA-4D4C-A71B-90A3826FE2CB}"/>
    <cellStyle name="Note 19 2 7" xfId="8857" xr:uid="{4D2DBAC7-8360-48AC-8730-11CAF32AF19B}"/>
    <cellStyle name="Note 19 2 7 2" xfId="32979" xr:uid="{62C6A215-A195-454D-8C2B-8DD0BF3F4DF1}"/>
    <cellStyle name="Note 19 2 8" xfId="14361" xr:uid="{852ACEA3-7C41-4E82-8CEB-C4CD19274DA5}"/>
    <cellStyle name="Note 19 2 8 2" xfId="36387" xr:uid="{E1DC8BC3-A525-458D-9333-070F52A1BD84}"/>
    <cellStyle name="Note 19 2 9" xfId="15076" xr:uid="{D0D20560-05A7-41AF-A319-0FF586C276E6}"/>
    <cellStyle name="Note 19 2 9 2" xfId="36921" xr:uid="{1D7BB452-8CCC-471D-8426-E474505CA310}"/>
    <cellStyle name="Note 19 2_Sheet2" xfId="2872" xr:uid="{D3D1994E-AC0E-4C93-8F9E-93FE3D6FBD21}"/>
    <cellStyle name="Note 19 20" xfId="9856" xr:uid="{37B6C91F-D3FB-4A61-8613-0D6D06D2C7E1}"/>
    <cellStyle name="Note 19 20 2" xfId="33602" xr:uid="{34C16874-76D0-4DA6-93FA-528D7FA3049D}"/>
    <cellStyle name="Note 19 21" xfId="19774" xr:uid="{A52954A3-0E70-4548-8CE9-39E189887FC4}"/>
    <cellStyle name="Note 19 21 2" xfId="40391" xr:uid="{9635E3F5-61A7-4803-8F38-58BEC59AC66B}"/>
    <cellStyle name="Note 19 22" xfId="16709" xr:uid="{6D207D92-E6B3-494B-829C-B2DBF4482691}"/>
    <cellStyle name="Note 19 22 2" xfId="38199" xr:uid="{EAB64CAE-A190-4044-B6CF-4CB934AA5F21}"/>
    <cellStyle name="Note 19 23" xfId="15700" xr:uid="{45DC9D6F-1641-43E9-878E-670E9E918522}"/>
    <cellStyle name="Note 19 23 2" xfId="37334" xr:uid="{F0742FDF-AA5C-4760-B591-C4EC0101DB31}"/>
    <cellStyle name="Note 19 24" xfId="17912" xr:uid="{598E8679-352E-4382-85C2-4D982C30F6CE}"/>
    <cellStyle name="Note 19 24 2" xfId="39019" xr:uid="{F4F99FF6-ED27-4BAB-B15D-DB1AED5917B0}"/>
    <cellStyle name="Note 19 25" xfId="15359" xr:uid="{BCF2C197-B022-4488-932F-15A3740A3431}"/>
    <cellStyle name="Note 19 25 2" xfId="37059" xr:uid="{E2D68A06-7118-477F-8E24-3143D91FF997}"/>
    <cellStyle name="Note 19 26" xfId="24771" xr:uid="{26449B4B-2DAE-49E7-AFCE-DBA57C02D530}"/>
    <cellStyle name="Note 19 26 2" xfId="43916" xr:uid="{E77D04AD-4F3F-40F5-9305-5BB1C3451C25}"/>
    <cellStyle name="Note 19 27" xfId="24940" xr:uid="{6230B5CB-D0AE-440A-8A8B-A7156C71BFEE}"/>
    <cellStyle name="Note 19 27 2" xfId="44022" xr:uid="{A4E8DF4B-0011-47F0-9FBA-CBFBF0612ADD}"/>
    <cellStyle name="Note 19 28" xfId="25290" xr:uid="{FC6A3CD1-2741-48BB-B462-CA703EC36CA3}"/>
    <cellStyle name="Note 19 28 2" xfId="44206" xr:uid="{5D9472AB-026B-4A20-81AA-FE363793A343}"/>
    <cellStyle name="Note 19 29" xfId="26556" xr:uid="{CA7A148A-8C8C-4337-845F-4BB9438A1706}"/>
    <cellStyle name="Note 19 29 2" xfId="45125" xr:uid="{AE4B0232-A5AF-4E0A-A37C-A5ACD7C02B28}"/>
    <cellStyle name="Note 19 3" xfId="2873" xr:uid="{1E5A1607-348F-4D7A-ADCB-5B8E94025577}"/>
    <cellStyle name="Note 19 3 10" xfId="11727" xr:uid="{83D64AE7-9CD0-44FD-ACFB-669EFCCD177C}"/>
    <cellStyle name="Note 19 3 10 2" xfId="34340" xr:uid="{09BE374F-847F-4F4B-A220-D33B111CDE40}"/>
    <cellStyle name="Note 19 3 11" xfId="16006" xr:uid="{8AF55A26-000D-4C7B-A866-D83CC3B27D9A}"/>
    <cellStyle name="Note 19 3 11 2" xfId="37589" xr:uid="{E8DBFC34-8903-482C-AEB2-A06ED2D37279}"/>
    <cellStyle name="Note 19 3 12" xfId="12496" xr:uid="{8E9CAFF2-A8CA-4502-8179-12C2BAA0EC2F}"/>
    <cellStyle name="Note 19 3 12 2" xfId="34941" xr:uid="{60D5A527-D28A-48EC-9B0B-CC5C63567259}"/>
    <cellStyle name="Note 19 3 13" xfId="15593" xr:uid="{F1974E69-CA9A-4A0A-BF91-8BDF1DBEA056}"/>
    <cellStyle name="Note 19 3 13 2" xfId="37251" xr:uid="{1CD8BC32-F572-4388-B9BA-8B1FC7ED9894}"/>
    <cellStyle name="Note 19 3 14" xfId="17579" xr:uid="{062F9A55-55DF-4E7B-8C70-778E7B0FAA3C}"/>
    <cellStyle name="Note 19 3 14 2" xfId="38825" xr:uid="{1D4366FC-1AB4-4B97-9BDA-C493F70EA2E0}"/>
    <cellStyle name="Note 19 3 15" xfId="19772" xr:uid="{826202D2-DAC4-4162-833F-961FE417D7EA}"/>
    <cellStyle name="Note 19 3 15 2" xfId="40389" xr:uid="{A0373064-B537-4FA3-88AC-3907B5BD3FB2}"/>
    <cellStyle name="Note 19 3 16" xfId="16694" xr:uid="{1BF47CD1-CE2D-4723-A69B-679AE7F14FE1}"/>
    <cellStyle name="Note 19 3 16 2" xfId="38185" xr:uid="{A7776B98-24F3-47CD-BCEA-3FE1355A875C}"/>
    <cellStyle name="Note 19 3 17" xfId="13607" xr:uid="{6C0CC27B-AA51-4674-B5CC-822B30E55655}"/>
    <cellStyle name="Note 19 3 17 2" xfId="35777" xr:uid="{CA78C23B-5267-4095-8487-8FCC62060D3E}"/>
    <cellStyle name="Note 19 3 18" xfId="25727" xr:uid="{4123D141-985B-40C2-9143-74181E202D00}"/>
    <cellStyle name="Note 19 3 18 2" xfId="44564" xr:uid="{42EB525C-71EC-4015-9000-9A217BCDE993}"/>
    <cellStyle name="Note 19 3 19" xfId="20720" xr:uid="{4B6D1AF1-DF98-474B-AE6C-6DC2B69BE24B}"/>
    <cellStyle name="Note 19 3 19 2" xfId="41080" xr:uid="{9217F5A2-3186-4B67-920A-057CBC49FB7F}"/>
    <cellStyle name="Note 19 3 2" xfId="2874" xr:uid="{A08C2CFD-AB3A-4598-8736-4AF85AF39119}"/>
    <cellStyle name="Note 19 3 2 10" xfId="12273" xr:uid="{02B267DC-B129-4B2F-A4EF-8997FE475A09}"/>
    <cellStyle name="Note 19 3 2 10 2" xfId="34779" xr:uid="{CBB1E764-2722-4EF2-91B9-7BC900CF6232}"/>
    <cellStyle name="Note 19 3 2 11" xfId="16628" xr:uid="{98176B67-562F-469D-A294-1D0AEF074443}"/>
    <cellStyle name="Note 19 3 2 11 2" xfId="38121" xr:uid="{484EE4F2-2A7F-4D65-8B73-B3E0953911E1}"/>
    <cellStyle name="Note 19 3 2 12" xfId="15316" xr:uid="{E29E9680-9382-4241-B77B-3B744C95A522}"/>
    <cellStyle name="Note 19 3 2 12 2" xfId="37020" xr:uid="{355AD786-6677-4FB8-B2FE-DCAB7ED5F38D}"/>
    <cellStyle name="Note 19 3 2 13" xfId="22503" xr:uid="{727B82A8-B588-4258-9D89-EDAD6B4B1640}"/>
    <cellStyle name="Note 19 3 2 13 2" xfId="42302" xr:uid="{CCAB9E5A-5828-454C-8BF0-37C43B47C7F9}"/>
    <cellStyle name="Note 19 3 2 14" xfId="17969" xr:uid="{62117042-BE8F-4D2E-895E-8DB191D8A661}"/>
    <cellStyle name="Note 19 3 2 14 2" xfId="39067" xr:uid="{9C041F4D-E380-4F54-9A1C-E4A5BB05955A}"/>
    <cellStyle name="Note 19 3 2 15" xfId="20030" xr:uid="{F50973BB-C0FA-4BEE-9852-CFD1E9C95D39}"/>
    <cellStyle name="Note 19 3 2 15 2" xfId="40596" xr:uid="{47CD278F-9A38-48AC-BB03-94F66D08B576}"/>
    <cellStyle name="Note 19 3 2 16" xfId="21453" xr:uid="{C2BEF7AC-A1B4-4E7B-98E7-ACD34A9EC9DB}"/>
    <cellStyle name="Note 19 3 2 16 2" xfId="41582" xr:uid="{1C6064CC-67F4-4195-A8B1-A2ECAF44F1E9}"/>
    <cellStyle name="Note 19 3 2 17" xfId="15817" xr:uid="{9D2FABEB-0404-43F1-BB54-AAD3CF05579D}"/>
    <cellStyle name="Note 19 3 2 17 2" xfId="37432" xr:uid="{7B8AA16C-1BB0-4A77-A375-8F533975E43A}"/>
    <cellStyle name="Note 19 3 2 18" xfId="16106" xr:uid="{CC2340CB-E10C-42D5-84AB-4B4F832C0D89}"/>
    <cellStyle name="Note 19 3 2 18 2" xfId="37676" xr:uid="{3406EE44-E0F0-40D6-A51A-93E8AE96FDC1}"/>
    <cellStyle name="Note 19 3 2 19" xfId="24197" xr:uid="{EDA04BF8-C76A-4319-9B88-ED1BEBF13DFE}"/>
    <cellStyle name="Note 19 3 2 19 2" xfId="43520" xr:uid="{EC9DCE6A-FE39-42E7-A228-15797DB23093}"/>
    <cellStyle name="Note 19 3 2 2" xfId="8132" xr:uid="{91AF7473-DA4D-4947-A1C9-561446511443}"/>
    <cellStyle name="Note 19 3 2 2 2" xfId="32374" xr:uid="{38ECA085-B38A-461F-A070-5E4095860C7C}"/>
    <cellStyle name="Note 19 3 2 20" xfId="18166" xr:uid="{86F4AEEA-79A2-4C04-B39E-1C102AECC466}"/>
    <cellStyle name="Note 19 3 2 20 2" xfId="39220" xr:uid="{70D1157F-06D1-468F-8170-D7982754971F}"/>
    <cellStyle name="Note 19 3 2 21" xfId="25785" xr:uid="{606F8446-7F69-4F50-B6F5-FFFC67A2EF2E}"/>
    <cellStyle name="Note 19 3 2 21 2" xfId="44613" xr:uid="{F6DD9DF5-7E36-456C-9DCB-A68F5306322A}"/>
    <cellStyle name="Note 19 3 2 22" xfId="29529" xr:uid="{091DD64C-0656-4119-8199-5903CFADDA63}"/>
    <cellStyle name="Note 19 3 2 22 2" xfId="46936" xr:uid="{6A7FD36C-C761-4239-AA52-86D1CD0BED47}"/>
    <cellStyle name="Note 19 3 2 23" xfId="26116" xr:uid="{D2A8417B-9D42-4DAD-BD40-46546F68517B}"/>
    <cellStyle name="Note 19 3 2 23 2" xfId="44859" xr:uid="{8A4C94AB-79B4-4904-9249-C47288459AFE}"/>
    <cellStyle name="Note 19 3 2 24" xfId="23902" xr:uid="{EDB1B0BD-CA37-4A63-9896-74BDDEAA1574}"/>
    <cellStyle name="Note 19 3 2 24 2" xfId="43280" xr:uid="{5C076F56-EEB6-4959-B31E-AD1F75DE030C}"/>
    <cellStyle name="Note 19 3 2 25" xfId="23680" xr:uid="{4C40D0C8-B6FA-4031-94FB-9B4AB68E1113}"/>
    <cellStyle name="Note 19 3 2 25 2" xfId="43102" xr:uid="{97E1EC5F-980F-4A49-99D2-EBDDF7ABBF85}"/>
    <cellStyle name="Note 19 3 2 26" xfId="28802" xr:uid="{4A8C9557-4C03-4FC1-B6E0-FC5258895F4E}"/>
    <cellStyle name="Note 19 3 2 26 2" xfId="46474" xr:uid="{B1AC55FD-F87A-4266-9C90-010BC5FACFA5}"/>
    <cellStyle name="Note 19 3 2 27" xfId="27512" xr:uid="{36A5EBCC-9E8C-46C6-892D-8B3352223FC2}"/>
    <cellStyle name="Note 19 3 2 27 2" xfId="45706" xr:uid="{714ACC18-1539-4F36-8F49-8BC8C2482F9A}"/>
    <cellStyle name="Note 19 3 2 28" xfId="6405" xr:uid="{8EE63335-1725-45D8-A7F6-03B44D7A2A0F}"/>
    <cellStyle name="Note 19 3 2 3" xfId="9264" xr:uid="{FCF44C23-A438-402C-A663-1F12101A04F3}"/>
    <cellStyle name="Note 19 3 2 3 2" xfId="33250" xr:uid="{21DA59AF-E9D7-483E-A688-0605480FF53E}"/>
    <cellStyle name="Note 19 3 2 4" xfId="7755" xr:uid="{EBF8A523-3023-4E02-B5FB-9A70CAD4706F}"/>
    <cellStyle name="Note 19 3 2 4 2" xfId="32052" xr:uid="{1CF89C87-9498-4242-9DA5-88632246A0AB}"/>
    <cellStyle name="Note 19 3 2 5" xfId="15955" xr:uid="{23AAFBA3-6C75-40DB-AB5E-5F1BE51465B8}"/>
    <cellStyle name="Note 19 3 2 5 2" xfId="37546" xr:uid="{31EE539C-A030-434F-8787-851F046B74D7}"/>
    <cellStyle name="Note 19 3 2 6" xfId="13064" xr:uid="{6A8CAC62-0A0D-4015-BFD9-F6ACD72D9E88}"/>
    <cellStyle name="Note 19 3 2 6 2" xfId="35412" xr:uid="{A7044F31-7000-4BEC-8EA3-16BD6D63C07E}"/>
    <cellStyle name="Note 19 3 2 7" xfId="8548" xr:uid="{1C74F5E1-A3B7-4A81-8F27-25B5AF3C8D20}"/>
    <cellStyle name="Note 19 3 2 7 2" xfId="32735" xr:uid="{6298EFD3-DF17-4EA7-B18A-98D73CCCA9D2}"/>
    <cellStyle name="Note 19 3 2 8" xfId="14917" xr:uid="{D9D73481-2474-484C-8F00-DCC56B1C1C71}"/>
    <cellStyle name="Note 19 3 2 8 2" xfId="36792" xr:uid="{F7BF99A0-EF02-4792-A791-FF4F6B4545DD}"/>
    <cellStyle name="Note 19 3 2 9" xfId="7298" xr:uid="{D5324B52-18AB-43EE-9048-5A695B6853AA}"/>
    <cellStyle name="Note 19 3 2 9 2" xfId="31662" xr:uid="{A3566CA4-DEFB-4221-BA3A-0B830BD56DE0}"/>
    <cellStyle name="Note 19 3 20" xfId="24768" xr:uid="{DBB8743E-0FC9-4F4A-941E-3EAFDA55BAB5}"/>
    <cellStyle name="Note 19 3 20 2" xfId="43913" xr:uid="{3591AD81-95FB-4C2C-A2FC-DEADB0BE6644}"/>
    <cellStyle name="Note 19 3 21" xfId="24943" xr:uid="{85DF79A6-8C3C-43A0-8007-34E3677251F8}"/>
    <cellStyle name="Note 19 3 21 2" xfId="44025" xr:uid="{2531AB42-7D87-4D72-B619-928007BC18EA}"/>
    <cellStyle name="Note 19 3 22" xfId="22761" xr:uid="{88681DF6-9272-43E6-8B55-1A21C7644225}"/>
    <cellStyle name="Note 19 3 22 2" xfId="42518" xr:uid="{4B1A9D6D-2624-4B0F-9C08-5EC1F9CDBDBF}"/>
    <cellStyle name="Note 19 3 23" xfId="24452" xr:uid="{019162AD-FFBD-4FA4-90E2-B2BB86F30309}"/>
    <cellStyle name="Note 19 3 23 2" xfId="43661" xr:uid="{3EC6B419-F035-4CF6-994F-D9868F852862}"/>
    <cellStyle name="Note 19 3 24" xfId="28636" xr:uid="{6FC9A28D-4CF0-4DEC-AA61-CAE01B8CACA8}"/>
    <cellStyle name="Note 19 3 24 2" xfId="46370" xr:uid="{3D140C57-3350-4E7C-AE9B-14C717D8236E}"/>
    <cellStyle name="Note 19 3 25" xfId="25887" xr:uid="{BDA07EAF-367F-4D1A-817C-7D98BDA80986}"/>
    <cellStyle name="Note 19 3 25 2" xfId="44694" xr:uid="{ED58039D-4592-4A8D-822E-0CFC0E30FD36}"/>
    <cellStyle name="Note 19 3 26" xfId="29159" xr:uid="{8A06C676-44DA-47D1-BB84-94EBC9957A33}"/>
    <cellStyle name="Note 19 3 26 2" xfId="46687" xr:uid="{CBA33947-6533-43FE-8FE3-693A41D9A212}"/>
    <cellStyle name="Note 19 3 27" xfId="29509" xr:uid="{0C0CA577-9266-4C3A-9A69-971F924E6639}"/>
    <cellStyle name="Note 19 3 27 2" xfId="46918" xr:uid="{C838C395-FCFB-4103-A9CC-BFBE9091607B}"/>
    <cellStyle name="Note 19 3 28" xfId="25086" xr:uid="{F4AE4EAB-B007-4CA1-880A-E3EB0D186BE5}"/>
    <cellStyle name="Note 19 3 28 2" xfId="44091" xr:uid="{1C2EEF0C-476D-4D0F-BF90-B4CCAC14A911}"/>
    <cellStyle name="Note 19 3 29" xfId="6404" xr:uid="{2A3DBD49-95F0-4683-B8E9-C4C8107E9E93}"/>
    <cellStyle name="Note 19 3 3" xfId="8133" xr:uid="{463C023C-E3F9-41A8-8B70-7E6B4F032F2D}"/>
    <cellStyle name="Note 19 3 3 2" xfId="32375" xr:uid="{E1075EB1-2BBB-4AC7-8DD2-927786B1E1B9}"/>
    <cellStyle name="Note 19 3 4" xfId="9263" xr:uid="{B3A27678-AAC4-4616-A203-D9346B14D5CE}"/>
    <cellStyle name="Note 19 3 4 2" xfId="33249" xr:uid="{72D2FBDA-D6D2-4B10-A2BA-7CA302AD58E6}"/>
    <cellStyle name="Note 19 3 5" xfId="7756" xr:uid="{A2258086-3AF6-426C-BB69-41DCE128281D}"/>
    <cellStyle name="Note 19 3 5 2" xfId="32053" xr:uid="{965E8E98-FDB8-4D09-9241-797F3C24E9BA}"/>
    <cellStyle name="Note 19 3 6" xfId="8853" xr:uid="{EE8DBD96-4DAC-46C1-B7DF-67B60EFF57BF}"/>
    <cellStyle name="Note 19 3 6 2" xfId="32975" xr:uid="{7AA32EC5-ACC9-40FB-A154-7F0A0240F630}"/>
    <cellStyle name="Note 19 3 7" xfId="13065" xr:uid="{122614FA-BD8B-4882-A4F6-9E561ED2CD33}"/>
    <cellStyle name="Note 19 3 7 2" xfId="35413" xr:uid="{378FB10C-F849-4634-AFBF-B2938CBE5B8B}"/>
    <cellStyle name="Note 19 3 8" xfId="8549" xr:uid="{51639B65-A9F5-4090-B31C-75E2FDC92A66}"/>
    <cellStyle name="Note 19 3 8 2" xfId="32736" xr:uid="{539467D1-E542-4DA3-A700-7F0306003DA1}"/>
    <cellStyle name="Note 19 3 9" xfId="12919" xr:uid="{58D9D800-782D-4F4D-9F7A-C03BBE7B8797}"/>
    <cellStyle name="Note 19 3 9 2" xfId="35275" xr:uid="{2CEE1C0E-3CDE-4454-ADCC-528E38DE3107}"/>
    <cellStyle name="Note 19 30" xfId="28638" xr:uid="{0053BD2A-C5C6-43D4-A3BA-3079A24F144E}"/>
    <cellStyle name="Note 19 30 2" xfId="46372" xr:uid="{AE082928-2555-4193-8630-ED472248E4D3}"/>
    <cellStyle name="Note 19 31" xfId="30299" xr:uid="{DD3FEBCC-DBF8-440F-9A25-C7E3AF6F183A}"/>
    <cellStyle name="Note 19 31 2" xfId="47447" xr:uid="{7373C51C-7BA2-412B-ACD1-9BAFF7E82895}"/>
    <cellStyle name="Note 19 32" xfId="23605" xr:uid="{7AE48DF8-FB49-4992-936F-EE1F9D753593}"/>
    <cellStyle name="Note 19 32 2" xfId="43040" xr:uid="{EDD02787-E49A-44A0-A1D2-0B84FE4CE618}"/>
    <cellStyle name="Note 19 33" xfId="29519" xr:uid="{F23EC2C1-8DE4-4DD4-ACD5-B59901A98F62}"/>
    <cellStyle name="Note 19 33 2" xfId="46927" xr:uid="{8C2BA1C4-DCC7-4339-BA0B-A25EAD507702}"/>
    <cellStyle name="Note 19 34" xfId="26988" xr:uid="{82A7A2EF-2FE7-49D6-8EF7-46FB9ADD7B1B}"/>
    <cellStyle name="Note 19 34 2" xfId="45395" xr:uid="{4DC2D406-3EF7-4682-8B31-8E78F3F12D77}"/>
    <cellStyle name="Note 19 35" xfId="6399" xr:uid="{A1AFC4EF-7D97-4E2A-AAD8-2C289DDC69F3}"/>
    <cellStyle name="Note 19 4" xfId="2875" xr:uid="{088B8B19-A6FC-4694-9155-62736B75C0DC}"/>
    <cellStyle name="Note 19 4 10" xfId="11726" xr:uid="{F84C907C-608F-4DEC-A1D4-0F669011F81C}"/>
    <cellStyle name="Note 19 4 10 2" xfId="34339" xr:uid="{A3A33168-F204-4184-8FF0-EE4E5B43D3A1}"/>
    <cellStyle name="Note 19 4 11" xfId="14690" xr:uid="{2E123FE2-4DD8-46A6-960C-CBA48D86E3AB}"/>
    <cellStyle name="Note 19 4 11 2" xfId="36602" xr:uid="{35C083FA-43E1-484E-960F-D6910783AB6E}"/>
    <cellStyle name="Note 19 4 12" xfId="14067" xr:uid="{F4C2E449-7012-4333-86F6-0C5D3405CD4B}"/>
    <cellStyle name="Note 19 4 12 2" xfId="36161" xr:uid="{B1E08D4F-C348-4667-9CF6-7B9E660C763B}"/>
    <cellStyle name="Note 19 4 13" xfId="12714" xr:uid="{5E2CC77F-0F08-4DE9-A2E6-F90BCA11E394}"/>
    <cellStyle name="Note 19 4 13 2" xfId="35127" xr:uid="{4A31FA00-72A0-4446-B40D-E5C83D550E3B}"/>
    <cellStyle name="Note 19 4 14" xfId="9857" xr:uid="{01745110-38EC-4C19-AF1C-838F2BE17D37}"/>
    <cellStyle name="Note 19 4 14 2" xfId="33603" xr:uid="{0B1CDD8C-46CA-4F62-AD69-A4B2F3133A3F}"/>
    <cellStyle name="Note 19 4 15" xfId="19771" xr:uid="{8996BB64-6E4A-408B-8EDF-5B978B6F79E1}"/>
    <cellStyle name="Note 19 4 15 2" xfId="40388" xr:uid="{6044E17F-EF08-4613-850E-455AD01ABBCD}"/>
    <cellStyle name="Note 19 4 16" xfId="17828" xr:uid="{DE84964F-E127-4394-86BD-FFB39DF65D29}"/>
    <cellStyle name="Note 19 4 16 2" xfId="38948" xr:uid="{C8B71CE5-985E-42A6-B2D0-ED37FBFD342F}"/>
    <cellStyle name="Note 19 4 17" xfId="19637" xr:uid="{41BEFB07-0891-49B3-B4F4-9D96E6825456}"/>
    <cellStyle name="Note 19 4 17 2" xfId="40277" xr:uid="{770AD4DA-7416-4182-AB6E-020C03CD577C}"/>
    <cellStyle name="Note 19 4 18" xfId="25726" xr:uid="{F9822D97-BE23-407A-81E7-ACFB0E5765AD}"/>
    <cellStyle name="Note 19 4 18 2" xfId="44563" xr:uid="{EF85BD9F-E974-420B-92CF-0484ACE5EBA9}"/>
    <cellStyle name="Note 19 4 19" xfId="20721" xr:uid="{3A8CACFB-C453-4A95-A56B-E1090DB0308E}"/>
    <cellStyle name="Note 19 4 19 2" xfId="41081" xr:uid="{4B137A45-A613-42E2-BA6B-1F417FEF544E}"/>
    <cellStyle name="Note 19 4 2" xfId="2876" xr:uid="{2E113F88-7808-4701-83EB-4F550A671649}"/>
    <cellStyle name="Note 19 4 2 10" xfId="14417" xr:uid="{F377ECE0-E5DA-4556-9C8B-2F59CCD722C6}"/>
    <cellStyle name="Note 19 4 2 10 2" xfId="36406" xr:uid="{D9F7127B-DD0D-4CCF-A2C4-84DF3D9861E2}"/>
    <cellStyle name="Note 19 4 2 11" xfId="16627" xr:uid="{6F92A25E-775B-4DBD-B3B4-6C958AECF15D}"/>
    <cellStyle name="Note 19 4 2 11 2" xfId="38120" xr:uid="{9E7D5FC6-27A3-483A-9A0D-24051A5CE49B}"/>
    <cellStyle name="Note 19 4 2 12" xfId="13676" xr:uid="{41490152-106D-4F2A-BF0B-5A92C55B479A}"/>
    <cellStyle name="Note 19 4 2 12 2" xfId="35832" xr:uid="{31087EF1-8B18-4CA7-8670-40ADA3D14F7E}"/>
    <cellStyle name="Note 19 4 2 13" xfId="9859" xr:uid="{62204B89-EE44-47D6-9E04-7BF13834D5F1}"/>
    <cellStyle name="Note 19 4 2 13 2" xfId="33605" xr:uid="{F5681E1E-6BBE-434C-88A3-F3E64410B5D9}"/>
    <cellStyle name="Note 19 4 2 14" xfId="12654" xr:uid="{0C98FA27-8D38-45B4-AD0B-BF2F1ECB358E}"/>
    <cellStyle name="Note 19 4 2 14 2" xfId="35080" xr:uid="{E74F3DAA-531D-4783-B088-FE29453CE027}"/>
    <cellStyle name="Note 19 4 2 15" xfId="20031" xr:uid="{EE4DAFBB-DF10-496A-B748-B112CAF22393}"/>
    <cellStyle name="Note 19 4 2 15 2" xfId="40597" xr:uid="{16762BED-CAF3-4930-8869-5BB5320DF613}"/>
    <cellStyle name="Note 19 4 2 16" xfId="21452" xr:uid="{412C1234-F622-4BC9-916E-CF95C0A4E96A}"/>
    <cellStyle name="Note 19 4 2 16 2" xfId="41581" xr:uid="{A97507A4-6FE6-46AC-B6EE-D478AFC43561}"/>
    <cellStyle name="Note 19 4 2 17" xfId="21999" xr:uid="{6CD84818-A794-4EE5-9078-9926CCAE7C4F}"/>
    <cellStyle name="Note 19 4 2 17 2" xfId="41894" xr:uid="{209CC084-24C2-4711-BBDA-68ABA8537872}"/>
    <cellStyle name="Note 19 4 2 18" xfId="16832" xr:uid="{DE8C206F-5974-478D-B007-529C0074FEAC}"/>
    <cellStyle name="Note 19 4 2 18 2" xfId="38260" xr:uid="{B305D42E-5612-45BF-8ECE-6BBCB15126D9}"/>
    <cellStyle name="Note 19 4 2 19" xfId="22889" xr:uid="{00117B8C-B28E-487D-96D3-67AB0E90C5C3}"/>
    <cellStyle name="Note 19 4 2 19 2" xfId="42607" xr:uid="{1C031333-38A8-4721-B5C5-8844D9431CF9}"/>
    <cellStyle name="Note 19 4 2 2" xfId="8130" xr:uid="{CB9B8CE3-B243-4438-B9C9-54E6F7704E35}"/>
    <cellStyle name="Note 19 4 2 2 2" xfId="32372" xr:uid="{8A5F6E06-0254-41CC-BA25-AB4CD5F0575F}"/>
    <cellStyle name="Note 19 4 2 20" xfId="24945" xr:uid="{D8B738E8-0743-40CA-BB67-A8A1B6B5CAC3}"/>
    <cellStyle name="Note 19 4 2 20 2" xfId="44027" xr:uid="{A4547131-EE19-4B7B-95BC-E3B8147DC9CD}"/>
    <cellStyle name="Note 19 4 2 21" xfId="21800" xr:uid="{F0777343-5DF8-483A-BD49-3562D81FC1C4}"/>
    <cellStyle name="Note 19 4 2 21 2" xfId="41797" xr:uid="{87690C20-FCE9-4132-97AE-B42F65177E71}"/>
    <cellStyle name="Note 19 4 2 22" xfId="19852" xr:uid="{B4C48442-411A-45D4-A8A8-8A4CCB25495F}"/>
    <cellStyle name="Note 19 4 2 22 2" xfId="40465" xr:uid="{E9AD6F27-FE7B-41FF-BBD7-6C01F52DA223}"/>
    <cellStyle name="Note 19 4 2 23" xfId="27158" xr:uid="{46354BA8-ECBF-4D55-A8BD-441500FC42D3}"/>
    <cellStyle name="Note 19 4 2 23 2" xfId="45499" xr:uid="{91E243D4-793A-4D1F-BDA7-9ACC90EB09F9}"/>
    <cellStyle name="Note 19 4 2 24" xfId="30296" xr:uid="{CA7DD679-8A3C-4984-9AA8-2FC41081C9E3}"/>
    <cellStyle name="Note 19 4 2 24 2" xfId="47444" xr:uid="{615DAAAD-0E0F-4956-86C6-7762D30D6FF1}"/>
    <cellStyle name="Note 19 4 2 25" xfId="24300" xr:uid="{6200C0AB-FB1E-4B69-AF07-CBAC9D45F34A}"/>
    <cellStyle name="Note 19 4 2 25 2" xfId="43575" xr:uid="{D0419613-B54C-4929-8E9E-081FD3AC9CF1}"/>
    <cellStyle name="Note 19 4 2 26" xfId="26528" xr:uid="{937C3230-4186-42F6-9A1C-17AF06DB75D5}"/>
    <cellStyle name="Note 19 4 2 26 2" xfId="45104" xr:uid="{EBFC657A-8921-49DD-9DBB-1BDF4D92562B}"/>
    <cellStyle name="Note 19 4 2 27" xfId="26465" xr:uid="{94624BEA-0290-4FAE-AF9E-91368198C4CE}"/>
    <cellStyle name="Note 19 4 2 27 2" xfId="45091" xr:uid="{6DC6B433-38FF-4D76-983C-0C6C4FAC131C}"/>
    <cellStyle name="Note 19 4 2 28" xfId="6407" xr:uid="{391FE7D3-395A-4550-9946-48B9879B2AEF}"/>
    <cellStyle name="Note 19 4 2 3" xfId="9266" xr:uid="{13F29780-662C-45E3-B4CD-0838309816C6}"/>
    <cellStyle name="Note 19 4 2 3 2" xfId="33252" xr:uid="{EAA55AAE-6D22-4BC7-9F3D-5CEBD6B60308}"/>
    <cellStyle name="Note 19 4 2 4" xfId="7753" xr:uid="{66814032-4F82-4666-9454-87FDDFD471D5}"/>
    <cellStyle name="Note 19 4 2 4 2" xfId="32050" xr:uid="{F23CB2B8-5E1E-462F-A07C-0F2E6F62A515}"/>
    <cellStyle name="Note 19 4 2 5" xfId="8851" xr:uid="{11A50CB7-8C7D-434C-B079-1FDC7CE3F519}"/>
    <cellStyle name="Note 19 4 2 5 2" xfId="32973" xr:uid="{821066F7-C181-4A8E-912C-B917639AFAD5}"/>
    <cellStyle name="Note 19 4 2 6" xfId="13063" xr:uid="{BDFF5779-25CD-4142-9E1C-65CE4463756E}"/>
    <cellStyle name="Note 19 4 2 6 2" xfId="35411" xr:uid="{1E46B62C-17AB-42E0-8CBC-9FE614B058AC}"/>
    <cellStyle name="Note 19 4 2 7" xfId="8546" xr:uid="{C2457961-2362-43D6-A2E7-5FB45475A79D}"/>
    <cellStyle name="Note 19 4 2 7 2" xfId="32733" xr:uid="{D9683FD9-307C-4219-B8B5-271BE0B4B022}"/>
    <cellStyle name="Note 19 4 2 8" xfId="12931" xr:uid="{3F43C81B-6F48-4D8E-AC8D-CF58E8978A7B}"/>
    <cellStyle name="Note 19 4 2 8 2" xfId="35287" xr:uid="{DE82979F-831F-4015-8262-5F3D5E9A45EC}"/>
    <cellStyle name="Note 19 4 2 9" xfId="7297" xr:uid="{6B9BFEA1-8ABE-4A11-9BF5-9651529FCE24}"/>
    <cellStyle name="Note 19 4 2 9 2" xfId="31661" xr:uid="{EF5514E0-159D-447D-BD98-7D9533C8F9D2}"/>
    <cellStyle name="Note 19 4 20" xfId="24767" xr:uid="{D763AA14-7F40-4B87-B2D5-9012DB6F0C36}"/>
    <cellStyle name="Note 19 4 20 2" xfId="43912" xr:uid="{71B91D62-3629-4828-AFFA-985596B0DA0A}"/>
    <cellStyle name="Note 19 4 21" xfId="24944" xr:uid="{A3086E7A-B631-45C5-A6F3-300BD953B5C1}"/>
    <cellStyle name="Note 19 4 21 2" xfId="44026" xr:uid="{B59B446D-9F6E-4D63-B123-47ABDBD2F379}"/>
    <cellStyle name="Note 19 4 22" xfId="25292" xr:uid="{05B7BF76-BA09-41AF-904D-908AF2CECA56}"/>
    <cellStyle name="Note 19 4 22 2" xfId="44208" xr:uid="{2C7EF3B6-6216-4F8C-BE8D-BC507CA019D5}"/>
    <cellStyle name="Note 19 4 23" xfId="18000" xr:uid="{09F66232-4E01-47CE-8072-D480621C7663}"/>
    <cellStyle name="Note 19 4 23 2" xfId="39096" xr:uid="{B5DDA202-6805-4279-A338-B5FAA49C7DA3}"/>
    <cellStyle name="Note 19 4 24" xfId="29753" xr:uid="{6A88A46C-33BC-40E1-956B-99985B625E5E}"/>
    <cellStyle name="Note 19 4 24 2" xfId="47072" xr:uid="{C64A1E26-7DD8-4BAE-BC5F-B8260E661C92}"/>
    <cellStyle name="Note 19 4 25" xfId="30293" xr:uid="{ED90F666-B567-4382-BC38-5AB4CA729BC0}"/>
    <cellStyle name="Note 19 4 25 2" xfId="47441" xr:uid="{7AA65B42-D79D-49FA-96A0-CC1BC7DE9402}"/>
    <cellStyle name="Note 19 4 26" xfId="23717" xr:uid="{67FB46B6-5D89-445C-AD3D-8871988E056B}"/>
    <cellStyle name="Note 19 4 26 2" xfId="43135" xr:uid="{2D8F0749-7147-496E-B130-3ECC373E1DAF}"/>
    <cellStyle name="Note 19 4 27" xfId="29510" xr:uid="{CDC77D48-93A8-4948-8E25-9B1B502DF042}"/>
    <cellStyle name="Note 19 4 27 2" xfId="46919" xr:uid="{A24C47DC-5A1C-4EA3-B035-277DD1196D02}"/>
    <cellStyle name="Note 19 4 28" xfId="29584" xr:uid="{BFDA2842-D871-4F24-B35D-A2AA25D5CB3D}"/>
    <cellStyle name="Note 19 4 28 2" xfId="46979" xr:uid="{37FC1B43-7460-46BC-834E-21475C91A248}"/>
    <cellStyle name="Note 19 4 29" xfId="6406" xr:uid="{7C9E7DFC-D2AC-47CE-947C-9B4ED7EB368C}"/>
    <cellStyle name="Note 19 4 3" xfId="8131" xr:uid="{472EA62D-DCFD-4A87-B122-3817F4D471B5}"/>
    <cellStyle name="Note 19 4 3 2" xfId="32373" xr:uid="{F4443A28-D2CC-43F0-A45A-0C3F10B52FDE}"/>
    <cellStyle name="Note 19 4 4" xfId="9265" xr:uid="{CF9E1CF6-AC9C-4505-B7DF-C43AD02AB526}"/>
    <cellStyle name="Note 19 4 4 2" xfId="33251" xr:uid="{0D13A821-1F40-44CB-85E7-5AED12F40C87}"/>
    <cellStyle name="Note 19 4 5" xfId="7754" xr:uid="{D763DC29-1947-4F86-A449-F9E821286385}"/>
    <cellStyle name="Note 19 4 5 2" xfId="32051" xr:uid="{EE8764AA-A22B-4412-8235-B74B172153CC}"/>
    <cellStyle name="Note 19 4 6" xfId="8852" xr:uid="{AE80893D-F90C-4512-986E-AB388648FB23}"/>
    <cellStyle name="Note 19 4 6 2" xfId="32974" xr:uid="{3652F06A-5B8C-49B1-B177-0B8BBCBC891B}"/>
    <cellStyle name="Note 19 4 7" xfId="10400" xr:uid="{1D1489D5-C48A-4F5D-9B0B-65B99802CE7C}"/>
    <cellStyle name="Note 19 4 7 2" xfId="34035" xr:uid="{D22A2872-FA41-476C-A5D7-CB5B515C755F}"/>
    <cellStyle name="Note 19 4 8" xfId="8547" xr:uid="{40C60EC1-5132-45E6-A073-18413B191A54}"/>
    <cellStyle name="Note 19 4 8 2" xfId="32734" xr:uid="{1D6EB349-3CF2-4FB5-AC03-3B03CF89470C}"/>
    <cellStyle name="Note 19 4 9" xfId="14916" xr:uid="{FAB53CD4-F16D-4683-A05E-7B9C3BB9A82A}"/>
    <cellStyle name="Note 19 4 9 2" xfId="36791" xr:uid="{6C7D4F75-3B3B-4A40-AA22-FB5984D0BC98}"/>
    <cellStyle name="Note 19 5" xfId="2877" xr:uid="{5D7D963D-C964-4272-896D-BDAE6C2077C1}"/>
    <cellStyle name="Note 19 5 10" xfId="11725" xr:uid="{13626151-1AE6-4A0E-94D2-D283855B8975}"/>
    <cellStyle name="Note 19 5 10 2" xfId="34338" xr:uid="{9F69D7E7-FC08-4135-A6A2-88EC66C843AA}"/>
    <cellStyle name="Note 19 5 11" xfId="15468" xr:uid="{523C3E37-31FC-47E5-962A-21481BFEA15D}"/>
    <cellStyle name="Note 19 5 11 2" xfId="37133" xr:uid="{30282C37-C0EB-42B0-8CF4-A96293F26C4D}"/>
    <cellStyle name="Note 19 5 12" xfId="12497" xr:uid="{4BCD0BE4-7348-4B92-9F7C-72E5B6BBFDA7}"/>
    <cellStyle name="Note 19 5 12 2" xfId="34942" xr:uid="{ADB3530F-330A-4BD1-B5CD-D6FAB0733A26}"/>
    <cellStyle name="Note 19 5 13" xfId="15594" xr:uid="{F8EC4645-65D7-4167-B5E2-F54C2EBF29F7}"/>
    <cellStyle name="Note 19 5 13 2" xfId="37252" xr:uid="{8F92E8BB-F738-4F05-8539-4B46D8683396}"/>
    <cellStyle name="Note 19 5 14" xfId="22502" xr:uid="{7D8ED7BA-56F4-4470-8833-30B158E409FE}"/>
    <cellStyle name="Note 19 5 14 2" xfId="42301" xr:uid="{BC1F9E27-D816-4DCF-8687-A32B9D4DE0A3}"/>
    <cellStyle name="Note 19 5 15" xfId="19770" xr:uid="{CC4E23BD-E1BA-4F68-B7FD-B64A69293FC2}"/>
    <cellStyle name="Note 19 5 15 2" xfId="40387" xr:uid="{4943034C-B080-40AF-A68B-CA1545ECCEE8}"/>
    <cellStyle name="Note 19 5 16" xfId="20029" xr:uid="{E6037BBA-EF78-4ABC-8C74-151BDF34E9A4}"/>
    <cellStyle name="Note 19 5 16 2" xfId="40595" xr:uid="{9F29F6FA-2D9A-4789-8805-D0EF4B08D1F5}"/>
    <cellStyle name="Note 19 5 17" xfId="17723" xr:uid="{274FA967-1EFC-4180-AFED-C4660B88FD27}"/>
    <cellStyle name="Note 19 5 17 2" xfId="38899" xr:uid="{6EC9A584-F172-42A9-BC01-B78E3283AD60}"/>
    <cellStyle name="Note 19 5 18" xfId="18334" xr:uid="{889DF168-EC86-40C1-968D-5AF3D921BC3E}"/>
    <cellStyle name="Note 19 5 18 2" xfId="39365" xr:uid="{9EDC7337-F25F-4FD9-B93C-F1B630D76893}"/>
    <cellStyle name="Note 19 5 19" xfId="18933" xr:uid="{7AF32F5A-75A1-420E-BCB7-AD88F658161C}"/>
    <cellStyle name="Note 19 5 19 2" xfId="39766" xr:uid="{ACD49D50-6023-4593-8D6E-B62A7F1F04C2}"/>
    <cellStyle name="Note 19 5 2" xfId="2878" xr:uid="{5B8064AC-E211-4DDD-B3AC-79BFA2A86CB7}"/>
    <cellStyle name="Note 19 5 2 10" xfId="12274" xr:uid="{2860B66E-85CC-4C23-B3E7-140CD3CC9FBC}"/>
    <cellStyle name="Note 19 5 2 10 2" xfId="34780" xr:uid="{2B060293-689A-40CF-B7E3-37DFD2AA0D6E}"/>
    <cellStyle name="Note 19 5 2 11" xfId="16626" xr:uid="{0429DE0E-DF8A-4DA9-85FF-8E0475BED2CC}"/>
    <cellStyle name="Note 19 5 2 11 2" xfId="38119" xr:uid="{ED1B228A-17D2-4C3F-8F12-7B85BDB83BD4}"/>
    <cellStyle name="Note 19 5 2 12" xfId="16031" xr:uid="{4751B7DF-D095-4F5F-9158-EE9A62592FC2}"/>
    <cellStyle name="Note 19 5 2 12 2" xfId="37614" xr:uid="{E9E164AF-DD70-48A0-92FD-963E3EB9E744}"/>
    <cellStyle name="Note 19 5 2 13" xfId="17835" xr:uid="{5982DF24-47EC-4BA7-B2F0-35106C0FB6AA}"/>
    <cellStyle name="Note 19 5 2 13 2" xfId="38954" xr:uid="{4EC96570-1FF9-439B-96D4-3F402E41B9C1}"/>
    <cellStyle name="Note 19 5 2 14" xfId="17968" xr:uid="{E00BE2CA-8F64-47E4-9EF0-339E95C5A7DC}"/>
    <cellStyle name="Note 19 5 2 14 2" xfId="39066" xr:uid="{264E132A-EB2D-450D-A8E0-742B6FC04182}"/>
    <cellStyle name="Note 19 5 2 15" xfId="18427" xr:uid="{3BC6A09D-FE92-44A9-A5BA-5074E40B7BD2}"/>
    <cellStyle name="Note 19 5 2 15 2" xfId="39438" xr:uid="{60E4939E-F519-403D-B138-081EBB0E5FED}"/>
    <cellStyle name="Note 19 5 2 16" xfId="21451" xr:uid="{D791401F-1D14-445D-BE97-0ECCD6514DB5}"/>
    <cellStyle name="Note 19 5 2 16 2" xfId="41580" xr:uid="{B883EC5A-F684-4ACF-AEDC-FCEA99A5ED2F}"/>
    <cellStyle name="Note 19 5 2 17" xfId="16321" xr:uid="{770A22E6-D670-497B-962B-1B417CF88080}"/>
    <cellStyle name="Note 19 5 2 17 2" xfId="37858" xr:uid="{DB2311B8-9F84-4DFF-995E-B850417885D3}"/>
    <cellStyle name="Note 19 5 2 18" xfId="20722" xr:uid="{B0AB3917-DCC4-4E73-90C3-5A8C5A344C01}"/>
    <cellStyle name="Note 19 5 2 18 2" xfId="41082" xr:uid="{75A5ED4B-89C9-45D4-AB35-76C9BE002091}"/>
    <cellStyle name="Note 19 5 2 19" xfId="22344" xr:uid="{FBD4E23B-23A8-42A5-8174-121C68D69854}"/>
    <cellStyle name="Note 19 5 2 19 2" xfId="42199" xr:uid="{4C6A1D03-311F-43C5-A976-DEBBA3B69209}"/>
    <cellStyle name="Note 19 5 2 2" xfId="8128" xr:uid="{1DBA74FF-0D39-41E6-8713-3B44076FD771}"/>
    <cellStyle name="Note 19 5 2 2 2" xfId="32370" xr:uid="{ADD3683B-DAF5-4CCB-AFC3-22E71BFA745C}"/>
    <cellStyle name="Note 19 5 2 20" xfId="23305" xr:uid="{5927A95E-7B3C-48FD-A38C-56C7E92A63F4}"/>
    <cellStyle name="Note 19 5 2 20 2" xfId="42877" xr:uid="{EA2089C2-9ECE-4381-9804-99548D8B6BBF}"/>
    <cellStyle name="Note 19 5 2 21" xfId="24562" xr:uid="{2E722D71-039A-4AAF-930F-DDFA95C7506B}"/>
    <cellStyle name="Note 19 5 2 21 2" xfId="43745" xr:uid="{59E42731-CFD6-43E8-99E8-175F6ED39F8C}"/>
    <cellStyle name="Note 19 5 2 22" xfId="12851" xr:uid="{F511B74F-64BD-4447-B582-6FEA509671DE}"/>
    <cellStyle name="Note 19 5 2 22 2" xfId="35231" xr:uid="{A2BA5E04-F6C4-4DA8-B724-83BB1A2C1606}"/>
    <cellStyle name="Note 19 5 2 23" xfId="29755" xr:uid="{D67E53FD-03AB-4F69-9029-17971D51443F}"/>
    <cellStyle name="Note 19 5 2 23 2" xfId="47074" xr:uid="{E45F1EF7-5555-41C1-BB74-D17E738F9D74}"/>
    <cellStyle name="Note 19 5 2 24" xfId="30295" xr:uid="{B1B2F9C8-1BAA-4438-BDFF-39468013D478}"/>
    <cellStyle name="Note 19 5 2 24 2" xfId="47443" xr:uid="{A40343BA-358D-4B94-A5C1-6993685B4A7D}"/>
    <cellStyle name="Note 19 5 2 25" xfId="25472" xr:uid="{67E52C30-2466-47DC-966C-4E109FB2B9A0}"/>
    <cellStyle name="Note 19 5 2 25 2" xfId="44356" xr:uid="{85D610E2-882E-404F-9101-CE3676956AB7}"/>
    <cellStyle name="Note 19 5 2 26" xfId="28683" xr:uid="{9CDF3D51-8658-4406-A23B-0B68F3D32018}"/>
    <cellStyle name="Note 19 5 2 26 2" xfId="46417" xr:uid="{028D92D0-71DD-47E3-A7B0-50B7BB32906F}"/>
    <cellStyle name="Note 19 5 2 27" xfId="29775" xr:uid="{C374C598-C402-43A8-B65E-5FB6677111BE}"/>
    <cellStyle name="Note 19 5 2 27 2" xfId="47094" xr:uid="{033C6EF0-A095-4C7D-9050-6292AD53DB37}"/>
    <cellStyle name="Note 19 5 2 28" xfId="6409" xr:uid="{21BFABA8-6DCA-40F2-A3D4-8844584185E7}"/>
    <cellStyle name="Note 19 5 2 3" xfId="9268" xr:uid="{011B89CC-B62D-4F6D-B7B4-77D90013FA43}"/>
    <cellStyle name="Note 19 5 2 3 2" xfId="33254" xr:uid="{8E140F0C-66B8-4BD6-8573-6C1D3D2CEE2D}"/>
    <cellStyle name="Note 19 5 2 4" xfId="7751" xr:uid="{5E21661C-B6FE-4F18-891C-4B9FBA02E6F6}"/>
    <cellStyle name="Note 19 5 2 4 2" xfId="32048" xr:uid="{EA1FA567-3B5D-44CA-9978-DF9DEA8DE3F6}"/>
    <cellStyle name="Note 19 5 2 5" xfId="8850" xr:uid="{8DD44E4C-CAD8-4E58-AB11-7AC89A654D20}"/>
    <cellStyle name="Note 19 5 2 5 2" xfId="32972" xr:uid="{DED076AF-C424-4ED7-9647-0D607443E9DA}"/>
    <cellStyle name="Note 19 5 2 6" xfId="13062" xr:uid="{7B6F580A-CB72-4EE7-8355-095BC997BC1D}"/>
    <cellStyle name="Note 19 5 2 6 2" xfId="35410" xr:uid="{07238D5A-B7B7-4FC1-9029-B35EB79F6A86}"/>
    <cellStyle name="Note 19 5 2 7" xfId="13632" xr:uid="{931EE952-70D1-4FB7-A15E-ECF7DD79E066}"/>
    <cellStyle name="Note 19 5 2 7 2" xfId="35797" xr:uid="{2483EB22-7178-403F-9839-BA943F6BAB3D}"/>
    <cellStyle name="Note 19 5 2 8" xfId="10549" xr:uid="{86B6EC2F-AE21-412C-A14C-0664B0BC0AFF}"/>
    <cellStyle name="Note 19 5 2 8 2" xfId="34175" xr:uid="{9A8EA056-6FA5-4AD8-A9DF-8BE14B377127}"/>
    <cellStyle name="Note 19 5 2 9" xfId="7296" xr:uid="{DEE43529-CD7F-45A7-A423-FF9A3AE2354C}"/>
    <cellStyle name="Note 19 5 2 9 2" xfId="31660" xr:uid="{EBAA5198-B9E2-4C5D-B08D-9BD45E53452C}"/>
    <cellStyle name="Note 19 5 20" xfId="24766" xr:uid="{D82938A9-9725-4F0E-9A53-E8A69DB23549}"/>
    <cellStyle name="Note 19 5 20 2" xfId="43911" xr:uid="{53DED8DD-CE10-4F07-90B7-F0F502F2531A}"/>
    <cellStyle name="Note 19 5 21" xfId="24942" xr:uid="{CC003C59-42DE-46C0-8B65-12160589150F}"/>
    <cellStyle name="Note 19 5 21 2" xfId="44024" xr:uid="{2AC17992-59B8-4CEF-96A2-7B603AD3847A}"/>
    <cellStyle name="Note 19 5 22" xfId="22760" xr:uid="{4B77E15E-07A8-43FA-B328-43920B2BEC0B}"/>
    <cellStyle name="Note 19 5 22 2" xfId="42517" xr:uid="{DE31D378-1963-4110-80A3-1B8B578D828D}"/>
    <cellStyle name="Note 19 5 23" xfId="29528" xr:uid="{0312137E-3FB5-4975-98AA-878F7CD8A448}"/>
    <cellStyle name="Note 19 5 23 2" xfId="46935" xr:uid="{BD599A42-ED4E-4F93-919F-FA8063CC130B}"/>
    <cellStyle name="Note 19 5 24" xfId="28635" xr:uid="{125B90E4-B1F3-4664-833C-39D9B6DD9DF1}"/>
    <cellStyle name="Note 19 5 24 2" xfId="46369" xr:uid="{0E8B3154-E43D-4FD6-B7A2-61B33A33A98D}"/>
    <cellStyle name="Note 19 5 25" xfId="29165" xr:uid="{C930C1BC-C9E0-4DCC-A375-93B1DBB93294}"/>
    <cellStyle name="Note 19 5 25 2" xfId="46693" xr:uid="{37C7388B-89B8-4791-B631-DF21AD0B0974}"/>
    <cellStyle name="Note 19 5 26" xfId="23664" xr:uid="{347ABC54-7A31-41B6-B961-FB77071CE6A2}"/>
    <cellStyle name="Note 19 5 26 2" xfId="43087" xr:uid="{72EA95A5-9539-4B9D-A7BF-03B08FF946AE}"/>
    <cellStyle name="Note 19 5 27" xfId="29512" xr:uid="{0E1E61F0-7665-4DD4-9EE1-BCC618462A38}"/>
    <cellStyle name="Note 19 5 27 2" xfId="46921" xr:uid="{0EDD3698-5FF5-430B-9C0F-4CFA59B5C374}"/>
    <cellStyle name="Note 19 5 28" xfId="29184" xr:uid="{FD5EBDA4-0EE6-4451-B377-3A9CF741700E}"/>
    <cellStyle name="Note 19 5 28 2" xfId="46710" xr:uid="{077FFCAF-319A-437E-B2B2-77948CBC652F}"/>
    <cellStyle name="Note 19 5 29" xfId="6408" xr:uid="{D60658E0-976D-43CA-8B2C-11A800285866}"/>
    <cellStyle name="Note 19 5 3" xfId="8129" xr:uid="{33877464-FEA1-444D-84D4-ECDBAAAAE8CA}"/>
    <cellStyle name="Note 19 5 3 2" xfId="32371" xr:uid="{2DFC2C25-9042-486A-9C68-77A81701F21E}"/>
    <cellStyle name="Note 19 5 4" xfId="9267" xr:uid="{70EE4668-CA4E-4D7C-89CF-9F0CB52D1BBD}"/>
    <cellStyle name="Note 19 5 4 2" xfId="33253" xr:uid="{A84B66FA-ABF4-475D-B651-C1E54BE8FF91}"/>
    <cellStyle name="Note 19 5 5" xfId="7752" xr:uid="{991A0A3F-FAB4-42EE-9E5B-BFBEFEFE7260}"/>
    <cellStyle name="Note 19 5 5 2" xfId="32049" xr:uid="{12FBF583-F403-40F2-A998-E41195C7FB22}"/>
    <cellStyle name="Note 19 5 6" xfId="15954" xr:uid="{F79F7F48-E5E7-423A-822C-8F82EAEF8B6D}"/>
    <cellStyle name="Note 19 5 6 2" xfId="37545" xr:uid="{68F96BB9-7B75-4D3A-9932-FD34D4B6AC90}"/>
    <cellStyle name="Note 19 5 7" xfId="10401" xr:uid="{8649D60F-67D2-482B-BFA1-2B5E1A7C9A30}"/>
    <cellStyle name="Note 19 5 7 2" xfId="34036" xr:uid="{1DD26909-F88E-48A6-BF0E-93FA22764995}"/>
    <cellStyle name="Note 19 5 8" xfId="8545" xr:uid="{5DBF9290-A5AC-4D47-B3EE-FA10E719386A}"/>
    <cellStyle name="Note 19 5 8 2" xfId="32732" xr:uid="{3767A1D3-E9BD-4FD3-A663-13EDE3134A5B}"/>
    <cellStyle name="Note 19 5 9" xfId="14915" xr:uid="{363BCEB7-EF6F-4095-B28F-2BE4FBE1F189}"/>
    <cellStyle name="Note 19 5 9 2" xfId="36790" xr:uid="{5321FCD9-D18E-46A6-A028-30103225875E}"/>
    <cellStyle name="Note 19 6" xfId="2879" xr:uid="{6F5B61FD-C1DC-4B7E-A577-AA3787A0182A}"/>
    <cellStyle name="Note 19 6 10" xfId="11724" xr:uid="{78508471-481A-4DCD-B42B-9651EDD6B333}"/>
    <cellStyle name="Note 19 6 10 2" xfId="34337" xr:uid="{A5F7BB02-3B36-479F-A6D4-BEE7AF0569C2}"/>
    <cellStyle name="Note 19 6 11" xfId="12780" xr:uid="{7DD0ED26-1A8F-41D8-B003-CF02B1377E4F}"/>
    <cellStyle name="Note 19 6 11 2" xfId="35188" xr:uid="{A2ED6B47-79A9-4901-A9A9-0B59F6D2F7EC}"/>
    <cellStyle name="Note 19 6 12" xfId="14066" xr:uid="{0FC1336D-2916-4BB3-9F16-086A9CEE5B5B}"/>
    <cellStyle name="Note 19 6 12 2" xfId="36160" xr:uid="{1B06348C-B13C-45FA-B95C-C6AECF0FF5A0}"/>
    <cellStyle name="Note 19 6 13" xfId="13856" xr:uid="{432CD217-FDD2-49C9-B353-6119015DEEAC}"/>
    <cellStyle name="Note 19 6 13 2" xfId="35979" xr:uid="{6EB35488-D01D-40D2-A17F-CE5332C8B9AB}"/>
    <cellStyle name="Note 19 6 14" xfId="9860" xr:uid="{7E867491-F43D-4918-BFFB-F56F521D8F5D}"/>
    <cellStyle name="Note 19 6 14 2" xfId="33606" xr:uid="{B8538B07-8C57-41CA-8696-9313B81F4958}"/>
    <cellStyle name="Note 19 6 15" xfId="19370" xr:uid="{5012C7BD-9F6D-42D0-A7B1-546783549EAC}"/>
    <cellStyle name="Note 19 6 15 2" xfId="40095" xr:uid="{8E88D3F7-2FB9-452F-836D-582BD80F8D78}"/>
    <cellStyle name="Note 19 6 16" xfId="20032" xr:uid="{B06FF8AD-A314-4BA8-82DB-6C8D2D1717DB}"/>
    <cellStyle name="Note 19 6 16 2" xfId="40598" xr:uid="{C5B6C14D-80AD-4C84-BD46-DA3F4AAA83E5}"/>
    <cellStyle name="Note 19 6 17" xfId="19636" xr:uid="{511554E5-88AF-4149-959C-7B785E1248EA}"/>
    <cellStyle name="Note 19 6 17 2" xfId="40276" xr:uid="{09BEA1E0-64DF-4875-BB9E-D48CA6B2EC70}"/>
    <cellStyle name="Note 19 6 18" xfId="18333" xr:uid="{BF49B7FD-22C2-4F82-87BC-1C7EC3D82A13}"/>
    <cellStyle name="Note 19 6 18 2" xfId="39364" xr:uid="{6992781E-2EBD-4189-8ACE-AF76F52822A5}"/>
    <cellStyle name="Note 19 6 19" xfId="18533" xr:uid="{7CF794B8-71FA-4D8C-8A9A-7E34A084E579}"/>
    <cellStyle name="Note 19 6 19 2" xfId="39485" xr:uid="{2EED170B-13D7-4727-B000-F5CA02B53ECC}"/>
    <cellStyle name="Note 19 6 2" xfId="2880" xr:uid="{BD8AE990-38D7-49BD-A2BA-E1B10547B9F6}"/>
    <cellStyle name="Note 19 6 2 10" xfId="14688" xr:uid="{D6EB9D3C-11F8-4B57-960F-02D2CC207AC0}"/>
    <cellStyle name="Note 19 6 2 10 2" xfId="36600" xr:uid="{A9139874-8EE1-443E-84EE-1D63668AA279}"/>
    <cellStyle name="Note 19 6 2 11" xfId="16625" xr:uid="{E7FA9E8E-6B9C-4A67-AC8E-82AF033CA9AF}"/>
    <cellStyle name="Note 19 6 2 11 2" xfId="38118" xr:uid="{839E9781-967B-49D2-B3DC-D60281699625}"/>
    <cellStyle name="Note 19 6 2 12" xfId="13677" xr:uid="{C24C3562-854F-4E59-B188-230851DD17E5}"/>
    <cellStyle name="Note 19 6 2 12 2" xfId="35833" xr:uid="{7F4A8C82-CE48-4FD3-B9DA-4F26EEE7A701}"/>
    <cellStyle name="Note 19 6 2 13" xfId="22501" xr:uid="{FCBCA3CC-5443-47EC-BDEA-3FEF7E78ABB3}"/>
    <cellStyle name="Note 19 6 2 13 2" xfId="42300" xr:uid="{31C3EA93-26A1-44BF-B34F-A18A2C0772D8}"/>
    <cellStyle name="Note 19 6 2 14" xfId="19768" xr:uid="{1996B5C8-D06E-427C-A3C2-C4529C6ADE61}"/>
    <cellStyle name="Note 19 6 2 14 2" xfId="40385" xr:uid="{20A9B923-8E2F-48B9-82C6-78BD1CB3E36A}"/>
    <cellStyle name="Note 19 6 2 15" xfId="16692" xr:uid="{F0D5F795-C6F6-4C6A-AC80-F58EE0CD3F4B}"/>
    <cellStyle name="Note 19 6 2 15 2" xfId="38183" xr:uid="{4427D06B-B253-4055-82CE-B2E8A2253060}"/>
    <cellStyle name="Note 19 6 2 16" xfId="19621" xr:uid="{DC16DBAA-6AB1-497D-B0F3-B6F22BCEEE38}"/>
    <cellStyle name="Note 19 6 2 16 2" xfId="40261" xr:uid="{BDC39F2D-EDB4-47F0-B28D-9BEF2056D179}"/>
    <cellStyle name="Note 19 6 2 17" xfId="12823" xr:uid="{C9C58499-FF98-4B95-BBC5-82EAD02225FF}"/>
    <cellStyle name="Note 19 6 2 17 2" xfId="35210" xr:uid="{B94DD8C7-CC25-426F-8433-B77DC9258417}"/>
    <cellStyle name="Note 19 6 2 18" xfId="20723" xr:uid="{F2F4474E-CEBD-474F-8EBE-3D63486639CA}"/>
    <cellStyle name="Note 19 6 2 18 2" xfId="41083" xr:uid="{963317E3-FECF-4412-8217-B3EF9F828DF3}"/>
    <cellStyle name="Note 19 6 2 19" xfId="24198" xr:uid="{89924556-0D0B-49F5-8E7D-6D47F60B7D39}"/>
    <cellStyle name="Note 19 6 2 19 2" xfId="43521" xr:uid="{EFBA7787-FFE8-487C-B23C-503ADE6E2F13}"/>
    <cellStyle name="Note 19 6 2 2" xfId="8126" xr:uid="{D8C604F7-8630-4481-8A3A-909A03AFE8D1}"/>
    <cellStyle name="Note 19 6 2 2 2" xfId="32368" xr:uid="{B67557E4-C5A2-4A3A-8D65-A9B75D1DE8E5}"/>
    <cellStyle name="Note 19 6 2 20" xfId="24947" xr:uid="{51EE6000-3044-4BC7-8EEC-4A0AE4998DA8}"/>
    <cellStyle name="Note 19 6 2 20 2" xfId="44029" xr:uid="{5AF24D1E-13C1-488E-9449-27DA7721D820}"/>
    <cellStyle name="Note 19 6 2 21" xfId="22293" xr:uid="{1C1BB5F5-2FAD-4CA7-84EE-231DD9F0B6C0}"/>
    <cellStyle name="Note 19 6 2 21 2" xfId="42157" xr:uid="{A9CB7A28-36C6-4104-A93A-D05FC64B0AA0}"/>
    <cellStyle name="Note 19 6 2 22" xfId="29527" xr:uid="{F865ABA4-ED4B-4869-BE7D-D813AC85F221}"/>
    <cellStyle name="Note 19 6 2 22 2" xfId="46934" xr:uid="{A79883D5-D9C7-40C3-A3C1-989740500425}"/>
    <cellStyle name="Note 19 6 2 23" xfId="26463" xr:uid="{35D507D7-7E47-4252-AA46-9CE27435DFF2}"/>
    <cellStyle name="Note 19 6 2 23 2" xfId="45089" xr:uid="{06FF0972-C1A6-4AE1-B112-4B71F31F2EB8}"/>
    <cellStyle name="Note 19 6 2 24" xfId="30294" xr:uid="{09D8FCC0-AFAB-4A6E-8CCD-56BB900A11CA}"/>
    <cellStyle name="Note 19 6 2 24 2" xfId="47442" xr:uid="{3DCDA855-BE8C-4921-8C8E-44F9740B03C8}"/>
    <cellStyle name="Note 19 6 2 25" xfId="26445" xr:uid="{F154DAAE-786B-4A10-99DD-016F56C32B23}"/>
    <cellStyle name="Note 19 6 2 25 2" xfId="45076" xr:uid="{D7723C63-4341-4F1A-A9E5-ECE3886D5EE2}"/>
    <cellStyle name="Note 19 6 2 26" xfId="29521" xr:uid="{FDED4164-2FF0-40C8-8269-50CC991B6E0F}"/>
    <cellStyle name="Note 19 6 2 26 2" xfId="46929" xr:uid="{7807C62C-E488-4C7F-8E00-39543442AC99}"/>
    <cellStyle name="Note 19 6 2 27" xfId="28988" xr:uid="{31DBC91F-0E85-4383-B1C7-C98B71597981}"/>
    <cellStyle name="Note 19 6 2 27 2" xfId="46582" xr:uid="{B7C19510-CB32-47BB-8BA0-31EA4CDFF140}"/>
    <cellStyle name="Note 19 6 2 28" xfId="6411" xr:uid="{3F2D567D-86BC-423D-94EE-61584B7F1E04}"/>
    <cellStyle name="Note 19 6 2 3" xfId="9270" xr:uid="{58A78278-0DFB-4D46-82C4-F86EC97C42EC}"/>
    <cellStyle name="Note 19 6 2 3 2" xfId="33256" xr:uid="{E1E13BCE-07AB-4818-802A-B69BB3452E5A}"/>
    <cellStyle name="Note 19 6 2 4" xfId="7749" xr:uid="{A9B528B0-BF40-4F80-9C8B-49BB33296650}"/>
    <cellStyle name="Note 19 6 2 4 2" xfId="32046" xr:uid="{C686B3DA-66A4-4F38-B48C-DE82F96CFBDF}"/>
    <cellStyle name="Note 19 6 2 5" xfId="15953" xr:uid="{A66D4E8C-5B3D-4634-A227-55D503FE6E09}"/>
    <cellStyle name="Note 19 6 2 5 2" xfId="37544" xr:uid="{AD46C314-FFD8-4E96-93B8-9EDD7C65C92A}"/>
    <cellStyle name="Note 19 6 2 6" xfId="10402" xr:uid="{26A97C56-70BE-48D6-AEA5-E43EC52193C5}"/>
    <cellStyle name="Note 19 6 2 6 2" xfId="34037" xr:uid="{D1A646BC-A6B8-4469-BD36-86CF2DCCEE20}"/>
    <cellStyle name="Note 19 6 2 7" xfId="8543" xr:uid="{1D6AD253-337E-4EB1-99F4-7F9E92EA84F7}"/>
    <cellStyle name="Note 19 6 2 7 2" xfId="32730" xr:uid="{D7E4807B-A94E-429D-B412-AB2B4DCCD31E}"/>
    <cellStyle name="Note 19 6 2 8" xfId="12930" xr:uid="{53E0B9B5-8FFF-4CA9-BAB4-B27733F25194}"/>
    <cellStyle name="Note 19 6 2 8 2" xfId="35286" xr:uid="{47C0A13D-0D2F-4B89-8063-E74026A3AF4F}"/>
    <cellStyle name="Note 19 6 2 9" xfId="7295" xr:uid="{3122B11D-96E4-4D98-A091-DFD87EE97229}"/>
    <cellStyle name="Note 19 6 2 9 2" xfId="31659" xr:uid="{76BD3ABB-C6CB-4694-89B2-C40249995F91}"/>
    <cellStyle name="Note 19 6 20" xfId="24765" xr:uid="{5D5F95C3-7213-49A8-8E8B-FB7C3B054052}"/>
    <cellStyle name="Note 19 6 20 2" xfId="43910" xr:uid="{CF9088B7-CB95-43B2-93B0-C4BEAA590C41}"/>
    <cellStyle name="Note 19 6 21" xfId="16239" xr:uid="{184FB7CE-47FC-46BF-8165-86DFA19EF72D}"/>
    <cellStyle name="Note 19 6 21 2" xfId="37783" xr:uid="{14EFBA12-D41B-4985-88C3-E4FF5A36593B}"/>
    <cellStyle name="Note 19 6 22" xfId="25293" xr:uid="{4A87105E-FF4F-46DD-9B4C-34C75E9B4827}"/>
    <cellStyle name="Note 19 6 22 2" xfId="44209" xr:uid="{8674558C-E889-4531-8129-877581356150}"/>
    <cellStyle name="Note 19 6 23" xfId="19853" xr:uid="{73085106-59A8-4AF2-AE04-33CA23C29CB3}"/>
    <cellStyle name="Note 19 6 23 2" xfId="40466" xr:uid="{79E9971D-C918-43C7-B1BD-2C113CBD3699}"/>
    <cellStyle name="Note 19 6 24" xfId="27173" xr:uid="{0D45C5EB-E42B-4D47-A02F-00CBD2508C72}"/>
    <cellStyle name="Note 19 6 24 2" xfId="45514" xr:uid="{40C2F96D-6D6D-4492-BBD0-FA7008FEE2D0}"/>
    <cellStyle name="Note 19 6 25" xfId="21005" xr:uid="{A63FAF63-B5FF-4718-8165-AA0C2673C1C7}"/>
    <cellStyle name="Note 19 6 25 2" xfId="41263" xr:uid="{9E64B3C1-C830-4625-A3AE-B354BA4E6CE8}"/>
    <cellStyle name="Note 19 6 26" xfId="25549" xr:uid="{E7FEE9AA-3D8D-460A-BC69-2F25B4132859}"/>
    <cellStyle name="Note 19 6 26 2" xfId="44423" xr:uid="{7B4F4C3C-95A8-4167-AD1A-D6B1CD275ECC}"/>
    <cellStyle name="Note 19 6 27" xfId="28671" xr:uid="{46D5C080-4AEA-4C0B-AD78-CE365BE6D36B}"/>
    <cellStyle name="Note 19 6 27 2" xfId="46405" xr:uid="{EFE0319A-3E2A-4B02-A08B-435A623ABCC6}"/>
    <cellStyle name="Note 19 6 28" xfId="25216" xr:uid="{4164A903-9494-497C-A341-2B9F77D1EF7F}"/>
    <cellStyle name="Note 19 6 28 2" xfId="44154" xr:uid="{D3E42126-39A6-4EC1-8439-846ECC4E5259}"/>
    <cellStyle name="Note 19 6 29" xfId="6410" xr:uid="{D869A5B5-67F9-48FB-9BAB-6084C2DBA5EA}"/>
    <cellStyle name="Note 19 6 3" xfId="8127" xr:uid="{A77AE620-5531-4783-B78C-5F7E26DCF2E2}"/>
    <cellStyle name="Note 19 6 3 2" xfId="32369" xr:uid="{11411B9B-2392-496B-9C34-B18611F78DAA}"/>
    <cellStyle name="Note 19 6 4" xfId="9269" xr:uid="{5E8A37EC-207C-4166-9DB6-51CD22093E37}"/>
    <cellStyle name="Note 19 6 4 2" xfId="33255" xr:uid="{EC5FB636-D319-428E-AF82-6734153AF6F9}"/>
    <cellStyle name="Note 19 6 5" xfId="7750" xr:uid="{633A47F9-BEA8-46C4-A8C4-10F0DF4C82BF}"/>
    <cellStyle name="Note 19 6 5 2" xfId="32047" xr:uid="{E974A7B7-C93D-45C0-B00E-C528F6427C90}"/>
    <cellStyle name="Note 19 6 6" xfId="8849" xr:uid="{B8DEC41E-026E-4CE4-B19F-89DDC1F836AA}"/>
    <cellStyle name="Note 19 6 6 2" xfId="32971" xr:uid="{CE32A2BE-CC14-4288-B466-8D7B11E50BB0}"/>
    <cellStyle name="Note 19 6 7" xfId="13045" xr:uid="{488A0CF8-829E-46A1-BDF7-F286EA744DA9}"/>
    <cellStyle name="Note 19 6 7 2" xfId="35393" xr:uid="{9F2D49BB-C1B4-4732-A7DF-6921D7735EFA}"/>
    <cellStyle name="Note 19 6 8" xfId="8544" xr:uid="{179B1B4A-0F46-46E9-A1A9-CD74998E855E}"/>
    <cellStyle name="Note 19 6 8 2" xfId="32731" xr:uid="{E2279AAA-BBC5-475F-A294-E49F8C4C56BC}"/>
    <cellStyle name="Note 19 6 9" xfId="14914" xr:uid="{1B3C27CB-F91B-42B8-BF8A-B9808F57B8A8}"/>
    <cellStyle name="Note 19 6 9 2" xfId="36789" xr:uid="{F0C44393-50A0-40A7-A51E-D28FAC87CB31}"/>
    <cellStyle name="Note 19 7" xfId="2881" xr:uid="{6E942E00-8430-4B56-8145-7892B4597AD7}"/>
    <cellStyle name="Note 19 7 10" xfId="11723" xr:uid="{1E3E4540-42A9-405A-94AB-AF77034D68C8}"/>
    <cellStyle name="Note 19 7 10 2" xfId="34336" xr:uid="{6B148D39-C258-48DD-9B34-84EEDF7E1FE1}"/>
    <cellStyle name="Note 19 7 11" xfId="15469" xr:uid="{7BA9ECC0-94BE-4FCE-82ED-DF072F8626E0}"/>
    <cellStyle name="Note 19 7 11 2" xfId="37134" xr:uid="{E2997AF3-4468-4B91-88CE-42B851DD04DE}"/>
    <cellStyle name="Note 19 7 12" xfId="16624" xr:uid="{76A45FF9-DAD7-4933-9A6F-94D940CA3D7E}"/>
    <cellStyle name="Note 19 7 12 2" xfId="38117" xr:uid="{36AB5F19-EF34-4C0E-9449-7FA20C17CB7A}"/>
    <cellStyle name="Note 19 7 13" xfId="15595" xr:uid="{BD579B57-C5B5-4DFE-876C-A7A0E01F3F01}"/>
    <cellStyle name="Note 19 7 13 2" xfId="37253" xr:uid="{6926726B-696C-4FAE-A300-6CB8E051090C}"/>
    <cellStyle name="Note 19 7 14" xfId="9861" xr:uid="{519F1262-BE0C-4AD3-885B-85123C41447A}"/>
    <cellStyle name="Note 19 7 14 2" xfId="33607" xr:uid="{E434EC15-1EE5-474C-8001-A1B5DBD55302}"/>
    <cellStyle name="Note 19 7 15" xfId="15275" xr:uid="{99A1E925-AF43-4725-8735-7AADED61CEDE}"/>
    <cellStyle name="Note 19 7 15 2" xfId="36994" xr:uid="{9A9B5725-7A96-40AE-B25F-AB9C57716E69}"/>
    <cellStyle name="Note 19 7 16" xfId="20033" xr:uid="{8548F4DC-016D-4D0F-96A0-D571186A7B4C}"/>
    <cellStyle name="Note 19 7 16 2" xfId="40599" xr:uid="{0990E7DF-2221-4502-BD55-9ECCC720182D}"/>
    <cellStyle name="Note 19 7 17" xfId="21450" xr:uid="{D6154871-56B4-482A-B24B-B507BC13E9D1}"/>
    <cellStyle name="Note 19 7 17 2" xfId="41579" xr:uid="{332D6EA1-1B4D-426F-BC15-C0A5D1B54ACD}"/>
    <cellStyle name="Note 19 7 18" xfId="18649" xr:uid="{5E2C049C-3E53-4E16-A64A-775A0292E91A}"/>
    <cellStyle name="Note 19 7 18 2" xfId="39544" xr:uid="{38AA63AD-3449-4ACC-A250-406297F5618C}"/>
    <cellStyle name="Note 19 7 19" xfId="21989" xr:uid="{B7E78929-3DE6-4F87-B564-230997EC2050}"/>
    <cellStyle name="Note 19 7 19 2" xfId="41890" xr:uid="{1975897A-DDFB-4722-8550-248C9EBCCF00}"/>
    <cellStyle name="Note 19 7 2" xfId="2882" xr:uid="{E8C044F0-D737-4735-AD03-B2C123BE7CD4}"/>
    <cellStyle name="Note 19 7 2 10" xfId="12238" xr:uid="{7E48DA89-4F6A-486A-BFA3-B5890AD2F195}"/>
    <cellStyle name="Note 19 7 2 10 2" xfId="34744" xr:uid="{72AECB30-3F1B-46FF-8F0F-B532037E5C20}"/>
    <cellStyle name="Note 19 7 2 11" xfId="14065" xr:uid="{53946B8C-C39A-4DEF-9DA2-376D00E901AD}"/>
    <cellStyle name="Note 19 7 2 11 2" xfId="36159" xr:uid="{F3527A00-BB5A-4BB9-A4AB-FC718DCD648F}"/>
    <cellStyle name="Note 19 7 2 12" xfId="15169" xr:uid="{0876F579-08D9-4160-9165-93DF79E13656}"/>
    <cellStyle name="Note 19 7 2 12 2" xfId="36957" xr:uid="{604B0471-F52D-4750-AA56-7AA75AD74ACF}"/>
    <cellStyle name="Note 19 7 2 13" xfId="13506" xr:uid="{B1C997BF-D971-4B52-AD35-3F57D72BE7C3}"/>
    <cellStyle name="Note 19 7 2 13 2" xfId="35760" xr:uid="{7F8E3C2A-E5A5-4A65-9E1F-ED3E9DC2F2D5}"/>
    <cellStyle name="Note 19 7 2 14" xfId="19767" xr:uid="{43681649-5A93-45FE-9A8B-9003E7EE0952}"/>
    <cellStyle name="Note 19 7 2 14 2" xfId="40384" xr:uid="{2E3F631A-9387-4760-861D-A81F1B0AE3B1}"/>
    <cellStyle name="Note 19 7 2 15" xfId="18428" xr:uid="{A2B30332-0965-42A1-AF1B-4A87F263DA00}"/>
    <cellStyle name="Note 19 7 2 15 2" xfId="39439" xr:uid="{7D7B87E5-E1F1-43A1-AC9D-2DCD351368EF}"/>
    <cellStyle name="Note 19 7 2 16" xfId="13905" xr:uid="{0F761E37-9ECE-4060-8406-CDA442831494}"/>
    <cellStyle name="Note 19 7 2 16 2" xfId="36019" xr:uid="{1B30B35C-47E7-44B7-8A46-B1A984C6ADD0}"/>
    <cellStyle name="Note 19 7 2 17" xfId="22000" xr:uid="{2344A5D4-C5AD-4194-A4ED-EB347D3DCFF3}"/>
    <cellStyle name="Note 19 7 2 17 2" xfId="41895" xr:uid="{6AE47953-D5DD-4C15-8F64-BF840245FC07}"/>
    <cellStyle name="Note 19 7 2 18" xfId="18934" xr:uid="{82A218FC-F67A-4B00-987F-BC1D6753D05A}"/>
    <cellStyle name="Note 19 7 2 18 2" xfId="39767" xr:uid="{92BAB391-F50D-4A3C-965A-66A1BC53015D}"/>
    <cellStyle name="Note 19 7 2 19" xfId="22888" xr:uid="{3C8F8116-E064-4FE9-B04B-2F6787A56811}"/>
    <cellStyle name="Note 19 7 2 19 2" xfId="42606" xr:uid="{A24C392B-9254-43BC-91D0-728694783C7F}"/>
    <cellStyle name="Note 19 7 2 2" xfId="8124" xr:uid="{A0D768C6-563F-4368-87AC-9A901D2C0664}"/>
    <cellStyle name="Note 19 7 2 2 2" xfId="32366" xr:uid="{A68F0EA4-E42F-4B7A-BF79-DC120DD15AB6}"/>
    <cellStyle name="Note 19 7 2 20" xfId="23306" xr:uid="{7CDA2DA5-3AA5-4964-8F02-DABEAC5BF637}"/>
    <cellStyle name="Note 19 7 2 20 2" xfId="42878" xr:uid="{0F2BBA81-230C-457A-BFBE-31AD2E128F4D}"/>
    <cellStyle name="Note 19 7 2 21" xfId="24561" xr:uid="{975E7C63-E069-411B-9687-0B1C171C032D}"/>
    <cellStyle name="Note 19 7 2 21 2" xfId="43744" xr:uid="{3CDC8B91-FC4C-4CC0-93BF-11CA1E214629}"/>
    <cellStyle name="Note 19 7 2 22" xfId="13924" xr:uid="{841AEF68-90AA-4EF3-A909-FB20A5B215C0}"/>
    <cellStyle name="Note 19 7 2 22 2" xfId="36035" xr:uid="{25D88D3D-75CD-42AD-AD1A-75BB8E6ACD65}"/>
    <cellStyle name="Note 19 7 2 23" xfId="29754" xr:uid="{739752A3-336A-4A7B-87AF-1E66EE2A25D9}"/>
    <cellStyle name="Note 19 7 2 23 2" xfId="47073" xr:uid="{D7F12E00-1F75-455C-97F2-E01BCED3B16E}"/>
    <cellStyle name="Note 19 7 2 24" xfId="30130" xr:uid="{8BA56248-C27A-439B-8C00-0AEF560A5519}"/>
    <cellStyle name="Note 19 7 2 24 2" xfId="47298" xr:uid="{9F3E5A4C-9FEE-463E-AB44-0566DD2532C8}"/>
    <cellStyle name="Note 19 7 2 25" xfId="23569" xr:uid="{C17B4059-027B-48CF-8E20-B2A02C581CB7}"/>
    <cellStyle name="Note 19 7 2 25 2" xfId="43005" xr:uid="{9991FB47-C04C-4153-9779-25F235E161B7}"/>
    <cellStyle name="Note 19 7 2 26" xfId="29659" xr:uid="{4CE433DE-93BA-4D56-8BB3-5FE31F5B0976}"/>
    <cellStyle name="Note 19 7 2 26 2" xfId="47028" xr:uid="{1D8900F0-4C99-42B8-8A0E-27924C4C23F5}"/>
    <cellStyle name="Note 19 7 2 27" xfId="29392" xr:uid="{2440F38A-6E0C-46DC-822D-0774CA6D3039}"/>
    <cellStyle name="Note 19 7 2 27 2" xfId="46859" xr:uid="{D8528E75-8B58-47E1-A920-E76EBC72E6A9}"/>
    <cellStyle name="Note 19 7 2 28" xfId="6413" xr:uid="{CF44F1C3-7DE0-48D9-8EBE-89414DC6745D}"/>
    <cellStyle name="Note 19 7 2 3" xfId="9272" xr:uid="{A2750956-D091-40C9-B072-C4F035D11CC7}"/>
    <cellStyle name="Note 19 7 2 3 2" xfId="33258" xr:uid="{9FA898F5-D0AB-4301-86C5-619155D0ECF1}"/>
    <cellStyle name="Note 19 7 2 4" xfId="7747" xr:uid="{D16CDF40-043B-45A0-9D75-F774B068DC5F}"/>
    <cellStyle name="Note 19 7 2 4 2" xfId="32044" xr:uid="{2B4B1A36-3DBF-45A8-A6FD-D59C57CAA1C0}"/>
    <cellStyle name="Note 19 7 2 5" xfId="8847" xr:uid="{F8876C7F-4544-4B77-8F44-CC1E67F2F188}"/>
    <cellStyle name="Note 19 7 2 5 2" xfId="32969" xr:uid="{E1287B50-C028-4E0E-99EC-7E9E12CEF321}"/>
    <cellStyle name="Note 19 7 2 6" xfId="10403" xr:uid="{D0C0922E-43B2-4437-99A2-CDFBB62AAD11}"/>
    <cellStyle name="Note 19 7 2 6 2" xfId="34038" xr:uid="{D8B753ED-82BF-4B07-B624-03C59D1E93D0}"/>
    <cellStyle name="Note 19 7 2 7" xfId="8542" xr:uid="{E5F01A15-E014-4FCF-9205-3011AC4A9E8F}"/>
    <cellStyle name="Note 19 7 2 7 2" xfId="32729" xr:uid="{56A8EFAE-A32D-438F-BBC6-09D1010A1F44}"/>
    <cellStyle name="Note 19 7 2 8" xfId="14399" xr:uid="{B80B16E6-6B92-4705-ACE1-939A0EA68D4E}"/>
    <cellStyle name="Note 19 7 2 8 2" xfId="36392" xr:uid="{2EEBDD5E-873F-4C68-9D64-E9453862E343}"/>
    <cellStyle name="Note 19 7 2 9" xfId="7294" xr:uid="{E0431B9D-B923-4AB1-9FB3-4AC4AC1FFC47}"/>
    <cellStyle name="Note 19 7 2 9 2" xfId="31658" xr:uid="{D88E51A5-2220-4EBE-B5FF-6F02D1DFE38B}"/>
    <cellStyle name="Note 19 7 20" xfId="24764" xr:uid="{AE0B5CC3-42C5-49AA-A111-4FDAE45AF17F}"/>
    <cellStyle name="Note 19 7 20 2" xfId="43909" xr:uid="{284A557E-C532-4B7E-8977-E3CD6502250B}"/>
    <cellStyle name="Note 19 7 21" xfId="16226" xr:uid="{E3226105-3C13-4B50-A16F-D1E27ED7287E}"/>
    <cellStyle name="Note 19 7 21 2" xfId="37779" xr:uid="{0A6D3692-52E9-46BC-9A89-DBAACBD3F0AF}"/>
    <cellStyle name="Note 19 7 22" xfId="22759" xr:uid="{24948786-4ABF-4511-AFD7-364AF4A5EC18}"/>
    <cellStyle name="Note 19 7 22 2" xfId="42516" xr:uid="{776B629F-92F3-4790-AAB4-489843BFD655}"/>
    <cellStyle name="Note 19 7 23" xfId="18001" xr:uid="{2D69082E-0F5F-4847-8DD9-9C4FC77AB21A}"/>
    <cellStyle name="Note 19 7 23 2" xfId="39097" xr:uid="{C32E2507-8144-4111-BD3C-B0A647D59C6B}"/>
    <cellStyle name="Note 19 7 24" xfId="28634" xr:uid="{6285527B-FE4C-477F-B25A-61D62ECC064C}"/>
    <cellStyle name="Note 19 7 24 2" xfId="46368" xr:uid="{E9FDA37F-5254-42DB-97EE-879185A1E4E5}"/>
    <cellStyle name="Note 19 7 25" xfId="23741" xr:uid="{19A5E984-8EBB-4A97-92E8-CAF3F9CBF87C}"/>
    <cellStyle name="Note 19 7 25 2" xfId="43155" xr:uid="{EE8210BB-84F3-4585-AF17-DE078CC6497C}"/>
    <cellStyle name="Note 19 7 26" xfId="24387" xr:uid="{E03DCCD9-E59B-4108-AEC1-B844093CD510}"/>
    <cellStyle name="Note 19 7 26 2" xfId="43628" xr:uid="{3D44A8E0-4A8F-4F7E-9050-F1F7BAFE1D87}"/>
    <cellStyle name="Note 19 7 27" xfId="30036" xr:uid="{2F6437ED-B708-47FC-9C3C-F33A22465080}"/>
    <cellStyle name="Note 19 7 27 2" xfId="47263" xr:uid="{8A12414C-C896-4D07-ACCB-2316FCE11B81}"/>
    <cellStyle name="Note 19 7 28" xfId="26889" xr:uid="{215966E7-D337-4ADF-B89C-DB18E5CF1DC1}"/>
    <cellStyle name="Note 19 7 28 2" xfId="45312" xr:uid="{9A1AE852-F52D-4653-80DC-1A2D8D8BA545}"/>
    <cellStyle name="Note 19 7 29" xfId="6412" xr:uid="{2143B505-7607-4B20-8B4D-5ECD53C2D7BA}"/>
    <cellStyle name="Note 19 7 3" xfId="8125" xr:uid="{4801EF6D-E8F3-4B3A-AAB7-69DAD38B2649}"/>
    <cellStyle name="Note 19 7 3 2" xfId="32367" xr:uid="{A37743D5-652E-4CF4-B123-8B7731131586}"/>
    <cellStyle name="Note 19 7 4" xfId="9271" xr:uid="{DB641EF1-E1A4-47BC-9BE8-AF521497024A}"/>
    <cellStyle name="Note 19 7 4 2" xfId="33257" xr:uid="{D57FA907-8563-48BD-BDE0-24C276E415A2}"/>
    <cellStyle name="Note 19 7 5" xfId="7748" xr:uid="{A3149F72-CEBB-4693-9C66-07C79F76B8D3}"/>
    <cellStyle name="Note 19 7 5 2" xfId="32045" xr:uid="{03953B23-BA80-464A-91CA-DFDF167EC5F9}"/>
    <cellStyle name="Note 19 7 6" xfId="8848" xr:uid="{68F827EC-87B4-4472-9A3C-C8C5B2EDA8B3}"/>
    <cellStyle name="Note 19 7 6 2" xfId="32970" xr:uid="{A417905E-3E4E-4E06-8253-47AE1A07A4B1}"/>
    <cellStyle name="Note 19 7 7" xfId="13061" xr:uid="{A861B073-92A4-4E9A-8E6E-309D8D23A91E}"/>
    <cellStyle name="Note 19 7 7 2" xfId="35409" xr:uid="{7270B4B6-463D-4AD8-810C-6FD1D5727EB4}"/>
    <cellStyle name="Note 19 7 8" xfId="13381" xr:uid="{133FA946-D0A0-4CC1-8FCE-950FEE5EE3C8}"/>
    <cellStyle name="Note 19 7 8 2" xfId="35688" xr:uid="{98CDF7E8-05DA-4901-BDF6-D5C8D9E7892E}"/>
    <cellStyle name="Note 19 7 9" xfId="14913" xr:uid="{81789BBA-E1F5-4DC6-BA9D-07E161969ADE}"/>
    <cellStyle name="Note 19 7 9 2" xfId="36788" xr:uid="{EC3B359D-2A77-4CA0-8711-2EB0BB49EBCD}"/>
    <cellStyle name="Note 19 8" xfId="2883" xr:uid="{49E0E539-E09A-4214-93CC-B52B628F4B0F}"/>
    <cellStyle name="Note 19 8 10" xfId="13505" xr:uid="{46C0ACC1-D4A2-4CA3-80D0-1E102A5099D9}"/>
    <cellStyle name="Note 19 8 10 2" xfId="35759" xr:uid="{BD9ECF70-364B-40DB-9804-3B72E13563B2}"/>
    <cellStyle name="Note 19 8 11" xfId="16623" xr:uid="{9D82FA95-16C5-4E18-B945-CB387EC2B192}"/>
    <cellStyle name="Note 19 8 11 2" xfId="38116" xr:uid="{4BD864E3-DCE7-4DC6-82DD-7888FF01922C}"/>
    <cellStyle name="Note 19 8 12" xfId="14425" xr:uid="{552AF280-2347-4BCF-BF4A-2FA9F34BCA77}"/>
    <cellStyle name="Note 19 8 12 2" xfId="36414" xr:uid="{EA26EDA1-CA44-4BD9-9253-BBD084CF4066}"/>
    <cellStyle name="Note 19 8 13" xfId="22500" xr:uid="{4D047E5A-96A9-4301-A1C7-304A90BA0A27}"/>
    <cellStyle name="Note 19 8 13 2" xfId="42299" xr:uid="{B38202BA-260C-4E16-91B5-27F00D23F7AB}"/>
    <cellStyle name="Note 19 8 14" xfId="17967" xr:uid="{5CB72495-7245-42E6-AA69-D74D91F07C62}"/>
    <cellStyle name="Note 19 8 14 2" xfId="39065" xr:uid="{97D44C53-60BE-47AF-AC92-C73D3FE5F7FF}"/>
    <cellStyle name="Note 19 8 15" xfId="10108" xr:uid="{531198FD-314F-4981-B326-4055D5BBF5D1}"/>
    <cellStyle name="Note 19 8 15 2" xfId="33779" xr:uid="{BE22D36D-FFE6-466C-A908-D4079FC87220}"/>
    <cellStyle name="Note 19 8 16" xfId="21449" xr:uid="{BCFB3C26-71C5-47A9-A9F7-73CF36BA8D0C}"/>
    <cellStyle name="Note 19 8 16 2" xfId="41578" xr:uid="{99025F39-07B7-4D18-ABB3-18C7DE69DF67}"/>
    <cellStyle name="Note 19 8 17" xfId="18332" xr:uid="{0B53EB77-1A4B-46F2-BD26-11D06425C050}"/>
    <cellStyle name="Note 19 8 17 2" xfId="39363" xr:uid="{F678628A-767B-45F0-B8D8-6D74A158312C}"/>
    <cellStyle name="Note 19 8 18" xfId="20724" xr:uid="{9AA05387-DBA3-42CB-B13E-11CD2A05711C}"/>
    <cellStyle name="Note 19 8 18 2" xfId="41084" xr:uid="{BF0590D1-0735-47A3-865F-B147C4F189B4}"/>
    <cellStyle name="Note 19 8 19" xfId="24763" xr:uid="{CE987603-B2AE-4AF9-8F4E-69AFBA1F1D7C}"/>
    <cellStyle name="Note 19 8 19 2" xfId="43908" xr:uid="{68A9478B-9E9B-48A3-A17C-3F4284C7F18C}"/>
    <cellStyle name="Note 19 8 2" xfId="8123" xr:uid="{1422F39C-C3DE-4261-BA30-0D7431DF249A}"/>
    <cellStyle name="Note 19 8 2 2" xfId="32365" xr:uid="{78702ADB-F7AF-42E8-9D18-575417F162F6}"/>
    <cellStyle name="Note 19 8 20" xfId="24948" xr:uid="{1623EE8D-BBBD-41A6-9E77-5D8618C2FC09}"/>
    <cellStyle name="Note 19 8 20 2" xfId="44030" xr:uid="{1BD182E2-402E-48DC-BC96-178626AED9A8}"/>
    <cellStyle name="Note 19 8 21" xfId="25294" xr:uid="{98F5DC2D-790F-444B-BE5D-36A4DE015101}"/>
    <cellStyle name="Note 19 8 21 2" xfId="44210" xr:uid="{26766CA2-0AD1-440A-BD8D-E3910368F26B}"/>
    <cellStyle name="Note 19 8 22" xfId="29526" xr:uid="{B6973E51-AEEC-4C36-8C28-30632AAB5ADF}"/>
    <cellStyle name="Note 19 8 22 2" xfId="46933" xr:uid="{31E09F87-4184-4BA8-B0D9-E9ED18030E3D}"/>
    <cellStyle name="Note 19 8 23" xfId="21030" xr:uid="{297FB2FD-6F16-452E-8B77-C99B3B231EAD}"/>
    <cellStyle name="Note 19 8 23 2" xfId="41283" xr:uid="{C413E143-BE43-489B-AEF6-3100B8714FE6}"/>
    <cellStyle name="Note 19 8 24" xfId="30133" xr:uid="{5F6139CA-1E14-4E88-A76A-54F2E9BB097B}"/>
    <cellStyle name="Note 19 8 24 2" xfId="47301" xr:uid="{5BD7252D-A66F-44B0-BA44-49A07B9CBF26}"/>
    <cellStyle name="Note 19 8 25" xfId="27714" xr:uid="{13D86509-8D3B-4B62-8340-0E365D9BB892}"/>
    <cellStyle name="Note 19 8 25 2" xfId="45821" xr:uid="{8D28F48F-8850-487F-AFB7-03479B3F90DE}"/>
    <cellStyle name="Note 19 8 26" xfId="29866" xr:uid="{F4D5CAA8-8B51-4B7C-94A0-B4C7853D3047}"/>
    <cellStyle name="Note 19 8 26 2" xfId="47161" xr:uid="{4B7C0179-7EF4-4398-9B14-40E7705D5F46}"/>
    <cellStyle name="Note 19 8 27" xfId="23750" xr:uid="{BE5919BD-F7D7-4EC1-B574-FCD8F3DD44BD}"/>
    <cellStyle name="Note 19 8 27 2" xfId="43162" xr:uid="{18ECFB16-9FC0-4408-B72C-73C8FC25C455}"/>
    <cellStyle name="Note 19 8 28" xfId="6414" xr:uid="{3682AFAE-11D2-455F-B6D9-66C8F966FA85}"/>
    <cellStyle name="Note 19 8 3" xfId="9273" xr:uid="{55A6EB5A-F520-4897-99A9-78B7D2CF8BDA}"/>
    <cellStyle name="Note 19 8 3 2" xfId="33259" xr:uid="{F440E46E-73F0-4144-A7AB-60774F1278A2}"/>
    <cellStyle name="Note 19 8 4" xfId="7746" xr:uid="{C90DC493-7D2A-4E96-8838-EADDDCC2F70D}"/>
    <cellStyle name="Note 19 8 4 2" xfId="32043" xr:uid="{BA335E54-E6E2-4388-9685-063BE22BEFC2}"/>
    <cellStyle name="Note 19 8 5" xfId="15952" xr:uid="{1C6B5F0E-3234-49A7-AC2F-A731A70CB640}"/>
    <cellStyle name="Note 19 8 5 2" xfId="37543" xr:uid="{CEEE2A13-3D68-4B89-9555-5561E5D98BED}"/>
    <cellStyle name="Note 19 8 6" xfId="13060" xr:uid="{7D7E9D72-84CC-4449-938C-085EF1C906BE}"/>
    <cellStyle name="Note 19 8 6 2" xfId="35408" xr:uid="{D74C7C7C-C2C0-4754-B0EC-AFB4552F345F}"/>
    <cellStyle name="Note 19 8 7" xfId="13382" xr:uid="{83FEB3CA-F641-4D69-A348-B459564450DD}"/>
    <cellStyle name="Note 19 8 7 2" xfId="35689" xr:uid="{3F7E65A8-C2E2-4752-AF2D-0E4953886F24}"/>
    <cellStyle name="Note 19 8 8" xfId="14912" xr:uid="{79E21915-E330-44E4-9230-0FB89D0AAAE5}"/>
    <cellStyle name="Note 19 8 8 2" xfId="36787" xr:uid="{72A93CD3-4D9A-47BB-A48A-C0DE76CC4D40}"/>
    <cellStyle name="Note 19 8 9" xfId="11722" xr:uid="{6E95F65D-3B14-4414-8D11-483DE54A66FF}"/>
    <cellStyle name="Note 19 8 9 2" xfId="34335" xr:uid="{8993A532-4D03-4FD1-8D2F-1B9B9FCC07D5}"/>
    <cellStyle name="Note 19 9" xfId="8138" xr:uid="{A8566FBD-1BF8-45A3-B2DA-1BF31C39D934}"/>
    <cellStyle name="Note 19 9 2" xfId="32380" xr:uid="{CC469CFD-D5C8-4114-9BAD-E4AB10C4DD51}"/>
    <cellStyle name="Note 19_Sheet2" xfId="2884" xr:uid="{DA6B721A-37C7-4328-9D0C-8B97AB109184}"/>
    <cellStyle name="Note 2" xfId="66" xr:uid="{00000000-0005-0000-0000-000049000000}"/>
    <cellStyle name="Note 2 10" xfId="9274" xr:uid="{E041EE30-FCE3-484E-9003-B9C0BECE950F}"/>
    <cellStyle name="Note 2 10 2" xfId="33260" xr:uid="{E87C2071-5D4F-4ABA-9980-524528789BE8}"/>
    <cellStyle name="Note 2 11" xfId="7745" xr:uid="{509CBED3-5759-49CC-AC21-9D2B2F2B0BF7}"/>
    <cellStyle name="Note 2 11 2" xfId="32042" xr:uid="{98F020E4-3780-40E1-AF95-2B3B192936FE}"/>
    <cellStyle name="Note 2 12" xfId="8846" xr:uid="{FB987D50-A4A2-41E9-93C0-FB97AB3BF357}"/>
    <cellStyle name="Note 2 12 2" xfId="32968" xr:uid="{4B143F32-4718-409C-A43B-098C1FB25366}"/>
    <cellStyle name="Note 2 13" xfId="13059" xr:uid="{58C7DA34-4596-4872-B8F2-926A10B63109}"/>
    <cellStyle name="Note 2 13 2" xfId="35407" xr:uid="{C62D3982-6D2C-485D-B131-22786F508E41}"/>
    <cellStyle name="Note 2 14" xfId="13383" xr:uid="{C21C1063-1E87-4015-8FE9-B0F5A89DFC3F}"/>
    <cellStyle name="Note 2 14 2" xfId="35690" xr:uid="{459B565F-F832-496D-B689-1A5E73EFC93F}"/>
    <cellStyle name="Note 2 15" xfId="14911" xr:uid="{4171C760-B2A9-4D47-81DC-C65692420CBC}"/>
    <cellStyle name="Note 2 15 2" xfId="36786" xr:uid="{3D246FDA-7AE1-4F3B-A165-88A43A87A921}"/>
    <cellStyle name="Note 2 16" xfId="11721" xr:uid="{DBF6C434-4AB1-4D08-8FFB-EF1D8DC55E4D}"/>
    <cellStyle name="Note 2 16 2" xfId="34334" xr:uid="{86105AAA-EFF6-41A2-BB20-1CBF4E1F3723}"/>
    <cellStyle name="Note 2 17" xfId="15470" xr:uid="{DF8FBEF9-3FD6-4E6E-8EB9-64F9CCDE2524}"/>
    <cellStyle name="Note 2 17 2" xfId="37135" xr:uid="{DE5C2C56-C21A-420F-935D-4F294FF3CE83}"/>
    <cellStyle name="Note 2 18" xfId="16622" xr:uid="{211F388B-DCE9-4211-BD58-4351EC8C2267}"/>
    <cellStyle name="Note 2 18 2" xfId="38115" xr:uid="{54C6DB3C-ADCA-47CD-9202-41E68E46D0FC}"/>
    <cellStyle name="Note 2 19" xfId="13679" xr:uid="{B3B04C84-1A96-48C7-A025-F35767E63817}"/>
    <cellStyle name="Note 2 19 2" xfId="35835" xr:uid="{7D5D428A-83EC-4C8A-A595-7E60EC24E57A}"/>
    <cellStyle name="Note 2 2" xfId="2886" xr:uid="{4CD3290E-AAB7-4097-A03D-3A5D03227DC8}"/>
    <cellStyle name="Note 2 2 10" xfId="12929" xr:uid="{840DBFC0-FFE3-4532-8721-A208585C6B9B}"/>
    <cellStyle name="Note 2 2 10 2" xfId="35285" xr:uid="{073C7E90-E5F4-40B0-A18A-7CDE32C30467}"/>
    <cellStyle name="Note 2 2 11" xfId="7293" xr:uid="{5750ABCF-FE7C-427B-B3E6-6B335564D414}"/>
    <cellStyle name="Note 2 2 11 2" xfId="31657" xr:uid="{EE753491-4827-473D-AE65-AF005175495B}"/>
    <cellStyle name="Note 2 2 12" xfId="12275" xr:uid="{6D45CFF1-E5D5-4446-859E-46832F7012B9}"/>
    <cellStyle name="Note 2 2 12 2" xfId="34781" xr:uid="{2A49496A-EB6F-45EF-84BA-94B18BEF23F3}"/>
    <cellStyle name="Note 2 2 13" xfId="14064" xr:uid="{1A39126E-640B-40C5-9D35-F35FD9B16531}"/>
    <cellStyle name="Note 2 2 13 2" xfId="36158" xr:uid="{9DEFE40A-D8F7-439A-8D58-BB899EEA9180}"/>
    <cellStyle name="Note 2 2 14" xfId="13857" xr:uid="{730C6BA6-E64C-4E1F-B66B-5576FB13D0D6}"/>
    <cellStyle name="Note 2 2 14 2" xfId="35980" xr:uid="{35BBFA7F-19BC-4F87-A377-5200FB551FC4}"/>
    <cellStyle name="Note 2 2 15" xfId="22497" xr:uid="{3B20FEEE-D5DA-4252-8654-523970D5C68F}"/>
    <cellStyle name="Note 2 2 15 2" xfId="42296" xr:uid="{7100B431-0BFF-4A0C-B28C-FF06D1D246A0}"/>
    <cellStyle name="Note 2 2 16" xfId="15735" xr:uid="{29D6B880-F1BF-4BE0-AC2D-BB10A676E622}"/>
    <cellStyle name="Note 2 2 16 2" xfId="37364" xr:uid="{5B55BE4B-42D5-4313-9480-A7F893E05EB0}"/>
    <cellStyle name="Note 2 2 17" xfId="18429" xr:uid="{6D5A72D7-79B4-4BE1-8CAA-58F8F1A1CB9E}"/>
    <cellStyle name="Note 2 2 17 2" xfId="39440" xr:uid="{7F8C400F-B1C3-4609-889A-F67A7D6DC037}"/>
    <cellStyle name="Note 2 2 18" xfId="17724" xr:uid="{2259B2CD-A955-45EF-9FAC-6A231F302514}"/>
    <cellStyle name="Note 2 2 18 2" xfId="38900" xr:uid="{35E02ECE-8A19-4A6A-8B2D-42F0455F1E95}"/>
    <cellStyle name="Note 2 2 19" xfId="18331" xr:uid="{B7E9A0D2-C882-4A81-836C-4433EDEE746E}"/>
    <cellStyle name="Note 2 2 19 2" xfId="39362" xr:uid="{BF7E5FA8-E460-4442-B7AD-4492167BF39E}"/>
    <cellStyle name="Note 2 2 2" xfId="2887" xr:uid="{D27797EB-7CAC-4EC5-A427-1E58211130F8}"/>
    <cellStyle name="Note 2 2 2 10" xfId="11720" xr:uid="{DE3B85B7-F6AF-4D2D-A209-514CAB773BD1}"/>
    <cellStyle name="Note 2 2 2 10 2" xfId="34333" xr:uid="{1D73D52F-6836-42F2-83AA-2797711D29CA}"/>
    <cellStyle name="Note 2 2 2 11" xfId="12290" xr:uid="{95ABF8B5-FA04-4173-AAE1-FC913A69AE1A}"/>
    <cellStyle name="Note 2 2 2 11 2" xfId="34796" xr:uid="{8EBF2273-5500-4CD3-8813-DC60BE694CB3}"/>
    <cellStyle name="Note 2 2 2 12" xfId="16621" xr:uid="{3512DC20-0E23-41A8-89D6-DD152B0C8289}"/>
    <cellStyle name="Note 2 2 2 12 2" xfId="38114" xr:uid="{F915425A-7CBF-4BBA-9466-23F6348C6AD6}"/>
    <cellStyle name="Note 2 2 2 13" xfId="14437" xr:uid="{1547AD25-EE40-4252-88A0-69D0FE9906DD}"/>
    <cellStyle name="Note 2 2 2 13 2" xfId="36426" xr:uid="{F8B3D837-6242-43EA-B2E4-407F6604ECAA}"/>
    <cellStyle name="Note 2 2 2 14" xfId="15460" xr:uid="{334A5888-AB1A-4788-A194-181D07CD47EF}"/>
    <cellStyle name="Note 2 2 2 14 2" xfId="37129" xr:uid="{34713BC1-BC89-4083-89F2-C9243740D2F2}"/>
    <cellStyle name="Note 2 2 2 15" xfId="19765" xr:uid="{6A9D54E2-4267-43C3-9D63-4E01014FBFE0}"/>
    <cellStyle name="Note 2 2 2 15 2" xfId="40382" xr:uid="{29941F7A-CB08-444A-ADA8-28837E0E824F}"/>
    <cellStyle name="Note 2 2 2 16" xfId="20036" xr:uid="{6940ED96-82D1-4906-B010-9E591823555D}"/>
    <cellStyle name="Note 2 2 2 16 2" xfId="40602" xr:uid="{89730156-C58F-4416-AACF-42FD46A70EDE}"/>
    <cellStyle name="Note 2 2 2 17" xfId="21447" xr:uid="{3F7AD68C-4820-4299-AEF5-84D4E76DE52E}"/>
    <cellStyle name="Note 2 2 2 17 2" xfId="41576" xr:uid="{5A690A4D-FC50-47E8-A915-ED025DD87EDB}"/>
    <cellStyle name="Note 2 2 2 18" xfId="15816" xr:uid="{2F567292-1DA5-49B6-BA36-246EB7143446}"/>
    <cellStyle name="Note 2 2 2 18 2" xfId="37431" xr:uid="{C7690293-0FAC-4563-8A23-224795A3BB79}"/>
    <cellStyle name="Note 2 2 2 19" xfId="20726" xr:uid="{17427600-C785-45C5-998F-0AF85F736C51}"/>
    <cellStyle name="Note 2 2 2 19 2" xfId="41086" xr:uid="{1D2ECC48-0178-4E51-94E2-9B16554BF9BC}"/>
    <cellStyle name="Note 2 2 2 2" xfId="2888" xr:uid="{9C879C91-106E-45B3-BB0C-C6F638891B0B}"/>
    <cellStyle name="Note 2 2 2 2 10" xfId="12779" xr:uid="{9B069519-6EB6-4A7A-AE8D-0B3FB8356AA9}"/>
    <cellStyle name="Note 2 2 2 2 10 2" xfId="35187" xr:uid="{1EA1AA70-45BB-4614-AA49-64F0F51DD424}"/>
    <cellStyle name="Note 2 2 2 2 11" xfId="12499" xr:uid="{2FF47544-2BE3-4223-A18F-1B502043838A}"/>
    <cellStyle name="Note 2 2 2 2 11 2" xfId="34944" xr:uid="{F35F3CBA-2C08-4A96-8F44-7941B3EDA560}"/>
    <cellStyle name="Note 2 2 2 2 12" xfId="13680" xr:uid="{E635B8C5-078E-40E3-BE9D-2A11DA1C31A3}"/>
    <cellStyle name="Note 2 2 2 2 12 2" xfId="35836" xr:uid="{9D80DBAA-543F-4932-8ED8-6FD3BB8BAEB3}"/>
    <cellStyle name="Note 2 2 2 2 13" xfId="22499" xr:uid="{5F7B9ED6-EA00-4763-9F86-FF3528CF4F34}"/>
    <cellStyle name="Note 2 2 2 2 13 2" xfId="42298" xr:uid="{55B68618-7B84-4FA8-BAB4-7463B97712C7}"/>
    <cellStyle name="Note 2 2 2 2 14" xfId="17966" xr:uid="{B91DCF88-E2E7-4951-9207-ACF56AB97EBA}"/>
    <cellStyle name="Note 2 2 2 2 14 2" xfId="39064" xr:uid="{7F354700-AC29-453A-8248-6637C5E1EA16}"/>
    <cellStyle name="Note 2 2 2 2 15" xfId="18426" xr:uid="{1ECDA3C3-1949-4616-9950-FC00E3C90444}"/>
    <cellStyle name="Note 2 2 2 2 15 2" xfId="39437" xr:uid="{C2FBF660-93B5-461D-A4CB-89C7AF9D0F43}"/>
    <cellStyle name="Note 2 2 2 2 16" xfId="19635" xr:uid="{E103603C-4560-40A8-B7BD-BF9D3D7443EC}"/>
    <cellStyle name="Note 2 2 2 2 16 2" xfId="40275" xr:uid="{1342AD9E-2E45-4C10-9CC3-72A748E1541E}"/>
    <cellStyle name="Note 2 2 2 2 17" xfId="17911" xr:uid="{95CC3920-099C-4E9B-A99A-30E574D5B9E5}"/>
    <cellStyle name="Note 2 2 2 2 17 2" xfId="39018" xr:uid="{F16AA771-4BE0-4406-9F6A-3AC4C0AA6F48}"/>
    <cellStyle name="Note 2 2 2 2 18" xfId="18936" xr:uid="{22939EC2-3F27-472C-97BA-931C81B8BCA7}"/>
    <cellStyle name="Note 2 2 2 2 18 2" xfId="39769" xr:uid="{3BE1BBFF-5C60-4233-8DD3-4DFB1FC71FAC}"/>
    <cellStyle name="Note 2 2 2 2 19" xfId="22886" xr:uid="{9BBA44E1-97C9-4C7F-8D46-EB466F515DA5}"/>
    <cellStyle name="Note 2 2 2 2 19 2" xfId="42604" xr:uid="{AAF557DB-97A9-4779-ADAD-49C9AC089077}"/>
    <cellStyle name="Note 2 2 2 2 2" xfId="8119" xr:uid="{1327385D-10D2-4473-B7EF-33739A6237B8}"/>
    <cellStyle name="Note 2 2 2 2 2 2" xfId="32362" xr:uid="{2946C942-2129-428E-B34C-6AB6564FDFAF}"/>
    <cellStyle name="Note 2 2 2 2 20" xfId="13942" xr:uid="{299F6968-1739-4C22-B4D7-CA45FE326F69}"/>
    <cellStyle name="Note 2 2 2 2 20 2" xfId="36049" xr:uid="{5EC0BFA1-5853-4A34-A40E-BC6B4116426F}"/>
    <cellStyle name="Note 2 2 2 2 21" xfId="21059" xr:uid="{BA38FEDB-248F-41C9-837B-12A06633AD74}"/>
    <cellStyle name="Note 2 2 2 2 21 2" xfId="41304" xr:uid="{E87C5069-8686-4F8E-BA33-8A7B875EBC8A}"/>
    <cellStyle name="Note 2 2 2 2 22" xfId="29525" xr:uid="{4C6FE2FC-5452-409F-AEA7-B3ACE829E21E}"/>
    <cellStyle name="Note 2 2 2 2 22 2" xfId="46932" xr:uid="{D610DC5B-2051-4329-AB99-614A0292F238}"/>
    <cellStyle name="Note 2 2 2 2 23" xfId="26115" xr:uid="{7520D532-A7D2-4F07-9DC0-E0D7F4705C62}"/>
    <cellStyle name="Note 2 2 2 2 23 2" xfId="44858" xr:uid="{57239268-284F-474E-BA1E-DC581A36C5BF}"/>
    <cellStyle name="Note 2 2 2 2 24" xfId="30284" xr:uid="{0D954928-0D24-452B-80F8-A6E242CEE3B7}"/>
    <cellStyle name="Note 2 2 2 2 24 2" xfId="47432" xr:uid="{2F968E1B-1D0F-4C7B-81F1-BA95FE368021}"/>
    <cellStyle name="Note 2 2 2 2 25" xfId="22660" xr:uid="{0B7B5FF0-4ACA-4835-82C6-A080AF6A1FEE}"/>
    <cellStyle name="Note 2 2 2 2 25 2" xfId="42431" xr:uid="{C628509D-E364-44AD-897F-F1B489F9683E}"/>
    <cellStyle name="Note 2 2 2 2 26" xfId="28673" xr:uid="{EF0348AF-D0DB-4F73-AEDB-C15E7A810D42}"/>
    <cellStyle name="Note 2 2 2 2 26 2" xfId="46407" xr:uid="{9B4C7900-159A-4DE1-9B65-2BC3227B1F0D}"/>
    <cellStyle name="Note 2 2 2 2 27" xfId="27579" xr:uid="{79F31BE0-CB5D-4831-9C8C-30CFC472D82D}"/>
    <cellStyle name="Note 2 2 2 2 27 2" xfId="45728" xr:uid="{B380885E-099D-4DDA-9979-99155A7B185F}"/>
    <cellStyle name="Note 2 2 2 2 28" xfId="6418" xr:uid="{6D48F1DE-9613-4CD4-B1E8-D4F58E6C21CA}"/>
    <cellStyle name="Note 2 2 2 2 3" xfId="9277" xr:uid="{9BCF1812-64BD-4D9C-9DB9-456D1095F480}"/>
    <cellStyle name="Note 2 2 2 2 3 2" xfId="33263" xr:uid="{F838C576-8268-45F9-857B-D74685E91697}"/>
    <cellStyle name="Note 2 2 2 2 4" xfId="7742" xr:uid="{2912FF1E-158B-4A9C-B1F4-64AEBDBD1CF4}"/>
    <cellStyle name="Note 2 2 2 2 4 2" xfId="32039" xr:uid="{5E0B18C3-6135-4F18-97C1-0CE6EE273F59}"/>
    <cellStyle name="Note 2 2 2 2 5" xfId="15951" xr:uid="{C2993B55-3AAB-4EFB-920F-1CD00D97EF2E}"/>
    <cellStyle name="Note 2 2 2 2 5 2" xfId="37542" xr:uid="{34196407-452D-4938-B5E2-7E217408AE2B}"/>
    <cellStyle name="Note 2 2 2 2 6" xfId="10405" xr:uid="{FD608B09-B54E-4EDE-AD67-7B07969A426B}"/>
    <cellStyle name="Note 2 2 2 2 6 2" xfId="34040" xr:uid="{16EEB640-0735-4AED-82CB-EECA081077E1}"/>
    <cellStyle name="Note 2 2 2 2 7" xfId="13385" xr:uid="{F1D26AE5-4F1E-4FA1-BFA0-67BFBECE52EF}"/>
    <cellStyle name="Note 2 2 2 2 7 2" xfId="35692" xr:uid="{0A9829CD-D2A7-4D57-8F2A-94EE4EA2A833}"/>
    <cellStyle name="Note 2 2 2 2 8" xfId="10550" xr:uid="{F8B7EE0F-078D-4297-BFB6-E0304769F877}"/>
    <cellStyle name="Note 2 2 2 2 8 2" xfId="34176" xr:uid="{09324C11-912B-4452-9DB0-E5D6BA21BDB5}"/>
    <cellStyle name="Note 2 2 2 2 9" xfId="7292" xr:uid="{7BA63B0A-DCAD-4A12-94AE-1BF5DB44ECC3}"/>
    <cellStyle name="Note 2 2 2 2 9 2" xfId="31656" xr:uid="{33695FF3-DF24-41D4-AA28-2C4DAB002D65}"/>
    <cellStyle name="Note 2 2 2 20" xfId="24761" xr:uid="{A3C69B2E-4354-4099-BD67-98524A19CC6D}"/>
    <cellStyle name="Note 2 2 2 20 2" xfId="43906" xr:uid="{E81B94CE-3E3A-4E08-8A9A-20C8174E30E9}"/>
    <cellStyle name="Note 2 2 2 21" xfId="23304" xr:uid="{DDC6E713-786A-4749-BE86-154B786F4919}"/>
    <cellStyle name="Note 2 2 2 21 2" xfId="42876" xr:uid="{ED6A317A-4682-4686-BCDE-C20AE4B69045}"/>
    <cellStyle name="Note 2 2 2 22" xfId="25295" xr:uid="{019891FF-EA4F-453D-85DD-62ABCEC982A6}"/>
    <cellStyle name="Note 2 2 2 22 2" xfId="44211" xr:uid="{48C28DA8-8E9A-4BB8-ABE0-4E3AA7224C0E}"/>
    <cellStyle name="Note 2 2 2 23" xfId="26353" xr:uid="{E0F0B8D8-EC84-4FE6-97B5-B9AA32979A09}"/>
    <cellStyle name="Note 2 2 2 23 2" xfId="45035" xr:uid="{23EB85E5-C298-4190-BA0F-FBFFC3A61013}"/>
    <cellStyle name="Note 2 2 2 24" xfId="28632" xr:uid="{2CF5C9CC-0E22-442F-85CC-8A8B7426D060}"/>
    <cellStyle name="Note 2 2 2 24 2" xfId="46366" xr:uid="{05470398-0956-4411-92DA-070446CEC16E}"/>
    <cellStyle name="Note 2 2 2 25" xfId="30267" xr:uid="{DE90C9A4-A915-4A02-93A4-EBAA78F6D345}"/>
    <cellStyle name="Note 2 2 2 25 2" xfId="47418" xr:uid="{A475CFA4-9693-4E3A-A35D-3917EC62FEC5}"/>
    <cellStyle name="Note 2 2 2 26" xfId="23607" xr:uid="{564C7CC3-2A7F-464D-B574-E831DBB4E062}"/>
    <cellStyle name="Note 2 2 2 26 2" xfId="43042" xr:uid="{BF84EC15-63F0-4A78-A2B0-754AA717C4B1}"/>
    <cellStyle name="Note 2 2 2 27" xfId="28149" xr:uid="{BF4A7227-4707-4E32-95EE-FE9DA0AB2923}"/>
    <cellStyle name="Note 2 2 2 27 2" xfId="46084" xr:uid="{2B94C13A-BD3D-4F74-A4A7-9D5BBA819317}"/>
    <cellStyle name="Note 2 2 2 28" xfId="26970" xr:uid="{60B7A61B-8B37-46D1-BE63-A841CFF24642}"/>
    <cellStyle name="Note 2 2 2 28 2" xfId="45377" xr:uid="{BAF64C67-096B-48DC-B136-96EB2EDC140F}"/>
    <cellStyle name="Note 2 2 2 29" xfId="6417" xr:uid="{137B470E-7349-442D-B05A-CE9EADA805BE}"/>
    <cellStyle name="Note 2 2 2 3" xfId="8120" xr:uid="{4AC9A883-F7CC-4349-8864-DA3E127EC7CF}"/>
    <cellStyle name="Note 2 2 2 3 2" xfId="32363" xr:uid="{F7041F2A-886B-4724-8FCE-33161C3A58B8}"/>
    <cellStyle name="Note 2 2 2 4" xfId="9276" xr:uid="{340AEE94-9F87-4083-94F2-09F7B25518FF}"/>
    <cellStyle name="Note 2 2 2 4 2" xfId="33262" xr:uid="{BB4F0742-3F01-4A11-AD38-74B3B996B618}"/>
    <cellStyle name="Note 2 2 2 5" xfId="7743" xr:uid="{8D8D913E-0D91-4009-9A2C-EA921EE3ACFB}"/>
    <cellStyle name="Note 2 2 2 5 2" xfId="32040" xr:uid="{BA551065-7B49-4C70-AEAC-EAFC70B5E837}"/>
    <cellStyle name="Note 2 2 2 6" xfId="8845" xr:uid="{FC77991A-2CEF-44A7-964A-A6B3CA09AD77}"/>
    <cellStyle name="Note 2 2 2 6 2" xfId="32967" xr:uid="{A1D5B742-42F6-4DC7-9CE8-CC09D2C5BDAA}"/>
    <cellStyle name="Note 2 2 2 7" xfId="13058" xr:uid="{B6336371-EF15-4D87-9CA2-E1735B1DCBD8}"/>
    <cellStyle name="Note 2 2 2 7 2" xfId="35406" xr:uid="{24743E7A-31D6-43F2-B716-7CAC35201EA1}"/>
    <cellStyle name="Note 2 2 2 8" xfId="8541" xr:uid="{EB1D8A24-8C68-414C-949E-61EDE0E4333B}"/>
    <cellStyle name="Note 2 2 2 8 2" xfId="32728" xr:uid="{BA317EE6-C60D-45BA-AFE5-68B4F67F788C}"/>
    <cellStyle name="Note 2 2 2 9" xfId="14910" xr:uid="{49BCB8D8-32F4-4488-B09E-C55B51DAA10A}"/>
    <cellStyle name="Note 2 2 2 9 2" xfId="36785" xr:uid="{00F4B777-7335-4DC8-BE0A-4BD24BB7A058}"/>
    <cellStyle name="Note 2 2 20" xfId="18935" xr:uid="{B2E101B5-BE6E-43EA-B733-41765730C3A6}"/>
    <cellStyle name="Note 2 2 20 2" xfId="39768" xr:uid="{570FCA8C-6C98-46B0-B331-C6AB1554ABAF}"/>
    <cellStyle name="Note 2 2 21" xfId="22887" xr:uid="{076F31A2-4BD2-45CF-B965-56A961365C75}"/>
    <cellStyle name="Note 2 2 21 2" xfId="42605" xr:uid="{B78FA4C3-23E1-4DFF-A379-D66E99DB3705}"/>
    <cellStyle name="Note 2 2 22" xfId="23307" xr:uid="{5AE98FC1-5B47-4919-A6A5-C47DFE17354A}"/>
    <cellStyle name="Note 2 2 22 2" xfId="42879" xr:uid="{5F2D6EE3-F118-428F-B600-5A7059A414D9}"/>
    <cellStyle name="Note 2 2 23" xfId="24560" xr:uid="{26E4955C-51C0-4AB0-BE40-18D2D4A346DC}"/>
    <cellStyle name="Note 2 2 23 2" xfId="43743" xr:uid="{5CF70738-C2C4-4583-AE71-1A8BA1C6126E}"/>
    <cellStyle name="Note 2 2 24" xfId="29437" xr:uid="{9F4878B6-97A3-41C7-BFA9-98183E9B17BC}"/>
    <cellStyle name="Note 2 2 24 2" xfId="46898" xr:uid="{8D818C04-3948-4587-A9D4-2F14EA5AA7FD}"/>
    <cellStyle name="Note 2 2 25" xfId="27172" xr:uid="{DFA48EBD-3287-400F-A232-E8F6CB0F835D}"/>
    <cellStyle name="Note 2 2 25 2" xfId="45513" xr:uid="{6C987D14-C7C4-437F-93F0-75FD67B8EDA3}"/>
    <cellStyle name="Note 2 2 26" xfId="30282" xr:uid="{E734748D-A296-45F1-9A7D-FB5EFE1EDE01}"/>
    <cellStyle name="Note 2 2 26 2" xfId="47430" xr:uid="{809AB4BE-4CA0-40FE-BB70-87DE6921CE47}"/>
    <cellStyle name="Note 2 2 27" xfId="24386" xr:uid="{A84E8C36-4862-4738-AEB0-ED5825468B43}"/>
    <cellStyle name="Note 2 2 27 2" xfId="43627" xr:uid="{C8B6CCD3-6DBB-4120-8D8C-E2B672CB3E41}"/>
    <cellStyle name="Note 2 2 28" xfId="24157" xr:uid="{5F46DCA2-87E8-4F02-8467-3EE9AF36FE0B}"/>
    <cellStyle name="Note 2 2 28 2" xfId="43515" xr:uid="{FB91AE7E-73CB-47B2-8C3C-ABE0DB3082F3}"/>
    <cellStyle name="Note 2 2 29" xfId="28222" xr:uid="{E8A29D18-E5CB-4AAC-BECE-1AC5D0EE4B48}"/>
    <cellStyle name="Note 2 2 29 2" xfId="46105" xr:uid="{C82CB864-B699-4E5B-8A16-D8D6E42C3A00}"/>
    <cellStyle name="Note 2 2 3" xfId="2889" xr:uid="{55063E8F-CA1E-4A8A-9E89-358615248A6F}"/>
    <cellStyle name="Note 2 2 3 10" xfId="16007" xr:uid="{334E9373-0983-4B34-9E3F-90EF20B1CD45}"/>
    <cellStyle name="Note 2 2 3 10 2" xfId="37590" xr:uid="{382DDDD5-BA9B-4A19-B7E1-DEA1B24848E0}"/>
    <cellStyle name="Note 2 2 3 11" xfId="14063" xr:uid="{A11AF1C0-1C22-44B9-BB06-1B32B8442FB0}"/>
    <cellStyle name="Note 2 2 3 11 2" xfId="36157" xr:uid="{F9B274FF-BEFD-4D2E-A31E-C733A42A4A10}"/>
    <cellStyle name="Note 2 2 3 12" xfId="16032" xr:uid="{C62B40CA-AD6D-43B8-ACAB-07F4F52251A4}"/>
    <cellStyle name="Note 2 2 3 12 2" xfId="37615" xr:uid="{3771A8DB-49C6-41C7-B289-0290DF86D41E}"/>
    <cellStyle name="Note 2 2 3 13" xfId="19285" xr:uid="{EEFD2914-E86A-4496-8152-757CC127811B}"/>
    <cellStyle name="Note 2 2 3 13 2" xfId="40071" xr:uid="{DB53F503-B86D-4B2A-A10D-A72266204B0C}"/>
    <cellStyle name="Note 2 2 3 14" xfId="19764" xr:uid="{D015F86B-F113-4212-A8F0-561F256EA111}"/>
    <cellStyle name="Note 2 2 3 14 2" xfId="40381" xr:uid="{4D9F2D43-8142-4CD8-9BA7-E223A97EB8BB}"/>
    <cellStyle name="Note 2 2 3 15" xfId="20037" xr:uid="{6B211CD0-F7E1-4C5F-BC96-61C5FECF3A6C}"/>
    <cellStyle name="Note 2 2 3 15 2" xfId="40603" xr:uid="{826D45FB-2CDC-4641-80E3-FD9033B40406}"/>
    <cellStyle name="Note 2 2 3 16" xfId="21446" xr:uid="{2880FD78-1A46-42EF-B26C-A176B343F965}"/>
    <cellStyle name="Note 2 2 3 16 2" xfId="41575" xr:uid="{61E3547D-0A68-4850-AE51-46FB01A9F396}"/>
    <cellStyle name="Note 2 2 3 17" xfId="22001" xr:uid="{2877888F-9BD8-4D3B-A44D-048C4D114B4F}"/>
    <cellStyle name="Note 2 2 3 17 2" xfId="41896" xr:uid="{AC1ADF6F-B036-411E-BC4E-F79C19860712}"/>
    <cellStyle name="Note 2 2 3 18" xfId="20727" xr:uid="{A9668B4F-F236-4845-BC44-FE0F8A9F8247}"/>
    <cellStyle name="Note 2 2 3 18 2" xfId="41087" xr:uid="{64A92DE5-8694-4265-99AB-5632B2784356}"/>
    <cellStyle name="Note 2 2 3 19" xfId="18777" xr:uid="{1F4B2C76-FFC0-44F3-ADE8-AAC2767148F4}"/>
    <cellStyle name="Note 2 2 3 19 2" xfId="39644" xr:uid="{85F8D639-28E9-43F5-92EE-8E81725F227F}"/>
    <cellStyle name="Note 2 2 3 2" xfId="8118" xr:uid="{CB695746-1066-44FF-AEC3-B3464365FDCD}"/>
    <cellStyle name="Note 2 2 3 2 2" xfId="32361" xr:uid="{3FCAEC1F-A264-4B6A-9534-61CA78FCAD18}"/>
    <cellStyle name="Note 2 2 3 20" xfId="18164" xr:uid="{7E6B9E91-0FF8-4B1A-874D-5F4384F7505B}"/>
    <cellStyle name="Note 2 2 3 20 2" xfId="39218" xr:uid="{BBEEE487-1CA0-4651-80F0-DC09A252FB59}"/>
    <cellStyle name="Note 2 2 3 21" xfId="22757" xr:uid="{351E4E92-14D9-4235-8A8F-D7F05100876F}"/>
    <cellStyle name="Note 2 2 3 21 2" xfId="42514" xr:uid="{6DE931E8-1191-4241-B542-AE9EEB0F3E19}"/>
    <cellStyle name="Note 2 2 3 22" xfId="26350" xr:uid="{746A9FF3-9C77-40FA-AC38-EE30FB570985}"/>
    <cellStyle name="Note 2 2 3 22 2" xfId="45032" xr:uid="{51B00F59-293E-4F33-BB8B-EB87E383F2F1}"/>
    <cellStyle name="Note 2 2 3 23" xfId="28631" xr:uid="{F183A25E-8F4F-42FE-8F32-0C669493125A}"/>
    <cellStyle name="Note 2 2 3 23 2" xfId="46365" xr:uid="{4487A8D5-E2D3-4928-AA43-D646722623C9}"/>
    <cellStyle name="Note 2 2 3 24" xfId="22219" xr:uid="{9AC9E629-223A-494D-97F5-00E563ACCD93}"/>
    <cellStyle name="Note 2 2 3 24 2" xfId="42098" xr:uid="{1D1882EE-D12E-4FEB-8D92-7D0398D942BD}"/>
    <cellStyle name="Note 2 2 3 25" xfId="28135" xr:uid="{52A1F485-5D15-486A-8A14-9CA90B610296}"/>
    <cellStyle name="Note 2 2 3 25 2" xfId="46075" xr:uid="{7896D34E-1F3D-4249-8DD0-CE62894A9E4E}"/>
    <cellStyle name="Note 2 2 3 26" xfId="22419" xr:uid="{697348DD-7AD8-4C48-8AFE-FC645FBA5B73}"/>
    <cellStyle name="Note 2 2 3 26 2" xfId="42233" xr:uid="{96F4F306-FA9D-42A6-AD86-22DDB415DCED}"/>
    <cellStyle name="Note 2 2 3 27" xfId="26814" xr:uid="{951BB704-6D28-4B2E-BFF6-6D7EB0959905}"/>
    <cellStyle name="Note 2 2 3 27 2" xfId="45285" xr:uid="{998AC858-6FD0-4214-8436-16BC243CA044}"/>
    <cellStyle name="Note 2 2 3 28" xfId="6419" xr:uid="{2E616A24-274B-4AE9-9CC2-3143DB04C81D}"/>
    <cellStyle name="Note 2 2 3 3" xfId="9278" xr:uid="{81A09606-DD51-43EB-A5BB-DA0CDF1C6981}"/>
    <cellStyle name="Note 2 2 3 3 2" xfId="33264" xr:uid="{25A0CE00-CC5A-424D-AFCE-6403C4BF4BEB}"/>
    <cellStyle name="Note 2 2 3 4" xfId="7741" xr:uid="{F2B70EF5-4FD5-4517-BEB1-3C8E7D4863A0}"/>
    <cellStyle name="Note 2 2 3 4 2" xfId="32038" xr:uid="{0C8CA45A-618B-4CCD-B01C-A1F44FDF90D1}"/>
    <cellStyle name="Note 2 2 3 5" xfId="8844" xr:uid="{134C96D6-B436-48F1-B740-6FB3AC3AA1CC}"/>
    <cellStyle name="Note 2 2 3 5 2" xfId="32966" xr:uid="{5D0206AD-2803-40D4-94B5-2B43159487DA}"/>
    <cellStyle name="Note 2 2 3 6" xfId="13057" xr:uid="{8CFC897D-B7EA-41D8-A2AD-CEA552D4250C}"/>
    <cellStyle name="Note 2 2 3 6 2" xfId="35405" xr:uid="{A7B30CC3-CFF9-4FDE-A919-A6B21577E206}"/>
    <cellStyle name="Note 2 2 3 7" xfId="8539" xr:uid="{77AD186F-9BC9-43D9-A4D6-72D6E9802113}"/>
    <cellStyle name="Note 2 2 3 7 2" xfId="32726" xr:uid="{D8AC45D4-431C-4F4C-975F-BFA744CFED0A}"/>
    <cellStyle name="Note 2 2 3 8" xfId="14909" xr:uid="{75D4CB99-700F-4CD9-ADE0-09287FE2AA7B}"/>
    <cellStyle name="Note 2 2 3 8 2" xfId="36784" xr:uid="{942BAD06-77CC-44C6-84B8-1095B1F9167C}"/>
    <cellStyle name="Note 2 2 3 9" xfId="11719" xr:uid="{0DFAB3E1-F63A-4627-A5C8-0CA61E4845A4}"/>
    <cellStyle name="Note 2 2 3 9 2" xfId="34332" xr:uid="{26CF3799-FC53-4657-B023-6F6F1B1EF7D3}"/>
    <cellStyle name="Note 2 2 30" xfId="6416" xr:uid="{6CA78615-6688-44F2-9A3E-CE8F7F6EBF89}"/>
    <cellStyle name="Note 2 2 4" xfId="8121" xr:uid="{32BA651C-5586-470A-8BF0-F547A082F869}"/>
    <cellStyle name="Note 2 2 4 2" xfId="32364" xr:uid="{22057188-CBBE-45E4-AEA3-C7CEA71EB0BB}"/>
    <cellStyle name="Note 2 2 5" xfId="9275" xr:uid="{CFA2AC75-BAE2-4D05-8B04-F7C6620F297A}"/>
    <cellStyle name="Note 2 2 5 2" xfId="33261" xr:uid="{7D2C251A-C941-4428-BAC8-78F6E5A11670}"/>
    <cellStyle name="Note 2 2 6" xfId="7744" xr:uid="{F3824517-36C2-4874-9078-8AECC38FE063}"/>
    <cellStyle name="Note 2 2 6 2" xfId="32041" xr:uid="{88CB6FEE-B76B-4EFC-AFDE-9656BC14F707}"/>
    <cellStyle name="Note 2 2 7" xfId="15949" xr:uid="{BB56B8B7-38F3-4E53-A980-E3F281401379}"/>
    <cellStyle name="Note 2 2 7 2" xfId="37540" xr:uid="{78240CCD-04BF-4377-A2D2-AA2AAACEE91E}"/>
    <cellStyle name="Note 2 2 8" xfId="10404" xr:uid="{79828633-E2BB-4A68-8EB6-04C6F35548DD}"/>
    <cellStyle name="Note 2 2 8 2" xfId="34039" xr:uid="{8F6940B1-37BE-4BF6-99EF-F7768C7F4C2A}"/>
    <cellStyle name="Note 2 2 9" xfId="13380" xr:uid="{8A61BB23-5FBF-42E8-A3C4-39E9318F036F}"/>
    <cellStyle name="Note 2 2 9 2" xfId="35687" xr:uid="{DD0BC4D4-9747-4450-95F1-AF84FC7DDCEB}"/>
    <cellStyle name="Note 2 2_Sheet2" xfId="2890" xr:uid="{02C9BDE7-5140-49AE-8186-6A0600B6EDC6}"/>
    <cellStyle name="Note 2 20" xfId="19286" xr:uid="{30B98FE0-29F9-4590-8D06-66E5B2565049}"/>
    <cellStyle name="Note 2 20 2" xfId="40072" xr:uid="{A8F9AA61-33FA-41CF-84D3-63037FA94A9C}"/>
    <cellStyle name="Note 2 21" xfId="19766" xr:uid="{C56797CB-8CEF-4CA1-977D-C2C4EBDF0104}"/>
    <cellStyle name="Note 2 21 2" xfId="40383" xr:uid="{6EEDAE51-2158-4EDE-88A2-585D8EE61AE4}"/>
    <cellStyle name="Note 2 22" xfId="16674" xr:uid="{7FA76B64-67AC-47B9-8C13-C0086C486C27}"/>
    <cellStyle name="Note 2 22 2" xfId="38165" xr:uid="{DA19B41B-3EA2-40A0-ABB1-F39AECBA3F86}"/>
    <cellStyle name="Note 2 23" xfId="21448" xr:uid="{B892F14F-5D58-4B31-AABC-F0ECFB082866}"/>
    <cellStyle name="Note 2 23 2" xfId="41577" xr:uid="{079F2BB5-A36E-4FC1-A9CB-2566B82CD301}"/>
    <cellStyle name="Note 2 24" xfId="16320" xr:uid="{1648D517-B3A7-4CDE-A58F-78B1BC4103F9}"/>
    <cellStyle name="Note 2 24 2" xfId="37857" xr:uid="{491CEA51-1E15-4C47-840F-F4EBB0AF0D9E}"/>
    <cellStyle name="Note 2 25" xfId="20725" xr:uid="{78F1D3BE-F3C7-49B6-A534-B93C4F1C5CD1}"/>
    <cellStyle name="Note 2 25 2" xfId="41085" xr:uid="{53C4EA85-9E47-4D58-A109-502D728F739C}"/>
    <cellStyle name="Note 2 26" xfId="24762" xr:uid="{C7E3F251-458B-41F5-9ABD-DFAC6A594AB1}"/>
    <cellStyle name="Note 2 26 2" xfId="43907" xr:uid="{680FFF03-6A2D-4DC7-87D1-F7E67BC70018}"/>
    <cellStyle name="Note 2 27" xfId="24946" xr:uid="{ECB01F75-16B9-44F5-9945-0F00005BCB2A}"/>
    <cellStyle name="Note 2 27 2" xfId="44028" xr:uid="{E0B88436-D8B6-4E2B-8620-9A53CE501628}"/>
    <cellStyle name="Note 2 28" xfId="22758" xr:uid="{D22CEC50-3878-48B2-89E8-3391BFED91EE}"/>
    <cellStyle name="Note 2 28 2" xfId="42515" xr:uid="{91EA12C6-FD89-46EE-9010-7A57005EE3D0}"/>
    <cellStyle name="Note 2 29" xfId="29456" xr:uid="{C4A9B749-5AFB-4128-9502-9AF614F189D1}"/>
    <cellStyle name="Note 2 29 2" xfId="46913" xr:uid="{0A9B65F9-8EEB-4303-9D80-B62BC1F4B9A1}"/>
    <cellStyle name="Note 2 3" xfId="2891" xr:uid="{FCC8449A-FC2A-413D-B31C-059D4265E33F}"/>
    <cellStyle name="Note 2 3 10" xfId="11718" xr:uid="{97BE50D2-908D-4ED2-A5D1-828448ABC4EE}"/>
    <cellStyle name="Note 2 3 10 2" xfId="34331" xr:uid="{35D9183D-A604-4A5B-9FF4-ECC06ACA2D42}"/>
    <cellStyle name="Note 2 3 11" xfId="14687" xr:uid="{954A994A-1D95-4F94-8CDA-AC9EA8A4C1F2}"/>
    <cellStyle name="Note 2 3 11 2" xfId="36599" xr:uid="{E32B229E-0FFB-4687-8DAC-1A302FAB6B5F}"/>
    <cellStyle name="Note 2 3 12" xfId="12500" xr:uid="{C07EBD56-6DFD-4905-A1F6-8A34CB9B7156}"/>
    <cellStyle name="Note 2 3 12 2" xfId="34945" xr:uid="{7A41F003-9B94-48F7-850D-F4E751967949}"/>
    <cellStyle name="Note 2 3 13" xfId="13682" xr:uid="{3B14AABE-1BAB-4936-B27D-A4A2AD980E66}"/>
    <cellStyle name="Note 2 3 13 2" xfId="35838" xr:uid="{5BEB058E-9A17-42AF-A3FB-61BEE3AD8A89}"/>
    <cellStyle name="Note 2 3 14" xfId="15467" xr:uid="{1F632D94-95DD-45CF-B236-6E45682D4FCF}"/>
    <cellStyle name="Note 2 3 14 2" xfId="37132" xr:uid="{A69EFBE9-009C-4C28-B9F0-A2FBF73D2EFF}"/>
    <cellStyle name="Note 2 3 15" xfId="19763" xr:uid="{7326F1B0-4DD8-4972-A774-2ECA3B702B5D}"/>
    <cellStyle name="Note 2 3 15 2" xfId="40380" xr:uid="{DD856A83-22F1-4302-8F7A-ACE639CCC127}"/>
    <cellStyle name="Note 2 3 16" xfId="20038" xr:uid="{DBD3BC04-9E5A-4824-8B90-C9E8BDD09C5C}"/>
    <cellStyle name="Note 2 3 16 2" xfId="40604" xr:uid="{897DEBEB-EB0D-4A31-80A3-A5F448539230}"/>
    <cellStyle name="Note 2 3 17" xfId="22510" xr:uid="{EB570455-5D02-4A2A-B171-22C079CF7DF0}"/>
    <cellStyle name="Note 2 3 17 2" xfId="42309" xr:uid="{86547BA7-520A-453D-B6F3-800D5B5E4C55}"/>
    <cellStyle name="Note 2 3 18" xfId="20229" xr:uid="{40C0D826-EC6E-4710-A4C8-BA4274262004}"/>
    <cellStyle name="Note 2 3 18 2" xfId="40689" xr:uid="{A539FCA8-9D32-4724-B13A-320AE8B766F6}"/>
    <cellStyle name="Note 2 3 19" xfId="20728" xr:uid="{E0EDB484-BF6A-49B1-9DE2-5E427175B73E}"/>
    <cellStyle name="Note 2 3 19 2" xfId="41088" xr:uid="{97A0C414-289C-4F1E-B348-36BB531D92D4}"/>
    <cellStyle name="Note 2 3 2" xfId="2892" xr:uid="{23F7FD9E-E0E2-458C-BBAB-7F04DEACC6B3}"/>
    <cellStyle name="Note 2 3 2 10" xfId="13504" xr:uid="{B7C82B8D-1F5C-48B4-A391-FE17122D1329}"/>
    <cellStyle name="Note 2 3 2 10 2" xfId="35758" xr:uid="{6DDF36E9-2316-4F6F-8C44-0892891F5361}"/>
    <cellStyle name="Note 2 3 2 11" xfId="16619" xr:uid="{E4134BB1-EFF0-4C36-914F-3A2B12F39658}"/>
    <cellStyle name="Note 2 3 2 11 2" xfId="38112" xr:uid="{62C952D4-2681-4583-85AE-4D5093D712CC}"/>
    <cellStyle name="Note 2 3 2 12" xfId="17521" xr:uid="{9FD5135F-8178-4674-A5C3-1D7B9C0DB041}"/>
    <cellStyle name="Note 2 3 2 12 2" xfId="38768" xr:uid="{F6FF7C26-0849-4704-B09A-5BDE60CA64F2}"/>
    <cellStyle name="Note 2 3 2 13" xfId="22498" xr:uid="{05D532E5-D5AB-480F-94DA-19E38C57140E}"/>
    <cellStyle name="Note 2 3 2 13 2" xfId="42297" xr:uid="{6B12C154-8ACE-4BCC-8565-C578DB1A78AE}"/>
    <cellStyle name="Note 2 3 2 14" xfId="13910" xr:uid="{84798E18-D3A6-4AFB-8700-3ECDCED107C4}"/>
    <cellStyle name="Note 2 3 2 14 2" xfId="36022" xr:uid="{AC6F6238-8763-44C3-BAD2-84C2CEAB3567}"/>
    <cellStyle name="Note 2 3 2 15" xfId="20035" xr:uid="{F08DC8D2-D0BB-4A4E-B256-85E08529D097}"/>
    <cellStyle name="Note 2 3 2 15 2" xfId="40601" xr:uid="{073DD86C-914E-4BB8-8A23-5024BF7CC32C}"/>
    <cellStyle name="Note 2 3 2 16" xfId="21445" xr:uid="{03F60063-A97A-4153-96DA-3B6F2A282130}"/>
    <cellStyle name="Note 2 3 2 16 2" xfId="41574" xr:uid="{F75D52B9-5063-4D9F-B4C6-BD6C6CCA3308}"/>
    <cellStyle name="Note 2 3 2 17" xfId="16319" xr:uid="{011C50BC-36D1-4193-8167-FA6661E58642}"/>
    <cellStyle name="Note 2 3 2 17 2" xfId="37856" xr:uid="{9BF27D1A-2EFE-4328-9454-0F0B5457A165}"/>
    <cellStyle name="Note 2 3 2 18" xfId="20729" xr:uid="{D99DED86-9435-430E-B2C0-D6FCB6790C6A}"/>
    <cellStyle name="Note 2 3 2 18 2" xfId="41089" xr:uid="{1352F47D-D346-483A-A56E-FD2A110E8D89}"/>
    <cellStyle name="Note 2 3 2 19" xfId="24760" xr:uid="{83467FF0-62B6-4D7C-B7DE-F3D90D5DA16A}"/>
    <cellStyle name="Note 2 3 2 19 2" xfId="43905" xr:uid="{5948E70D-15BE-44D4-BD45-55FAC9FF1737}"/>
    <cellStyle name="Note 2 3 2 2" xfId="8116" xr:uid="{EAF61225-CD86-4562-85C7-59A653939BE0}"/>
    <cellStyle name="Note 2 3 2 2 2" xfId="32359" xr:uid="{28F495BF-C927-4776-AFD1-29B97EE22223}"/>
    <cellStyle name="Note 2 3 2 20" xfId="24950" xr:uid="{3CFF8464-0539-4EC6-B2F6-194F4D0EB94A}"/>
    <cellStyle name="Note 2 3 2 20 2" xfId="44032" xr:uid="{FDA45777-DB54-4C1C-8AFB-B281DB73A586}"/>
    <cellStyle name="Note 2 3 2 21" xfId="25786" xr:uid="{18F68D54-2305-4A1F-AE63-C306D33713DA}"/>
    <cellStyle name="Note 2 3 2 21 2" xfId="44614" xr:uid="{C08A05AA-3F79-423E-9565-BC9C5769A046}"/>
    <cellStyle name="Note 2 3 2 22" xfId="28956" xr:uid="{DA8751EB-F078-4410-846F-3CB983ECDB1E}"/>
    <cellStyle name="Note 2 3 2 22 2" xfId="46552" xr:uid="{A7639885-C17A-44A3-8BFA-ECC2E0FCF0A6}"/>
    <cellStyle name="Note 2 3 2 23" xfId="25651" xr:uid="{3509BA7D-1FD5-46D4-AAE1-0D7B280EC1DB}"/>
    <cellStyle name="Note 2 3 2 23 2" xfId="44496" xr:uid="{36AB27B0-846B-474D-BD4A-D56519D58E34}"/>
    <cellStyle name="Note 2 3 2 24" xfId="27741" xr:uid="{D586BB14-8BFC-469E-BB37-355A6D9773A2}"/>
    <cellStyle name="Note 2 3 2 24 2" xfId="45842" xr:uid="{2B382B4B-9042-40AD-8BB4-A37B384191C4}"/>
    <cellStyle name="Note 2 3 2 25" xfId="26525" xr:uid="{6222AEF3-00B5-48AC-9D57-29534938ADF3}"/>
    <cellStyle name="Note 2 3 2 25 2" xfId="45103" xr:uid="{2ECC3A3F-B8AE-43BC-8639-6B703B0D7EE3}"/>
    <cellStyle name="Note 2 3 2 26" xfId="28674" xr:uid="{E5A71FD7-9C12-414B-BF55-A8D243FBDDE4}"/>
    <cellStyle name="Note 2 3 2 26 2" xfId="46408" xr:uid="{1E82F417-DD14-4231-B24B-7052D732F475}"/>
    <cellStyle name="Note 2 3 2 27" xfId="27683" xr:uid="{364F9426-9B0F-4B7B-92E3-AB398BA685D2}"/>
    <cellStyle name="Note 2 3 2 27 2" xfId="45797" xr:uid="{D8087E1A-DCDD-4228-BD45-5815B44149AE}"/>
    <cellStyle name="Note 2 3 2 28" xfId="6421" xr:uid="{3177698F-D6EE-4DA7-8D37-9E1EE458D176}"/>
    <cellStyle name="Note 2 3 2 3" xfId="9281" xr:uid="{E07CA4B6-F422-4945-8CF6-3133B80D0692}"/>
    <cellStyle name="Note 2 3 2 3 2" xfId="33267" xr:uid="{1C6DFCD4-758F-4CCE-A0F3-85E4E1A0F183}"/>
    <cellStyle name="Note 2 3 2 4" xfId="7739" xr:uid="{785C45F8-241A-4998-9011-1A5A43E2B66D}"/>
    <cellStyle name="Note 2 3 2 4 2" xfId="32036" xr:uid="{C7A73A41-6CD8-4121-AA9B-7355214DB9B5}"/>
    <cellStyle name="Note 2 3 2 5" xfId="15950" xr:uid="{98DA0C61-3AAA-4F7A-BEA9-3A011025448E}"/>
    <cellStyle name="Note 2 3 2 5 2" xfId="37541" xr:uid="{1F1EA72D-BBFD-4A00-BBEF-F34786A0D1EC}"/>
    <cellStyle name="Note 2 3 2 6" xfId="10406" xr:uid="{A61AAE5F-18F6-4A0C-B552-D4D1C0147D52}"/>
    <cellStyle name="Note 2 3 2 6 2" xfId="34041" xr:uid="{BD89D442-139B-474C-B8F9-962CA5A17EF1}"/>
    <cellStyle name="Note 2 3 2 7" xfId="13384" xr:uid="{66FE97CF-AFF1-4F31-A8C7-F5BE90DC3EB6}"/>
    <cellStyle name="Note 2 3 2 7 2" xfId="35691" xr:uid="{4C0DB9D2-543F-4BB5-8383-2D0FE633451E}"/>
    <cellStyle name="Note 2 3 2 8" xfId="10551" xr:uid="{A73A0653-E924-480E-98E9-293FFF429E99}"/>
    <cellStyle name="Note 2 3 2 8 2" xfId="34177" xr:uid="{ED290B7A-FC36-44F8-8A98-FB5A8BD09F15}"/>
    <cellStyle name="Note 2 3 2 9" xfId="7291" xr:uid="{6BC2E17A-E8D3-4524-875F-BC01BB08946D}"/>
    <cellStyle name="Note 2 3 2 9 2" xfId="31655" xr:uid="{0956127F-B14E-460F-94BF-11647E7AE34C}"/>
    <cellStyle name="Note 2 3 20" xfId="24199" xr:uid="{C3613FD3-8A7F-420C-80DD-CAEB18A52F09}"/>
    <cellStyle name="Note 2 3 20 2" xfId="43522" xr:uid="{281229AB-3FD2-49DC-BAB6-E571FE386417}"/>
    <cellStyle name="Note 2 3 21" xfId="19322" xr:uid="{8C2DD577-7DD1-45D2-AE96-A01F12565AAB}"/>
    <cellStyle name="Note 2 3 21 2" xfId="40083" xr:uid="{5FE50784-C912-4433-9251-C98E89063BC2}"/>
    <cellStyle name="Note 2 3 22" xfId="24212" xr:uid="{3550F6A9-5E1A-4A23-9D7C-E9C6660ABFD8}"/>
    <cellStyle name="Note 2 3 22 2" xfId="43532" xr:uid="{FA606D8B-EBA3-4EB7-AA1A-F612B2AFED49}"/>
    <cellStyle name="Note 2 3 23" xfId="18539" xr:uid="{FDA0F55C-34DA-4F40-90A8-07A0E81C9587}"/>
    <cellStyle name="Note 2 3 23 2" xfId="39491" xr:uid="{82A3DB1C-2CF4-4D46-A845-D2A1D132372C}"/>
    <cellStyle name="Note 2 3 24" xfId="28630" xr:uid="{C785963A-6741-485B-9141-FCBF0BD9DF71}"/>
    <cellStyle name="Note 2 3 24 2" xfId="46364" xr:uid="{6EC2247D-A7BB-4CFC-9A3C-390CD9307026}"/>
    <cellStyle name="Note 2 3 25" xfId="29112" xr:uid="{4736F635-78F8-4B56-8CFA-F87F1EABD07A}"/>
    <cellStyle name="Note 2 3 25 2" xfId="46675" xr:uid="{05A6EEC4-71DB-464C-9096-5E16F811EB10}"/>
    <cellStyle name="Note 2 3 26" xfId="25473" xr:uid="{0CFF018F-6308-4320-843A-3DBBA244A29A}"/>
    <cellStyle name="Note 2 3 26 2" xfId="44357" xr:uid="{C257884B-86B4-4688-8EDB-87558930192E}"/>
    <cellStyle name="Note 2 3 27" xfId="23556" xr:uid="{A474F6AD-BC1C-4C7B-A52D-7A4984C81C5B}"/>
    <cellStyle name="Note 2 3 27 2" xfId="42996" xr:uid="{1E10BF60-A304-474F-92A5-BDE9344CEB19}"/>
    <cellStyle name="Note 2 3 28" xfId="28991" xr:uid="{36750569-F8D1-4EDA-B9B7-CED3F250F0C2}"/>
    <cellStyle name="Note 2 3 28 2" xfId="46585" xr:uid="{C9288E40-79FC-47DF-9729-8B8E272A40C0}"/>
    <cellStyle name="Note 2 3 29" xfId="6420" xr:uid="{05C94F51-E6C2-4035-B858-7ED49B985A20}"/>
    <cellStyle name="Note 2 3 3" xfId="8117" xr:uid="{860B20BA-BFF6-40F7-BB84-49564527E530}"/>
    <cellStyle name="Note 2 3 3 2" xfId="32360" xr:uid="{44C31FED-98F9-4722-954C-C02E23F44984}"/>
    <cellStyle name="Note 2 3 4" xfId="9280" xr:uid="{AE997BD8-B267-43FE-B8E9-B9225524AE5C}"/>
    <cellStyle name="Note 2 3 4 2" xfId="33266" xr:uid="{BDB839CA-7D3B-4E3B-BC32-977CFF456820}"/>
    <cellStyle name="Note 2 3 5" xfId="7740" xr:uid="{ED07C642-8377-428C-8A30-D71555CC4841}"/>
    <cellStyle name="Note 2 3 5 2" xfId="32037" xr:uid="{076CA7F5-D0A6-4188-99D4-86B6A53943C2}"/>
    <cellStyle name="Note 2 3 6" xfId="8842" xr:uid="{949FCB1D-BA94-4997-A714-A56059F0B165}"/>
    <cellStyle name="Note 2 3 6 2" xfId="32965" xr:uid="{98CEE155-7772-4982-85F6-006F1C2EFBC1}"/>
    <cellStyle name="Note 2 3 7" xfId="13056" xr:uid="{7BAE7F6E-4111-43B5-9A94-90345ACE76A8}"/>
    <cellStyle name="Note 2 3 7 2" xfId="35404" xr:uid="{F8E650EF-81E3-4476-AB0E-B030469A095B}"/>
    <cellStyle name="Note 2 3 8" xfId="13387" xr:uid="{F82BE780-5A36-4325-BF7A-A3D0B96D2877}"/>
    <cellStyle name="Note 2 3 8 2" xfId="35694" xr:uid="{5F1BAF57-1950-47E2-BC29-33945B33989F}"/>
    <cellStyle name="Note 2 3 9" xfId="14908" xr:uid="{B73A07B8-AC68-4DA4-9D86-E89E8A7773B5}"/>
    <cellStyle name="Note 2 3 9 2" xfId="36783" xr:uid="{488297F2-C45E-44C3-B05F-B720CE261B46}"/>
    <cellStyle name="Note 2 30" xfId="28633" xr:uid="{9176D350-196E-4268-B6C6-1B48A3867191}"/>
    <cellStyle name="Note 2 30 2" xfId="46367" xr:uid="{81EFC2E0-597F-4D64-BB99-21443D4AFD52}"/>
    <cellStyle name="Note 2 31" xfId="30266" xr:uid="{455EDC62-A3DB-41BF-946C-3A21E85DB4ED}"/>
    <cellStyle name="Note 2 31 2" xfId="47417" xr:uid="{4BBF36F9-FA2A-4A3D-B1EC-C699C4D3B01B}"/>
    <cellStyle name="Note 2 32" xfId="22665" xr:uid="{8C45D95F-126A-41AB-908E-AD834A88B057}"/>
    <cellStyle name="Note 2 32 2" xfId="42435" xr:uid="{0A0982E7-48E4-4322-BD2A-1F12520777E4}"/>
    <cellStyle name="Note 2 33" xfId="23047" xr:uid="{E99BB1D8-AE4E-4F75-A8D6-5874E35A3002}"/>
    <cellStyle name="Note 2 33 2" xfId="42681" xr:uid="{30DDA804-5F13-422C-9B66-DF6426CA954F}"/>
    <cellStyle name="Note 2 34" xfId="25220" xr:uid="{030306A0-536F-4A77-8AD3-14063BF758B0}"/>
    <cellStyle name="Note 2 34 2" xfId="44158" xr:uid="{E3E68DDC-3463-4ACE-B7A4-5DC6F14BA721}"/>
    <cellStyle name="Note 2 35" xfId="6415" xr:uid="{3DA50CE6-13CE-427A-A306-21F5A8520E37}"/>
    <cellStyle name="Note 2 4" xfId="2893" xr:uid="{F0D46AEC-F053-4CFA-814D-13F31ED2AFEF}"/>
    <cellStyle name="Note 2 4 10" xfId="11717" xr:uid="{1870FE5C-8995-4796-BD1B-B36F8BD9DB0D}"/>
    <cellStyle name="Note 2 4 10 2" xfId="34330" xr:uid="{8607D08F-18C6-4C48-B6EC-013247D344B7}"/>
    <cellStyle name="Note 2 4 11" xfId="12276" xr:uid="{5F00E413-603B-4F8D-9C0E-5245C7898386}"/>
    <cellStyle name="Note 2 4 11 2" xfId="34782" xr:uid="{296C149A-5ECB-4D61-BAD8-1669EF420A2D}"/>
    <cellStyle name="Note 2 4 12" xfId="14062" xr:uid="{FE1C804E-284B-47C9-B4CC-490BBD0DB030}"/>
    <cellStyle name="Note 2 4 12 2" xfId="36156" xr:uid="{AAA9C516-28A1-4B50-B379-9524EEBC2EF0}"/>
    <cellStyle name="Note 2 4 13" xfId="12705" xr:uid="{B4138801-B800-4C96-9A63-10280E094782}"/>
    <cellStyle name="Note 2 4 13 2" xfId="35118" xr:uid="{9027E4EF-8AF9-4C80-B2AF-BDE217118B44}"/>
    <cellStyle name="Note 2 4 14" xfId="15459" xr:uid="{6EB1A303-33F7-46B0-B6B8-10F6507BDE9D}"/>
    <cellStyle name="Note 2 4 14 2" xfId="37128" xr:uid="{778CB7CD-FF3D-42FE-981F-5674B02FFD27}"/>
    <cellStyle name="Note 2 4 15" xfId="20274" xr:uid="{F54CC1B0-4360-470F-A6A7-5549010589DD}"/>
    <cellStyle name="Note 2 4 15 2" xfId="40714" xr:uid="{87DC4A38-E4D6-467E-BD56-95317A97E903}"/>
    <cellStyle name="Note 2 4 16" xfId="13343" xr:uid="{D65D1877-82D3-444D-B46A-BC67D7C3929A}"/>
    <cellStyle name="Note 2 4 16 2" xfId="35653" xr:uid="{0048BEA0-12A1-413C-82EF-BC1599D591A9}"/>
    <cellStyle name="Note 2 4 17" xfId="19634" xr:uid="{B98E28BE-377E-4F1E-B1AC-F59E147CD612}"/>
    <cellStyle name="Note 2 4 17 2" xfId="40274" xr:uid="{C85EABE4-BECE-4B70-A319-A5F0FD887083}"/>
    <cellStyle name="Note 2 4 18" xfId="22002" xr:uid="{D7FA3FB2-3683-49AA-81BA-1055E953450F}"/>
    <cellStyle name="Note 2 4 18 2" xfId="41897" xr:uid="{77FA8E7C-26CF-4057-A69C-28C055577B66}"/>
    <cellStyle name="Note 2 4 19" xfId="16105" xr:uid="{9C1FFAA9-57E5-4FE9-A2AA-4B3650D5A39E}"/>
    <cellStyle name="Note 2 4 19 2" xfId="37675" xr:uid="{8386960B-99BB-4DE0-A02E-477249961ADB}"/>
    <cellStyle name="Note 2 4 2" xfId="2894" xr:uid="{C27891FB-C6CD-42BC-823B-D56F5C8153F9}"/>
    <cellStyle name="Note 2 4 2 10" xfId="15471" xr:uid="{D9736BC1-77F2-48C3-AFBA-68AEABB6462E}"/>
    <cellStyle name="Note 2 4 2 10 2" xfId="37136" xr:uid="{D2920A23-8644-45CA-B60F-FEB2D69D7044}"/>
    <cellStyle name="Note 2 4 2 11" xfId="14054" xr:uid="{5642A04D-65F9-40F7-B6AF-7881F0C500B8}"/>
    <cellStyle name="Note 2 4 2 11 2" xfId="36148" xr:uid="{443669B8-E39F-4A1A-8380-A5DD552CBFF0}"/>
    <cellStyle name="Note 2 4 2 12" xfId="17520" xr:uid="{EEA4455C-533B-4F4E-8A49-38853EDD8919}"/>
    <cellStyle name="Note 2 4 2 12 2" xfId="38767" xr:uid="{A61E0B75-D426-43DC-9F3D-B92421FFF089}"/>
    <cellStyle name="Note 2 4 2 13" xfId="9862" xr:uid="{726016C1-4A03-4658-9C78-451D99C8F5E4}"/>
    <cellStyle name="Note 2 4 2 13 2" xfId="33608" xr:uid="{13ECEA27-EF1F-4EE9-9FA5-C5DCA42AF769}"/>
    <cellStyle name="Note 2 4 2 14" xfId="19762" xr:uid="{0F6D6E4C-BE41-4036-9059-3AF324C62810}"/>
    <cellStyle name="Note 2 4 2 14 2" xfId="40379" xr:uid="{2193BE28-CF67-44FA-81F9-4D858D02C0B9}"/>
    <cellStyle name="Note 2 4 2 15" xfId="10106" xr:uid="{59D22FB5-3999-49FB-83DC-30C4530D7AEE}"/>
    <cellStyle name="Note 2 4 2 15 2" xfId="33777" xr:uid="{BAEB2FDF-7B5D-4749-900C-BFF63A519BF7}"/>
    <cellStyle name="Note 2 4 2 16" xfId="21444" xr:uid="{B6CD40B7-07F6-4F6B-8B62-88D6AD176BA6}"/>
    <cellStyle name="Note 2 4 2 16 2" xfId="41573" xr:uid="{8C4416AA-1084-4385-B4A8-F413763438AA}"/>
    <cellStyle name="Note 2 4 2 17" xfId="18330" xr:uid="{B3A14461-E457-4255-8B59-76A64D320DB3}"/>
    <cellStyle name="Note 2 4 2 17 2" xfId="39361" xr:uid="{C703BE43-876E-4E77-9B9F-08F531243326}"/>
    <cellStyle name="Note 2 4 2 18" xfId="22778" xr:uid="{50D31E41-F830-4AB2-BE82-0A4986179134}"/>
    <cellStyle name="Note 2 4 2 18 2" xfId="42531" xr:uid="{C0CDED69-3172-4DEA-8AB3-25FF58350740}"/>
    <cellStyle name="Note 2 4 2 19" xfId="22885" xr:uid="{4748336E-E379-4215-A638-A339CF0C92D0}"/>
    <cellStyle name="Note 2 4 2 19 2" xfId="42603" xr:uid="{C2880F2C-B0D1-4008-9F28-5C745BB5EEDA}"/>
    <cellStyle name="Note 2 4 2 2" xfId="8114" xr:uid="{579DF4E1-C998-4655-AC0C-D698A45EDB55}"/>
    <cellStyle name="Note 2 4 2 2 2" xfId="32357" xr:uid="{E57E196D-5D6C-4F6D-9E86-958AFC8DA8A5}"/>
    <cellStyle name="Note 2 4 2 20" xfId="24951" xr:uid="{B1614C74-7650-4A43-82D8-15B3E0E15871}"/>
    <cellStyle name="Note 2 4 2 20 2" xfId="44033" xr:uid="{FF979CC8-2A70-4CD3-98C1-788380D84313}"/>
    <cellStyle name="Note 2 4 2 21" xfId="22756" xr:uid="{5E2BBB18-8E24-4393-88A0-39ECB314A3AF}"/>
    <cellStyle name="Note 2 4 2 21 2" xfId="42513" xr:uid="{A4E64579-AA01-4990-B960-A32E424ECF76}"/>
    <cellStyle name="Note 2 4 2 22" xfId="18841" xr:uid="{FDD53E11-B61A-4A9B-9CFE-0B39474D8F30}"/>
    <cellStyle name="Note 2 4 2 22 2" xfId="39688" xr:uid="{C8E20969-44DA-46CB-A4E5-4647D1E0580D}"/>
    <cellStyle name="Note 2 4 2 23" xfId="27171" xr:uid="{80ACEC32-754F-45AB-8251-F02F71F3DFBB}"/>
    <cellStyle name="Note 2 4 2 23 2" xfId="45512" xr:uid="{3DDB7725-A7FA-4329-8255-9159A49CADB4}"/>
    <cellStyle name="Note 2 4 2 24" xfId="28872" xr:uid="{6CEFE58D-E2AC-415D-A2E5-57445ED3223F}"/>
    <cellStyle name="Note 2 4 2 24 2" xfId="46487" xr:uid="{E5B74D18-EAB5-45F3-B93B-57B3176D8356}"/>
    <cellStyle name="Note 2 4 2 25" xfId="23608" xr:uid="{8004F076-5A2D-4B22-A4EA-BAABB96CE400}"/>
    <cellStyle name="Note 2 4 2 25 2" xfId="43043" xr:uid="{7522353D-3B36-403B-8206-119D43521E62}"/>
    <cellStyle name="Note 2 4 2 26" xfId="23046" xr:uid="{7D7807EF-7328-43DC-9E59-D9B8EE6910D4}"/>
    <cellStyle name="Note 2 4 2 26 2" xfId="42680" xr:uid="{A7C3A5F6-DD12-4BC4-B9B1-27EA06DDBD10}"/>
    <cellStyle name="Note 2 4 2 27" xfId="25886" xr:uid="{599B5C39-A413-4270-A47A-F8575B9E8AF6}"/>
    <cellStyle name="Note 2 4 2 27 2" xfId="44693" xr:uid="{6D40795D-705B-456B-9082-997CDB7AC481}"/>
    <cellStyle name="Note 2 4 2 28" xfId="6423" xr:uid="{5D6987B2-9768-48E4-99F2-191B69A0EC98}"/>
    <cellStyle name="Note 2 4 2 3" xfId="9283" xr:uid="{CE30696F-89DD-4089-997B-B4CF25AFEF5C}"/>
    <cellStyle name="Note 2 4 2 3 2" xfId="33269" xr:uid="{FCC46713-F1BF-4179-944F-211DF23C053F}"/>
    <cellStyle name="Note 2 4 2 4" xfId="7737" xr:uid="{77234FB2-348B-42EA-8205-2E3B8D51E392}"/>
    <cellStyle name="Note 2 4 2 4 2" xfId="32034" xr:uid="{A07D91EF-2C37-4D80-8681-552196AE732A}"/>
    <cellStyle name="Note 2 4 2 5" xfId="8840" xr:uid="{531624E9-0205-4877-A336-6DACD2A3703F}"/>
    <cellStyle name="Note 2 4 2 5 2" xfId="32963" xr:uid="{17C8EDD1-13A0-42A7-BFD3-1047FADA78C4}"/>
    <cellStyle name="Note 2 4 2 6" xfId="10407" xr:uid="{38628C75-C79C-4A26-8FBE-1F9F1E372737}"/>
    <cellStyle name="Note 2 4 2 6 2" xfId="34042" xr:uid="{388F56BB-2D6F-4DF8-8851-E74DED59770C}"/>
    <cellStyle name="Note 2 4 2 7" xfId="8537" xr:uid="{4D1A594A-1070-4E36-A85E-C8A915B6C307}"/>
    <cellStyle name="Note 2 4 2 7 2" xfId="32724" xr:uid="{27CEC504-93C8-460C-9A66-36B7A048BDD6}"/>
    <cellStyle name="Note 2 4 2 8" xfId="12928" xr:uid="{39CB74AC-0C95-4756-B003-1FF860D4E543}"/>
    <cellStyle name="Note 2 4 2 8 2" xfId="35284" xr:uid="{9ACAB91B-8EC1-4D45-8BED-3D90CD526488}"/>
    <cellStyle name="Note 2 4 2 9" xfId="7290" xr:uid="{892A98BE-A6F6-45BC-85CE-3E3B0854EED1}"/>
    <cellStyle name="Note 2 4 2 9 2" xfId="31654" xr:uid="{321DFC40-EAF6-45BF-84FE-CD325B8A80C9}"/>
    <cellStyle name="Note 2 4 20" xfId="18776" xr:uid="{0E0CF8E1-8F91-4BDE-B7A3-56C0680E2D9C}"/>
    <cellStyle name="Note 2 4 20 2" xfId="39643" xr:uid="{FD5E77AE-8E03-4F71-81AC-DA089FA1F44A}"/>
    <cellStyle name="Note 2 4 21" xfId="13940" xr:uid="{8922BA75-1F23-4B97-B3E3-F227D7135778}"/>
    <cellStyle name="Note 2 4 21 2" xfId="36048" xr:uid="{0B3BF4A9-E1A4-4C6B-A65B-CC1F9EF96FA7}"/>
    <cellStyle name="Note 2 4 22" xfId="25296" xr:uid="{5F7F6613-D01D-45C3-9126-D992FBD0D145}"/>
    <cellStyle name="Note 2 4 22 2" xfId="44212" xr:uid="{7E315858-EEFF-4EC8-904A-23F4C2F0A41E}"/>
    <cellStyle name="Note 2 4 23" xfId="26355" xr:uid="{55BFA187-30D0-44D2-807A-C2E7836CDF94}"/>
    <cellStyle name="Note 2 4 23 2" xfId="45037" xr:uid="{9F369BD2-644C-4696-A55C-E51C6D4FEFFB}"/>
    <cellStyle name="Note 2 4 24" xfId="28629" xr:uid="{09628565-301C-4680-951F-26F9BE4F04E1}"/>
    <cellStyle name="Note 2 4 24 2" xfId="46363" xr:uid="{C8CBC88F-DF96-4A5F-842A-8EA222A0492B}"/>
    <cellStyle name="Note 2 4 25" xfId="25881" xr:uid="{F726F731-DB87-4930-BFE0-0028933DDCE2}"/>
    <cellStyle name="Note 2 4 25 2" xfId="44690" xr:uid="{FEDA7822-5842-40A8-BF2A-EFF411490AEB}"/>
    <cellStyle name="Note 2 4 26" xfId="24385" xr:uid="{CD36E905-7FFA-498B-A00C-BF460AE2338A}"/>
    <cellStyle name="Note 2 4 26 2" xfId="43626" xr:uid="{AFDA24F8-A3B0-4C01-A986-C3F562FF136C}"/>
    <cellStyle name="Note 2 4 27" xfId="30745" xr:uid="{F636B924-0097-4EBE-8E96-B5F46B0056D6}"/>
    <cellStyle name="Note 2 4 27 2" xfId="47686" xr:uid="{ED8059B8-6DC4-458C-9BAF-277510E2F210}"/>
    <cellStyle name="Note 2 4 28" xfId="25612" xr:uid="{5A0FF24C-E149-4FCA-BA83-F224FACAE666}"/>
    <cellStyle name="Note 2 4 28 2" xfId="44471" xr:uid="{EE121F49-14B9-4E0C-B2E9-FC0DBF19332E}"/>
    <cellStyle name="Note 2 4 29" xfId="6422" xr:uid="{008D8DF3-9F16-43A0-B947-875DBF3F45AC}"/>
    <cellStyle name="Note 2 4 3" xfId="8115" xr:uid="{25D394A2-A39A-4D73-91C7-DE179B15482E}"/>
    <cellStyle name="Note 2 4 3 2" xfId="32358" xr:uid="{0079A40C-4879-4158-AED5-DDED6CE49DF7}"/>
    <cellStyle name="Note 2 4 4" xfId="9282" xr:uid="{60A0A425-420A-4235-AAF2-1B14984C78D4}"/>
    <cellStyle name="Note 2 4 4 2" xfId="33268" xr:uid="{206CF588-EDE1-42E0-B9BB-B5C49F74E02C}"/>
    <cellStyle name="Note 2 4 5" xfId="7738" xr:uid="{C47490BA-F540-4D48-A353-C567FE8AD26E}"/>
    <cellStyle name="Note 2 4 5 2" xfId="32035" xr:uid="{26081D77-6BA3-4301-8410-32D0AA602C6C}"/>
    <cellStyle name="Note 2 4 6" xfId="8841" xr:uid="{BF841920-90B8-4E37-9880-F32958B30C96}"/>
    <cellStyle name="Note 2 4 6 2" xfId="32964" xr:uid="{99C3BBEE-993C-40DF-8E6D-A17E6599D9C9}"/>
    <cellStyle name="Note 2 4 7" xfId="13055" xr:uid="{873338F0-3439-43FD-95D4-AA5A7C6A38FB}"/>
    <cellStyle name="Note 2 4 7 2" xfId="35403" xr:uid="{D309265D-568D-44BF-9689-29060F9DB5D3}"/>
    <cellStyle name="Note 2 4 8" xfId="8538" xr:uid="{BA930424-36D0-4896-A60C-4709C3E349EB}"/>
    <cellStyle name="Note 2 4 8 2" xfId="32725" xr:uid="{3882B418-9037-4B3E-B9B7-CC84764BDD6F}"/>
    <cellStyle name="Note 2 4 9" xfId="14907" xr:uid="{3687547D-08D6-4CF6-B0F1-3DD646413678}"/>
    <cellStyle name="Note 2 4 9 2" xfId="36782" xr:uid="{34FBCE61-C891-405D-8329-E6FF0A1F1218}"/>
    <cellStyle name="Note 2 5" xfId="2895" xr:uid="{A5E5DA27-BCB3-4807-92E7-200EA88F46C4}"/>
    <cellStyle name="Note 2 5 10" xfId="11716" xr:uid="{490DCFB0-5F73-4670-A684-B10A487EC0A1}"/>
    <cellStyle name="Note 2 5 10 2" xfId="34329" xr:uid="{B58D6590-49A0-4980-BDDD-E9224F5505A3}"/>
    <cellStyle name="Note 2 5 11" xfId="14686" xr:uid="{9C6BFAFA-9A24-4EF4-B46E-3219338A5C31}"/>
    <cellStyle name="Note 2 5 11 2" xfId="36598" xr:uid="{286027EE-567D-44E6-A0D1-DD2779FDE1D4}"/>
    <cellStyle name="Note 2 5 12" xfId="16618" xr:uid="{8F1DE07E-FD40-4F3B-B915-503D616A0A3E}"/>
    <cellStyle name="Note 2 5 12 2" xfId="38111" xr:uid="{353C9B9D-9FF1-4177-B638-F8606161E308}"/>
    <cellStyle name="Note 2 5 13" xfId="13696" xr:uid="{1FDC4466-28AD-49E2-BC4B-EC23C9F2AA12}"/>
    <cellStyle name="Note 2 5 13 2" xfId="35852" xr:uid="{1F3B1897-19D2-49BE-A78C-93F508B9A072}"/>
    <cellStyle name="Note 2 5 14" xfId="17575" xr:uid="{4C2994C5-4B6F-4DDC-AFFE-6ECF64EBB23B}"/>
    <cellStyle name="Note 2 5 14 2" xfId="38821" xr:uid="{B9130036-7EC9-4B96-80FD-2F57B46A9603}"/>
    <cellStyle name="Note 2 5 15" xfId="17689" xr:uid="{455A2517-F3C9-49F5-9D57-DC840DC0DBF0}"/>
    <cellStyle name="Note 2 5 15 2" xfId="38874" xr:uid="{64505F96-1097-4B8D-8C6A-C125E4256EB6}"/>
    <cellStyle name="Note 2 5 16" xfId="13342" xr:uid="{CA18462C-0D6D-4EB8-B6B8-391BBA247B92}"/>
    <cellStyle name="Note 2 5 16 2" xfId="35652" xr:uid="{F74F6EBF-7910-48A7-B75A-339AD0CD4399}"/>
    <cellStyle name="Note 2 5 17" xfId="17725" xr:uid="{9F92BA90-B2AE-4FFC-8DA9-B6CEBF9AB1F6}"/>
    <cellStyle name="Note 2 5 17 2" xfId="38901" xr:uid="{B71DB8BD-FB44-4175-AB29-556B76CB074A}"/>
    <cellStyle name="Note 2 5 18" xfId="12644" xr:uid="{628B0325-997F-49D9-B167-742EC9FF6CF3}"/>
    <cellStyle name="Note 2 5 18 2" xfId="35070" xr:uid="{C738F7F3-2D43-47B0-9ADF-51A162619E59}"/>
    <cellStyle name="Note 2 5 19" xfId="20730" xr:uid="{CDFD9168-1D37-42CB-A874-B94190610627}"/>
    <cellStyle name="Note 2 5 19 2" xfId="41090" xr:uid="{C8CBE861-2422-4E0D-8171-1D30B57A0E98}"/>
    <cellStyle name="Note 2 5 2" xfId="2896" xr:uid="{8DF8E774-29CF-4683-AE30-85272B0D27D7}"/>
    <cellStyle name="Note 2 5 2 10" xfId="12778" xr:uid="{C1E7C409-BE52-436F-B1D1-9E7528ACAA66}"/>
    <cellStyle name="Note 2 5 2 10 2" xfId="35186" xr:uid="{44F70641-7AA7-4BEC-8370-01EFC19E5FA5}"/>
    <cellStyle name="Note 2 5 2 11" xfId="12501" xr:uid="{9AF88EDE-EC5A-4E16-A1A4-6C3B1249FC3C}"/>
    <cellStyle name="Note 2 5 2 11 2" xfId="34946" xr:uid="{66020972-5E1D-4285-87EC-7A91153866B9}"/>
    <cellStyle name="Note 2 5 2 12" xfId="17519" xr:uid="{27340B74-77B8-466A-B9EF-62E3D9130AE2}"/>
    <cellStyle name="Note 2 5 2 12 2" xfId="38766" xr:uid="{9E4C9A84-8073-4C96-85E0-B20349AB50E9}"/>
    <cellStyle name="Note 2 5 2 13" xfId="17577" xr:uid="{31CD66C8-A5A0-4160-BA4C-790FC9973D39}"/>
    <cellStyle name="Note 2 5 2 13 2" xfId="38823" xr:uid="{E67B79B0-FFCF-497F-A474-994100CEDE3A}"/>
    <cellStyle name="Note 2 5 2 14" xfId="19761" xr:uid="{D9555E77-4DED-4CF9-826F-03E21BA0875B}"/>
    <cellStyle name="Note 2 5 2 14 2" xfId="40378" xr:uid="{465B49FF-1211-458A-BBC3-081DF3AE070D}"/>
    <cellStyle name="Note 2 5 2 15" xfId="16704" xr:uid="{A22A9E4D-D668-4979-B499-87AD8C763954}"/>
    <cellStyle name="Note 2 5 2 15 2" xfId="38194" xr:uid="{ACA9A7C1-04B0-4B0C-822D-7F39BE1EFF23}"/>
    <cellStyle name="Note 2 5 2 16" xfId="21443" xr:uid="{CA595575-36BC-4EF7-8C34-BCACA7F0DB44}"/>
    <cellStyle name="Note 2 5 2 16 2" xfId="41572" xr:uid="{D4836B57-9D04-4F02-B859-43302541C7A6}"/>
    <cellStyle name="Note 2 5 2 17" xfId="17910" xr:uid="{04D5673E-9374-4A03-80BC-02AD5CA52CD6}"/>
    <cellStyle name="Note 2 5 2 17 2" xfId="39017" xr:uid="{EBAE477F-9CE3-4175-A81F-8AB5D9283B46}"/>
    <cellStyle name="Note 2 5 2 18" xfId="25270" xr:uid="{A977609F-DA8C-454F-BCBE-B815A26E2F2F}"/>
    <cellStyle name="Note 2 5 2 18 2" xfId="44191" xr:uid="{2237768A-F6F9-4CE7-BF5C-5802C8AEE8FC}"/>
    <cellStyle name="Note 2 5 2 19" xfId="22342" xr:uid="{311B74D0-7A8B-4AD5-A2C2-8CF5EAE6F2AD}"/>
    <cellStyle name="Note 2 5 2 19 2" xfId="42197" xr:uid="{413A0837-6165-4A67-B6EE-2F7FFC2908A8}"/>
    <cellStyle name="Note 2 5 2 2" xfId="8111" xr:uid="{643396E7-5AF2-4E2D-AE8B-06FD34689F99}"/>
    <cellStyle name="Note 2 5 2 2 2" xfId="32355" xr:uid="{6DCDCFA3-1A0A-4880-A74F-C942DC37A804}"/>
    <cellStyle name="Note 2 5 2 20" xfId="18143" xr:uid="{1B39462F-3A36-4FAD-9A2D-843E98FB8074}"/>
    <cellStyle name="Note 2 5 2 20 2" xfId="39217" xr:uid="{8C678C6A-972D-444D-866E-7BDC7F62A012}"/>
    <cellStyle name="Note 2 5 2 21" xfId="25297" xr:uid="{B386D748-94C4-42A0-B125-391F27C87E0F}"/>
    <cellStyle name="Note 2 5 2 21 2" xfId="44213" xr:uid="{E348D8F9-C0E0-4D56-A2F1-CB0FD34DE7EA}"/>
    <cellStyle name="Note 2 5 2 22" xfId="20562" xr:uid="{23ABC04F-7E39-433A-9072-87D0F5FE1B1D}"/>
    <cellStyle name="Note 2 5 2 22 2" xfId="40942" xr:uid="{18B342F9-9660-49CD-8F52-94AF10C3AA1A}"/>
    <cellStyle name="Note 2 5 2 23" xfId="26114" xr:uid="{4364931B-F20E-472B-89DB-2032DFAD49C4}"/>
    <cellStyle name="Note 2 5 2 23 2" xfId="44857" xr:uid="{98D01448-4995-49E3-9AB4-0D085A506240}"/>
    <cellStyle name="Note 2 5 2 24" xfId="29751" xr:uid="{5F359B0D-F652-4514-ADC0-715365B48960}"/>
    <cellStyle name="Note 2 5 2 24 2" xfId="47070" xr:uid="{C05B9AD3-E52B-4F2D-8E88-64C5B61D4A50}"/>
    <cellStyle name="Note 2 5 2 25" xfId="23681" xr:uid="{71E33930-023F-409C-AD51-A246DD96C641}"/>
    <cellStyle name="Note 2 5 2 25 2" xfId="43103" xr:uid="{77D427A0-8FD1-4B6B-96A7-6A8A63CD17FC}"/>
    <cellStyle name="Note 2 5 2 26" xfId="30028" xr:uid="{2BED753C-3EC2-4993-925A-55CAE9AA5654}"/>
    <cellStyle name="Note 2 5 2 26 2" xfId="47259" xr:uid="{C73A33DA-9090-4003-8E3A-DBE075F2247C}"/>
    <cellStyle name="Note 2 5 2 27" xfId="29187" xr:uid="{F374F134-F09C-44AA-A9B3-C1FC211E7859}"/>
    <cellStyle name="Note 2 5 2 27 2" xfId="46713" xr:uid="{00711F6D-01CF-4B02-AF8F-438825A40226}"/>
    <cellStyle name="Note 2 5 2 28" xfId="6425" xr:uid="{A02E7852-DDA1-45B0-B125-E19096A19F03}"/>
    <cellStyle name="Note 2 5 2 3" xfId="9285" xr:uid="{0CDE1D37-8B01-496F-B6FF-5366B8F7F3B5}"/>
    <cellStyle name="Note 2 5 2 3 2" xfId="33271" xr:uid="{ABC2BD8C-66CC-4234-8B52-D7C3BBAEFFE0}"/>
    <cellStyle name="Note 2 5 2 4" xfId="7735" xr:uid="{13A130F8-2B21-4857-9768-83B89A9D1C04}"/>
    <cellStyle name="Note 2 5 2 4 2" xfId="32032" xr:uid="{F6B355E6-07A0-463C-A9CD-6EAE2A7372EE}"/>
    <cellStyle name="Note 2 5 2 5" xfId="8838" xr:uid="{49FE7311-D08D-4939-B842-73D1C2E73CB2}"/>
    <cellStyle name="Note 2 5 2 5 2" xfId="32961" xr:uid="{A2E8DF50-B5F8-4AB6-95B5-15CD0F9405E7}"/>
    <cellStyle name="Note 2 5 2 6" xfId="10408" xr:uid="{659713ED-76D9-4492-9214-3BD56E34A6F1}"/>
    <cellStyle name="Note 2 5 2 6 2" xfId="34043" xr:uid="{263F1E53-7C81-48AE-AE94-6DFBCF5C4539}"/>
    <cellStyle name="Note 2 5 2 7" xfId="13389" xr:uid="{57785DF1-207C-4D2B-BC80-F1CC64319457}"/>
    <cellStyle name="Note 2 5 2 7 2" xfId="35696" xr:uid="{C6565940-907A-4FE7-BEFF-BF1E1C0E809B}"/>
    <cellStyle name="Note 2 5 2 8" xfId="10552" xr:uid="{656BE0AE-96C3-4F07-8508-0944B5456FB5}"/>
    <cellStyle name="Note 2 5 2 8 2" xfId="34178" xr:uid="{CE1A3BC4-8D1F-459D-B68F-F3F23059107E}"/>
    <cellStyle name="Note 2 5 2 9" xfId="7289" xr:uid="{6F851F60-C1C0-4805-855D-766F49602BC5}"/>
    <cellStyle name="Note 2 5 2 9 2" xfId="31653" xr:uid="{4A10701F-B6FF-4709-8EA8-02B2BF0BEA8A}"/>
    <cellStyle name="Note 2 5 20" xfId="24759" xr:uid="{BE748E14-A125-471D-8E39-66DA2A539121}"/>
    <cellStyle name="Note 2 5 20 2" xfId="43904" xr:uid="{CFFFDF7C-C2DA-40D3-A9E9-DD3612834CA4}"/>
    <cellStyle name="Note 2 5 21" xfId="24949" xr:uid="{0CBB6FAA-9973-41EB-ADFC-95C201C7B9FF}"/>
    <cellStyle name="Note 2 5 21 2" xfId="44031" xr:uid="{3FB83D1F-B5CD-43DD-A5DB-F1104A5C85BA}"/>
    <cellStyle name="Note 2 5 22" xfId="22292" xr:uid="{7E878C0E-A681-46E6-A405-7CB2428995C1}"/>
    <cellStyle name="Note 2 5 22 2" xfId="42156" xr:uid="{FD24521D-94B6-4551-A4F2-EDC5FE76A30D}"/>
    <cellStyle name="Note 2 5 23" xfId="26356" xr:uid="{45B26B95-2BDB-4A02-87F1-4EB698BF0CF3}"/>
    <cellStyle name="Note 2 5 23 2" xfId="45038" xr:uid="{2528F6E4-3F25-4177-891C-9BD6A7EC0639}"/>
    <cellStyle name="Note 2 5 24" xfId="28628" xr:uid="{0D43224C-D2AC-4E07-AC70-96FA7F5E19F5}"/>
    <cellStyle name="Note 2 5 24 2" xfId="46362" xr:uid="{091941AA-6898-4C10-B52A-06009CE10FD8}"/>
    <cellStyle name="Note 2 5 25" xfId="27647" xr:uid="{8022E71B-0291-4EAF-96CA-DA89EDE1236B}"/>
    <cellStyle name="Note 2 5 25 2" xfId="45780" xr:uid="{D2E1FB39-9AF6-4418-9BE1-EF225FD58DA0}"/>
    <cellStyle name="Note 2 5 26" xfId="23718" xr:uid="{BC948FBE-5DAE-4675-9DC4-8BCD17FE9EFE}"/>
    <cellStyle name="Note 2 5 26 2" xfId="43136" xr:uid="{9EF9B540-F532-48A0-8851-8B415D02771B}"/>
    <cellStyle name="Note 2 5 27" xfId="30746" xr:uid="{DE24CC18-DEB6-4C74-8DC9-E84B94FAEA37}"/>
    <cellStyle name="Note 2 5 27 2" xfId="47687" xr:uid="{84151153-439A-4F87-A6F9-2F2193B3C812}"/>
    <cellStyle name="Note 2 5 28" xfId="26981" xr:uid="{6F37E27E-5AC2-458C-A41C-048B76BA5904}"/>
    <cellStyle name="Note 2 5 28 2" xfId="45388" xr:uid="{A7850F67-A0B9-4B02-BEA4-FEA80DB8388B}"/>
    <cellStyle name="Note 2 5 29" xfId="6424" xr:uid="{C49370E3-C194-4D41-B856-6928B664FFC5}"/>
    <cellStyle name="Note 2 5 3" xfId="8112" xr:uid="{6355424F-A726-464F-927A-E0548939562C}"/>
    <cellStyle name="Note 2 5 3 2" xfId="32356" xr:uid="{B4BC4353-C22F-4503-A8D8-B2912A00635D}"/>
    <cellStyle name="Note 2 5 4" xfId="9284" xr:uid="{8B18616B-693A-49D0-8946-5B7898E438DF}"/>
    <cellStyle name="Note 2 5 4 2" xfId="33270" xr:uid="{822925B0-C2BE-4356-89DC-EBBDC74F630A}"/>
    <cellStyle name="Note 2 5 5" xfId="7736" xr:uid="{FC8017F0-F9A3-4FAA-9253-E6C84292F818}"/>
    <cellStyle name="Note 2 5 5 2" xfId="32033" xr:uid="{DEAADDA9-097E-42AC-B68B-0523915F3CB5}"/>
    <cellStyle name="Note 2 5 6" xfId="8839" xr:uid="{AD12D8EB-8B9C-4FEB-B6CF-C4216EE4B47B}"/>
    <cellStyle name="Note 2 5 6 2" xfId="32962" xr:uid="{E12C626C-9035-4B0C-993F-B27E08A32EB4}"/>
    <cellStyle name="Note 2 5 7" xfId="13054" xr:uid="{E48F7784-EDD9-4865-B45A-682A0D5FE8A6}"/>
    <cellStyle name="Note 2 5 7 2" xfId="35402" xr:uid="{79BD3930-5E04-4CF1-B4D6-B062B6DDDB04}"/>
    <cellStyle name="Note 2 5 8" xfId="8510" xr:uid="{23F33F1D-2082-4D01-9B25-70AE9A22CC71}"/>
    <cellStyle name="Note 2 5 8 2" xfId="32697" xr:uid="{F62B52E6-D22A-45DB-A242-4FCF09FAD7EC}"/>
    <cellStyle name="Note 2 5 9" xfId="14906" xr:uid="{32F239BA-91C9-4581-8215-BA8301EB67FD}"/>
    <cellStyle name="Note 2 5 9 2" xfId="36781" xr:uid="{A41CE37A-AC16-420B-913C-F0C852C7A4D0}"/>
    <cellStyle name="Note 2 6" xfId="2897" xr:uid="{AB918927-D2E1-4FA7-A518-3B018B7CC7E5}"/>
    <cellStyle name="Note 2 6 10" xfId="11715" xr:uid="{DF050AA9-933E-46A6-9D67-EFE58ECEF1DD}"/>
    <cellStyle name="Note 2 6 10 2" xfId="34328" xr:uid="{2267ECAD-1B62-49C6-87EF-0E27060097F8}"/>
    <cellStyle name="Note 2 6 11" xfId="15472" xr:uid="{E84D127B-A2D3-419E-AD29-8781B4FE92BC}"/>
    <cellStyle name="Note 2 6 11 2" xfId="37137" xr:uid="{EA91BC40-ED28-473D-BD46-0EC0E92740FA}"/>
    <cellStyle name="Note 2 6 12" xfId="16617" xr:uid="{D086580E-1DC7-4EEB-AB6F-F64E96742E51}"/>
    <cellStyle name="Note 2 6 12 2" xfId="38110" xr:uid="{90898ABA-D7D4-4BBE-A9D2-8AA3FB8F3978}"/>
    <cellStyle name="Note 2 6 13" xfId="15610" xr:uid="{FF0A41A7-3ADD-4CE4-B666-4FADB228EA72}"/>
    <cellStyle name="Note 2 6 13 2" xfId="37268" xr:uid="{5F9E7363-D072-45F9-803A-B41545EBC06F}"/>
    <cellStyle name="Note 2 6 14" xfId="19280" xr:uid="{7E70CB52-2C87-4580-9A1C-20A04EFC16D6}"/>
    <cellStyle name="Note 2 6 14 2" xfId="40066" xr:uid="{D986C8CA-778A-4398-9AA1-0AB389CA329E}"/>
    <cellStyle name="Note 2 6 15" xfId="17964" xr:uid="{7A5B4DAE-A474-4ED4-8194-5568BFD9D708}"/>
    <cellStyle name="Note 2 6 15 2" xfId="39062" xr:uid="{DE381061-1BD7-4A26-BE83-A7C39BE3F618}"/>
    <cellStyle name="Note 2 6 16" xfId="20039" xr:uid="{2F21471E-E095-4093-87AB-645BB266FD6D}"/>
    <cellStyle name="Note 2 6 16 2" xfId="40605" xr:uid="{A53CDB66-5232-4E1D-8128-E2E619E921D1}"/>
    <cellStyle name="Note 2 6 17" xfId="20890" xr:uid="{587F1EED-6953-4D87-ACE7-5FC4784C09BF}"/>
    <cellStyle name="Note 2 6 17 2" xfId="41198" xr:uid="{CECDF9D0-DFF6-4202-9101-8BDDFBAF1FD2}"/>
    <cellStyle name="Note 2 6 18" xfId="22003" xr:uid="{6C5E57FA-F126-454B-AA84-866CC732AAB3}"/>
    <cellStyle name="Note 2 6 18 2" xfId="41898" xr:uid="{5C3F0922-7327-4FD8-B313-5BEFFE9DE1F3}"/>
    <cellStyle name="Note 2 6 19" xfId="18938" xr:uid="{33EE4D63-4F93-43D1-A680-BB5DE22A3B0E}"/>
    <cellStyle name="Note 2 6 19 2" xfId="39770" xr:uid="{A88EB546-2B40-4DB6-ADE5-CD5912056878}"/>
    <cellStyle name="Note 2 6 2" xfId="2898" xr:uid="{5A085913-DD25-461C-8D0B-A6882CEE2FCD}"/>
    <cellStyle name="Note 2 6 2 10" xfId="14685" xr:uid="{401CCE17-C964-466F-A848-32368C88C9F5}"/>
    <cellStyle name="Note 2 6 2 10 2" xfId="36597" xr:uid="{E6522BD1-CFB2-4A70-8D1F-6077589A9CBD}"/>
    <cellStyle name="Note 2 6 2 11" xfId="14061" xr:uid="{13358ADB-2A7C-4F5F-BBAF-CB293C23E665}"/>
    <cellStyle name="Note 2 6 2 11 2" xfId="36155" xr:uid="{FFE2B1A8-C053-49E4-8487-0C88A6EB5D78}"/>
    <cellStyle name="Note 2 6 2 12" xfId="17518" xr:uid="{F05D6748-525F-4B55-9C72-F96632A48CFD}"/>
    <cellStyle name="Note 2 6 2 12 2" xfId="38765" xr:uid="{AE4804F0-3468-4FB6-A75F-FF9029A57D3B}"/>
    <cellStyle name="Note 2 6 2 13" xfId="19283" xr:uid="{47CFE0CD-3B79-401B-9B89-8F6B4B812491}"/>
    <cellStyle name="Note 2 6 2 13 2" xfId="40069" xr:uid="{58615495-BD75-4035-92AA-D22327330D65}"/>
    <cellStyle name="Note 2 6 2 14" xfId="19760" xr:uid="{798C1156-C1A1-434D-A2B9-31C78693530D}"/>
    <cellStyle name="Note 2 6 2 14 2" xfId="40377" xr:uid="{B525920F-1CA7-43D9-AE30-DA86E95D196E}"/>
    <cellStyle name="Note 2 6 2 15" xfId="12887" xr:uid="{2265C02D-D9D5-499B-8DF8-B423B6B3B7A2}"/>
    <cellStyle name="Note 2 6 2 15 2" xfId="35246" xr:uid="{8C7E7694-3613-400B-8E4E-D6C4A56612C2}"/>
    <cellStyle name="Note 2 6 2 16" xfId="21442" xr:uid="{4C3101BF-1872-4932-9745-66B4568416D6}"/>
    <cellStyle name="Note 2 6 2 16 2" xfId="41571" xr:uid="{17AE0318-60B2-4BE2-B83C-1CC39A85618F}"/>
    <cellStyle name="Note 2 6 2 17" xfId="18329" xr:uid="{884E8666-CECF-4EFA-858D-DBBCD88E300E}"/>
    <cellStyle name="Note 2 6 2 17 2" xfId="39360" xr:uid="{95BB3E25-1BFD-4E1D-9C70-6374B698BF2E}"/>
    <cellStyle name="Note 2 6 2 18" xfId="23511" xr:uid="{F49E449A-BECD-4A45-AF5E-7E0A496E1AFA}"/>
    <cellStyle name="Note 2 6 2 18 2" xfId="42971" xr:uid="{8948B6FF-924D-4E7E-BEC8-F8C034E00361}"/>
    <cellStyle name="Note 2 6 2 19" xfId="16156" xr:uid="{DD12811D-FC25-43E5-8F47-513B7CEC91A5}"/>
    <cellStyle name="Note 2 6 2 19 2" xfId="37718" xr:uid="{E47A6850-EB9F-49B9-A420-0315AE9298E7}"/>
    <cellStyle name="Note 2 6 2 2" xfId="8109" xr:uid="{66A58CD4-AFB0-453C-9FB7-4254581C2CBD}"/>
    <cellStyle name="Note 2 6 2 2 2" xfId="32353" xr:uid="{6C61FFDC-D484-4C56-8E74-580642DFC4A1}"/>
    <cellStyle name="Note 2 6 2 20" xfId="18142" xr:uid="{B6887A85-F4C9-4E31-A04F-A438035BB7D5}"/>
    <cellStyle name="Note 2 6 2 20 2" xfId="39216" xr:uid="{60519C93-BCB1-49A7-B3EC-C49DE6AB185F}"/>
    <cellStyle name="Note 2 6 2 21" xfId="22755" xr:uid="{C7EEC271-39D9-4A6B-9326-F5F527396A18}"/>
    <cellStyle name="Note 2 6 2 21 2" xfId="42512" xr:uid="{246AE1E9-2FDC-4B8B-AF4D-10DE4776148B}"/>
    <cellStyle name="Note 2 6 2 22" xfId="26354" xr:uid="{30BE84DF-0CF4-4695-8B90-7E9C00AF45B6}"/>
    <cellStyle name="Note 2 6 2 22 2" xfId="45036" xr:uid="{CCD85FB3-5766-47BA-827B-B9C15F0F935C}"/>
    <cellStyle name="Note 2 6 2 23" xfId="27170" xr:uid="{3805311E-0BEF-484C-B264-C49BAE2BCCE9}"/>
    <cellStyle name="Note 2 6 2 23 2" xfId="45511" xr:uid="{7F10BB56-F89E-4D40-8D58-06AEF9F09FCD}"/>
    <cellStyle name="Note 2 6 2 24" xfId="29065" xr:uid="{83113D7F-1C8A-466A-9F60-D6913E88B30D}"/>
    <cellStyle name="Note 2 6 2 24 2" xfId="46640" xr:uid="{CA3C632E-BD52-4C0E-9A65-2DAC9F01DCAC}"/>
    <cellStyle name="Note 2 6 2 25" xfId="24384" xr:uid="{B335E1C4-404D-4CFC-9FCD-8B8A112F6D1F}"/>
    <cellStyle name="Note 2 6 2 25 2" xfId="43625" xr:uid="{DF9DA8ED-2B4A-4290-8642-9A5956578217}"/>
    <cellStyle name="Note 2 6 2 26" xfId="30744" xr:uid="{850B35E2-1D52-479E-91C3-F14D5E8AE632}"/>
    <cellStyle name="Note 2 6 2 26 2" xfId="47685" xr:uid="{A368DA0B-B040-4853-A2B7-AA0CA55A08C6}"/>
    <cellStyle name="Note 2 6 2 27" xfId="26891" xr:uid="{2DD84A6D-C138-4078-BE14-4E5BD967AD1A}"/>
    <cellStyle name="Note 2 6 2 27 2" xfId="45314" xr:uid="{EA38AAE2-84B4-4EE2-B718-A560D3B3B145}"/>
    <cellStyle name="Note 2 6 2 28" xfId="6427" xr:uid="{FC62C07B-9E41-4D84-BA82-C3DBB742FD1D}"/>
    <cellStyle name="Note 2 6 2 3" xfId="9287" xr:uid="{DA511B1C-94F3-4F58-8884-3BBB6AD3DF94}"/>
    <cellStyle name="Note 2 6 2 3 2" xfId="33273" xr:uid="{E4B47A2E-5546-493C-8EF6-2F4ABA1BA010}"/>
    <cellStyle name="Note 2 6 2 4" xfId="7733" xr:uid="{E304C94F-D5B2-4363-A975-263D17DAE5E5}"/>
    <cellStyle name="Note 2 6 2 4 2" xfId="32030" xr:uid="{0BEE4F8E-EE4B-4D48-9413-701C6FCEF64B}"/>
    <cellStyle name="Note 2 6 2 5" xfId="8836" xr:uid="{4E85B04F-2B1C-4EFF-8C24-75DA65E2C4CD}"/>
    <cellStyle name="Note 2 6 2 5 2" xfId="32959" xr:uid="{7EECBE43-1D11-4BC6-9AC4-CFA60DC14BAB}"/>
    <cellStyle name="Note 2 6 2 6" xfId="13052" xr:uid="{B5191AAD-1D5E-4541-821D-0C80D4306615}"/>
    <cellStyle name="Note 2 6 2 6 2" xfId="35400" xr:uid="{ED6D0BC3-71B6-4764-AAAB-38E2495C5AD6}"/>
    <cellStyle name="Note 2 6 2 7" xfId="13390" xr:uid="{FDE89898-E9EC-4B95-8851-A8D322E3E016}"/>
    <cellStyle name="Note 2 6 2 7 2" xfId="35697" xr:uid="{D7C55ABF-1AA5-42F0-835E-940D2B8AF95C}"/>
    <cellStyle name="Note 2 6 2 8" xfId="12927" xr:uid="{E25029E7-4807-44C5-89AD-0EA4748604AA}"/>
    <cellStyle name="Note 2 6 2 8 2" xfId="35283" xr:uid="{ED547CCE-BC10-46AF-AEA0-AD4DD2BB697F}"/>
    <cellStyle name="Note 2 6 2 9" xfId="7288" xr:uid="{E2EC5065-C1E2-4645-9F2B-0141C081D85D}"/>
    <cellStyle name="Note 2 6 2 9 2" xfId="31652" xr:uid="{E2457013-FC66-4B98-A2F7-DF710226084D}"/>
    <cellStyle name="Note 2 6 20" xfId="24758" xr:uid="{04B5D5E3-954A-46F6-ACA4-EC760EF57461}"/>
    <cellStyle name="Note 2 6 20 2" xfId="43903" xr:uid="{24BC62C7-35DD-4C45-8A08-9768AB580554}"/>
    <cellStyle name="Note 2 6 21" xfId="16228" xr:uid="{8B8FDE4B-1579-4927-B868-79B7710EEA59}"/>
    <cellStyle name="Note 2 6 21 2" xfId="37781" xr:uid="{40487053-8190-4505-B1E2-0BAA69FDEF96}"/>
    <cellStyle name="Note 2 6 22" xfId="24558" xr:uid="{6D06F11B-D59A-44A3-8651-23CB6AC0860C}"/>
    <cellStyle name="Note 2 6 22 2" xfId="43741" xr:uid="{0BF5BCFD-134C-4AA6-A67B-A71E51E04C74}"/>
    <cellStyle name="Note 2 6 23" xfId="26357" xr:uid="{9D2849C3-AB01-492A-A2A0-EA1DB0637B6C}"/>
    <cellStyle name="Note 2 6 23 2" xfId="45039" xr:uid="{06891977-5107-4D8E-A77E-518BAE6738EF}"/>
    <cellStyle name="Note 2 6 24" xfId="28627" xr:uid="{4EA64CBF-6C1E-40D7-A011-51C979CC447B}"/>
    <cellStyle name="Note 2 6 24 2" xfId="46361" xr:uid="{2ACD9E6F-09DF-48F9-BA81-D1CDE8E41D2B}"/>
    <cellStyle name="Note 2 6 25" xfId="27672" xr:uid="{142A87E1-B324-4631-BE51-52047CD0D6AB}"/>
    <cellStyle name="Note 2 6 25 2" xfId="45787" xr:uid="{92F2E79B-4ABB-4393-B3F1-ECEE4BDED324}"/>
    <cellStyle name="Note 2 6 26" xfId="25559" xr:uid="{36C17647-8F2C-4FD8-B2C5-4B509766BD86}"/>
    <cellStyle name="Note 2 6 26 2" xfId="44427" xr:uid="{A4E376D8-D24B-45B6-B4F9-9DAD73B7038F}"/>
    <cellStyle name="Note 2 6 27" xfId="30747" xr:uid="{B9D19208-CB73-4546-BA81-C1075C5A4494}"/>
    <cellStyle name="Note 2 6 27 2" xfId="47688" xr:uid="{32E40E9B-7D25-4819-961B-D6AB39AAA2BE}"/>
    <cellStyle name="Note 2 6 28" xfId="29357" xr:uid="{E535B68C-735A-4139-953F-1DD13D26CFFB}"/>
    <cellStyle name="Note 2 6 28 2" xfId="46830" xr:uid="{78F1D2A2-8C72-43E3-9EC4-D79A73E053F5}"/>
    <cellStyle name="Note 2 6 29" xfId="6426" xr:uid="{DB312635-D118-4141-9481-6DA378CA2391}"/>
    <cellStyle name="Note 2 6 3" xfId="8110" xr:uid="{76CDEB98-1176-4426-8361-A367F8D0DD40}"/>
    <cellStyle name="Note 2 6 3 2" xfId="32354" xr:uid="{0DD4BFE9-87B8-4CF0-88D4-69F79A3D8373}"/>
    <cellStyle name="Note 2 6 4" xfId="9286" xr:uid="{4D46DEB4-0A5A-40E2-9EFF-EF06EB751EFE}"/>
    <cellStyle name="Note 2 6 4 2" xfId="33272" xr:uid="{B3C9FEDB-13F6-4023-9BB9-78D4CAC6808B}"/>
    <cellStyle name="Note 2 6 5" xfId="7734" xr:uid="{087DAC49-7E5B-4E38-8D86-7015E989F0D1}"/>
    <cellStyle name="Note 2 6 5 2" xfId="32031" xr:uid="{761272C3-CE06-432D-9F81-11BCE08D3AB1}"/>
    <cellStyle name="Note 2 6 6" xfId="8837" xr:uid="{7F437018-F556-4C3A-8DA1-C89912785129}"/>
    <cellStyle name="Note 2 6 6 2" xfId="32960" xr:uid="{AC1A8371-56C2-449D-A30C-F2F054F687CE}"/>
    <cellStyle name="Note 2 6 7" xfId="10409" xr:uid="{D85000AE-9985-41AF-9E5F-ACA03BE8877F}"/>
    <cellStyle name="Note 2 6 7 2" xfId="34044" xr:uid="{6C7018DF-D000-431E-B1EE-C6FD387064A3}"/>
    <cellStyle name="Note 2 6 8" xfId="8536" xr:uid="{B01662D5-9340-42E4-B8AC-8D4230DB386D}"/>
    <cellStyle name="Note 2 6 8 2" xfId="32723" xr:uid="{7554894A-9D55-4C4B-AD70-220C7848FAC3}"/>
    <cellStyle name="Note 2 6 9" xfId="14905" xr:uid="{40FC2F06-E93A-4516-A926-A4F651995C28}"/>
    <cellStyle name="Note 2 6 9 2" xfId="36780" xr:uid="{4D3B18DC-160B-4695-8A7A-EBC5731E67F5}"/>
    <cellStyle name="Note 2 7" xfId="2899" xr:uid="{D950B13F-C2AD-4CF2-A655-56620355C69B}"/>
    <cellStyle name="Note 2 7 10" xfId="13408" xr:uid="{713719A0-6014-4BC9-8FE5-C9D9B12EAF67}"/>
    <cellStyle name="Note 2 7 10 2" xfId="35715" xr:uid="{6981974D-F7CC-44FD-8C35-E61BA57D4A07}"/>
    <cellStyle name="Note 2 7 11" xfId="13503" xr:uid="{5EC6419D-A832-4531-9E5A-0A4AAEAFC046}"/>
    <cellStyle name="Note 2 7 11 2" xfId="35757" xr:uid="{C62212F7-E9D5-4267-9738-28C3152E3BD7}"/>
    <cellStyle name="Note 2 7 12" xfId="16616" xr:uid="{B3CDC97C-E77D-4255-9AFA-EB14E1689714}"/>
    <cellStyle name="Note 2 7 12 2" xfId="38109" xr:uid="{9A03D915-6BC9-4A72-A3F8-D90386F92C16}"/>
    <cellStyle name="Note 2 7 13" xfId="14443" xr:uid="{2CD9DA3B-03BE-4F45-8486-992B07019E87}"/>
    <cellStyle name="Note 2 7 13 2" xfId="36432" xr:uid="{4C28B4DF-DF5C-4047-9D26-F76A4914BDA0}"/>
    <cellStyle name="Note 2 7 14" xfId="9863" xr:uid="{9F34C184-807C-41D1-AD5B-C9F7B51AD80D}"/>
    <cellStyle name="Note 2 7 14 2" xfId="33609" xr:uid="{790FA228-3B97-4CF3-B4AA-E452C5A3D678}"/>
    <cellStyle name="Note 2 7 15" xfId="15160" xr:uid="{6ABBC265-69A7-4F00-86A8-02B3CED09B5C}"/>
    <cellStyle name="Note 2 7 15 2" xfId="36949" xr:uid="{5BA23E39-C2B9-427E-93FC-FCECE8686F50}"/>
    <cellStyle name="Note 2 7 16" xfId="20040" xr:uid="{22EF1891-F81F-4D2B-8F9C-6E77D6F3AD13}"/>
    <cellStyle name="Note 2 7 16 2" xfId="40606" xr:uid="{6B00A3DB-BD19-49D0-A169-EA6B1BACB395}"/>
    <cellStyle name="Note 2 7 17" xfId="19633" xr:uid="{05F5B58A-F958-4B2F-B32E-80C06E44C43D}"/>
    <cellStyle name="Note 2 7 17 2" xfId="40273" xr:uid="{BE7CA761-D408-4586-90FF-5E3D440DE9BC}"/>
    <cellStyle name="Note 2 7 18" xfId="21754" xr:uid="{D6074215-718B-44FB-88A8-2D8E10A1B15F}"/>
    <cellStyle name="Note 2 7 18 2" xfId="41774" xr:uid="{D3C27FDB-8729-40E1-A4C3-5FBFFFC7E218}"/>
    <cellStyle name="Note 2 7 19" xfId="25271" xr:uid="{329075E8-FF6F-4D1D-BACD-BD4F646065CE}"/>
    <cellStyle name="Note 2 7 19 2" xfId="44192" xr:uid="{41402D5C-4657-4D7F-BC64-176E34009886}"/>
    <cellStyle name="Note 2 7 2" xfId="2900" xr:uid="{35BE94B6-424D-4F0E-B232-419A92CBE9EC}"/>
    <cellStyle name="Note 2 7 2 10" xfId="14418" xr:uid="{065FBAA3-6A34-491A-AD50-68238A8D77C1}"/>
    <cellStyle name="Note 2 7 2 10 2" xfId="36407" xr:uid="{09CC0298-F48E-4352-B423-B624C537698A}"/>
    <cellStyle name="Note 2 7 2 11" xfId="12502" xr:uid="{2BB662B5-441D-468E-BFC8-DE1A3AFF91FD}"/>
    <cellStyle name="Note 2 7 2 11 2" xfId="34947" xr:uid="{9BF96A28-61CE-4F3E-89A6-C4677D5349FD}"/>
    <cellStyle name="Note 2 7 2 12" xfId="17517" xr:uid="{4C79BDE4-46AB-4CA3-B843-9E4B6C0D9790}"/>
    <cellStyle name="Note 2 7 2 12 2" xfId="38764" xr:uid="{B6653FC0-2D4A-4807-809D-406F01991496}"/>
    <cellStyle name="Note 2 7 2 13" xfId="19282" xr:uid="{7478272C-09CE-457A-A5E6-80540280D146}"/>
    <cellStyle name="Note 2 7 2 13 2" xfId="40068" xr:uid="{0AB2E0CC-72DD-470C-A833-1B4490DCD26E}"/>
    <cellStyle name="Note 2 7 2 14" xfId="19759" xr:uid="{BD2D36A0-1857-4C97-9D6E-B52EA6D96AD1}"/>
    <cellStyle name="Note 2 7 2 14 2" xfId="40376" xr:uid="{6B054E7E-FCA9-453C-B863-F4BDE1B4601E}"/>
    <cellStyle name="Note 2 7 2 15" xfId="16705" xr:uid="{F9C7FF66-B389-45E0-B752-12CBB70312F8}"/>
    <cellStyle name="Note 2 7 2 15 2" xfId="38195" xr:uid="{FB3B17C9-6F86-47AB-B24E-1355479AC433}"/>
    <cellStyle name="Note 2 7 2 16" xfId="22511" xr:uid="{8B447E35-01F1-4D8A-B918-661E64B3AB75}"/>
    <cellStyle name="Note 2 7 2 16 2" xfId="42310" xr:uid="{98F6C013-58FC-4A5F-9F14-B72A25A257E9}"/>
    <cellStyle name="Note 2 7 2 17" xfId="16318" xr:uid="{BAAAC520-1F5C-43E3-B7F2-2973E00891F6}"/>
    <cellStyle name="Note 2 7 2 17 2" xfId="37855" xr:uid="{528592EC-83A7-45A3-8394-5B5815F59B40}"/>
    <cellStyle name="Note 2 7 2 18" xfId="20731" xr:uid="{424C7126-AE12-45D0-B30E-186211CC929A}"/>
    <cellStyle name="Note 2 7 2 18 2" xfId="41091" xr:uid="{CBA4045C-0F51-4580-AE7C-288176E8945D}"/>
    <cellStyle name="Note 2 7 2 19" xfId="22884" xr:uid="{D37EF8B1-56E4-4C44-9232-B648DF8EC472}"/>
    <cellStyle name="Note 2 7 2 19 2" xfId="42602" xr:uid="{37DFC0CE-D9F3-4795-A990-715E58B64DB3}"/>
    <cellStyle name="Note 2 7 2 2" xfId="8107" xr:uid="{D9257288-54B0-43A6-8D67-DE0B76F3595A}"/>
    <cellStyle name="Note 2 7 2 2 2" xfId="32351" xr:uid="{6F173D65-32DD-460A-A3CA-516310016460}"/>
    <cellStyle name="Note 2 7 2 20" xfId="15773" xr:uid="{8A3C5BB5-55E5-4159-A7E2-04D5C55C6B35}"/>
    <cellStyle name="Note 2 7 2 20 2" xfId="37397" xr:uid="{F8B9AC71-23FE-4959-BB40-48ED8AF84B75}"/>
    <cellStyle name="Note 2 7 2 21" xfId="21060" xr:uid="{F1F29D40-D12F-42E5-BA8E-3D3515F762FE}"/>
    <cellStyle name="Note 2 7 2 21 2" xfId="41305" xr:uid="{EACC355D-6EFA-4B02-8D80-BE8ADAA29086}"/>
    <cellStyle name="Note 2 7 2 22" xfId="20561" xr:uid="{566E1FD7-9DC3-4B8F-9CE3-029BF7F3492F}"/>
    <cellStyle name="Note 2 7 2 22 2" xfId="40941" xr:uid="{A98DA823-9811-4216-A92B-4CF62B766E3C}"/>
    <cellStyle name="Note 2 7 2 23" xfId="22807" xr:uid="{1DCA77F2-12B3-43C7-B257-1EFB403CDCFD}"/>
    <cellStyle name="Note 2 7 2 23 2" xfId="42546" xr:uid="{F295892D-570B-442D-9A0D-6EA4C3C5A910}"/>
    <cellStyle name="Note 2 7 2 24" xfId="18560" xr:uid="{D73197B6-F3C2-47F8-897A-C51329AE788C}"/>
    <cellStyle name="Note 2 7 2 24 2" xfId="39504" xr:uid="{9BFF56B9-BD7F-42F2-A2C2-A90C7750723B}"/>
    <cellStyle name="Note 2 7 2 25" xfId="25550" xr:uid="{EFC7CB96-E033-49AA-ABFC-87F3CE8A4333}"/>
    <cellStyle name="Note 2 7 2 25 2" xfId="44424" xr:uid="{14BE8838-6BD9-4FFE-B840-5230E83B354E}"/>
    <cellStyle name="Note 2 7 2 26" xfId="30140" xr:uid="{68F26072-4825-486A-8E0A-2E9D04A6F7F7}"/>
    <cellStyle name="Note 2 7 2 26 2" xfId="47308" xr:uid="{190AF80C-B6F1-4C62-A721-E38030500035}"/>
    <cellStyle name="Note 2 7 2 27" xfId="25877" xr:uid="{C5108B62-745A-474F-AEAE-962645DCDCF6}"/>
    <cellStyle name="Note 2 7 2 27 2" xfId="44689" xr:uid="{4DB24BC5-3794-4481-9C84-516F52D5DCCE}"/>
    <cellStyle name="Note 2 7 2 28" xfId="6429" xr:uid="{FA1C2008-2975-4827-B8FC-A5701A44BD90}"/>
    <cellStyle name="Note 2 7 2 3" xfId="9289" xr:uid="{A407FE37-6ADD-4CEF-A7AF-40250F301169}"/>
    <cellStyle name="Note 2 7 2 3 2" xfId="33275" xr:uid="{C7B33B47-A83B-4E34-8793-A41A89C2D2E2}"/>
    <cellStyle name="Note 2 7 2 4" xfId="7731" xr:uid="{5F4F9577-F6F6-47FF-8999-455F57C12FB7}"/>
    <cellStyle name="Note 2 7 2 4 2" xfId="32028" xr:uid="{EC768641-6F25-4427-8400-96F662F08434}"/>
    <cellStyle name="Note 2 7 2 5" xfId="8834" xr:uid="{5163EF9D-BAA0-4AA3-9361-1F95DA25CD66}"/>
    <cellStyle name="Note 2 7 2 5 2" xfId="32957" xr:uid="{48AA7534-1EF4-482A-9950-9CAC82B639C8}"/>
    <cellStyle name="Note 2 7 2 6" xfId="13051" xr:uid="{41516F5A-B6AD-40BB-958C-30BFC5CA37CF}"/>
    <cellStyle name="Note 2 7 2 6 2" xfId="35399" xr:uid="{D13E94CF-5DF6-4538-B6E9-0A5808547582}"/>
    <cellStyle name="Note 2 7 2 7" xfId="13391" xr:uid="{369E4EE0-87BB-4BDE-9E55-AF0D806B9982}"/>
    <cellStyle name="Note 2 7 2 7 2" xfId="35698" xr:uid="{736294EF-4191-4E59-ABE5-6709B3E4D992}"/>
    <cellStyle name="Note 2 7 2 8" xfId="10553" xr:uid="{79D93095-F173-474F-9919-92112577A909}"/>
    <cellStyle name="Note 2 7 2 8 2" xfId="34179" xr:uid="{EB7E5C3C-0A15-4125-BB25-10EFA0F1CF11}"/>
    <cellStyle name="Note 2 7 2 9" xfId="11713" xr:uid="{8AE9BC9D-FC1A-42B3-A697-670995061532}"/>
    <cellStyle name="Note 2 7 2 9 2" xfId="34326" xr:uid="{E4C3579A-46C5-4878-9C77-E0B5AE716E0A}"/>
    <cellStyle name="Note 2 7 20" xfId="24757" xr:uid="{4B6F7D88-2701-43FD-B4AF-EF0C88C1D250}"/>
    <cellStyle name="Note 2 7 20 2" xfId="43902" xr:uid="{4299E7FF-B9E4-4275-A74D-916CF0EB89FE}"/>
    <cellStyle name="Note 2 7 21" xfId="23560" xr:uid="{C62DC1A9-1B6A-43C1-AD90-E32ED98271A1}"/>
    <cellStyle name="Note 2 7 21 2" xfId="42998" xr:uid="{68BD663A-F713-4D32-B982-F2C63432B79F}"/>
    <cellStyle name="Note 2 7 22" xfId="25335" xr:uid="{DB0DC1CD-55DA-453F-8192-64A5C216C392}"/>
    <cellStyle name="Note 2 7 22 2" xfId="44251" xr:uid="{0E09B052-70E8-446A-8468-C9714721E3CB}"/>
    <cellStyle name="Note 2 7 23" xfId="18857" xr:uid="{040BB07B-C621-4189-9CAC-A6D147DA0C9E}"/>
    <cellStyle name="Note 2 7 23 2" xfId="39702" xr:uid="{975D49A4-46DA-48AF-ABBE-F6241F23F6E6}"/>
    <cellStyle name="Note 2 7 24" xfId="28626" xr:uid="{F4B8EEC9-050B-4A80-8119-D9059CCAAC8B}"/>
    <cellStyle name="Note 2 7 24 2" xfId="46360" xr:uid="{CCD52F0F-4485-4349-A49C-AB052291F909}"/>
    <cellStyle name="Note 2 7 25" xfId="28071" xr:uid="{ADF36EAE-8E3A-4553-857E-C03887505BA8}"/>
    <cellStyle name="Note 2 7 25 2" xfId="46056" xr:uid="{80F2028C-369F-4E31-B5C8-AAA66A8E4C16}"/>
    <cellStyle name="Note 2 7 26" xfId="23609" xr:uid="{E0456E29-388B-48EA-B4F9-3447437AC88F}"/>
    <cellStyle name="Note 2 7 26 2" xfId="43044" xr:uid="{B5D9FD8A-A5ED-4578-8A95-3D44B8279BD1}"/>
    <cellStyle name="Note 2 7 27" xfId="26456" xr:uid="{B6D18BA5-5581-4635-B252-BAD3FFBD70A2}"/>
    <cellStyle name="Note 2 7 27 2" xfId="45083" xr:uid="{5386BA12-81BD-4C99-909B-8213BB79C6FC}"/>
    <cellStyle name="Note 2 7 28" xfId="28992" xr:uid="{755DB597-B259-478A-B2B4-49CFC26E394D}"/>
    <cellStyle name="Note 2 7 28 2" xfId="46586" xr:uid="{E7FFD7C1-07FD-42D4-8710-D492FB007A49}"/>
    <cellStyle name="Note 2 7 29" xfId="6428" xr:uid="{E94AF02A-BD92-412D-BA6A-FFB6A980DC83}"/>
    <cellStyle name="Note 2 7 3" xfId="8108" xr:uid="{998D1082-4836-4635-BA02-B8DCB77974C4}"/>
    <cellStyle name="Note 2 7 3 2" xfId="32352" xr:uid="{83A7C436-2D62-4191-B14A-576579F41712}"/>
    <cellStyle name="Note 2 7 4" xfId="9288" xr:uid="{0ED7A8EE-EAC9-4E86-A39B-3AAE4FB33861}"/>
    <cellStyle name="Note 2 7 4 2" xfId="33274" xr:uid="{69E4F4F6-CA93-47E7-9804-DA4D87DE8FCB}"/>
    <cellStyle name="Note 2 7 5" xfId="7732" xr:uid="{953C5D17-6415-4A16-BD39-A9ADD277FD8D}"/>
    <cellStyle name="Note 2 7 5 2" xfId="32029" xr:uid="{AB714657-56D3-4F51-B5D2-ED4E57DCF3DB}"/>
    <cellStyle name="Note 2 7 6" xfId="8835" xr:uid="{420B4231-3514-4913-9D09-21EF777740EB}"/>
    <cellStyle name="Note 2 7 6 2" xfId="32958" xr:uid="{4E5A918E-0FEE-44A6-9535-99BB75A11190}"/>
    <cellStyle name="Note 2 7 7" xfId="10410" xr:uid="{7C0E26E9-2219-40A7-8445-566192F66464}"/>
    <cellStyle name="Note 2 7 7 2" xfId="34045" xr:uid="{0501CB13-A436-4EA0-8B9B-DB7E9AF004C5}"/>
    <cellStyle name="Note 2 7 8" xfId="8535" xr:uid="{A6C012CE-6C81-4EBE-9441-F5F69DEFAC5B}"/>
    <cellStyle name="Note 2 7 8 2" xfId="32722" xr:uid="{B5655F92-F57F-477A-8E37-2A4B37FFD131}"/>
    <cellStyle name="Note 2 7 9" xfId="14904" xr:uid="{A03153A4-757B-473A-BC72-A5DB416B338D}"/>
    <cellStyle name="Note 2 7 9 2" xfId="36779" xr:uid="{4AECAD85-380F-4045-BA9D-D462EEFD231C}"/>
    <cellStyle name="Note 2 8" xfId="2901" xr:uid="{5BB0C4A7-0121-4C2C-B73B-CB9052D6B182}"/>
    <cellStyle name="Note 2 8 10" xfId="15473" xr:uid="{36DBB4FD-38A9-4CA6-B8B6-0E18E7186E07}"/>
    <cellStyle name="Note 2 8 10 2" xfId="37138" xr:uid="{2C783918-A507-4FF2-951F-5A95C497B57F}"/>
    <cellStyle name="Note 2 8 11" xfId="16615" xr:uid="{A17A191B-DBCA-4441-828C-DCF8C2F69E7E}"/>
    <cellStyle name="Note 2 8 11 2" xfId="38108" xr:uid="{85574EA9-B96B-4168-B4BE-3E5DEED826A8}"/>
    <cellStyle name="Note 2 8 12" xfId="13864" xr:uid="{0DD9915B-9ED3-4F59-AAEE-EBA2243AF29B}"/>
    <cellStyle name="Note 2 8 12 2" xfId="35987" xr:uid="{A1BCBA30-760F-414D-B8AE-88B900A45299}"/>
    <cellStyle name="Note 2 8 13" xfId="17588" xr:uid="{24EFA912-133C-4A92-B8F9-4E3744FFAA61}"/>
    <cellStyle name="Note 2 8 13 2" xfId="38834" xr:uid="{D3B1940E-078B-4178-8DD9-201EC6D650C9}"/>
    <cellStyle name="Note 2 8 14" xfId="17963" xr:uid="{6BBDE2F1-4A9F-4D4B-B783-5AEC3BA622BC}"/>
    <cellStyle name="Note 2 8 14 2" xfId="39061" xr:uid="{9FD31B55-6EB4-401F-8346-CE4C510950CE}"/>
    <cellStyle name="Note 2 8 15" xfId="20041" xr:uid="{F6367A66-55D3-4CA7-8F90-C342A0B95B78}"/>
    <cellStyle name="Note 2 8 15 2" xfId="40607" xr:uid="{F48277B4-C039-4679-B505-CD952732C007}"/>
    <cellStyle name="Note 2 8 16" xfId="15699" xr:uid="{15ABE623-A382-4797-850C-C47B61BDD05A}"/>
    <cellStyle name="Note 2 8 16 2" xfId="37333" xr:uid="{C449B5FA-CA03-4C1C-8D69-17BAA721A318}"/>
    <cellStyle name="Note 2 8 17" xfId="22004" xr:uid="{2F80731A-11E7-4B70-AC28-67D0940063B2}"/>
    <cellStyle name="Note 2 8 17 2" xfId="41899" xr:uid="{15D13A17-DA9B-4BF5-BDB1-4F3FB659209C}"/>
    <cellStyle name="Note 2 8 18" xfId="20713" xr:uid="{F8FD4F11-62FE-4864-9F21-42F7404A790D}"/>
    <cellStyle name="Note 2 8 18 2" xfId="41073" xr:uid="{49BF2DE2-879D-40E1-B829-5C3BF6C8BFF5}"/>
    <cellStyle name="Note 2 8 19" xfId="24756" xr:uid="{AB5F2E0F-8880-444B-9C1A-FF715ED1A665}"/>
    <cellStyle name="Note 2 8 19 2" xfId="43901" xr:uid="{00A6C02E-A51E-48A4-8C34-6411F5EB5A8B}"/>
    <cellStyle name="Note 2 8 2" xfId="8106" xr:uid="{515707CF-0E9B-4EBA-9B43-73CBFF35A5F9}"/>
    <cellStyle name="Note 2 8 2 2" xfId="32350" xr:uid="{7AD52F42-6A3F-42E8-9A57-86983B3FA88D}"/>
    <cellStyle name="Note 2 8 20" xfId="23309" xr:uid="{51B0EDF4-BE39-4160-995E-0537326A99C4}"/>
    <cellStyle name="Note 2 8 20 2" xfId="42881" xr:uid="{7BDF8C0B-9D3B-4CDC-97E5-B6D5AB4E6541}"/>
    <cellStyle name="Note 2 8 21" xfId="25298" xr:uid="{ACC85DAF-5C71-44A9-A8C7-8E29722F4BE3}"/>
    <cellStyle name="Note 2 8 21 2" xfId="44214" xr:uid="{EDF4AFEE-B1CA-4FA0-88D8-4B222D07F431}"/>
    <cellStyle name="Note 2 8 22" xfId="20543" xr:uid="{9A4E7DBB-86E5-4D8D-A5E5-D8BA04B36BBB}"/>
    <cellStyle name="Note 2 8 22 2" xfId="40923" xr:uid="{04065B64-7573-4371-AFA6-AAA94AC22F2D}"/>
    <cellStyle name="Note 2 8 23" xfId="28625" xr:uid="{4BF16847-7876-42E5-BBE8-33C97478BDFE}"/>
    <cellStyle name="Note 2 8 23 2" xfId="46359" xr:uid="{DB12ABAD-04E2-4078-B3DD-A4EDC31052C0}"/>
    <cellStyle name="Note 2 8 24" xfId="30132" xr:uid="{5454F96B-0209-4F4E-8E28-AEC2C593DF74}"/>
    <cellStyle name="Note 2 8 24 2" xfId="47300" xr:uid="{C276C367-0002-4550-B0FE-A47E71A59DF3}"/>
    <cellStyle name="Note 2 8 25" xfId="25474" xr:uid="{5F770F80-2883-4F2B-A9F4-981AFEF4AAA4}"/>
    <cellStyle name="Note 2 8 25 2" xfId="44358" xr:uid="{C1E690F0-E839-4855-859F-9E604790A27B}"/>
    <cellStyle name="Note 2 8 26" xfId="30748" xr:uid="{4F2BFB17-5BBB-4350-BB19-15BBD600F072}"/>
    <cellStyle name="Note 2 8 26 2" xfId="47689" xr:uid="{F48AB4B4-DF77-48B3-9915-F9AC2FFAB462}"/>
    <cellStyle name="Note 2 8 27" xfId="28293" xr:uid="{70C8E6F7-C3B1-4AE3-A1C2-444DB1C0AA7B}"/>
    <cellStyle name="Note 2 8 27 2" xfId="46160" xr:uid="{6EA2FCC7-174A-42A3-85F8-E95118892AA3}"/>
    <cellStyle name="Note 2 8 28" xfId="6430" xr:uid="{DA5958D2-8F6F-4CA1-BC2E-B6B4917E6946}"/>
    <cellStyle name="Note 2 8 3" xfId="9291" xr:uid="{0E882C82-B530-4F66-91D5-5B6683EB4F28}"/>
    <cellStyle name="Note 2 8 3 2" xfId="33276" xr:uid="{AFBB2A8B-C052-439C-8655-BD6C20FBE60C}"/>
    <cellStyle name="Note 2 8 4" xfId="7729" xr:uid="{D4D5179D-99BC-4A0D-8971-927286A18510}"/>
    <cellStyle name="Note 2 8 4 2" xfId="32026" xr:uid="{E4418600-B1CE-459C-B92B-B7B639333E22}"/>
    <cellStyle name="Note 2 8 5" xfId="8833" xr:uid="{0B46F75B-D017-4F11-B610-08824088B667}"/>
    <cellStyle name="Note 2 8 5 2" xfId="32956" xr:uid="{E1F5E0E3-C91F-4C7B-B2F2-120B261B0FB5}"/>
    <cellStyle name="Note 2 8 6" xfId="10411" xr:uid="{7911CDA6-EFE7-45A7-9EC6-0B84554104B8}"/>
    <cellStyle name="Note 2 8 6 2" xfId="34046" xr:uid="{09D976C9-F50D-4FBC-B98E-68B7FE355053}"/>
    <cellStyle name="Note 2 8 7" xfId="13388" xr:uid="{8E91079A-B8E6-444B-BA50-95997DC8372F}"/>
    <cellStyle name="Note 2 8 7 2" xfId="35695" xr:uid="{E5E06958-7AD6-464F-9038-50AFCFB6DD4C}"/>
    <cellStyle name="Note 2 8 8" xfId="14903" xr:uid="{7F6F38C1-68A8-4718-8871-3248C087F08E}"/>
    <cellStyle name="Note 2 8 8 2" xfId="36778" xr:uid="{68337CA0-3B95-4A0F-B02F-1EE0ACD2314A}"/>
    <cellStyle name="Note 2 8 9" xfId="7286" xr:uid="{81281802-A7AF-4160-ACF2-320897D4AEAC}"/>
    <cellStyle name="Note 2 8 9 2" xfId="31650" xr:uid="{751A7BC2-F9EC-4DB7-89C7-28334F3FC1B1}"/>
    <cellStyle name="Note 2 9" xfId="2885" xr:uid="{F71A4282-621E-48B6-8E34-2988358D2B99}"/>
    <cellStyle name="Note 2 9 2" xfId="8122" xr:uid="{7B8A449C-5971-4B03-AE62-5824A6A58D29}"/>
    <cellStyle name="Note 2_Sheet2" xfId="2902" xr:uid="{BBB49BFD-A586-4C76-B89D-AF10502A9CB2}"/>
    <cellStyle name="Note 20" xfId="2903" xr:uid="{C5582B37-8DAE-412B-9A9C-A33C10A2498F}"/>
    <cellStyle name="Note 20 10" xfId="9292" xr:uid="{187806B4-8DA8-400C-B67F-9377FA5EAD56}"/>
    <cellStyle name="Note 20 10 2" xfId="33277" xr:uid="{FDFEE40C-644B-4FEE-9F0B-294587D21BFB}"/>
    <cellStyle name="Note 20 11" xfId="7728" xr:uid="{96948010-99B2-4D4A-AA41-11A19538D7B2}"/>
    <cellStyle name="Note 20 11 2" xfId="32025" xr:uid="{61F707CB-AE07-4300-89C3-A1F3745EFC31}"/>
    <cellStyle name="Note 20 12" xfId="8832" xr:uid="{27006DDF-EBC8-47D5-8ACB-2431DF51CD38}"/>
    <cellStyle name="Note 20 12 2" xfId="32955" xr:uid="{9FA86047-A9D9-44E8-9C73-A0B106364908}"/>
    <cellStyle name="Note 20 13" xfId="10412" xr:uid="{0D571C24-1F0E-489D-835A-4CE4F67835B7}"/>
    <cellStyle name="Note 20 13 2" xfId="34047" xr:uid="{B3E23FFC-23EB-4679-97F6-96FCAB3E12A0}"/>
    <cellStyle name="Note 20 14" xfId="8534" xr:uid="{A2FE6F4C-5C7C-4279-82D3-374CE34A3C11}"/>
    <cellStyle name="Note 20 14 2" xfId="32721" xr:uid="{A2EA6BA4-4C48-479E-B29E-76530ABE2695}"/>
    <cellStyle name="Note 20 15" xfId="14902" xr:uid="{2FCD074F-0421-497D-ACEA-FD040F8E25AA}"/>
    <cellStyle name="Note 20 15 2" xfId="36777" xr:uid="{16E3170E-0F6C-445D-BF58-5822314B960E}"/>
    <cellStyle name="Note 20 16" xfId="7266" xr:uid="{26192EC3-B60B-4E94-B6D6-41908973C898}"/>
    <cellStyle name="Note 20 16 2" xfId="31630" xr:uid="{97B8AC87-D2BC-4379-A3EC-3C0F219F8534}"/>
    <cellStyle name="Note 20 17" xfId="12279" xr:uid="{30E4B2E5-20FE-4580-B05F-8051D7F87937}"/>
    <cellStyle name="Note 20 17 2" xfId="34785" xr:uid="{CA31F328-FC9D-4342-839E-16F891A8C56F}"/>
    <cellStyle name="Note 20 18" xfId="16614" xr:uid="{88D90D52-6661-40E2-8F16-3D84E4A8CBE6}"/>
    <cellStyle name="Note 20 18 2" xfId="38107" xr:uid="{9AA503F4-FD74-40D9-95CC-E08D98F2DC70}"/>
    <cellStyle name="Note 20 19" xfId="13697" xr:uid="{1223493A-9974-4123-802A-11E23A2C3AB5}"/>
    <cellStyle name="Note 20 19 2" xfId="35853" xr:uid="{F61DAF3C-8E29-4A16-A3F9-76A4E75237D8}"/>
    <cellStyle name="Note 20 2" xfId="2904" xr:uid="{AAFEBF1B-B317-473C-B45C-526BDAA48464}"/>
    <cellStyle name="Note 20 2 10" xfId="10554" xr:uid="{A1DBBC35-FE7A-4D5B-9983-D584B1B086D1}"/>
    <cellStyle name="Note 20 2 10 2" xfId="34180" xr:uid="{7B8874B3-4D65-4BAF-8515-22A2478B8890}"/>
    <cellStyle name="Note 20 2 11" xfId="7285" xr:uid="{B3E43BF1-EDF3-4C3F-AA2A-2DDB7576D520}"/>
    <cellStyle name="Note 20 2 11 2" xfId="31649" xr:uid="{9A81629E-70F9-4E1B-B59A-C0A373F5506A}"/>
    <cellStyle name="Note 20 2 12" xfId="15474" xr:uid="{F14FA8A1-2BC0-4983-B16C-D554417B8B71}"/>
    <cellStyle name="Note 20 2 12 2" xfId="37139" xr:uid="{C9C8C6F6-71CD-47BC-BEE5-501FD01B5335}"/>
    <cellStyle name="Note 20 2 13" xfId="12503" xr:uid="{10FF885E-2FB1-4A5E-8E65-EDC72A15D4E1}"/>
    <cellStyle name="Note 20 2 13 2" xfId="34948" xr:uid="{7CC02118-439E-45B9-8067-BB86F8630DCB}"/>
    <cellStyle name="Note 20 2 14" xfId="17516" xr:uid="{F5FA61FB-B336-48BA-9B6B-16473E2463AE}"/>
    <cellStyle name="Note 20 2 14 2" xfId="38763" xr:uid="{CDCAED99-C519-4C5E-9E3A-52672141B8A5}"/>
    <cellStyle name="Note 20 2 15" xfId="9902" xr:uid="{9DEE7528-73BB-42CE-8742-41FB18CA981F}"/>
    <cellStyle name="Note 20 2 15 2" xfId="33648" xr:uid="{ED7CB762-5877-4165-BED4-13F4B0578B6B}"/>
    <cellStyle name="Note 20 2 16" xfId="19373" xr:uid="{AC4DCEA8-EB11-4890-8B09-D286A12B7C56}"/>
    <cellStyle name="Note 20 2 16 2" xfId="40098" xr:uid="{3FF1D909-442B-4C86-92CB-0489CC3F0692}"/>
    <cellStyle name="Note 20 2 17" xfId="10107" xr:uid="{C12B3CA4-7510-4D8F-8032-8BC71D4E2138}"/>
    <cellStyle name="Note 20 2 17 2" xfId="33778" xr:uid="{61691041-39DC-49D8-AFF7-9F785109CED0}"/>
    <cellStyle name="Note 20 2 18" xfId="21440" xr:uid="{4BF16930-1A9E-4EFA-8E08-69612A676213}"/>
    <cellStyle name="Note 20 2 18 2" xfId="41569" xr:uid="{150B247D-B1BB-473F-87C3-2184A491CDCC}"/>
    <cellStyle name="Note 20 2 19" xfId="21880" xr:uid="{1D3EDB42-C84C-4820-BA1A-11988A73373C}"/>
    <cellStyle name="Note 20 2 19 2" xfId="41816" xr:uid="{EE6BF0AF-FAED-4E5E-91D4-D2408BA3D6C1}"/>
    <cellStyle name="Note 20 2 2" xfId="2905" xr:uid="{CE5E7D2C-E5D6-438B-9C27-31C1CE44074A}"/>
    <cellStyle name="Note 20 2 2 10" xfId="11620" xr:uid="{C8BFA507-0B52-48C5-ACC1-F2D1FD91B1DF}"/>
    <cellStyle name="Note 20 2 2 10 2" xfId="34233" xr:uid="{64A9B589-25DB-46BF-8867-B463F75E4D51}"/>
    <cellStyle name="Note 20 2 2 11" xfId="14683" xr:uid="{9D712571-8AAD-4EE4-8922-6D188A0D8A94}"/>
    <cellStyle name="Note 20 2 2 11 2" xfId="36595" xr:uid="{5CB71122-3857-46BB-9EBF-0ACB42DF4F1E}"/>
    <cellStyle name="Note 20 2 2 12" xfId="16613" xr:uid="{4D7C6C22-22DC-4437-9CBF-EBFD749C7560}"/>
    <cellStyle name="Note 20 2 2 12 2" xfId="38106" xr:uid="{C3F90CC0-E0B3-4617-ACAD-7CA822D16C44}"/>
    <cellStyle name="Note 20 2 2 13" xfId="15611" xr:uid="{59C03A11-E3C4-42A9-B048-FD9247A24791}"/>
    <cellStyle name="Note 20 2 2 13 2" xfId="37269" xr:uid="{6C0E8810-FC4F-49AC-A7CD-A8175E91633E}"/>
    <cellStyle name="Note 20 2 2 14" xfId="17576" xr:uid="{C5D7DE0D-5C3F-4073-8C9A-DB3B69E336E0}"/>
    <cellStyle name="Note 20 2 2 14 2" xfId="38822" xr:uid="{9C092F75-E981-4B05-B713-CE5A5D785FB9}"/>
    <cellStyle name="Note 20 2 2 15" xfId="19758" xr:uid="{108AC8FA-1E14-4E3A-BE8C-49E126D739E9}"/>
    <cellStyle name="Note 20 2 2 15 2" xfId="40375" xr:uid="{C46AB2D1-99CF-4068-9549-DD8717F8CF91}"/>
    <cellStyle name="Note 20 2 2 16" xfId="16718" xr:uid="{61549363-70EE-4375-B8F9-1099C2A9ED9C}"/>
    <cellStyle name="Note 20 2 2 16 2" xfId="38208" xr:uid="{B98B2BC8-721B-43AA-9A53-781ED73B4837}"/>
    <cellStyle name="Note 20 2 2 17" xfId="22516" xr:uid="{BDA3A6FE-FB63-4BDE-9378-782EF40F5C15}"/>
    <cellStyle name="Note 20 2 2 17 2" xfId="42315" xr:uid="{9FB74AA3-8F76-4511-85FF-071C951A8BB4}"/>
    <cellStyle name="Note 20 2 2 18" xfId="18328" xr:uid="{872DB786-1575-4062-8A56-05A3970F59F8}"/>
    <cellStyle name="Note 20 2 2 18 2" xfId="39359" xr:uid="{C8688FE5-4147-4BFD-9B61-F6CB593DDB1E}"/>
    <cellStyle name="Note 20 2 2 19" xfId="18939" xr:uid="{99697359-3135-44DD-BC9E-D7669A91E85C}"/>
    <cellStyle name="Note 20 2 2 19 2" xfId="39771" xr:uid="{159E8558-A4B9-4B65-8158-9FD110E1F81E}"/>
    <cellStyle name="Note 20 2 2 2" xfId="2906" xr:uid="{74AF9F59-934E-4028-BE00-EFE09618DC04}"/>
    <cellStyle name="Note 20 2 2 2 10" xfId="13502" xr:uid="{A47343D5-11D3-424D-92DF-98F2964568C2}"/>
    <cellStyle name="Note 20 2 2 2 10 2" xfId="35756" xr:uid="{AC825998-C4C5-4314-8654-A70492EE4192}"/>
    <cellStyle name="Note 20 2 2 2 11" xfId="14060" xr:uid="{7F370ACF-BADF-403E-9FDD-36B5C55D7FA8}"/>
    <cellStyle name="Note 20 2 2 2 11 2" xfId="36154" xr:uid="{0663BFFF-B628-4A47-9164-20CA22AD9725}"/>
    <cellStyle name="Note 20 2 2 2 12" xfId="14444" xr:uid="{340EA4B7-A05E-4FB6-B095-2DDD312165BB}"/>
    <cellStyle name="Note 20 2 2 2 12 2" xfId="36433" xr:uid="{4B039210-81EA-4EB8-944B-DDBFA492FF13}"/>
    <cellStyle name="Note 20 2 2 2 13" xfId="19277" xr:uid="{4D736737-76C7-41C2-AA89-1348122CD118}"/>
    <cellStyle name="Note 20 2 2 2 13 2" xfId="40063" xr:uid="{29BBA176-D0BF-41D0-8A81-383ADD499F1E}"/>
    <cellStyle name="Note 20 2 2 2 14" xfId="17962" xr:uid="{6FF46CDF-01E9-41F5-9D4D-7C4A0BA1D7BB}"/>
    <cellStyle name="Note 20 2 2 2 14 2" xfId="39060" xr:uid="{53849466-3D7C-48FC-95A0-86F682405218}"/>
    <cellStyle name="Note 20 2 2 2 15" xfId="18431" xr:uid="{63D8236E-736E-4D2F-95A9-FB17C553E765}"/>
    <cellStyle name="Note 20 2 2 2 15 2" xfId="39442" xr:uid="{3A56B88B-BB95-4BCA-A498-149F6F9CDC4B}"/>
    <cellStyle name="Note 20 2 2 2 16" xfId="17726" xr:uid="{69B683E2-37A8-4C75-B377-D6D43631EF60}"/>
    <cellStyle name="Note 20 2 2 2 16 2" xfId="38902" xr:uid="{5F91F3CA-3392-4946-B5F5-2D9267E66234}"/>
    <cellStyle name="Note 20 2 2 2 17" xfId="16317" xr:uid="{686D204D-5182-4C27-9863-8B3F72103284}"/>
    <cellStyle name="Note 20 2 2 2 17 2" xfId="37854" xr:uid="{5FD63B3C-82AB-43DC-8839-2A6E244DB4E2}"/>
    <cellStyle name="Note 20 2 2 2 18" xfId="20733" xr:uid="{B2A505EB-8D3B-4B14-8081-DD8989611F69}"/>
    <cellStyle name="Note 20 2 2 2 18 2" xfId="41093" xr:uid="{9CEEF38A-2A3F-464D-B99E-D1894915A13C}"/>
    <cellStyle name="Note 20 2 2 2 19" xfId="25736" xr:uid="{6D102E9C-4ECC-4221-94F8-8E6CDCC4C251}"/>
    <cellStyle name="Note 20 2 2 2 19 2" xfId="44573" xr:uid="{5A271CD2-92C0-4209-A603-D7D0A7EB8829}"/>
    <cellStyle name="Note 20 2 2 2 2" xfId="8102" xr:uid="{47728FBF-F204-43C6-BCC7-9E82FD3C9BCF}"/>
    <cellStyle name="Note 20 2 2 2 2 2" xfId="32346" xr:uid="{E6020FA7-C70D-42BA-A229-A3F9ECF3AC02}"/>
    <cellStyle name="Note 20 2 2 2 20" xfId="23308" xr:uid="{CBB122AA-0998-4985-816F-1AF3132298F2}"/>
    <cellStyle name="Note 20 2 2 2 20 2" xfId="42880" xr:uid="{B6E99E38-75C7-403E-B12E-91DC226387D9}"/>
    <cellStyle name="Note 20 2 2 2 21" xfId="22290" xr:uid="{DBF83222-005C-4D1C-B68E-DAF0496D74D7}"/>
    <cellStyle name="Note 20 2 2 2 21 2" xfId="42154" xr:uid="{F1EEF18E-36BB-4D9E-BDC0-39546ECADA14}"/>
    <cellStyle name="Note 20 2 2 2 22" xfId="16124" xr:uid="{E3154BAF-AC35-4561-B13A-0DFCAAD5AEA1}"/>
    <cellStyle name="Note 20 2 2 2 22 2" xfId="37693" xr:uid="{1F7728B7-E462-423E-B275-F743157ED7F3}"/>
    <cellStyle name="Note 20 2 2 2 23" xfId="27169" xr:uid="{2B9CF07A-8EA1-47BF-9B30-0631FFD430CE}"/>
    <cellStyle name="Note 20 2 2 2 23 2" xfId="45510" xr:uid="{8229BA55-72D2-4AE9-9306-CF5731433150}"/>
    <cellStyle name="Note 20 2 2 2 24" xfId="21006" xr:uid="{B9256A72-587E-44CF-B1A7-38B3B0847C31}"/>
    <cellStyle name="Note 20 2 2 2 24 2" xfId="41264" xr:uid="{998445EF-B43B-4FAF-919F-E41721167191}"/>
    <cellStyle name="Note 20 2 2 2 25" xfId="24383" xr:uid="{68AC0984-DD4F-4597-835E-D68D711D13F1}"/>
    <cellStyle name="Note 20 2 2 2 25 2" xfId="43624" xr:uid="{F5C349E3-3C19-4413-9FFF-43DABED10D2D}"/>
    <cellStyle name="Note 20 2 2 2 26" xfId="27393" xr:uid="{40E59F27-B177-44B1-9298-FAF435A28A7D}"/>
    <cellStyle name="Note 20 2 2 2 26 2" xfId="45648" xr:uid="{E887404D-F356-4BDC-86A0-F7A3C976EE55}"/>
    <cellStyle name="Note 20 2 2 2 27" xfId="27577" xr:uid="{E1AF24F5-64EF-4EB6-9791-EB563A889D24}"/>
    <cellStyle name="Note 20 2 2 2 27 2" xfId="45726" xr:uid="{060D651C-4FB1-4D7F-88A4-4B8F8871EA96}"/>
    <cellStyle name="Note 20 2 2 2 28" xfId="6434" xr:uid="{706C4905-B629-4B49-AFF1-FD5E67932BC4}"/>
    <cellStyle name="Note 20 2 2 2 3" xfId="9295" xr:uid="{774B9768-CA4A-43ED-B917-9236CAA8FDC8}"/>
    <cellStyle name="Note 20 2 2 2 3 2" xfId="33280" xr:uid="{60A6C75F-98B4-4B52-8A71-B620D6F91F5C}"/>
    <cellStyle name="Note 20 2 2 2 4" xfId="7725" xr:uid="{4FEF7418-BB7D-4078-ADBE-66294BFDF1B3}"/>
    <cellStyle name="Note 20 2 2 2 4 2" xfId="32022" xr:uid="{8C1FC94E-A58E-4943-811D-F9F9C7D42730}"/>
    <cellStyle name="Note 20 2 2 2 5" xfId="8863" xr:uid="{07862B6A-E431-424E-B3E9-214B883F3DB9}"/>
    <cellStyle name="Note 20 2 2 2 5 2" xfId="32985" xr:uid="{0E4AC083-DB7D-4271-B3B9-E1B7DDE359F0}"/>
    <cellStyle name="Note 20 2 2 2 6" xfId="13049" xr:uid="{F2D61DC3-4BFB-4FB1-8412-DF6FD4AD74D9}"/>
    <cellStyle name="Note 20 2 2 2 6 2" xfId="35397" xr:uid="{92B0E145-CE55-44E5-976C-B63C16A7EA12}"/>
    <cellStyle name="Note 20 2 2 2 7" xfId="13393" xr:uid="{6992C920-2F12-4F85-B52F-39CBCACA7511}"/>
    <cellStyle name="Note 20 2 2 2 7 2" xfId="35700" xr:uid="{977FE6D4-65C7-4009-A312-B0F34BF97A91}"/>
    <cellStyle name="Note 20 2 2 2 8" xfId="12926" xr:uid="{9431A44F-66A7-46BA-B644-2354A86B2CF2}"/>
    <cellStyle name="Note 20 2 2 2 8 2" xfId="35282" xr:uid="{65D4BA2D-0E7C-486F-B65A-032104C36F6F}"/>
    <cellStyle name="Note 20 2 2 2 9" xfId="11712" xr:uid="{55083DCC-49C1-4375-B8F3-A6CFE2CC2F38}"/>
    <cellStyle name="Note 20 2 2 2 9 2" xfId="34325" xr:uid="{2F02887D-2BA2-4882-AA2B-CFBCBDEFC5D8}"/>
    <cellStyle name="Note 20 2 2 20" xfId="24754" xr:uid="{D7D344E9-7333-41A5-B0E1-965166D29A4E}"/>
    <cellStyle name="Note 20 2 2 20 2" xfId="43899" xr:uid="{13FCFF05-031D-4A9D-AF2C-BDE2A3260CCD}"/>
    <cellStyle name="Note 20 2 2 21" xfId="23311" xr:uid="{FF7D4CD6-C889-453A-8505-286C4065AF20}"/>
    <cellStyle name="Note 20 2 2 21 2" xfId="42883" xr:uid="{5FD69019-1197-466B-BFF2-88FBEE530D72}"/>
    <cellStyle name="Note 20 2 2 22" xfId="22746" xr:uid="{0FD569F4-D7C0-450E-96B3-4F8EE9A1CD6C}"/>
    <cellStyle name="Note 20 2 2 22 2" xfId="42503" xr:uid="{8BDF298E-8F2D-4DAC-B9CC-0EB189A7AAF7}"/>
    <cellStyle name="Note 20 2 2 23" xfId="26359" xr:uid="{C820349A-0421-431A-8F83-7C752CFCF855}"/>
    <cellStyle name="Note 20 2 2 23 2" xfId="45041" xr:uid="{608ACE20-9AC6-49CD-9A59-2A7294D64DC5}"/>
    <cellStyle name="Note 20 2 2 24" xfId="28623" xr:uid="{31CB0212-31D5-4034-BF3E-7033AC2E0913}"/>
    <cellStyle name="Note 20 2 2 24 2" xfId="46357" xr:uid="{D77689C4-C602-4753-9535-0588FE00A92F}"/>
    <cellStyle name="Note 20 2 2 25" xfId="28073" xr:uid="{6FE7FD22-8E02-4AB6-A448-D357FEA5F821}"/>
    <cellStyle name="Note 20 2 2 25 2" xfId="46058" xr:uid="{DB5293B8-3EF7-456F-B475-22197B81BD87}"/>
    <cellStyle name="Note 20 2 2 26" xfId="21944" xr:uid="{757028B7-758F-4953-B11E-1A4B9D9BFAE4}"/>
    <cellStyle name="Note 20 2 2 26 2" xfId="41857" xr:uid="{0D942803-C6A9-44C8-AC46-E74AFBC67E6E}"/>
    <cellStyle name="Note 20 2 2 27" xfId="23045" xr:uid="{06CC625B-8C68-4CE4-A565-D5E2A2B88A1F}"/>
    <cellStyle name="Note 20 2 2 27 2" xfId="42679" xr:uid="{9DE28839-62BD-48D0-B566-A180F05A4349}"/>
    <cellStyle name="Note 20 2 2 28" xfId="26893" xr:uid="{5FDAC33F-BE54-427D-B7BF-F9F80F130661}"/>
    <cellStyle name="Note 20 2 2 28 2" xfId="45316" xr:uid="{6FB49BE1-E09E-4519-B5D2-B25C1EF28FB0}"/>
    <cellStyle name="Note 20 2 2 29" xfId="6433" xr:uid="{40DD2BFB-BF61-4833-BEEA-A4FAEF397839}"/>
    <cellStyle name="Note 20 2 2 3" xfId="8103" xr:uid="{B68291F7-2426-4818-8DFD-3726062E6080}"/>
    <cellStyle name="Note 20 2 2 3 2" xfId="32347" xr:uid="{CEC5D1DF-750E-4DBE-A55C-09845785C156}"/>
    <cellStyle name="Note 20 2 2 4" xfId="9294" xr:uid="{A1011C98-DF5A-452E-ACE2-99168B3834E2}"/>
    <cellStyle name="Note 20 2 2 4 2" xfId="33279" xr:uid="{BC469225-5720-4821-8FB7-AC80B7178760}"/>
    <cellStyle name="Note 20 2 2 5" xfId="7726" xr:uid="{814A36D2-734C-4369-9374-98953FC6DC52}"/>
    <cellStyle name="Note 20 2 2 5 2" xfId="32023" xr:uid="{973DFA78-B768-4D09-A2BD-D6DC6BC0BE49}"/>
    <cellStyle name="Note 20 2 2 6" xfId="8830" xr:uid="{EA7401AF-25FA-42ED-BE03-FBBB6BDD1A53}"/>
    <cellStyle name="Note 20 2 2 6 2" xfId="32953" xr:uid="{9F3DBFFA-7BF9-4E4C-BF5A-5D51AB557073}"/>
    <cellStyle name="Note 20 2 2 7" xfId="10413" xr:uid="{159F5E39-CA2E-4B16-9474-27872970AD30}"/>
    <cellStyle name="Note 20 2 2 7 2" xfId="34048" xr:uid="{D7AD9E17-07DD-48DA-B598-9D1614625C67}"/>
    <cellStyle name="Note 20 2 2 8" xfId="8532" xr:uid="{598CFF6D-E322-4F8A-BCAE-76506620441C}"/>
    <cellStyle name="Note 20 2 2 8 2" xfId="32719" xr:uid="{ECD1ACF2-55A8-4383-97E0-BF01F90BE8BF}"/>
    <cellStyle name="Note 20 2 2 9" xfId="14901" xr:uid="{892F251D-DDA5-429A-B5D7-752964AFDEE3}"/>
    <cellStyle name="Note 20 2 2 9 2" xfId="36776" xr:uid="{381D2AD9-6616-4D67-8D1D-F7C1B66C6BF6}"/>
    <cellStyle name="Note 20 2 20" xfId="20732" xr:uid="{58943F9F-5DD5-4B42-8C9F-CC9B76CD1648}"/>
    <cellStyle name="Note 20 2 20 2" xfId="41092" xr:uid="{459FB82F-0589-40A0-87DC-16C3676CF4C6}"/>
    <cellStyle name="Note 20 2 21" xfId="22883" xr:uid="{852B36B9-8475-48D3-86F9-33D539CA47D9}"/>
    <cellStyle name="Note 20 2 21 2" xfId="42601" xr:uid="{F0206619-0334-42F5-9FF2-1252D7072346}"/>
    <cellStyle name="Note 20 2 22" xfId="18125" xr:uid="{038CE7E2-1693-4081-BB7E-D1F248D4D173}"/>
    <cellStyle name="Note 20 2 22 2" xfId="39199" xr:uid="{4667AC1C-4E35-4BBC-A52D-9DE6595689C9}"/>
    <cellStyle name="Note 20 2 23" xfId="25788" xr:uid="{08BDFC4B-02B8-4363-B31E-6EAADAC8B139}"/>
    <cellStyle name="Note 20 2 23 2" xfId="44616" xr:uid="{CEAA9E1C-4FEF-4B84-A7D2-11DEB4EF04A7}"/>
    <cellStyle name="Note 20 2 24" xfId="20560" xr:uid="{4A9BB70A-2A3B-4484-802F-DE3004BA379F}"/>
    <cellStyle name="Note 20 2 24 2" xfId="40940" xr:uid="{96DEFE7D-E73B-47B2-BC33-19B63BEAB5AF}"/>
    <cellStyle name="Note 20 2 25" xfId="26113" xr:uid="{5CD61451-2452-4281-99FE-1610EA9B7803}"/>
    <cellStyle name="Note 20 2 25 2" xfId="44856" xr:uid="{F2BCEDFF-1102-4931-90B8-75395C4C127C}"/>
    <cellStyle name="Note 20 2 26" xfId="23901" xr:uid="{B3F4B6BD-88F6-444D-B56E-8D33E600ABF5}"/>
    <cellStyle name="Note 20 2 26 2" xfId="43279" xr:uid="{3041540B-43F5-47AB-9D7B-F70DE6F5145A}"/>
    <cellStyle name="Note 20 2 27" xfId="23414" xr:uid="{FA4F35D0-CDBB-4A89-A64F-7AEB08775137}"/>
    <cellStyle name="Note 20 2 27 2" xfId="42931" xr:uid="{2B58BC2E-3103-458B-BEEA-A5ECE6D2ED0C}"/>
    <cellStyle name="Note 20 2 28" xfId="24159" xr:uid="{11C6DA45-6F5E-41F7-915E-AA11FE32A325}"/>
    <cellStyle name="Note 20 2 28 2" xfId="43517" xr:uid="{597DBBCD-0B6C-4868-865F-A8D9B7BF8A8C}"/>
    <cellStyle name="Note 20 2 29" xfId="29188" xr:uid="{5BA5B87B-7390-4A6E-9A53-FDE5F453152E}"/>
    <cellStyle name="Note 20 2 29 2" xfId="46714" xr:uid="{4480F654-38C4-47BD-A581-195CE8692B0A}"/>
    <cellStyle name="Note 20 2 3" xfId="2907" xr:uid="{5AF94D57-AB5A-4DE5-B113-BB0068650605}"/>
    <cellStyle name="Note 20 2 3 10" xfId="13497" xr:uid="{A3D291C6-67B6-4DC7-A08C-569EB0F66844}"/>
    <cellStyle name="Note 20 2 3 10 2" xfId="35751" xr:uid="{47810C43-B6A3-4A72-82AB-785326185885}"/>
    <cellStyle name="Note 20 2 3 11" xfId="16612" xr:uid="{976807E9-9581-4BD0-90F9-AEB16803068D}"/>
    <cellStyle name="Note 20 2 3 11 2" xfId="38105" xr:uid="{38317918-FC66-436B-B354-22900EBAC863}"/>
    <cellStyle name="Note 20 2 3 12" xfId="12704" xr:uid="{A4EC68E9-78F5-4A1A-87BF-F23821337390}"/>
    <cellStyle name="Note 20 2 3 12 2" xfId="35117" xr:uid="{9FF9CFB0-C79F-47FE-81AF-177D50B9357B}"/>
    <cellStyle name="Note 20 2 3 13" xfId="16963" xr:uid="{177AD6BE-F55A-49CF-AE4C-8866B31F8BD5}"/>
    <cellStyle name="Note 20 2 3 13 2" xfId="38328" xr:uid="{CDCA3EE8-97FD-4E86-B3EB-C6B26CD6BCB1}"/>
    <cellStyle name="Note 20 2 3 14" xfId="19757" xr:uid="{56101632-B906-4CF3-815C-1705A5C6CB5B}"/>
    <cellStyle name="Note 20 2 3 14 2" xfId="40374" xr:uid="{02B8E850-6289-413B-8073-65A075D21101}"/>
    <cellStyle name="Note 20 2 3 15" xfId="16706" xr:uid="{AB934A99-9D18-4380-B648-F49CEED3C109}"/>
    <cellStyle name="Note 20 2 3 15 2" xfId="38196" xr:uid="{1EAF49A2-0966-438A-978D-148D4C36498D}"/>
    <cellStyle name="Note 20 2 3 16" xfId="21439" xr:uid="{8E4F5247-8C4F-498D-9EDE-92B8B1F19B34}"/>
    <cellStyle name="Note 20 2 3 16 2" xfId="41568" xr:uid="{0D0E6484-5482-48AA-A3BF-F3CF90DDC388}"/>
    <cellStyle name="Note 20 2 3 17" xfId="18327" xr:uid="{3A65BB01-44C5-41CF-BD73-8F7609EE2EE8}"/>
    <cellStyle name="Note 20 2 3 17 2" xfId="39358" xr:uid="{7F81102A-6097-4C2B-8DF9-D54E7A121726}"/>
    <cellStyle name="Note 20 2 3 18" xfId="16826" xr:uid="{DE358CDE-38E4-491E-868B-56C03228844E}"/>
    <cellStyle name="Note 20 2 3 18 2" xfId="38254" xr:uid="{5D981E58-D8B4-43B4-B9E5-C100912D065E}"/>
    <cellStyle name="Note 20 2 3 19" xfId="22341" xr:uid="{64D9BB27-57C5-4800-B0D6-B3BC22222A3C}"/>
    <cellStyle name="Note 20 2 3 19 2" xfId="42196" xr:uid="{F832C65D-3766-499C-8395-E7C7AC3651BC}"/>
    <cellStyle name="Note 20 2 3 2" xfId="8101" xr:uid="{C5A1987E-BAB4-431F-BF19-BFF64B1F8832}"/>
    <cellStyle name="Note 20 2 3 2 2" xfId="32345" xr:uid="{7A873012-F8C7-423C-BD05-3BDCD2CD49F9}"/>
    <cellStyle name="Note 20 2 3 20" xfId="17677" xr:uid="{EF676A56-7FAF-47C7-9009-44C4CB76BBB3}"/>
    <cellStyle name="Note 20 2 3 20 2" xfId="38865" xr:uid="{0AC404AB-6706-4901-A1E3-18DEF78B1756}"/>
    <cellStyle name="Note 20 2 3 21" xfId="25305" xr:uid="{0A813544-A3D8-41AE-961D-51B08B9F14AC}"/>
    <cellStyle name="Note 20 2 3 21 2" xfId="44221" xr:uid="{866704CC-DE7E-4185-9FF0-0E9365A446F1}"/>
    <cellStyle name="Note 20 2 3 22" xfId="26360" xr:uid="{433A90B1-86A4-4037-9288-D71EECCD0A2C}"/>
    <cellStyle name="Note 20 2 3 22 2" xfId="45042" xr:uid="{08F928C5-68D0-43C2-88ED-F8AEBBE8054E}"/>
    <cellStyle name="Note 20 2 3 23" xfId="28622" xr:uid="{416C589C-7D04-4D45-AD7B-9FEAA3CF1DEE}"/>
    <cellStyle name="Note 20 2 3 23 2" xfId="46356" xr:uid="{A7F4F13D-F3F5-42FA-955B-542CD36CC97A}"/>
    <cellStyle name="Note 20 2 3 24" xfId="23900" xr:uid="{4945493B-167B-4A04-A814-2FD36872B201}"/>
    <cellStyle name="Note 20 2 3 24 2" xfId="43278" xr:uid="{EF3BF812-BC6B-4CF8-8C57-E819ACF7219A}"/>
    <cellStyle name="Note 20 2 3 25" xfId="23611" xr:uid="{51E35256-8E3D-4FBA-AEA7-907AF1CA46CD}"/>
    <cellStyle name="Note 20 2 3 25 2" xfId="43046" xr:uid="{DD79CEFC-33EB-4659-BF33-75B399F7B848}"/>
    <cellStyle name="Note 20 2 3 26" xfId="27377" xr:uid="{240630C6-731A-4F07-9461-0BC743AB5E84}"/>
    <cellStyle name="Note 20 2 3 26 2" xfId="45637" xr:uid="{18D8A898-1322-4D95-BED5-45E36FD39D0A}"/>
    <cellStyle name="Note 20 2 3 27" xfId="25598" xr:uid="{A9B071EE-34F2-461C-8BA0-C60D0E0768F7}"/>
    <cellStyle name="Note 20 2 3 27 2" xfId="44460" xr:uid="{92C8E4D8-700A-42DF-99A4-1E97ADBCE6B3}"/>
    <cellStyle name="Note 20 2 3 28" xfId="6435" xr:uid="{BBFE2855-0625-484B-B239-AD3E6141381E}"/>
    <cellStyle name="Note 20 2 3 3" xfId="9296" xr:uid="{6B3E3D5B-124E-4C7D-9039-E90EF12E9CFE}"/>
    <cellStyle name="Note 20 2 3 3 2" xfId="33281" xr:uid="{2668A9B4-1A03-4EBB-AED0-32DCB5764EA1}"/>
    <cellStyle name="Note 20 2 3 4" xfId="7724" xr:uid="{CCD7EC0C-78DA-4B43-B3B6-23A0C9537715}"/>
    <cellStyle name="Note 20 2 3 4 2" xfId="32021" xr:uid="{BA8DE9C8-0CCE-43ED-8EDD-F7D67F10EA00}"/>
    <cellStyle name="Note 20 2 3 5" xfId="8829" xr:uid="{A63830DA-8F89-4FDD-8A0D-8A89162E5FDB}"/>
    <cellStyle name="Note 20 2 3 5 2" xfId="32952" xr:uid="{191F8156-8F4B-4ED7-BA7C-5DF3B064D454}"/>
    <cellStyle name="Note 20 2 3 6" xfId="10414" xr:uid="{25831F1F-059C-40CA-BB79-348A5108BD42}"/>
    <cellStyle name="Note 20 2 3 6 2" xfId="34049" xr:uid="{CEB48D62-64C2-417A-8E1A-B156824B65AD}"/>
    <cellStyle name="Note 20 2 3 7" xfId="8531" xr:uid="{648E08E8-EA2F-4358-B34C-4F050702D33B}"/>
    <cellStyle name="Note 20 2 3 7 2" xfId="32718" xr:uid="{29C6D7B3-7979-44DF-BE31-A4E4E3F506B1}"/>
    <cellStyle name="Note 20 2 3 8" xfId="12920" xr:uid="{9EB85167-15ED-427C-95A0-549240F2F838}"/>
    <cellStyle name="Note 20 2 3 8 2" xfId="35276" xr:uid="{C38E04A6-9ACA-465B-A169-CFA512154C4A}"/>
    <cellStyle name="Note 20 2 3 9" xfId="7284" xr:uid="{88655BD1-1C32-4173-8308-B608263F85C2}"/>
    <cellStyle name="Note 20 2 3 9 2" xfId="31648" xr:uid="{4C7872EC-A90A-4D2C-B7B2-AEEDBD2E1126}"/>
    <cellStyle name="Note 20 2 30" xfId="6432" xr:uid="{0B02B3E6-86D1-46B1-9813-87D2176A62FF}"/>
    <cellStyle name="Note 20 2 4" xfId="8104" xr:uid="{755E17E6-5A5F-4FF4-89B9-1D8907F3BE8B}"/>
    <cellStyle name="Note 20 2 4 2" xfId="32348" xr:uid="{9260B4D6-D4A2-4994-B570-EB32A79DBC83}"/>
    <cellStyle name="Note 20 2 5" xfId="9293" xr:uid="{2B414D04-F7AC-473F-B28E-F2D3386E2420}"/>
    <cellStyle name="Note 20 2 5 2" xfId="33278" xr:uid="{5AE4B9EB-1A4C-4051-BAA8-3541A0FCFC58}"/>
    <cellStyle name="Note 20 2 6" xfId="7727" xr:uid="{DCB005CF-BD80-48B6-AAF8-2F78B075C3D4}"/>
    <cellStyle name="Note 20 2 6 2" xfId="32024" xr:uid="{797DA853-A464-45EB-9813-52E6458E6FAD}"/>
    <cellStyle name="Note 20 2 7" xfId="8831" xr:uid="{61BA669C-F73C-4DD1-8834-B25B78A04635}"/>
    <cellStyle name="Note 20 2 7 2" xfId="32954" xr:uid="{C39AEF49-344D-4AA7-B8B9-280624E2C20F}"/>
    <cellStyle name="Note 20 2 8" xfId="13050" xr:uid="{487ED711-5EBD-4E4D-BE75-ABD9004B8E0B}"/>
    <cellStyle name="Note 20 2 8 2" xfId="35398" xr:uid="{9AD77F37-481C-4A75-9B6B-6F45735DFAB0}"/>
    <cellStyle name="Note 20 2 9" xfId="8533" xr:uid="{6A7539B3-5F42-4115-850E-5BE16244057A}"/>
    <cellStyle name="Note 20 2 9 2" xfId="32720" xr:uid="{D596420C-B12A-4253-8217-C52B0560AC13}"/>
    <cellStyle name="Note 20 2_Sheet2" xfId="2908" xr:uid="{877EAA06-1FA6-40AE-ADFF-8809DF2951CC}"/>
    <cellStyle name="Note 20 20" xfId="19281" xr:uid="{3421AEC8-FBF1-404B-A982-FFE59B25E83A}"/>
    <cellStyle name="Note 20 20 2" xfId="40067" xr:uid="{2BE8B958-B4CA-4196-BAD3-D0E26A5357BD}"/>
    <cellStyle name="Note 20 21" xfId="15717" xr:uid="{48F9DAEE-9972-4467-AA3F-2DA45FAE8D64}"/>
    <cellStyle name="Note 20 21 2" xfId="37348" xr:uid="{9057DB36-4177-48CB-A085-6BCC449CCE9E}"/>
    <cellStyle name="Note 20 22" xfId="18681" xr:uid="{3543BA53-414C-493D-BF3D-B95A4618FF05}"/>
    <cellStyle name="Note 20 22 2" xfId="39563" xr:uid="{5D94C14F-A32B-4CEF-BF67-F712D8B5B034}"/>
    <cellStyle name="Note 20 23" xfId="19632" xr:uid="{DA044766-A723-4C3C-B4E7-A0E34F5A9017}"/>
    <cellStyle name="Note 20 23 2" xfId="40272" xr:uid="{61D14C33-6CFA-470F-94EA-884ED7670F83}"/>
    <cellStyle name="Note 20 24" xfId="13484" xr:uid="{26F6C421-0FA0-44F3-B724-59C3C7E95109}"/>
    <cellStyle name="Note 20 24 2" xfId="35739" xr:uid="{6E795311-360A-4F40-8A1A-414F2A50CD5D}"/>
    <cellStyle name="Note 20 25" xfId="17071" xr:uid="{EDC38D89-B967-4A0F-BF1E-2E126348D6B6}"/>
    <cellStyle name="Note 20 25 2" xfId="38410" xr:uid="{25F1A18C-2E64-4EBE-B631-FEB15A8DF2E5}"/>
    <cellStyle name="Note 20 26" xfId="24755" xr:uid="{026F1444-78D4-4DFB-8EDB-4D4B37CD9A04}"/>
    <cellStyle name="Note 20 26 2" xfId="43900" xr:uid="{A8F828D7-83B8-48DC-8405-123538E1B703}"/>
    <cellStyle name="Note 20 27" xfId="23310" xr:uid="{2D57B6E7-A088-4430-85F3-5D2165971CCA}"/>
    <cellStyle name="Note 20 27 2" xfId="42882" xr:uid="{5EBEA6E0-490E-4924-9BAD-71B2952A2406}"/>
    <cellStyle name="Note 20 28" xfId="25304" xr:uid="{28E2E6DC-3C72-4D5A-B123-9D8867C80A2A}"/>
    <cellStyle name="Note 20 28 2" xfId="44220" xr:uid="{B35DD2E3-9A86-4C04-A0CA-16F3E2400E87}"/>
    <cellStyle name="Note 20 29" xfId="26358" xr:uid="{453DE2B8-F3D9-4C2D-832D-24A0C8FD428C}"/>
    <cellStyle name="Note 20 29 2" xfId="45040" xr:uid="{30989F73-50DB-4CBD-A514-3118ECC497C8}"/>
    <cellStyle name="Note 20 3" xfId="2909" xr:uid="{AF6B7CF9-1FBE-4613-BE76-CBD0EE4430CF}"/>
    <cellStyle name="Note 20 3 10" xfId="11711" xr:uid="{A82BBA2A-DEE8-46F8-AA3E-EB8E3E33BC27}"/>
    <cellStyle name="Note 20 3 10 2" xfId="34324" xr:uid="{80620829-4EFF-4133-B65E-F089A5AE3FAD}"/>
    <cellStyle name="Note 20 3 11" xfId="15475" xr:uid="{F43315E8-4A52-4750-84FD-712C561F56A4}"/>
    <cellStyle name="Note 20 3 11 2" xfId="37140" xr:uid="{31E54D2B-DAF5-46EF-A9A9-3D7695A63BFB}"/>
    <cellStyle name="Note 20 3 12" xfId="16611" xr:uid="{67A4706E-FBBD-4DAC-B303-1B19376B90BB}"/>
    <cellStyle name="Note 20 3 12 2" xfId="38104" xr:uid="{BD797EE4-DD99-40ED-9AD1-E21F86FDC99B}"/>
    <cellStyle name="Note 20 3 13" xfId="13698" xr:uid="{7BDA2A21-09EF-456F-BD0A-715BB65CF780}"/>
    <cellStyle name="Note 20 3 13 2" xfId="35854" xr:uid="{FF0F2895-F3A9-4566-8A0B-F0707A17E461}"/>
    <cellStyle name="Note 20 3 14" xfId="9864" xr:uid="{ACAC3FC6-C128-49C1-9A8D-1546D954E0C9}"/>
    <cellStyle name="Note 20 3 14 2" xfId="33610" xr:uid="{35F8AB9E-288C-4D36-973E-CB4007FADBCE}"/>
    <cellStyle name="Note 20 3 15" xfId="19756" xr:uid="{8581CA0F-AC80-45B9-80E1-812EFCFA0100}"/>
    <cellStyle name="Note 20 3 15 2" xfId="40373" xr:uid="{A6B75722-76AF-40EA-8976-4AF7605AB888}"/>
    <cellStyle name="Note 20 3 16" xfId="16703" xr:uid="{7EB8AEF2-9946-43EF-9381-53F0E7712AFB}"/>
    <cellStyle name="Note 20 3 16 2" xfId="38193" xr:uid="{444EA384-145A-4050-9CE3-20AEEA3D1807}"/>
    <cellStyle name="Note 20 3 17" xfId="21438" xr:uid="{2EB04F3A-BA9B-4D38-A268-989942274321}"/>
    <cellStyle name="Note 20 3 17 2" xfId="41567" xr:uid="{D77BFB5F-28BF-4428-9622-FA1633900095}"/>
    <cellStyle name="Note 20 3 18" xfId="24124" xr:uid="{4BF5AD95-108C-454A-9844-AEAD1B171C74}"/>
    <cellStyle name="Note 20 3 18 2" xfId="43500" xr:uid="{FA80D6CF-E749-43B5-A80A-33BFA244EB57}"/>
    <cellStyle name="Note 20 3 19" xfId="18940" xr:uid="{9337424A-F771-4937-BDB5-9FCDC9D99395}"/>
    <cellStyle name="Note 20 3 19 2" xfId="39772" xr:uid="{9953BAFE-AE50-4D71-832C-61B262793E1E}"/>
    <cellStyle name="Note 20 3 2" xfId="2910" xr:uid="{8F908B5E-3ADF-4470-A3FB-B169CC2FBFE7}"/>
    <cellStyle name="Note 20 3 2 10" xfId="12281" xr:uid="{870312C2-8F24-49C1-B092-0BF7AFC273FE}"/>
    <cellStyle name="Note 20 3 2 10 2" xfId="34787" xr:uid="{93686E8B-16EC-4D4A-809A-EE815DCBEE40}"/>
    <cellStyle name="Note 20 3 2 11" xfId="12505" xr:uid="{594C4928-9159-46E3-9FF7-CBA0F0E63B01}"/>
    <cellStyle name="Note 20 3 2 11 2" xfId="34949" xr:uid="{477EE2F7-A3DA-4DFB-AEDD-1C14713A1780}"/>
    <cellStyle name="Note 20 3 2 12" xfId="17515" xr:uid="{01BEBC72-BF9A-46BE-9C55-816C7B1C9097}"/>
    <cellStyle name="Note 20 3 2 12 2" xfId="38762" xr:uid="{049EB06C-1B05-4210-A974-71DCEC08FD31}"/>
    <cellStyle name="Note 20 3 2 13" xfId="19278" xr:uid="{51957D7F-413F-4D1C-9939-D45DBE35BEC8}"/>
    <cellStyle name="Note 20 3 2 13 2" xfId="40064" xr:uid="{792F1ED5-D798-4DE8-A278-809B6524C81C}"/>
    <cellStyle name="Note 20 3 2 14" xfId="17961" xr:uid="{9684FED8-FAAF-4DBB-9DD1-490E3734D973}"/>
    <cellStyle name="Note 20 3 2 14 2" xfId="39059" xr:uid="{B7EBE8B1-7A92-471E-90FE-F418CBB4430A}"/>
    <cellStyle name="Note 20 3 2 15" xfId="18432" xr:uid="{01293267-AD27-4857-B9E4-CDFC6280C2ED}"/>
    <cellStyle name="Note 20 3 2 15 2" xfId="39443" xr:uid="{477D584E-7A16-4696-A274-1F6933CE2DBF}"/>
    <cellStyle name="Note 20 3 2 16" xfId="12884" xr:uid="{2E43F427-A323-484C-B0C7-DE952980B628}"/>
    <cellStyle name="Note 20 3 2 16 2" xfId="35244" xr:uid="{FFDCD7E4-A43C-404C-9B86-7CCA2FCE45BB}"/>
    <cellStyle name="Note 20 3 2 17" xfId="15815" xr:uid="{9E614595-8195-462C-98CB-C86F49DA848D}"/>
    <cellStyle name="Note 20 3 2 17 2" xfId="37430" xr:uid="{5AD6D42E-8517-4167-934C-D208E5F5D737}"/>
    <cellStyle name="Note 20 3 2 18" xfId="22779" xr:uid="{A0F426CE-9CE3-45C6-BEF7-84345799288C}"/>
    <cellStyle name="Note 20 3 2 18 2" xfId="42532" xr:uid="{624A5F0E-27B9-4D16-B8F2-C6B05556A8E7}"/>
    <cellStyle name="Note 20 3 2 19" xfId="24753" xr:uid="{97C8509F-543F-4160-AB2A-AEAB0AD1B73D}"/>
    <cellStyle name="Note 20 3 2 19 2" xfId="43898" xr:uid="{59FC6E25-DA5E-42CA-BFD0-F47E0B492717}"/>
    <cellStyle name="Note 20 3 2 2" xfId="8099" xr:uid="{C39C51EC-F478-460C-9424-80B64788549F}"/>
    <cellStyle name="Note 20 3 2 2 2" xfId="32343" xr:uid="{C58A8434-1A17-42EC-8356-9EE8AB3C0594}"/>
    <cellStyle name="Note 20 3 2 20" xfId="16227" xr:uid="{94872B0D-5AC0-4441-8A76-07D917476B6A}"/>
    <cellStyle name="Note 20 3 2 20 2" xfId="37780" xr:uid="{BF61E0D4-14E6-4771-892B-ED1AAED065AD}"/>
    <cellStyle name="Note 20 3 2 21" xfId="21064" xr:uid="{1F145C8C-D0CF-4650-A36C-1812BE15153C}"/>
    <cellStyle name="Note 20 3 2 21 2" xfId="41309" xr:uid="{7EAB36AF-699F-4F7E-9227-56137D324E7D}"/>
    <cellStyle name="Note 20 3 2 22" xfId="18856" xr:uid="{C96B85B3-5B86-48AE-B744-9C621499E84C}"/>
    <cellStyle name="Note 20 3 2 22 2" xfId="39701" xr:uid="{69798E34-3BB3-428C-89CA-B6D423985010}"/>
    <cellStyle name="Note 20 3 2 23" xfId="27168" xr:uid="{87F35E20-C249-493D-97FD-1C579D746961}"/>
    <cellStyle name="Note 20 3 2 23 2" xfId="45509" xr:uid="{C93EF27D-2237-45F4-863D-A44FFF554ED3}"/>
    <cellStyle name="Note 20 3 2 24" xfId="25847" xr:uid="{4A9532F0-AA8C-4A58-A6E4-B687A8E2435F}"/>
    <cellStyle name="Note 20 3 2 24 2" xfId="44666" xr:uid="{974F3AEF-C28B-47B2-9C53-C15D595BD66E}"/>
    <cellStyle name="Note 20 3 2 25" xfId="23612" xr:uid="{BAA7167C-DE47-482C-B722-398CD76525B0}"/>
    <cellStyle name="Note 20 3 2 25 2" xfId="43047" xr:uid="{23BAF4B5-AA8E-4D3F-B92C-64226294B692}"/>
    <cellStyle name="Note 20 3 2 26" xfId="28895" xr:uid="{15C637C2-6296-42AE-9834-3BE30BB201A9}"/>
    <cellStyle name="Note 20 3 2 26 2" xfId="46502" xr:uid="{876184F4-5BB0-49F6-8B8F-CED04C8391B5}"/>
    <cellStyle name="Note 20 3 2 27" xfId="28993" xr:uid="{191386AC-3120-46D8-9113-71AB2E605853}"/>
    <cellStyle name="Note 20 3 2 27 2" xfId="46587" xr:uid="{ABBD914E-E038-4109-A77E-7DFB29B4EB19}"/>
    <cellStyle name="Note 20 3 2 28" xfId="6437" xr:uid="{2A9A48E8-7D60-455C-9DA5-8B37315C7D3F}"/>
    <cellStyle name="Note 20 3 2 3" xfId="9298" xr:uid="{C8078597-300C-4584-AA7D-3A2122ED16A9}"/>
    <cellStyle name="Note 20 3 2 3 2" xfId="33283" xr:uid="{00F0D8D6-2C22-46BC-B791-9AE340F336C5}"/>
    <cellStyle name="Note 20 3 2 4" xfId="7722" xr:uid="{F9FEC8B9-8813-43F3-926F-563AAEBD3650}"/>
    <cellStyle name="Note 20 3 2 4 2" xfId="32019" xr:uid="{2AB07717-687A-4679-B864-9F1642F4301D}"/>
    <cellStyle name="Note 20 3 2 5" xfId="8827" xr:uid="{81571D90-B534-4EA6-94CD-662004DA5D19}"/>
    <cellStyle name="Note 20 3 2 5 2" xfId="32950" xr:uid="{6836FC70-3B9E-4492-838C-FD59BD667258}"/>
    <cellStyle name="Note 20 3 2 6" xfId="13048" xr:uid="{CF524D09-1995-4BBE-83F6-467C05A06317}"/>
    <cellStyle name="Note 20 3 2 6 2" xfId="35396" xr:uid="{399F0702-5A6C-4DF1-BC14-3108941CCAFA}"/>
    <cellStyle name="Note 20 3 2 7" xfId="13394" xr:uid="{A92271F7-C641-4A8F-903B-B9EE05C01C9A}"/>
    <cellStyle name="Note 20 3 2 7 2" xfId="35701" xr:uid="{F49A8066-5B13-4C75-B449-0AF40D2A4453}"/>
    <cellStyle name="Note 20 3 2 8" xfId="14900" xr:uid="{92B0C311-53C1-4BFE-A154-15B4FD1CB34F}"/>
    <cellStyle name="Note 20 3 2 8 2" xfId="36775" xr:uid="{E9E3DCB1-A847-4CE3-AC78-847F14109BE9}"/>
    <cellStyle name="Note 20 3 2 9" xfId="7283" xr:uid="{CDD1A7EB-BD8C-41C2-B153-0B9E4FC0248C}"/>
    <cellStyle name="Note 20 3 2 9 2" xfId="31647" xr:uid="{F86E600C-D232-483B-8F18-C6BB7C352661}"/>
    <cellStyle name="Note 20 3 20" xfId="22882" xr:uid="{E31B053A-4FB5-4904-B1C8-480D022DB006}"/>
    <cellStyle name="Note 20 3 20 2" xfId="42600" xr:uid="{7DCD704E-4B0C-4BAB-A9FF-8A072782457E}"/>
    <cellStyle name="Note 20 3 21" xfId="23313" xr:uid="{582932F8-6542-4541-A036-F96D684AB563}"/>
    <cellStyle name="Note 20 3 21 2" xfId="42885" xr:uid="{59A6C921-7774-4927-A318-8BA928304A7A}"/>
    <cellStyle name="Note 20 3 22" xfId="22745" xr:uid="{0C91C87D-693F-4E7C-8E08-0AD47C81AA2E}"/>
    <cellStyle name="Note 20 3 22 2" xfId="42502" xr:uid="{B30A238A-9A95-412B-A807-3FA347031643}"/>
    <cellStyle name="Note 20 3 23" xfId="20559" xr:uid="{FA1C95DF-DE83-40D3-938A-1030FA5E89DF}"/>
    <cellStyle name="Note 20 3 23 2" xfId="40939" xr:uid="{A9A9C0D5-B225-4EE4-9A79-AE9F124A5F6D}"/>
    <cellStyle name="Note 20 3 24" xfId="28621" xr:uid="{C342840F-EBD0-4619-90B1-63363F355C49}"/>
    <cellStyle name="Note 20 3 24 2" xfId="46355" xr:uid="{D329FC5B-342C-49EB-A462-8DDAF200DDF9}"/>
    <cellStyle name="Note 20 3 25" xfId="23899" xr:uid="{4287B565-A9E7-452A-AF81-C72CB6150AB0}"/>
    <cellStyle name="Note 20 3 25 2" xfId="43277" xr:uid="{E0E54011-ED6E-4D7B-943A-D0DDA64A3540}"/>
    <cellStyle name="Note 20 3 26" xfId="24382" xr:uid="{0505FA9E-F004-4054-B049-2D49279DC920}"/>
    <cellStyle name="Note 20 3 26 2" xfId="43623" xr:uid="{91B56EA8-4291-4D6F-8203-1F79B2527AF5}"/>
    <cellStyle name="Note 20 3 27" xfId="30749" xr:uid="{BAA1F06B-69A8-4FA2-B265-16903DAE4B56}"/>
    <cellStyle name="Note 20 3 27 2" xfId="47690" xr:uid="{82DCAD2E-4285-443F-95B2-DCFFFB416D97}"/>
    <cellStyle name="Note 20 3 28" xfId="25219" xr:uid="{7845E5B9-B9B9-4D86-B3C3-8CED84F3CCA1}"/>
    <cellStyle name="Note 20 3 28 2" xfId="44157" xr:uid="{865A6AFD-78E5-4452-906F-30ED815DF41D}"/>
    <cellStyle name="Note 20 3 29" xfId="6436" xr:uid="{13A333A4-76F0-4DC1-9499-6C3A9A6A3E75}"/>
    <cellStyle name="Note 20 3 3" xfId="8100" xr:uid="{12E67359-EF89-41C7-98FE-4636E4F5A47B}"/>
    <cellStyle name="Note 20 3 3 2" xfId="32344" xr:uid="{1915CC5B-E25B-4463-8661-0820235E0616}"/>
    <cellStyle name="Note 20 3 4" xfId="9297" xr:uid="{2FA7EB16-1303-4C0E-8955-DC10EB0BFF14}"/>
    <cellStyle name="Note 20 3 4 2" xfId="33282" xr:uid="{5B02702E-E9ED-41D5-8DB2-D87ED2C42E18}"/>
    <cellStyle name="Note 20 3 5" xfId="7723" xr:uid="{07B1E344-2E6F-4178-A1B0-7EDFFBC32AC7}"/>
    <cellStyle name="Note 20 3 5 2" xfId="32020" xr:uid="{8D5CD051-2BA6-40E5-AFCF-A205B78E0E03}"/>
    <cellStyle name="Note 20 3 6" xfId="8828" xr:uid="{CA78CABD-1C2F-4D76-BE7C-0ACD7D20382B}"/>
    <cellStyle name="Note 20 3 6 2" xfId="32951" xr:uid="{1547BEB0-4320-4F0C-B17E-CB427813F814}"/>
    <cellStyle name="Note 20 3 7" xfId="10415" xr:uid="{DF191F49-B107-43C7-B5A9-EF98FA517754}"/>
    <cellStyle name="Note 20 3 7 2" xfId="34050" xr:uid="{BEC26E24-5012-437F-8889-B89ECC881CFA}"/>
    <cellStyle name="Note 20 3 8" xfId="8530" xr:uid="{FCE0CF2A-A2BB-4725-B10A-9C1F7BCCAB6B}"/>
    <cellStyle name="Note 20 3 8 2" xfId="32717" xr:uid="{259251A9-C177-49CD-8FFA-074DC4B848B2}"/>
    <cellStyle name="Note 20 3 9" xfId="10555" xr:uid="{CC1AB2F2-7F09-4EB1-A1F9-1642C3F40A33}"/>
    <cellStyle name="Note 20 3 9 2" xfId="34181" xr:uid="{59EBE606-A878-487F-BE63-182F25268BBB}"/>
    <cellStyle name="Note 20 30" xfId="28624" xr:uid="{64D6FF21-E1E2-4460-9AA2-E3B095FA944F}"/>
    <cellStyle name="Note 20 30 2" xfId="46358" xr:uid="{F9D93431-40D4-4CE7-898C-E52DD62409DB}"/>
    <cellStyle name="Note 20 31" xfId="29166" xr:uid="{DDB6501A-21B7-417F-9E6D-076F11F4A3F4}"/>
    <cellStyle name="Note 20 31 2" xfId="46694" xr:uid="{C4768D15-F74D-4511-A254-5AD7F9446276}"/>
    <cellStyle name="Note 20 32" xfId="23610" xr:uid="{4D56DEAA-AE31-45CE-81C8-7A93F8A29708}"/>
    <cellStyle name="Note 20 32 2" xfId="43045" xr:uid="{D16C6FE4-631E-426F-90F0-39139E9392CA}"/>
    <cellStyle name="Note 20 33" xfId="29692" xr:uid="{7A6F00ED-2A03-458A-B40A-408C917C04EC}"/>
    <cellStyle name="Note 20 33 2" xfId="47044" xr:uid="{4D9F88A2-C1A1-4684-8068-6CF3491172C8}"/>
    <cellStyle name="Note 20 34" xfId="29586" xr:uid="{ACD6D050-9766-4300-A966-DA3CA12F7830}"/>
    <cellStyle name="Note 20 34 2" xfId="46981" xr:uid="{EDFC184C-19AC-43D1-A0DD-F9149D2BCE30}"/>
    <cellStyle name="Note 20 35" xfId="6431" xr:uid="{5101F592-1AB6-4B1E-9049-87CDC226D7C4}"/>
    <cellStyle name="Note 20 4" xfId="2911" xr:uid="{119E7953-AAA9-4ACE-8F2C-31DB15022A89}"/>
    <cellStyle name="Note 20 4 10" xfId="15909" xr:uid="{8E5B1DC6-1CF0-485D-A032-2D24F49CF438}"/>
    <cellStyle name="Note 20 4 10 2" xfId="37500" xr:uid="{53F19F00-D11B-44ED-AA70-E66FC8C72CAC}"/>
    <cellStyle name="Note 20 4 11" xfId="12777" xr:uid="{3FE545AC-BDB7-43A2-B3C6-444DB788B93E}"/>
    <cellStyle name="Note 20 4 11 2" xfId="35185" xr:uid="{B6F8D8D2-3F9B-4386-BF70-AD06970347E8}"/>
    <cellStyle name="Note 20 4 12" xfId="16610" xr:uid="{2CCAC850-ADB9-4398-A135-83E8DFF487E4}"/>
    <cellStyle name="Note 20 4 12 2" xfId="38103" xr:uid="{FF843D1E-2B3C-43FB-BC4E-1D14B021A790}"/>
    <cellStyle name="Note 20 4 13" xfId="15612" xr:uid="{BFB484E4-D681-43EB-8076-0217D113E7C2}"/>
    <cellStyle name="Note 20 4 13 2" xfId="37270" xr:uid="{17C1E64F-55EE-461A-9C62-807468E96B3B}"/>
    <cellStyle name="Note 20 4 14" xfId="9865" xr:uid="{C541E980-EE34-4C58-992D-274461FBE9FE}"/>
    <cellStyle name="Note 20 4 14 2" xfId="33611" xr:uid="{C11C74EF-B6B9-4975-9476-FF8A3309995A}"/>
    <cellStyle name="Note 20 4 15" xfId="19755" xr:uid="{B2F1C8E5-DD27-4E4D-A956-3C63547BFBB5}"/>
    <cellStyle name="Note 20 4 15 2" xfId="40372" xr:uid="{7AE262B1-2AEB-48E7-A023-44D9A6829747}"/>
    <cellStyle name="Note 20 4 16" xfId="18430" xr:uid="{D7F74506-6753-4912-8539-81CB2E6C2CB1}"/>
    <cellStyle name="Note 20 4 16 2" xfId="39441" xr:uid="{D63E5D4F-0E3D-4A09-BB03-D1A66C1791A7}"/>
    <cellStyle name="Note 20 4 17" xfId="22512" xr:uid="{0355533C-03BC-4C27-8337-A1DDC4E93FB2}"/>
    <cellStyle name="Note 20 4 17 2" xfId="42311" xr:uid="{2DD359F3-5334-45AB-A285-AF98D8396693}"/>
    <cellStyle name="Note 20 4 18" xfId="24123" xr:uid="{1BB1FBDD-254D-4684-8C66-997FA7BF3429}"/>
    <cellStyle name="Note 20 4 18 2" xfId="43499" xr:uid="{EC84BAF7-FAB0-4FB2-9562-FB21DC7FA390}"/>
    <cellStyle name="Note 20 4 19" xfId="20734" xr:uid="{8D0DFAE3-14B7-4EEA-BE73-94DA547FA824}"/>
    <cellStyle name="Note 20 4 19 2" xfId="41094" xr:uid="{6C326BFD-521B-46E4-BA9A-E2C415710EF1}"/>
    <cellStyle name="Note 20 4 2" xfId="2912" xr:uid="{31AC557B-0D30-40DE-87B3-4B36D862EFAC}"/>
    <cellStyle name="Note 20 4 2 10" xfId="14682" xr:uid="{167CF4EA-C4DD-4005-AE39-84D536344B05}"/>
    <cellStyle name="Note 20 4 2 10 2" xfId="36594" xr:uid="{7ED155FF-64C8-4B09-9B61-C91F214CA6D8}"/>
    <cellStyle name="Note 20 4 2 11" xfId="14059" xr:uid="{76E66448-A0C0-4A21-9746-870B6967F8CF}"/>
    <cellStyle name="Note 20 4 2 11 2" xfId="36153" xr:uid="{9B3A3415-64B9-446F-95B9-D782E57C08F6}"/>
    <cellStyle name="Note 20 4 2 12" xfId="17514" xr:uid="{FDC8E8F2-F923-4241-8969-BB04CAD4FA27}"/>
    <cellStyle name="Note 20 4 2 12 2" xfId="38761" xr:uid="{DED2D446-7E4F-4D72-8446-134DB3FABE82}"/>
    <cellStyle name="Note 20 4 2 13" xfId="17571" xr:uid="{4D10CD7C-3DE6-4C87-948F-1BB87A462906}"/>
    <cellStyle name="Note 20 4 2 13 2" xfId="38817" xr:uid="{1046E8E1-C8AD-44AB-823B-B0CB8FE60603}"/>
    <cellStyle name="Note 20 4 2 14" xfId="15716" xr:uid="{9F65A106-FBAF-4003-9713-AE16C996A298}"/>
    <cellStyle name="Note 20 4 2 14 2" xfId="37347" xr:uid="{25535571-C54C-455B-B305-C5505301B8A6}"/>
    <cellStyle name="Note 20 4 2 15" xfId="10144" xr:uid="{E49BE7AF-94FB-457E-8EC0-97492DFAE324}"/>
    <cellStyle name="Note 20 4 2 15 2" xfId="33808" xr:uid="{F709C06E-DD32-4B5F-A678-48D42E732D20}"/>
    <cellStyle name="Note 20 4 2 16" xfId="21437" xr:uid="{10502C85-9406-4D86-81C8-9D6AB3252CAB}"/>
    <cellStyle name="Note 20 4 2 16 2" xfId="41566" xr:uid="{6C6E14C2-E076-4A94-B963-00D456F8CEE6}"/>
    <cellStyle name="Note 20 4 2 17" xfId="16316" xr:uid="{B9CE3432-9DA3-47C7-92E9-8DA14A36E50B}"/>
    <cellStyle name="Note 20 4 2 17 2" xfId="37853" xr:uid="{43BE7468-926A-485E-9E1C-F30733D93007}"/>
    <cellStyle name="Note 20 4 2 18" xfId="25269" xr:uid="{E9E354E5-9D38-4FF4-AE1C-5BE987321841}"/>
    <cellStyle name="Note 20 4 2 18 2" xfId="44190" xr:uid="{38B8F9AB-BDBE-4DD9-A28B-C35CF110A9B8}"/>
    <cellStyle name="Note 20 4 2 19" xfId="24752" xr:uid="{F974923F-391F-4C9D-AC7D-D1F34A9944AE}"/>
    <cellStyle name="Note 20 4 2 19 2" xfId="43897" xr:uid="{C861DD9F-B014-4738-AB8C-B83CBAFF7E43}"/>
    <cellStyle name="Note 20 4 2 2" xfId="8097" xr:uid="{0CB28A1C-4447-4135-8FA5-98B19B2A7CE8}"/>
    <cellStyle name="Note 20 4 2 2 2" xfId="32341" xr:uid="{0B5648FE-84FC-4E2B-9044-64E1828AF34E}"/>
    <cellStyle name="Note 20 4 2 20" xfId="18140" xr:uid="{2FF0E49C-F881-451B-A8A5-8769146E0C07}"/>
    <cellStyle name="Note 20 4 2 20 2" xfId="39214" xr:uid="{85BACB69-63C2-4894-BDAE-7BA9EE1CEB9A}"/>
    <cellStyle name="Note 20 4 2 21" xfId="24551" xr:uid="{03A038E1-EBB7-438D-A5F5-7AB7BA9C9B18}"/>
    <cellStyle name="Note 20 4 2 21 2" xfId="43734" xr:uid="{5B9CF49B-465B-433F-83AD-90EECB340257}"/>
    <cellStyle name="Note 20 4 2 22" xfId="16863" xr:uid="{9D08ADC1-D47B-41BB-BCF3-B767A5BF5D99}"/>
    <cellStyle name="Note 20 4 2 22 2" xfId="38285" xr:uid="{4E4DC708-D963-445D-AF66-570C4103A938}"/>
    <cellStyle name="Note 20 4 2 23" xfId="26112" xr:uid="{8E827EE7-D10C-4868-BC4C-DFB3E9242F02}"/>
    <cellStyle name="Note 20 4 2 23 2" xfId="44855" xr:uid="{3351352D-3B4B-469E-B5CE-ED284C66FCC1}"/>
    <cellStyle name="Note 20 4 2 24" xfId="30292" xr:uid="{B6456156-9E83-44E7-84BF-22630CDBEC86}"/>
    <cellStyle name="Note 20 4 2 24 2" xfId="47440" xr:uid="{5A73D21F-47AF-454B-A224-B7ED6736C761}"/>
    <cellStyle name="Note 20 4 2 25" xfId="24307" xr:uid="{A51FC96C-D921-4DDB-B13F-98AD80E043C1}"/>
    <cellStyle name="Note 20 4 2 25 2" xfId="43577" xr:uid="{F47CE905-9F09-44F7-B2AE-524621A8C1B0}"/>
    <cellStyle name="Note 20 4 2 26" xfId="27376" xr:uid="{03A129BF-8892-46F4-8201-6D9FEB93CF1A}"/>
    <cellStyle name="Note 20 4 2 26 2" xfId="45636" xr:uid="{31BA11A5-C592-4003-B023-1DD127F5BF69}"/>
    <cellStyle name="Note 20 4 2 27" xfId="29589" xr:uid="{A2DEA1B5-EC93-4131-AD17-666263EBB706}"/>
    <cellStyle name="Note 20 4 2 27 2" xfId="46984" xr:uid="{92E4F030-48DB-4B37-B316-2BA64352CC17}"/>
    <cellStyle name="Note 20 4 2 28" xfId="6439" xr:uid="{EEE92996-3355-4112-91B4-75969935F3E6}"/>
    <cellStyle name="Note 20 4 2 3" xfId="9300" xr:uid="{1BC78EC1-4AB7-47EB-9387-0FA47786B733}"/>
    <cellStyle name="Note 20 4 2 3 2" xfId="33285" xr:uid="{CF00722A-E291-471C-9C4D-8700D043A074}"/>
    <cellStyle name="Note 20 4 2 4" xfId="7719" xr:uid="{C8F5A26B-D894-4D39-9862-57B04C51CF20}"/>
    <cellStyle name="Note 20 4 2 4 2" xfId="32017" xr:uid="{DCC03BDF-11A9-4215-843B-7C0444A7F4C6}"/>
    <cellStyle name="Note 20 4 2 5" xfId="8824" xr:uid="{054121B3-ADF7-4D41-8561-4CAAA35E76E5}"/>
    <cellStyle name="Note 20 4 2 5 2" xfId="32947" xr:uid="{A74D0635-DA61-4996-9DFB-6B106839E45E}"/>
    <cellStyle name="Note 20 4 2 6" xfId="13047" xr:uid="{B6C40B81-2F1C-4BDB-B342-D4D4B4A95AB8}"/>
    <cellStyle name="Note 20 4 2 6 2" xfId="35395" xr:uid="{9EFE86FA-CE98-466B-BF36-AED0C6DD14E4}"/>
    <cellStyle name="Note 20 4 2 7" xfId="8529" xr:uid="{3FA4F5ED-43AF-4FD0-AA97-E0596FEE9571}"/>
    <cellStyle name="Note 20 4 2 7 2" xfId="32716" xr:uid="{2FF2FD1A-D864-4552-899A-F936A9D56362}"/>
    <cellStyle name="Note 20 4 2 8" xfId="14899" xr:uid="{291F6A0A-3760-428A-9893-BA4388B97BAD}"/>
    <cellStyle name="Note 20 4 2 8 2" xfId="36774" xr:uid="{29DE56FE-6F3D-4393-A9C2-F2A01AA67BDC}"/>
    <cellStyle name="Note 20 4 2 9" xfId="7260" xr:uid="{8F2938E7-4E66-4BA1-B663-23EC7BA588BC}"/>
    <cellStyle name="Note 20 4 2 9 2" xfId="31625" xr:uid="{2BBFC543-67E0-47AB-A23D-3E3D11A76BB1}"/>
    <cellStyle name="Note 20 4 20" xfId="16927" xr:uid="{754F64EA-2B60-4DB0-868B-27A60AF59203}"/>
    <cellStyle name="Note 20 4 20 2" xfId="38298" xr:uid="{E9E813C1-B03A-4E14-AB9F-ABF5AF1B0CE7}"/>
    <cellStyle name="Note 20 4 21" xfId="23314" xr:uid="{02DF3DE0-C4FB-43B7-A694-CC9120E0A1F8}"/>
    <cellStyle name="Note 20 4 21 2" xfId="42886" xr:uid="{0898B0FD-9BB5-4ABB-8977-CD32D919B7B6}"/>
    <cellStyle name="Note 20 4 22" xfId="25306" xr:uid="{4340AA66-0303-449F-8E48-7D1471AB6140}"/>
    <cellStyle name="Note 20 4 22 2" xfId="44222" xr:uid="{EC5B73C7-D3FB-4FDC-9853-84C9A9006852}"/>
    <cellStyle name="Note 20 4 23" xfId="20558" xr:uid="{072866CF-7BD0-42EA-8236-F3B26A6E7AC0}"/>
    <cellStyle name="Note 20 4 23 2" xfId="40938" xr:uid="{20E80B72-C8C0-4A05-9332-CA7A0F336C6A}"/>
    <cellStyle name="Note 20 4 24" xfId="28620" xr:uid="{CB56834C-2D8B-47B7-8D5B-F6974451DFE0}"/>
    <cellStyle name="Note 20 4 24 2" xfId="46354" xr:uid="{48F62158-FE60-4A07-BD86-DD18926B87E1}"/>
    <cellStyle name="Note 20 4 25" xfId="26886" xr:uid="{85C648FA-90EA-490E-A4C4-B368135F610B}"/>
    <cellStyle name="Note 20 4 25 2" xfId="45309" xr:uid="{09CA3793-16D1-47C8-A8F9-364A5C12966C}"/>
    <cellStyle name="Note 20 4 26" xfId="23682" xr:uid="{4541C29B-0A3E-4D8B-8EAD-6DF9F9532B0A}"/>
    <cellStyle name="Note 20 4 26 2" xfId="43104" xr:uid="{69BCEB19-6360-436F-BBDC-F3C828214025}"/>
    <cellStyle name="Note 20 4 27" xfId="30750" xr:uid="{94E37E4F-A059-48EC-B258-36332F39B143}"/>
    <cellStyle name="Note 20 4 27 2" xfId="47691" xr:uid="{966A57AC-819A-4551-9E7F-9DCDE09FE91C}"/>
    <cellStyle name="Note 20 4 28" xfId="26537" xr:uid="{9868BC6F-C5AA-4A5E-A7A3-C9E78B8DA0BA}"/>
    <cellStyle name="Note 20 4 28 2" xfId="45112" xr:uid="{262CB6F2-99F1-480E-B4BA-D5A92B08C0F8}"/>
    <cellStyle name="Note 20 4 29" xfId="6438" xr:uid="{6A7A5A73-E810-4182-BC5A-C1FFA9FE7DA3}"/>
    <cellStyle name="Note 20 4 3" xfId="8098" xr:uid="{723E0FA6-EA7B-4D91-8925-F6960B2663A8}"/>
    <cellStyle name="Note 20 4 3 2" xfId="32342" xr:uid="{8F696B1F-0262-49A7-A894-C00244AEDBBB}"/>
    <cellStyle name="Note 20 4 4" xfId="9299" xr:uid="{23910B4B-A689-40F7-9188-9479185B47C3}"/>
    <cellStyle name="Note 20 4 4 2" xfId="33284" xr:uid="{8D886081-50BC-4D37-B7FA-74D63CBA41F9}"/>
    <cellStyle name="Note 20 4 5" xfId="7720" xr:uid="{2F63418E-44FE-420E-B465-7E6F5105A8AA}"/>
    <cellStyle name="Note 20 4 5 2" xfId="32018" xr:uid="{0D0A93E8-7765-4ED5-AD19-7AF0ED2BEA37}"/>
    <cellStyle name="Note 20 4 6" xfId="8826" xr:uid="{95811D45-BE9D-4CD0-AA88-2F614BD2B22F}"/>
    <cellStyle name="Note 20 4 6 2" xfId="32949" xr:uid="{BE9B24CE-FE9F-4870-91C9-A2CB26D57503}"/>
    <cellStyle name="Note 20 4 7" xfId="10416" xr:uid="{A0B59431-F7A7-4D86-80A7-CD27414ECCB3}"/>
    <cellStyle name="Note 20 4 7 2" xfId="34051" xr:uid="{751706C0-668C-48B7-BF08-38ED7E35DBBA}"/>
    <cellStyle name="Note 20 4 8" xfId="13392" xr:uid="{5D327007-E38E-480F-8D1C-41FC3FD32FDE}"/>
    <cellStyle name="Note 20 4 8 2" xfId="35699" xr:uid="{88E052B4-9DB2-4E68-86E9-5FD432E92CD5}"/>
    <cellStyle name="Note 20 4 9" xfId="14400" xr:uid="{929C6C79-43B1-4B30-B198-CEEE62E84E83}"/>
    <cellStyle name="Note 20 4 9 2" xfId="36393" xr:uid="{8EA31C73-F696-4C0F-AB8C-A5E02C321B94}"/>
    <cellStyle name="Note 20 5" xfId="2913" xr:uid="{809C36E3-28F6-470D-BBAB-F7E2D582C591}"/>
    <cellStyle name="Note 20 5 10" xfId="11690" xr:uid="{F03D7D2E-4671-4B09-A094-CB64DEA60DC6}"/>
    <cellStyle name="Note 20 5 10 2" xfId="34303" xr:uid="{999BEB73-4C7C-40BC-91A8-299965204795}"/>
    <cellStyle name="Note 20 5 11" xfId="15476" xr:uid="{06BB1F23-61A4-4BED-877A-D7D83ACB0455}"/>
    <cellStyle name="Note 20 5 11 2" xfId="37141" xr:uid="{6CA1D6F6-F143-4BC2-8248-93D0985F790F}"/>
    <cellStyle name="Note 20 5 12" xfId="16609" xr:uid="{79F99D3E-405A-4096-AF65-0DE9124687CC}"/>
    <cellStyle name="Note 20 5 12 2" xfId="38102" xr:uid="{7FE9C513-A590-458A-8F0F-A92243E7753A}"/>
    <cellStyle name="Note 20 5 13" xfId="14445" xr:uid="{13513E94-A3C5-4EF2-9970-ACAA9415157E}"/>
    <cellStyle name="Note 20 5 13 2" xfId="36434" xr:uid="{C4048467-9738-40F3-A5D2-196160D0326D}"/>
    <cellStyle name="Note 20 5 14" xfId="19273" xr:uid="{72CB4285-50A9-432B-9576-F7C3BB81AC3C}"/>
    <cellStyle name="Note 20 5 14 2" xfId="40059" xr:uid="{4416655C-3EDF-4097-A47A-28F3D246F206}"/>
    <cellStyle name="Note 20 5 15" xfId="19754" xr:uid="{2F55A9A4-D39C-44ED-98FF-47EB19AFF713}"/>
    <cellStyle name="Note 20 5 15 2" xfId="40371" xr:uid="{4D5BF860-C886-48D3-AF63-9336EF4405EF}"/>
    <cellStyle name="Note 20 5 16" xfId="13341" xr:uid="{48A9644E-EBB8-4519-8F41-295473DAFF90}"/>
    <cellStyle name="Note 20 5 16 2" xfId="35651" xr:uid="{794EB25E-1910-4551-A43C-94E62B37E4EE}"/>
    <cellStyle name="Note 20 5 17" xfId="20891" xr:uid="{246EAC00-DA95-4C67-9B17-649E7B60653E}"/>
    <cellStyle name="Note 20 5 17 2" xfId="41199" xr:uid="{A38C8BCD-782E-4B3D-93BB-665958456A2A}"/>
    <cellStyle name="Note 20 5 18" xfId="24122" xr:uid="{8717ACBC-521C-4122-9C5B-FE4A77A10756}"/>
    <cellStyle name="Note 20 5 18 2" xfId="43498" xr:uid="{0A5479BF-6F02-46DB-B534-57443257313A}"/>
    <cellStyle name="Note 20 5 19" xfId="17072" xr:uid="{7D086FB4-FA88-4C2D-A4DC-BB541FE6241D}"/>
    <cellStyle name="Note 20 5 19 2" xfId="38411" xr:uid="{AF9DED1A-6209-473F-AA5A-F8DF6323D39F}"/>
    <cellStyle name="Note 20 5 2" xfId="2914" xr:uid="{823B59B0-09FF-4A95-B5CF-C37E76515CAF}"/>
    <cellStyle name="Note 20 5 2 10" xfId="12282" xr:uid="{87FC0C28-9947-4191-B9F6-31C40B6E9B02}"/>
    <cellStyle name="Note 20 5 2 10 2" xfId="34788" xr:uid="{A75C893F-9D0D-4D39-92D2-09E3F62D88EF}"/>
    <cellStyle name="Note 20 5 2 11" xfId="12506" xr:uid="{1FF1E5E7-02E0-42FD-B69C-F16BE4388B67}"/>
    <cellStyle name="Note 20 5 2 11 2" xfId="34950" xr:uid="{9A1006D1-24C7-411A-98A7-F2F41247C17A}"/>
    <cellStyle name="Note 20 5 2 12" xfId="17513" xr:uid="{12A7AC38-8D08-46FB-A70E-244657670062}"/>
    <cellStyle name="Note 20 5 2 12 2" xfId="38760" xr:uid="{1397C903-DD8F-4795-A78C-9F829BF185E6}"/>
    <cellStyle name="Note 20 5 2 13" xfId="19276" xr:uid="{2D0D8788-82B2-4347-98BF-89B056A962BC}"/>
    <cellStyle name="Note 20 5 2 13 2" xfId="40062" xr:uid="{BF33EF0A-0481-4B57-915B-C1790062BE6B}"/>
    <cellStyle name="Note 20 5 2 14" xfId="17960" xr:uid="{A28326EF-DF9E-4A6E-B4F3-31374CF86FBA}"/>
    <cellStyle name="Note 20 5 2 14 2" xfId="39058" xr:uid="{0457A56B-4AA9-4338-8D2F-C5F3F95FA4A5}"/>
    <cellStyle name="Note 20 5 2 15" xfId="18434" xr:uid="{5F69AD81-91A7-4572-BFB9-3D273201CE0D}"/>
    <cellStyle name="Note 20 5 2 15 2" xfId="39445" xr:uid="{135E7275-0594-4910-9FE1-3AD254F52088}"/>
    <cellStyle name="Note 20 5 2 16" xfId="21436" xr:uid="{077B6CBE-58DD-495C-BD9F-B0AB270084FE}"/>
    <cellStyle name="Note 20 5 2 16 2" xfId="41565" xr:uid="{B1924D37-9AC9-46F2-AEC3-80CBB8366CB1}"/>
    <cellStyle name="Note 20 5 2 17" xfId="13962" xr:uid="{F508FB96-5D26-4869-8529-106E8789BA0D}"/>
    <cellStyle name="Note 20 5 2 17 2" xfId="36068" xr:uid="{7AD8CF59-EFB5-4DF2-895A-136CB37EF76B}"/>
    <cellStyle name="Note 20 5 2 18" xfId="23512" xr:uid="{031DB522-81EE-4962-915B-181EA39034B6}"/>
    <cellStyle name="Note 20 5 2 18 2" xfId="42972" xr:uid="{939729FA-E03C-485A-B310-95A9718FA1B7}"/>
    <cellStyle name="Note 20 5 2 19" xfId="20254" xr:uid="{0607131D-849B-46C3-A4F0-B69D4256AD42}"/>
    <cellStyle name="Note 20 5 2 19 2" xfId="40697" xr:uid="{591F4B1B-F7AB-4E71-9457-F7F330B505AB}"/>
    <cellStyle name="Note 20 5 2 2" xfId="8095" xr:uid="{9921B4D3-4E4A-4739-9B9F-346C4C0F7241}"/>
    <cellStyle name="Note 20 5 2 2 2" xfId="32339" xr:uid="{9A0B29FF-80CA-47CD-9064-32916BB1E8AE}"/>
    <cellStyle name="Note 20 5 2 20" xfId="23312" xr:uid="{148DF9EF-5445-4C50-A45C-D73FE850FC7E}"/>
    <cellStyle name="Note 20 5 2 20 2" xfId="42884" xr:uid="{E2A7A637-A3D3-4334-A5E8-CB04820540A1}"/>
    <cellStyle name="Note 20 5 2 21" xfId="20370" xr:uid="{EF33B7BE-F7F8-4796-80D4-950FBAF51899}"/>
    <cellStyle name="Note 20 5 2 21 2" xfId="40797" xr:uid="{B77A1FE8-EEB4-4CB8-92C4-B35190840715}"/>
    <cellStyle name="Note 20 5 2 22" xfId="20556" xr:uid="{D34D7DC8-BC7A-41A9-AF25-0AE14B11E798}"/>
    <cellStyle name="Note 20 5 2 22 2" xfId="40936" xr:uid="{FBF06503-BCB7-4E88-B837-9FB79BCA5BCB}"/>
    <cellStyle name="Note 20 5 2 23" xfId="27167" xr:uid="{6BF8AB1B-2DD8-455A-A828-A0326B7AE3D4}"/>
    <cellStyle name="Note 20 5 2 23 2" xfId="45508" xr:uid="{EE0B4591-979F-484B-A39E-C07B1DD340EC}"/>
    <cellStyle name="Note 20 5 2 24" xfId="30291" xr:uid="{50179792-1607-4EB5-826D-7A1134F8E649}"/>
    <cellStyle name="Note 20 5 2 24 2" xfId="47439" xr:uid="{48C0328D-325B-4A9B-A548-43AC95D6D524}"/>
    <cellStyle name="Note 20 5 2 25" xfId="28873" xr:uid="{DD29E58F-57A9-4D64-AF9E-404FE18EB5D6}"/>
    <cellStyle name="Note 20 5 2 25 2" xfId="46488" xr:uid="{9A9F14F2-76E5-411A-9CF9-ACE92ECEFB64}"/>
    <cellStyle name="Note 20 5 2 26" xfId="30321" xr:uid="{3FC63013-6EB5-4814-B33D-54AED2387911}"/>
    <cellStyle name="Note 20 5 2 26 2" xfId="47469" xr:uid="{656F1E3F-E2CF-4307-8A60-EA0BFFD1C18C}"/>
    <cellStyle name="Note 20 5 2 27" xfId="29588" xr:uid="{6763F871-00F3-4B3F-B780-332B3AB551AA}"/>
    <cellStyle name="Note 20 5 2 27 2" xfId="46983" xr:uid="{BBBC72D3-354B-4B1E-9E7A-0D13561D898D}"/>
    <cellStyle name="Note 20 5 2 28" xfId="6441" xr:uid="{E7D8B541-AA59-4A09-96D8-FF9AF873AD14}"/>
    <cellStyle name="Note 20 5 2 3" xfId="9302" xr:uid="{30BD82F3-C01D-468A-84D1-5991E318A383}"/>
    <cellStyle name="Note 20 5 2 3 2" xfId="33287" xr:uid="{7BDD3DD8-9CDE-415B-89C1-68D73A42BFAC}"/>
    <cellStyle name="Note 20 5 2 4" xfId="7717" xr:uid="{FC5854FF-6138-4137-A6DA-3D0BE0E7CDE5}"/>
    <cellStyle name="Note 20 5 2 4 2" xfId="32015" xr:uid="{053C3027-4082-4F61-8174-182C5EBF9B89}"/>
    <cellStyle name="Note 20 5 2 5" xfId="8822" xr:uid="{ADE5B808-962D-42A6-B725-5B1A1485A970}"/>
    <cellStyle name="Note 20 5 2 5 2" xfId="32945" xr:uid="{1A50AA9C-DF9D-42A1-B694-FD77EFD14C4F}"/>
    <cellStyle name="Note 20 5 2 6" xfId="13046" xr:uid="{3F9193E7-17A2-41FD-95C1-5A3CB138A322}"/>
    <cellStyle name="Note 20 5 2 6 2" xfId="35394" xr:uid="{A00794C8-BC07-4993-9C56-2285F3DA4429}"/>
    <cellStyle name="Note 20 5 2 7" xfId="8527" xr:uid="{EC002ED6-A677-4F4B-9008-322D32834547}"/>
    <cellStyle name="Note 20 5 2 7 2" xfId="32714" xr:uid="{64283A80-6BA8-49E1-83E7-EE8F1AACA79E}"/>
    <cellStyle name="Note 20 5 2 8" xfId="14898" xr:uid="{52FA0F1D-ABE8-4156-B9E5-FB1D386576BF}"/>
    <cellStyle name="Note 20 5 2 8 2" xfId="36773" xr:uid="{5CFDBE0B-2183-400A-B01F-BE8B990BA117}"/>
    <cellStyle name="Note 20 5 2 9" xfId="16183" xr:uid="{F9357F5E-9300-4E51-9906-58CC3DBAB173}"/>
    <cellStyle name="Note 20 5 2 9 2" xfId="37742" xr:uid="{E22C5D63-0C58-4ECB-A61B-B1826A696336}"/>
    <cellStyle name="Note 20 5 20" xfId="25737" xr:uid="{32094419-F023-4C99-9945-C1DFFA0802EA}"/>
    <cellStyle name="Note 20 5 20 2" xfId="44574" xr:uid="{A218DF0F-2EED-4765-818E-815AFB468855}"/>
    <cellStyle name="Note 20 5 21" xfId="23315" xr:uid="{4A96F468-B820-45EC-8923-4DB16DF852AD}"/>
    <cellStyle name="Note 20 5 21 2" xfId="42887" xr:uid="{11998AE6-8DA3-4334-B37A-70622E0D533C}"/>
    <cellStyle name="Note 20 5 22" xfId="22744" xr:uid="{50A99CB9-DA68-4991-A621-FD3D505FB7DC}"/>
    <cellStyle name="Note 20 5 22 2" xfId="42501" xr:uid="{1B8BE489-5E02-4BCE-8943-FE3D68AEF42A}"/>
    <cellStyle name="Note 20 5 23" xfId="20557" xr:uid="{0F9FB61B-3D05-434A-95F7-6D27E2FD13A0}"/>
    <cellStyle name="Note 20 5 23 2" xfId="40937" xr:uid="{195B5787-5BCE-4280-ADC8-E0A45B2B4507}"/>
    <cellStyle name="Note 20 5 24" xfId="28619" xr:uid="{58EDBBCF-456D-4A58-9746-064D1C3CE9B2}"/>
    <cellStyle name="Note 20 5 24 2" xfId="46353" xr:uid="{D3F2E7FF-1B3A-43B2-A916-E80359E78301}"/>
    <cellStyle name="Note 20 5 25" xfId="28076" xr:uid="{3385BB2C-12AB-42CD-A9CE-DE37ADA1A51F}"/>
    <cellStyle name="Note 20 5 25 2" xfId="46061" xr:uid="{A065A954-D701-42B9-A2E7-02EDA44C1CC9}"/>
    <cellStyle name="Note 20 5 26" xfId="23721" xr:uid="{109D35F9-473E-47FA-82C2-73158300B192}"/>
    <cellStyle name="Note 20 5 26 2" xfId="43138" xr:uid="{5679E10A-2219-4D7F-9E12-B78E61F0E5B8}"/>
    <cellStyle name="Note 20 5 27" xfId="30751" xr:uid="{F7D82F27-09F3-4EEA-914F-4CAC03F68D45}"/>
    <cellStyle name="Note 20 5 27 2" xfId="47692" xr:uid="{9D410906-464A-4101-A2CC-514791A7D091}"/>
    <cellStyle name="Note 20 5 28" xfId="29189" xr:uid="{FF6DD7E9-D826-4656-AE93-0846F4034CDE}"/>
    <cellStyle name="Note 20 5 28 2" xfId="46715" xr:uid="{E741FAB7-1CC4-4D2F-AA2D-B569845A497F}"/>
    <cellStyle name="Note 20 5 29" xfId="6440" xr:uid="{F9C02F93-E41E-46E0-B6A4-9BBBC1E16BAD}"/>
    <cellStyle name="Note 20 5 3" xfId="8096" xr:uid="{5B11DE7D-0D67-4E6C-907D-BCD72744EBD4}"/>
    <cellStyle name="Note 20 5 3 2" xfId="32340" xr:uid="{D2D93AD1-5C12-4E09-A1CA-86B3B680DB8D}"/>
    <cellStyle name="Note 20 5 4" xfId="9301" xr:uid="{5823352E-0781-47C6-B0E2-09B3017EA130}"/>
    <cellStyle name="Note 20 5 4 2" xfId="33286" xr:uid="{13F15C1B-4259-4818-9550-DEA7AF5B0BD1}"/>
    <cellStyle name="Note 20 5 5" xfId="7718" xr:uid="{CEC50E78-DCA3-4FD3-8A6E-485F274B363D}"/>
    <cellStyle name="Note 20 5 5 2" xfId="32016" xr:uid="{045D1A6D-CC82-4D67-B896-51552F582D91}"/>
    <cellStyle name="Note 20 5 6" xfId="8823" xr:uid="{20E07FBE-39C7-411F-BB00-B9FB9998DDCA}"/>
    <cellStyle name="Note 20 5 6 2" xfId="32946" xr:uid="{638ECD06-3DCA-46AD-9276-FE27DE6D473F}"/>
    <cellStyle name="Note 20 5 7" xfId="10417" xr:uid="{1A981AE5-17CA-4882-B97E-F9F7B66A64CC}"/>
    <cellStyle name="Note 20 5 7 2" xfId="34052" xr:uid="{14B88DA5-EBB5-444A-8595-02F24ACCC726}"/>
    <cellStyle name="Note 20 5 8" xfId="8528" xr:uid="{2CA2DE1B-9853-4CD3-A359-6FF12BC783BD}"/>
    <cellStyle name="Note 20 5 8 2" xfId="32715" xr:uid="{86C2896A-4B0F-4BCB-809F-916FF8F8DE13}"/>
    <cellStyle name="Note 20 5 9" xfId="12925" xr:uid="{05901595-7312-423E-90DC-69A3CD239A12}"/>
    <cellStyle name="Note 20 5 9 2" xfId="35281" xr:uid="{DC5B1071-F22F-4EA4-81AE-047627483625}"/>
    <cellStyle name="Note 20 6" xfId="2915" xr:uid="{98737DD1-2A61-4785-9717-0E3AF701A76D}"/>
    <cellStyle name="Note 20 6 10" xfId="7259" xr:uid="{6C1D1F4D-C810-4DD8-BEF6-1A847A04BE3D}"/>
    <cellStyle name="Note 20 6 10 2" xfId="31624" xr:uid="{E4E7F728-B6E0-4792-8DE8-D4327B78978E}"/>
    <cellStyle name="Note 20 6 11" xfId="13501" xr:uid="{C222E4B0-3927-41B7-83DA-1CE6140D62AC}"/>
    <cellStyle name="Note 20 6 11 2" xfId="35755" xr:uid="{BCCFF0D3-0097-4B0F-BFBA-07ACE9998083}"/>
    <cellStyle name="Note 20 6 12" xfId="16608" xr:uid="{D242AEC1-46C8-4CEC-A58B-44DF39199DEA}"/>
    <cellStyle name="Note 20 6 12 2" xfId="38101" xr:uid="{625C85DD-7118-4132-A753-79D9FF50CCC6}"/>
    <cellStyle name="Note 20 6 13" xfId="13865" xr:uid="{74B83BA5-552D-404E-9C6E-3FD3A5E2B44E}"/>
    <cellStyle name="Note 20 6 13 2" xfId="35988" xr:uid="{0C08D8C3-6B14-43C1-B02D-3CEEE21FDE8C}"/>
    <cellStyle name="Note 20 6 14" xfId="17574" xr:uid="{FAE5AC5E-43AF-4252-B2EC-7B5CFEF0BE62}"/>
    <cellStyle name="Note 20 6 14 2" xfId="38820" xr:uid="{9821E0CD-1BFF-4F56-A210-0EA47E1E7EC8}"/>
    <cellStyle name="Note 20 6 15" xfId="19753" xr:uid="{1263E4B4-8A91-423F-A867-20833B55F30F}"/>
    <cellStyle name="Note 20 6 15 2" xfId="40370" xr:uid="{31AB7CCC-9753-4E27-8D3E-AF9965FC0B51}"/>
    <cellStyle name="Note 20 6 16" xfId="13323" xr:uid="{83CF413D-5FF9-46E0-A7AB-0E5BC8DF3F4F}"/>
    <cellStyle name="Note 20 6 16 2" xfId="35639" xr:uid="{EE073907-DDA0-4570-8934-2E30653FFC0F}"/>
    <cellStyle name="Note 20 6 17" xfId="19631" xr:uid="{20ECAB98-408E-4474-A355-2B30E7F3C84D}"/>
    <cellStyle name="Note 20 6 17 2" xfId="40271" xr:uid="{CE7BFBEC-167B-424C-9F2A-09A013797C25}"/>
    <cellStyle name="Note 20 6 18" xfId="18326" xr:uid="{F7037801-36CA-454B-9CCA-66963F15B6F6}"/>
    <cellStyle name="Note 20 6 18 2" xfId="39357" xr:uid="{85B2B582-8F2A-4030-8AD0-AABF8FD9BB56}"/>
    <cellStyle name="Note 20 6 19" xfId="20735" xr:uid="{72357A0B-E75A-4BDF-B3A4-128B2950FB4C}"/>
    <cellStyle name="Note 20 6 19 2" xfId="41095" xr:uid="{D4838252-FE1A-4B20-B9F5-C6A27A59EEAE}"/>
    <cellStyle name="Note 20 6 2" xfId="2916" xr:uid="{D8841E13-81C3-4CA6-84D5-4B3950650B44}"/>
    <cellStyle name="Note 20 6 2 10" xfId="12315" xr:uid="{98035DB8-AF9F-4FE5-9F73-2AF60A01F32F}"/>
    <cellStyle name="Note 20 6 2 10 2" xfId="34820" xr:uid="{521E0D89-2373-4C9B-BD46-FBEDC859C25A}"/>
    <cellStyle name="Note 20 6 2 11" xfId="14058" xr:uid="{C610C479-3F20-455C-99AA-9879F8C08269}"/>
    <cellStyle name="Note 20 6 2 11 2" xfId="36152" xr:uid="{C0959C01-C4CD-45D2-A16C-2141E1FA0B09}"/>
    <cellStyle name="Note 20 6 2 12" xfId="17512" xr:uid="{2D4101BF-1308-4D1F-84B7-438A9747EDE5}"/>
    <cellStyle name="Note 20 6 2 12 2" xfId="38759" xr:uid="{7F7840D6-CAEB-4DEB-842A-BEB871F0CD01}"/>
    <cellStyle name="Note 20 6 2 13" xfId="19275" xr:uid="{A1DD5D3A-9B9A-4F48-9020-0AC31EFB53D4}"/>
    <cellStyle name="Note 20 6 2 13 2" xfId="40061" xr:uid="{F54ADC9D-8E09-4ABE-91D4-5A0F2E1950B7}"/>
    <cellStyle name="Note 20 6 2 14" xfId="15715" xr:uid="{B7943613-E4BF-4376-ABAB-CFB1C0AE477D}"/>
    <cellStyle name="Note 20 6 2 14 2" xfId="37346" xr:uid="{9A01C626-0DB5-43F0-9D08-4C19CD795F14}"/>
    <cellStyle name="Note 20 6 2 15" xfId="18435" xr:uid="{588AA856-8B91-4116-9DBF-523C51111B2F}"/>
    <cellStyle name="Note 20 6 2 15 2" xfId="39446" xr:uid="{917AABA3-551D-4BD8-BA14-A9C63E2DF604}"/>
    <cellStyle name="Note 20 6 2 16" xfId="21435" xr:uid="{FD1D19A6-E0E9-4C1C-A09D-D2D6AABA7BD6}"/>
    <cellStyle name="Note 20 6 2 16 2" xfId="41564" xr:uid="{311EF04A-DD7A-4FA2-967B-5C21F10B6A4A}"/>
    <cellStyle name="Note 20 6 2 17" xfId="17909" xr:uid="{08838485-DC51-4E02-94DE-39B8610B85F6}"/>
    <cellStyle name="Note 20 6 2 17 2" xfId="39016" xr:uid="{502B1684-D9EC-42E1-A382-ED13A2486D32}"/>
    <cellStyle name="Note 20 6 2 18" xfId="20719" xr:uid="{E5F3EDE5-D5FF-4DFF-AE48-7AAEB12E4484}"/>
    <cellStyle name="Note 20 6 2 18 2" xfId="41079" xr:uid="{7789B2EA-606B-4A19-8AEA-CCE5AEE3786B}"/>
    <cellStyle name="Note 20 6 2 19" xfId="22881" xr:uid="{E437CB18-F2E5-441D-AD8F-B319D89A42C3}"/>
    <cellStyle name="Note 20 6 2 19 2" xfId="42599" xr:uid="{B58C3403-E6BD-42C7-AE86-569E4240D361}"/>
    <cellStyle name="Note 20 6 2 2" xfId="8093" xr:uid="{45DA02C2-FE74-4E0F-A226-C90A85A2F3BE}"/>
    <cellStyle name="Note 20 6 2 2 2" xfId="32337" xr:uid="{37173C12-631F-417E-8186-A01601387903}"/>
    <cellStyle name="Note 20 6 2 20" xfId="18139" xr:uid="{B1EBDECD-8EC0-4A65-912E-462525A3006A}"/>
    <cellStyle name="Note 20 6 2 20 2" xfId="39213" xr:uid="{202D0086-0490-4E98-A29A-B7F16CFC4830}"/>
    <cellStyle name="Note 20 6 2 21" xfId="24550" xr:uid="{44BAB2D9-A009-4FB8-8A5E-981CB07DEDC4}"/>
    <cellStyle name="Note 20 6 2 21 2" xfId="43733" xr:uid="{B2FC147F-CF40-4B69-88BA-A05BC987BC9F}"/>
    <cellStyle name="Note 20 6 2 22" xfId="20555" xr:uid="{3937C021-843B-4D06-A69D-0560A9202E64}"/>
    <cellStyle name="Note 20 6 2 22 2" xfId="40935" xr:uid="{644C2722-0C1F-47E2-85F8-6BD43D8F89F1}"/>
    <cellStyle name="Note 20 6 2 23" xfId="25650" xr:uid="{0BF8ED0B-2BE7-4FFD-80FA-6B2109E30771}"/>
    <cellStyle name="Note 20 6 2 23 2" xfId="44495" xr:uid="{1E194E13-A66C-4D56-80E0-CC12A55A20AE}"/>
    <cellStyle name="Note 20 6 2 24" xfId="30290" xr:uid="{5F029807-EEBA-4658-BD50-45663E73DC81}"/>
    <cellStyle name="Note 20 6 2 24 2" xfId="47438" xr:uid="{D6503D2F-1798-4B95-8A1C-39DA791608E2}"/>
    <cellStyle name="Note 20 6 2 25" xfId="21932" xr:uid="{6A440649-7100-420D-8B88-95BBE1A218CB}"/>
    <cellStyle name="Note 20 6 2 25 2" xfId="41847" xr:uid="{84113EF1-5AE0-4E19-ADBB-AD1111333B31}"/>
    <cellStyle name="Note 20 6 2 26" xfId="30283" xr:uid="{15239515-FDD1-483E-A381-E0384BD2181D}"/>
    <cellStyle name="Note 20 6 2 26 2" xfId="47431" xr:uid="{6B88528F-474D-45C6-8D89-083F7CE2B53C}"/>
    <cellStyle name="Note 20 6 2 27" xfId="28281" xr:uid="{852FD9FC-70C1-40F3-A8C6-711CA466DF69}"/>
    <cellStyle name="Note 20 6 2 27 2" xfId="46148" xr:uid="{0BAFF59D-CC07-4EA9-B720-7B7B8C52528D}"/>
    <cellStyle name="Note 20 6 2 28" xfId="6443" xr:uid="{BB91E697-46E8-425F-8B33-1993D0D48A59}"/>
    <cellStyle name="Note 20 6 2 3" xfId="9304" xr:uid="{2D2DA363-761E-414B-A497-C51778B15F57}"/>
    <cellStyle name="Note 20 6 2 3 2" xfId="33289" xr:uid="{ED894427-2794-4A6A-9157-506105FF4684}"/>
    <cellStyle name="Note 20 6 2 4" xfId="7715" xr:uid="{86F8B86D-5018-4FFA-A385-F3920908B045}"/>
    <cellStyle name="Note 20 6 2 4 2" xfId="32013" xr:uid="{04477E52-99FD-4EC3-B87F-880EC027E9E0}"/>
    <cellStyle name="Note 20 6 2 5" xfId="8820" xr:uid="{A3B64137-407A-48FD-9515-A181257DEFD4}"/>
    <cellStyle name="Note 20 6 2 5 2" xfId="32943" xr:uid="{F6A1778F-4909-4DB9-8D5C-01C19F6F9662}"/>
    <cellStyle name="Note 20 6 2 6" xfId="10419" xr:uid="{E5AA6883-42A9-4C2A-BF49-5352C9AC3685}"/>
    <cellStyle name="Note 20 6 2 6 2" xfId="34054" xr:uid="{94D323FD-778C-4875-800B-24CA0DB029B0}"/>
    <cellStyle name="Note 20 6 2 7" xfId="8525" xr:uid="{3D5B80D7-7E0E-4253-BD6C-10A5DBB456DB}"/>
    <cellStyle name="Note 20 6 2 7 2" xfId="32712" xr:uid="{AC65BC78-FE61-45E4-AA2C-37FEBC332EFD}"/>
    <cellStyle name="Note 20 6 2 8" xfId="14897" xr:uid="{0C54CFE0-7903-46B6-B957-326ABD0D9966}"/>
    <cellStyle name="Note 20 6 2 8 2" xfId="36772" xr:uid="{6989919F-7BF8-4E75-9587-FB3616AEECC4}"/>
    <cellStyle name="Note 20 6 2 9" xfId="11689" xr:uid="{BC406A0B-2C61-41F8-8745-F0D433C93922}"/>
    <cellStyle name="Note 20 6 2 9 2" xfId="34302" xr:uid="{6057864A-EA20-40CF-8F52-5A5F5E6ED420}"/>
    <cellStyle name="Note 20 6 20" xfId="24751" xr:uid="{F5AF6593-0047-412B-B905-6C81C8873E1E}"/>
    <cellStyle name="Note 20 6 20 2" xfId="43896" xr:uid="{E93EA15F-EECF-43A6-8053-E7A8010DAC06}"/>
    <cellStyle name="Note 20 6 21" xfId="12628" xr:uid="{7A7EB45D-7E61-4368-80C7-16EC9E3DA4CA}"/>
    <cellStyle name="Note 20 6 21 2" xfId="35056" xr:uid="{C501F9A5-655A-4F62-A5DC-27E303D6E9C0}"/>
    <cellStyle name="Note 20 6 22" xfId="25307" xr:uid="{C9C6FAD6-5CD0-4996-AE5F-AB953AB0CAC3}"/>
    <cellStyle name="Note 20 6 22 2" xfId="44223" xr:uid="{1CA8232A-8A50-453D-BE27-40B10008A2EA}"/>
    <cellStyle name="Note 20 6 23" xfId="16090" xr:uid="{60EA7F5C-0751-4FF5-9311-6A269F881E56}"/>
    <cellStyle name="Note 20 6 23 2" xfId="37660" xr:uid="{AB0D5EAF-A0B4-4B4C-9FBD-D4BE31D53611}"/>
    <cellStyle name="Note 20 6 24" xfId="28618" xr:uid="{3106538A-D11E-4526-B343-39C08D9E4871}"/>
    <cellStyle name="Note 20 6 24 2" xfId="46352" xr:uid="{E4FA7FFC-C26D-43DF-B1A6-D25E90614826}"/>
    <cellStyle name="Note 20 6 25" xfId="30124" xr:uid="{B1506912-F28D-4E90-A812-9B408C2BAF00}"/>
    <cellStyle name="Note 20 6 25 2" xfId="47295" xr:uid="{96D26B79-F6DD-403D-AADF-FCDCE9F36567}"/>
    <cellStyle name="Note 20 6 26" xfId="28069" xr:uid="{F45D0AA5-9096-4517-A624-8592FDFE35DC}"/>
    <cellStyle name="Note 20 6 26 2" xfId="46054" xr:uid="{7D10869B-B61F-451E-A228-8D84B89CE3B1}"/>
    <cellStyle name="Note 20 6 27" xfId="30432" xr:uid="{DE91589B-B170-4404-B373-B49175273EF2}"/>
    <cellStyle name="Note 20 6 27 2" xfId="47485" xr:uid="{75C6FE04-349B-48AC-9E95-B9FB4DB7EB09}"/>
    <cellStyle name="Note 20 6 28" xfId="26004" xr:uid="{C47CFB87-62A7-419F-9DCA-B8ECD0BA65D3}"/>
    <cellStyle name="Note 20 6 28 2" xfId="44782" xr:uid="{39A038DA-4ACE-437C-9761-C67B22BC1AA1}"/>
    <cellStyle name="Note 20 6 29" xfId="6442" xr:uid="{DF10A6F1-D4D7-4362-AF7E-C18D93F48661}"/>
    <cellStyle name="Note 20 6 3" xfId="8094" xr:uid="{3BACC874-8400-4BCC-AFE2-B675AB3DBAF1}"/>
    <cellStyle name="Note 20 6 3 2" xfId="32338" xr:uid="{591D5ACA-21E4-45BD-95E4-1C0B609F6E89}"/>
    <cellStyle name="Note 20 6 4" xfId="9303" xr:uid="{4992FB10-0EB1-449B-BF5D-17172D12DFC0}"/>
    <cellStyle name="Note 20 6 4 2" xfId="33288" xr:uid="{C7D951F1-C2D0-42C2-845A-216FEC8D1B2D}"/>
    <cellStyle name="Note 20 6 5" xfId="7716" xr:uid="{E8745F4A-F11C-48DE-89E2-17934382B1FD}"/>
    <cellStyle name="Note 20 6 5 2" xfId="32014" xr:uid="{58FC6C19-3905-4A15-8130-302D18A45B58}"/>
    <cellStyle name="Note 20 6 6" xfId="8821" xr:uid="{E3694545-3D8F-4463-9B5B-1667C0F892E2}"/>
    <cellStyle name="Note 20 6 6 2" xfId="32944" xr:uid="{FBCE11B9-8FC1-445F-A142-689BA724DE43}"/>
    <cellStyle name="Note 20 6 7" xfId="10418" xr:uid="{03B89357-8578-43CE-BA74-1D50BE9E8731}"/>
    <cellStyle name="Note 20 6 7 2" xfId="34053" xr:uid="{2AA23839-477D-40B9-9659-1374B5C8BA93}"/>
    <cellStyle name="Note 20 6 8" xfId="8526" xr:uid="{C49C7882-F6D4-4998-B477-686628C0D954}"/>
    <cellStyle name="Note 20 6 8 2" xfId="32713" xr:uid="{AFCCB726-38E2-4B23-8E5C-0A4AAD3191EA}"/>
    <cellStyle name="Note 20 6 9" xfId="10557" xr:uid="{385B4BEB-4C38-456B-A357-BC19F1A4722B}"/>
    <cellStyle name="Note 20 6 9 2" xfId="34183" xr:uid="{96683CE8-1851-41D2-AB98-A4A067DD3BB9}"/>
    <cellStyle name="Note 20 7" xfId="2917" xr:uid="{226E6A41-E3F8-41D0-84B7-4C888E3E940C}"/>
    <cellStyle name="Note 20 7 10" xfId="7258" xr:uid="{0FDA26FA-98F0-4C26-953B-2D283388AA2E}"/>
    <cellStyle name="Note 20 7 10 2" xfId="31623" xr:uid="{0BC8C416-543F-4759-9B00-7D421B4CD2FE}"/>
    <cellStyle name="Note 20 7 11" xfId="12776" xr:uid="{9FBD437D-F89E-4F4B-A449-68019C21D9F8}"/>
    <cellStyle name="Note 20 7 11 2" xfId="35184" xr:uid="{86A32F39-5126-4497-875A-FBD8B39618A4}"/>
    <cellStyle name="Note 20 7 12" xfId="16607" xr:uid="{F43BDEFC-3CB6-4F4A-968A-91F15F27B0FB}"/>
    <cellStyle name="Note 20 7 12 2" xfId="38100" xr:uid="{FC297E31-A1A0-4815-B4EB-800088EE8B5B}"/>
    <cellStyle name="Note 20 7 13" xfId="13699" xr:uid="{D0215F6F-8A6E-4678-B5EF-3690164394E6}"/>
    <cellStyle name="Note 20 7 13 2" xfId="35855" xr:uid="{B5E0CF5F-11C0-403D-9E79-63B913D509FD}"/>
    <cellStyle name="Note 20 7 14" xfId="9866" xr:uid="{744E94FC-0A9F-4992-8639-8DF09D8EA2F7}"/>
    <cellStyle name="Note 20 7 14 2" xfId="33612" xr:uid="{BEE93AC0-5983-4265-9481-524C276EC68C}"/>
    <cellStyle name="Note 20 7 15" xfId="19752" xr:uid="{3456C3DF-0C1F-4738-8DF3-30534C6E65EC}"/>
    <cellStyle name="Note 20 7 15 2" xfId="40369" xr:uid="{91631CEA-5E52-4A1A-A299-FE21DB09CDC1}"/>
    <cellStyle name="Note 20 7 16" xfId="16708" xr:uid="{E3DF804E-279A-466A-B36D-D97D053E460B}"/>
    <cellStyle name="Note 20 7 16 2" xfId="38198" xr:uid="{DE55DE38-8F88-45F6-84EE-35A4A9C9CBA2}"/>
    <cellStyle name="Note 20 7 17" xfId="17727" xr:uid="{AC325AA3-D062-4485-A316-584532EAE950}"/>
    <cellStyle name="Note 20 7 17 2" xfId="38903" xr:uid="{E3F93436-CE20-49C4-A3DF-46E9523AA098}"/>
    <cellStyle name="Note 20 7 18" xfId="22005" xr:uid="{BBF733B0-0F08-49EE-8877-F3156FECEEDD}"/>
    <cellStyle name="Note 20 7 18 2" xfId="41900" xr:uid="{EA8CC762-48E9-432B-BD2B-3864E56261F4}"/>
    <cellStyle name="Note 20 7 19" xfId="18941" xr:uid="{0E2D194F-3BB3-43E8-821E-4F4E4FC154C3}"/>
    <cellStyle name="Note 20 7 19 2" xfId="39773" xr:uid="{2444C8F1-481D-4D68-8DE3-E7215C2B2114}"/>
    <cellStyle name="Note 20 7 2" xfId="2918" xr:uid="{B8B618E5-A524-48A4-98E3-A632D41B1CB1}"/>
    <cellStyle name="Note 20 7 2 10" xfId="14681" xr:uid="{8FA278AD-6B45-461C-AC2E-96DBE82D88B7}"/>
    <cellStyle name="Note 20 7 2 10 2" xfId="36593" xr:uid="{4BCE1B54-F491-4365-85D2-08E67CE92FBB}"/>
    <cellStyle name="Note 20 7 2 11" xfId="12522" xr:uid="{332D79AC-805A-4720-BE18-FFA07EEC0A2D}"/>
    <cellStyle name="Note 20 7 2 11 2" xfId="34966" xr:uid="{C05FD8DA-9FE3-468F-864A-99D1D78EE875}"/>
    <cellStyle name="Note 20 7 2 12" xfId="17511" xr:uid="{7AECDCEF-AC67-4E01-8645-D04D01155E88}"/>
    <cellStyle name="Note 20 7 2 12 2" xfId="38758" xr:uid="{C376058F-C7CD-4A32-81F9-0256D844D8F3}"/>
    <cellStyle name="Note 20 7 2 13" xfId="19274" xr:uid="{1577B390-B134-4033-AF8E-0D6948FD9644}"/>
    <cellStyle name="Note 20 7 2 13 2" xfId="40060" xr:uid="{3D81DB26-0942-484F-8BEC-8D67298F637F}"/>
    <cellStyle name="Note 20 7 2 14" xfId="17959" xr:uid="{5A298E61-F21C-4831-8A5B-893EBDFE8C14}"/>
    <cellStyle name="Note 20 7 2 14 2" xfId="39057" xr:uid="{8733457E-11AB-49C7-B1B1-6570D40B982E}"/>
    <cellStyle name="Note 20 7 2 15" xfId="18436" xr:uid="{14A21C57-F1DB-464F-895D-06B4BBAB853F}"/>
    <cellStyle name="Note 20 7 2 15 2" xfId="39447" xr:uid="{BD558E86-384E-4393-B586-9BB6B14A3BD0}"/>
    <cellStyle name="Note 20 7 2 16" xfId="21434" xr:uid="{2F3FD847-25C6-4938-BCB4-C776D473AEBB}"/>
    <cellStyle name="Note 20 7 2 16 2" xfId="41563" xr:uid="{809398B5-2FFD-48CF-987A-1922BBE40139}"/>
    <cellStyle name="Note 20 7 2 17" xfId="13965" xr:uid="{88F740C6-85CA-4F45-9132-5FA16CAA07AD}"/>
    <cellStyle name="Note 20 7 2 17 2" xfId="36071" xr:uid="{31DA2860-20F1-4BE3-A97A-CD54C862FC8E}"/>
    <cellStyle name="Note 20 7 2 18" xfId="15357" xr:uid="{1075769D-FE37-4447-8EB6-7935F0F41582}"/>
    <cellStyle name="Note 20 7 2 18 2" xfId="37057" xr:uid="{FA168CE0-40FA-49EA-9B33-86EB2D49C7AB}"/>
    <cellStyle name="Note 20 7 2 19" xfId="22340" xr:uid="{A359FCB8-9A1A-48E3-91B0-6D2782AA8CCA}"/>
    <cellStyle name="Note 20 7 2 19 2" xfId="42195" xr:uid="{0190A8F9-3EC4-4193-8587-C3FE9BC7E865}"/>
    <cellStyle name="Note 20 7 2 2" xfId="8091" xr:uid="{3C3D4E7D-98FD-4810-A8EA-6986977A7542}"/>
    <cellStyle name="Note 20 7 2 2 2" xfId="32335" xr:uid="{ACA37883-DF6D-448A-9539-BE0E83A0E009}"/>
    <cellStyle name="Note 20 7 2 20" xfId="18138" xr:uid="{71EA7C9E-A460-4F21-B2C2-58C61F1F442F}"/>
    <cellStyle name="Note 20 7 2 20 2" xfId="39212" xr:uid="{050B2C42-F6E9-487D-8841-71321CB2BD9D}"/>
    <cellStyle name="Note 20 7 2 21" xfId="21065" xr:uid="{ACBCCF13-6CDB-4A21-8282-5E004C3D980D}"/>
    <cellStyle name="Note 20 7 2 21 2" xfId="41310" xr:uid="{EC007464-EDA4-4B60-B8DE-9DF590794748}"/>
    <cellStyle name="Note 20 7 2 22" xfId="20554" xr:uid="{1DB8A62A-9343-47B0-8E96-C3855154FDAF}"/>
    <cellStyle name="Note 20 7 2 22 2" xfId="40934" xr:uid="{93535F6D-35C6-4948-BBE8-88146A1C7E1A}"/>
    <cellStyle name="Note 20 7 2 23" xfId="27601" xr:uid="{868393CE-3954-4E9B-A59C-BD3130F03535}"/>
    <cellStyle name="Note 20 7 2 23 2" xfId="45750" xr:uid="{F63E8EDE-5DC1-49AB-82C4-CA7B07F979A2}"/>
    <cellStyle name="Note 20 7 2 24" xfId="23401" xr:uid="{A968AADF-8076-4BD9-8A0B-F79FFE762C18}"/>
    <cellStyle name="Note 20 7 2 24 2" xfId="42923" xr:uid="{168B494E-1CE1-43F4-AA11-753389DF82AC}"/>
    <cellStyle name="Note 20 7 2 25" xfId="24381" xr:uid="{31D63FA7-2F45-480F-A102-4A62572ABA4A}"/>
    <cellStyle name="Note 20 7 2 25 2" xfId="43622" xr:uid="{CC26457C-7745-4CDB-9A47-2CDDDC0534B7}"/>
    <cellStyle name="Note 20 7 2 26" xfId="22168" xr:uid="{C62F6B44-34AB-4423-8397-69E25CC1D590}"/>
    <cellStyle name="Note 20 7 2 26 2" xfId="42048" xr:uid="{02E5AF66-C0E7-46FF-A6BF-BBA637ECB323}"/>
    <cellStyle name="Note 20 7 2 27" xfId="29080" xr:uid="{15B4C7E2-2AFD-4ADB-9648-E56CF038DBC6}"/>
    <cellStyle name="Note 20 7 2 27 2" xfId="46653" xr:uid="{8157918C-7AC7-455D-A06C-4094BEF37D8B}"/>
    <cellStyle name="Note 20 7 2 28" xfId="6445" xr:uid="{9FBA88E6-4260-43FF-A307-386AE060A6DA}"/>
    <cellStyle name="Note 20 7 2 3" xfId="9307" xr:uid="{42556436-24FE-4579-9A20-10E3C78FE2BF}"/>
    <cellStyle name="Note 20 7 2 3 2" xfId="33291" xr:uid="{4892DF64-8206-46B4-9362-96A6F8015206}"/>
    <cellStyle name="Note 20 7 2 4" xfId="7713" xr:uid="{55F5606D-CAFC-40E4-805D-8DA402FC212D}"/>
    <cellStyle name="Note 20 7 2 4 2" xfId="32011" xr:uid="{75142948-7D8E-41AF-910A-AB413DBECB01}"/>
    <cellStyle name="Note 20 7 2 5" xfId="8818" xr:uid="{4502D43D-559B-4CA4-AD07-03F5CAB6917B}"/>
    <cellStyle name="Note 20 7 2 5 2" xfId="32941" xr:uid="{85FC5874-10DC-413E-81DF-BB07B0F37049}"/>
    <cellStyle name="Note 20 7 2 6" xfId="10420" xr:uid="{ABB80F0B-C6DA-4475-B6F8-436CBCA51AF6}"/>
    <cellStyle name="Note 20 7 2 6 2" xfId="34055" xr:uid="{17B68FC3-85A3-4186-8879-99E45FF5C519}"/>
    <cellStyle name="Note 20 7 2 7" xfId="8523" xr:uid="{B942DABC-A5CA-4A99-885F-0A3863BF048B}"/>
    <cellStyle name="Note 20 7 2 7 2" xfId="32710" xr:uid="{8304834E-7670-4369-8D57-78AE4F6C1C46}"/>
    <cellStyle name="Note 20 7 2 8" xfId="14896" xr:uid="{3B02126A-A9B9-4445-B4CA-BB804C5AEAE2}"/>
    <cellStyle name="Note 20 7 2 8 2" xfId="36771" xr:uid="{17B01495-FDED-43DD-90B6-BA52D6C7BC6F}"/>
    <cellStyle name="Note 20 7 2 9" xfId="11688" xr:uid="{C6D41549-E906-4127-80E4-0EC2AFB6F948}"/>
    <cellStyle name="Note 20 7 2 9 2" xfId="34301" xr:uid="{4BE2C1EF-FD2B-4914-9DEC-F750CD088447}"/>
    <cellStyle name="Note 20 7 20" xfId="24750" xr:uid="{A04429A3-5B10-4833-AA5F-D25534C13805}"/>
    <cellStyle name="Note 20 7 20 2" xfId="43895" xr:uid="{7D2C0DA6-14D1-47A2-92DE-F3F0B599D8E2}"/>
    <cellStyle name="Note 20 7 21" xfId="23316" xr:uid="{10B14046-8EDC-4111-8D8E-F20B232BA522}"/>
    <cellStyle name="Note 20 7 21 2" xfId="42888" xr:uid="{A8C37A1A-0D65-4CB8-A501-69D195D5DC9E}"/>
    <cellStyle name="Note 20 7 22" xfId="22743" xr:uid="{7DD9E2C7-F39D-4A78-A5B1-A033D45C23E2}"/>
    <cellStyle name="Note 20 7 22 2" xfId="42500" xr:uid="{D899D181-F6E1-4519-8F7E-72D44C5279E6}"/>
    <cellStyle name="Note 20 7 23" xfId="18854" xr:uid="{50277D92-7293-4C29-ACAD-33A317123710}"/>
    <cellStyle name="Note 20 7 23 2" xfId="39700" xr:uid="{F2302C64-D443-4774-817F-BD0E3F9DCFBC}"/>
    <cellStyle name="Note 20 7 24" xfId="27598" xr:uid="{19FBD104-0337-4D21-AE63-28D87E785976}"/>
    <cellStyle name="Note 20 7 24 2" xfId="45747" xr:uid="{16B2BB6E-27AE-4F32-8E9F-C07507979407}"/>
    <cellStyle name="Note 20 7 25" xfId="26541" xr:uid="{1CF6C68F-BAD1-4C91-9C4F-08E899497C5C}"/>
    <cellStyle name="Note 20 7 25 2" xfId="45116" xr:uid="{8935C70E-3F7D-4C44-98CF-035957F4CD9E}"/>
    <cellStyle name="Note 20 7 26" xfId="25475" xr:uid="{973F2518-7BC9-4EF7-B130-74B935E55057}"/>
    <cellStyle name="Note 20 7 26 2" xfId="44359" xr:uid="{9C84FA4D-D986-4CF9-8FB5-53C748095492}"/>
    <cellStyle name="Note 20 7 27" xfId="30433" xr:uid="{294FF03A-DAF5-45D7-B0AC-E2D2F26DD99B}"/>
    <cellStyle name="Note 20 7 27 2" xfId="47486" xr:uid="{D270523F-A16F-4C67-85E8-877E39371E43}"/>
    <cellStyle name="Note 20 7 28" xfId="29594" xr:uid="{DB840CB3-0B90-4B44-8010-E837E1BD7F2D}"/>
    <cellStyle name="Note 20 7 28 2" xfId="46989" xr:uid="{D6FFC6FF-00DF-4BE7-AB59-988361AE7E96}"/>
    <cellStyle name="Note 20 7 29" xfId="6444" xr:uid="{A401DB5A-F75F-4B63-A206-35E268B5D9BF}"/>
    <cellStyle name="Note 20 7 3" xfId="8092" xr:uid="{C70A2D47-F566-4141-80D6-B9F94DC66EF0}"/>
    <cellStyle name="Note 20 7 3 2" xfId="32336" xr:uid="{BA92F420-0910-44F1-913F-4E62DBAD4826}"/>
    <cellStyle name="Note 20 7 4" xfId="9306" xr:uid="{646A8F02-1B84-4582-B19C-2963F34A1778}"/>
    <cellStyle name="Note 20 7 4 2" xfId="33290" xr:uid="{BA95433C-46D9-4B08-8791-5C0477858FB9}"/>
    <cellStyle name="Note 20 7 5" xfId="7714" xr:uid="{261A7C10-30CA-476F-BE73-1BB040CDD3FA}"/>
    <cellStyle name="Note 20 7 5 2" xfId="32012" xr:uid="{92966333-7CC9-4333-8BEE-FF446CFCC7B1}"/>
    <cellStyle name="Note 20 7 6" xfId="8819" xr:uid="{753FDF62-0FF4-438B-8A62-8618AC0457B3}"/>
    <cellStyle name="Note 20 7 6 2" xfId="32942" xr:uid="{178026BF-A9B9-4AE0-8833-FDD64B65CCD3}"/>
    <cellStyle name="Note 20 7 7" xfId="13044" xr:uid="{BF319850-EDFB-4CFD-A155-7F07C8E10741}"/>
    <cellStyle name="Note 20 7 7 2" xfId="35392" xr:uid="{E9342221-E000-4E6A-83C7-B08DB388B1A7}"/>
    <cellStyle name="Note 20 7 8" xfId="8524" xr:uid="{216C57A9-D6F9-4CED-9FDD-223674CD2567}"/>
    <cellStyle name="Note 20 7 8 2" xfId="32711" xr:uid="{A9AA778B-6391-4E46-B471-DBDC99652496}"/>
    <cellStyle name="Note 20 7 9" xfId="14401" xr:uid="{654577A5-B343-434A-B8E1-6C7EDD06507E}"/>
    <cellStyle name="Note 20 7 9 2" xfId="36394" xr:uid="{7609BD46-207F-4288-9B78-DDC326AFE887}"/>
    <cellStyle name="Note 20 8" xfId="2919" xr:uid="{97D96822-1A8F-4A2B-962D-26AD130BCE34}"/>
    <cellStyle name="Note 20 8 10" xfId="13500" xr:uid="{9741F120-2E4C-443E-9638-45CA0E3FED3F}"/>
    <cellStyle name="Note 20 8 10 2" xfId="35754" xr:uid="{FE3D5E0B-552B-4D0F-88BD-5DE6F8E409AC}"/>
    <cellStyle name="Note 20 8 11" xfId="16606" xr:uid="{CAEF20DF-44F2-44F9-8402-D222C92933EF}"/>
    <cellStyle name="Note 20 8 11 2" xfId="38099" xr:uid="{5533B792-39F0-40AA-BEF7-47F033E6EB8B}"/>
    <cellStyle name="Note 20 8 12" xfId="15613" xr:uid="{CEFB40EA-F550-4505-B8F7-25043E38F5E2}"/>
    <cellStyle name="Note 20 8 12 2" xfId="37271" xr:uid="{C0FA9F00-4462-4702-89C3-2A1B703596FB}"/>
    <cellStyle name="Note 20 8 13" xfId="20810" xr:uid="{6DAE90D3-BB7C-4251-9C4E-3A3CBE53FFD9}"/>
    <cellStyle name="Note 20 8 13 2" xfId="41170" xr:uid="{B430BE10-C70A-44B2-9E8D-09C6020DB6C8}"/>
    <cellStyle name="Note 20 8 14" xfId="19751" xr:uid="{D95945D3-D0A6-43FE-8F2B-F94C4C771FAE}"/>
    <cellStyle name="Note 20 8 14 2" xfId="40368" xr:uid="{464137B0-349D-4D03-A74A-11D311EF42CC}"/>
    <cellStyle name="Note 20 8 15" xfId="18433" xr:uid="{40EACE1C-FEDF-434A-9E22-FEF887D38CE3}"/>
    <cellStyle name="Note 20 8 15 2" xfId="39444" xr:uid="{9980A129-9A6E-44F9-AE07-D8BA8A5AE1AA}"/>
    <cellStyle name="Note 20 8 16" xfId="19630" xr:uid="{CA06E08F-5FF2-42F8-A734-9957190A7AC0}"/>
    <cellStyle name="Note 20 8 16 2" xfId="40270" xr:uid="{CEA5E2EE-4484-4B04-882F-C6F8852824CE}"/>
    <cellStyle name="Note 20 8 17" xfId="24119" xr:uid="{E5F03843-4928-4FFC-A9A4-13C9D69B77DB}"/>
    <cellStyle name="Note 20 8 17 2" xfId="43495" xr:uid="{44AEBEC7-7B43-4338-89D7-922724CA81A0}"/>
    <cellStyle name="Note 20 8 18" xfId="18942" xr:uid="{A664C154-A804-42AD-9A7E-792A83ACFA59}"/>
    <cellStyle name="Note 20 8 18 2" xfId="39774" xr:uid="{23017BB8-437D-4AA4-90CA-003A5D682037}"/>
    <cellStyle name="Note 20 8 19" xfId="24749" xr:uid="{D26714AB-55EA-49F6-97A9-861F3D16817E}"/>
    <cellStyle name="Note 20 8 19 2" xfId="43894" xr:uid="{2BC95731-A9DE-4279-9EF3-BEF15FECF374}"/>
    <cellStyle name="Note 20 8 2" xfId="8090" xr:uid="{132CE592-6FCE-4B57-8308-F91332BCF021}"/>
    <cellStyle name="Note 20 8 2 2" xfId="32334" xr:uid="{E31F8623-C5AE-4EDE-82B0-09977F5C0F53}"/>
    <cellStyle name="Note 20 8 20" xfId="23317" xr:uid="{264793B3-E7E0-49AB-B696-74EE04B0C1CE}"/>
    <cellStyle name="Note 20 8 20 2" xfId="42889" xr:uid="{125254F8-3832-4743-B2F8-35D85A8A51BA}"/>
    <cellStyle name="Note 20 8 21" xfId="25308" xr:uid="{FFA12AC1-3CAC-4B13-BF73-DD34E6B573FC}"/>
    <cellStyle name="Note 20 8 21 2" xfId="44224" xr:uid="{61C0526A-D23C-4C5A-BE98-3A893B24FE29}"/>
    <cellStyle name="Note 20 8 22" xfId="18847" xr:uid="{4D132AB3-3517-4092-B83A-28E8164A551D}"/>
    <cellStyle name="Note 20 8 22 2" xfId="39694" xr:uid="{03514236-F208-446C-A4CA-EF13007D0EAC}"/>
    <cellStyle name="Note 20 8 23" xfId="28788" xr:uid="{1E3B048D-ED6C-45D2-8C90-348916A89400}"/>
    <cellStyle name="Note 20 8 23 2" xfId="46463" xr:uid="{A88690CE-6A3F-4361-BBF8-CCB126EF8B3F}"/>
    <cellStyle name="Note 20 8 24" xfId="23898" xr:uid="{E676918D-A0B0-46D4-B9BA-1B55D83278A2}"/>
    <cellStyle name="Note 20 8 24 2" xfId="43276" xr:uid="{0AEBA829-F227-4555-948B-89D904EAED82}"/>
    <cellStyle name="Note 20 8 25" xfId="29136" xr:uid="{EC2BB719-78DD-4BFF-9BA9-9C9CDAB8D43D}"/>
    <cellStyle name="Note 20 8 25 2" xfId="46678" xr:uid="{73E228A3-A068-4255-B3D6-11985A73AAC1}"/>
    <cellStyle name="Note 20 8 26" xfId="20431" xr:uid="{4DFA6D26-0DFD-443F-B4B4-5914B7EE87F9}"/>
    <cellStyle name="Note 20 8 26 2" xfId="40833" xr:uid="{31C8E19F-CC02-48F0-BCBA-AAC43430998F}"/>
    <cellStyle name="Note 20 8 27" xfId="29004" xr:uid="{FC0D2F39-25CF-43F3-BE86-01401C5860F9}"/>
    <cellStyle name="Note 20 8 27 2" xfId="46598" xr:uid="{2BE2C9C7-212B-456B-97A0-2AD42F9E0E08}"/>
    <cellStyle name="Note 20 8 28" xfId="6446" xr:uid="{33C2920B-6863-4D55-9FBF-EA339FE524E6}"/>
    <cellStyle name="Note 20 8 3" xfId="9308" xr:uid="{A2F26B1C-7C19-4452-999D-DC53D0B92667}"/>
    <cellStyle name="Note 20 8 3 2" xfId="33292" xr:uid="{F2B94220-784F-4D31-BB87-BB7070A38BF0}"/>
    <cellStyle name="Note 20 8 4" xfId="7712" xr:uid="{72196509-CD5A-4B48-91C4-17210E4AE4A1}"/>
    <cellStyle name="Note 20 8 4 2" xfId="32010" xr:uid="{525B68F3-F428-4C82-83A7-F28E857ABC9D}"/>
    <cellStyle name="Note 20 8 5" xfId="8817" xr:uid="{D5B0B6F3-868B-421F-B97B-743561EE07F2}"/>
    <cellStyle name="Note 20 8 5 2" xfId="32940" xr:uid="{DED7ACA7-C8F0-49AF-BD37-E93797FD2995}"/>
    <cellStyle name="Note 20 8 6" xfId="10421" xr:uid="{251166E0-A223-443F-9F36-5C327F4B59E8}"/>
    <cellStyle name="Note 20 8 6 2" xfId="34056" xr:uid="{28EC5B33-8F90-40E7-A1AA-4AE7752B7AD9}"/>
    <cellStyle name="Note 20 8 7" xfId="8522" xr:uid="{8CA04035-882E-4CB9-AB1E-CADEB2C29FC4}"/>
    <cellStyle name="Note 20 8 7 2" xfId="32709" xr:uid="{0A4820BD-8D2B-4DE7-8937-409AC775B0E7}"/>
    <cellStyle name="Note 20 8 8" xfId="12924" xr:uid="{57E1141E-54D8-4699-BB2F-3FA3443B2CCD}"/>
    <cellStyle name="Note 20 8 8 2" xfId="35280" xr:uid="{775416F2-C374-4AEF-93A8-6D5814019311}"/>
    <cellStyle name="Note 20 8 9" xfId="7257" xr:uid="{A493B280-7402-4C70-AB5E-68A134BEF8CC}"/>
    <cellStyle name="Note 20 8 9 2" xfId="31622" xr:uid="{44EF16BF-4665-456E-8DFB-3C0A3A64FF4E}"/>
    <cellStyle name="Note 20 9" xfId="8105" xr:uid="{A68816A0-BBB2-4224-A3AF-99E806B31AB7}"/>
    <cellStyle name="Note 20 9 2" xfId="32349" xr:uid="{F5392E1B-D543-4C7E-9C29-2E7AD6E45739}"/>
    <cellStyle name="Note 20_Sheet2" xfId="2920" xr:uid="{D91C2B21-2E0B-43F4-8CE6-110D19396F56}"/>
    <cellStyle name="Note 21" xfId="2921" xr:uid="{71DEF5C7-DDA6-4A92-8B60-BE03A06DB507}"/>
    <cellStyle name="Note 21 10" xfId="9309" xr:uid="{D33ACC42-0714-4BD4-A346-94670ED66C2B}"/>
    <cellStyle name="Note 21 10 2" xfId="33293" xr:uid="{CC5F80A4-D3D7-4503-87E1-A813D728D437}"/>
    <cellStyle name="Note 21 11" xfId="7711" xr:uid="{28C384A4-A65A-4EEA-AC7C-0EE20B8E3A31}"/>
    <cellStyle name="Note 21 11 2" xfId="32009" xr:uid="{3095447B-EE20-45DE-A83D-5BBED5FC7DF7}"/>
    <cellStyle name="Note 21 12" xfId="8816" xr:uid="{6957D594-1AD7-4B7C-85F1-7BA542456920}"/>
    <cellStyle name="Note 21 12 2" xfId="32939" xr:uid="{27120F64-680D-40A1-9FC0-B1A926D5B444}"/>
    <cellStyle name="Note 21 13" xfId="13028" xr:uid="{CA4694C2-1761-4789-8C77-6E2FC55DDDFC}"/>
    <cellStyle name="Note 21 13 2" xfId="35376" xr:uid="{A2BEF332-2379-46C7-9E24-C0F386075B44}"/>
    <cellStyle name="Note 21 14" xfId="8521" xr:uid="{A03DB590-ECF8-4654-BCBF-121F368D9795}"/>
    <cellStyle name="Note 21 14 2" xfId="32708" xr:uid="{E3CA6482-9A65-4B67-AFED-3B98FD533D59}"/>
    <cellStyle name="Note 21 15" xfId="10558" xr:uid="{F7DF3C33-65CF-41AB-954A-5EDA3926AB30}"/>
    <cellStyle name="Note 21 15 2" xfId="34184" xr:uid="{DB3EA939-6061-4A72-BB95-B64B65CB46C5}"/>
    <cellStyle name="Note 21 16" xfId="7256" xr:uid="{04BB0698-EE44-4C59-9E93-4625B361172E}"/>
    <cellStyle name="Note 21 16 2" xfId="31621" xr:uid="{51E6E076-1FE9-4027-A5FB-A242A8F325F8}"/>
    <cellStyle name="Note 21 17" xfId="15477" xr:uid="{28504A99-175A-4BA5-9D49-99EDC33FD9CC}"/>
    <cellStyle name="Note 21 17 2" xfId="37142" xr:uid="{D3462872-A531-4C97-991B-996A8E3F2FFA}"/>
    <cellStyle name="Note 21 18" xfId="16605" xr:uid="{28DBE9D3-93EE-41C1-9E3F-AB7FE0D10B7F}"/>
    <cellStyle name="Note 21 18 2" xfId="38098" xr:uid="{E94ADE5D-0024-437A-8CB3-91B89AC5F97E}"/>
    <cellStyle name="Note 21 19" xfId="13866" xr:uid="{57DE3E9E-E6BF-4FD9-B689-D065E19DBCD0}"/>
    <cellStyle name="Note 21 19 2" xfId="35989" xr:uid="{02E764A5-B4FB-4728-A958-4EBE2CFA31A4}"/>
    <cellStyle name="Note 21 2" xfId="2922" xr:uid="{6DFC2CF3-38FA-4336-BD0A-F21F1A1C9AA5}"/>
    <cellStyle name="Note 21 2 10" xfId="14895" xr:uid="{0C68F03A-6B56-4F8B-98CA-3C63B581E2A9}"/>
    <cellStyle name="Note 21 2 10 2" xfId="36770" xr:uid="{5B6A8BD6-A392-4BB2-8DD4-115AB237F1CE}"/>
    <cellStyle name="Note 21 2 11" xfId="11687" xr:uid="{DC386BC1-B2D2-4970-85B4-81F56487282C}"/>
    <cellStyle name="Note 21 2 11 2" xfId="34300" xr:uid="{928C11F6-400A-4056-B94B-516CE5278EDB}"/>
    <cellStyle name="Note 21 2 12" xfId="14680" xr:uid="{16F9562C-7F65-4704-812A-3F26DE978BD9}"/>
    <cellStyle name="Note 21 2 12 2" xfId="36592" xr:uid="{4BBEE600-0C49-4FC1-A250-4EFAA549A181}"/>
    <cellStyle name="Note 21 2 13" xfId="14057" xr:uid="{6DAD0A6A-AE17-4516-ADDE-3614DC6CA8F3}"/>
    <cellStyle name="Note 21 2 13 2" xfId="36151" xr:uid="{2293E520-A495-4DA4-AB94-22A7B5C3BC82}"/>
    <cellStyle name="Note 21 2 14" xfId="14446" xr:uid="{5CEBD89A-275A-49F4-B555-DE6ACCA8AFC0}"/>
    <cellStyle name="Note 21 2 14 2" xfId="36435" xr:uid="{A96FE41B-D524-48B2-B565-8EDC17B7C404}"/>
    <cellStyle name="Note 21 2 15" xfId="20812" xr:uid="{4CB64EC4-4C01-4617-9316-7A243F73E8F2}"/>
    <cellStyle name="Note 21 2 15 2" xfId="41172" xr:uid="{4868183C-F317-48C2-ADAA-4565196B4596}"/>
    <cellStyle name="Note 21 2 16" xfId="19749" xr:uid="{9AA10762-EEA1-46B7-94B8-07834B17DF8D}"/>
    <cellStyle name="Note 21 2 16 2" xfId="40366" xr:uid="{F516B9A0-2C9A-4725-A4D3-47952AC3F257}"/>
    <cellStyle name="Note 21 2 17" xfId="13340" xr:uid="{EB3642E1-CC87-4759-8D52-1FC12CAF22D5}"/>
    <cellStyle name="Note 21 2 17 2" xfId="35650" xr:uid="{E396D2BA-0B5D-429E-B273-A019138F2C3D}"/>
    <cellStyle name="Note 21 2 18" xfId="15161" xr:uid="{B6B67307-317A-445C-8A5B-C97F7B18D95C}"/>
    <cellStyle name="Note 21 2 18 2" xfId="36950" xr:uid="{C61C7DEC-A5E6-45F6-AC57-ED11148E0DC1}"/>
    <cellStyle name="Note 21 2 19" xfId="24121" xr:uid="{6A9B6C65-49EA-4E85-9216-DEB96D9C551B}"/>
    <cellStyle name="Note 21 2 19 2" xfId="43497" xr:uid="{43A8A9B6-F36B-41A2-92E8-28C87FF641E7}"/>
    <cellStyle name="Note 21 2 2" xfId="2923" xr:uid="{DA95171A-03E7-453E-A343-A6BA69549D1E}"/>
    <cellStyle name="Note 21 2 2 10" xfId="7255" xr:uid="{55BCE739-2948-4B66-ADAE-6291E916800E}"/>
    <cellStyle name="Note 21 2 2 10 2" xfId="31620" xr:uid="{2EFFBCD4-2376-4B45-9204-747773216457}"/>
    <cellStyle name="Note 21 2 2 11" xfId="12775" xr:uid="{7C6CB94F-5D28-4DA3-BDC8-E95BAFCE8DF2}"/>
    <cellStyle name="Note 21 2 2 11 2" xfId="35183" xr:uid="{6058428B-8595-44DD-9717-D706562FE84F}"/>
    <cellStyle name="Note 21 2 2 12" xfId="12507" xr:uid="{6A4F207B-0DE7-4172-BF47-DD5A4834EE17}"/>
    <cellStyle name="Note 21 2 2 12 2" xfId="34951" xr:uid="{A16BD039-0BF4-4F7E-BBF7-66B78919756F}"/>
    <cellStyle name="Note 21 2 2 13" xfId="17510" xr:uid="{15B5E17F-5CAD-4891-A79D-6AFC26CFD4A8}"/>
    <cellStyle name="Note 21 2 2 13 2" xfId="38757" xr:uid="{E5CE7715-856D-4A5D-9A88-F410E3A661A9}"/>
    <cellStyle name="Note 21 2 2 14" xfId="17573" xr:uid="{EF4A285E-5C78-41D1-977F-E06AE3E87748}"/>
    <cellStyle name="Note 21 2 2 14 2" xfId="38819" xr:uid="{21F7EA44-06FC-480B-8710-93122CEF059E}"/>
    <cellStyle name="Note 21 2 2 15" xfId="19371" xr:uid="{5BF3F87D-DEB7-4310-84EE-E5355FDD83B3}"/>
    <cellStyle name="Note 21 2 2 15 2" xfId="40096" xr:uid="{6B7E9B1E-A2D4-4D50-8A3B-575D486FB689}"/>
    <cellStyle name="Note 21 2 2 16" xfId="21659" xr:uid="{1AD374BF-42AB-42DA-A564-2AD5A121535D}"/>
    <cellStyle name="Note 21 2 2 16 2" xfId="41732" xr:uid="{3D07E586-BE25-4F90-BC0A-D56A3D141038}"/>
    <cellStyle name="Note 21 2 2 17" xfId="21433" xr:uid="{71ACCB28-D438-461C-A8A2-8245523CC0CE}"/>
    <cellStyle name="Note 21 2 2 17 2" xfId="41562" xr:uid="{52534F43-12E9-4DF8-AFA8-62451DCA1B7E}"/>
    <cellStyle name="Note 21 2 2 18" xfId="18647" xr:uid="{6307B628-F00E-4649-8604-A96002F9D86D}"/>
    <cellStyle name="Note 21 2 2 18 2" xfId="39543" xr:uid="{80B97D93-864C-4D08-AAA5-E87107B2999E}"/>
    <cellStyle name="Note 21 2 2 19" xfId="20737" xr:uid="{3997F5DF-957D-4D04-82C2-AC9D316F47C1}"/>
    <cellStyle name="Note 21 2 2 19 2" xfId="41097" xr:uid="{32FD5C71-F96F-4C5A-A680-79F65F7D9096}"/>
    <cellStyle name="Note 21 2 2 2" xfId="2924" xr:uid="{DB5656AF-7F8A-4471-BA8F-0387EF820D3A}"/>
    <cellStyle name="Note 21 2 2 2 10" xfId="12283" xr:uid="{4ADD3091-77DB-4E6E-94CB-06F107FDD79F}"/>
    <cellStyle name="Note 21 2 2 2 10 2" xfId="34789" xr:uid="{87E01D5B-8E3E-4777-A32B-9920BEF385FC}"/>
    <cellStyle name="Note 21 2 2 2 11" xfId="14056" xr:uid="{AFAB32C1-1269-489B-AB93-2672C1DB6E87}"/>
    <cellStyle name="Note 21 2 2 2 11 2" xfId="36150" xr:uid="{B4E9BF8D-BF53-40D2-B3F2-54710C6F70A1}"/>
    <cellStyle name="Note 21 2 2 2 12" xfId="12703" xr:uid="{716F87A8-685F-4138-A6FE-99026925EBB8}"/>
    <cellStyle name="Note 21 2 2 2 12 2" xfId="35116" xr:uid="{DA1E682F-5531-4930-A8C1-6DD61A680D7C}"/>
    <cellStyle name="Note 21 2 2 2 13" xfId="20811" xr:uid="{8F2CC74E-7CDA-4268-8C94-0AA3B3F0793A}"/>
    <cellStyle name="Note 21 2 2 2 13 2" xfId="41171" xr:uid="{DCAD0D6E-B340-423C-BF73-BC3D80AB30F5}"/>
    <cellStyle name="Note 21 2 2 2 14" xfId="19748" xr:uid="{60B7CF85-CC62-47B1-9DD5-2340FC8F45E0}"/>
    <cellStyle name="Note 21 2 2 2 14 2" xfId="40365" xr:uid="{3418E935-C446-48E4-88B5-5320D985D74E}"/>
    <cellStyle name="Note 21 2 2 2 15" xfId="18438" xr:uid="{93E4AE05-77A2-4E45-AB1E-C9D27FA63DDA}"/>
    <cellStyle name="Note 21 2 2 2 15 2" xfId="39449" xr:uid="{AD7610A0-D168-4A82-9C8B-2567446714F0}"/>
    <cellStyle name="Note 21 2 2 2 16" xfId="19629" xr:uid="{679EE31C-C6FB-47A0-8D91-DBD8666087D7}"/>
    <cellStyle name="Note 21 2 2 2 16 2" xfId="40269" xr:uid="{E20C648E-8A9B-4A7A-972D-6B020D2B3CD3}"/>
    <cellStyle name="Note 21 2 2 2 17" xfId="18325" xr:uid="{0014B91A-D1FC-4C68-88B8-C5374B930448}"/>
    <cellStyle name="Note 21 2 2 2 17 2" xfId="39356" xr:uid="{045F437A-FC4B-46B8-835B-722BC9030EDA}"/>
    <cellStyle name="Note 21 2 2 2 18" xfId="16104" xr:uid="{7A6301BC-0A57-4339-8933-A5FBF7881961}"/>
    <cellStyle name="Note 21 2 2 2 18 2" xfId="37674" xr:uid="{343C4136-A8C4-4A76-8F6C-1898F0DDC113}"/>
    <cellStyle name="Note 21 2 2 2 19" xfId="24747" xr:uid="{0E5EB135-47B4-42DC-84B5-7DB790CDA48D}"/>
    <cellStyle name="Note 21 2 2 2 19 2" xfId="43892" xr:uid="{73780AB0-22BF-4FFB-9D77-AE85DF62DF75}"/>
    <cellStyle name="Note 21 2 2 2 2" xfId="8086" xr:uid="{8987E55E-F540-4E42-BD06-49E3A1084B26}"/>
    <cellStyle name="Note 21 2 2 2 2 2" xfId="32330" xr:uid="{53E80E11-923C-4076-88D4-4FFDF9F8B095}"/>
    <cellStyle name="Note 21 2 2 2 20" xfId="16225" xr:uid="{95252DF0-9D33-40ED-9141-A2188378CC25}"/>
    <cellStyle name="Note 21 2 2 2 20 2" xfId="37778" xr:uid="{9C766AB8-6742-4E17-AF7C-3A7E3C1693E9}"/>
    <cellStyle name="Note 21 2 2 2 21" xfId="25789" xr:uid="{8652BF57-0EA8-4183-B30A-7E14ED345E29}"/>
    <cellStyle name="Note 21 2 2 2 21 2" xfId="44617" xr:uid="{7A403EA0-606F-4BBB-8E8D-224BECD4969E}"/>
    <cellStyle name="Note 21 2 2 2 22" xfId="19854" xr:uid="{5068F6FD-E65F-44D4-BD55-FBEDA034E27A}"/>
    <cellStyle name="Note 21 2 2 2 22 2" xfId="40467" xr:uid="{92DD0DDE-7E02-4B11-8A5F-5900D4C5E9B4}"/>
    <cellStyle name="Note 21 2 2 2 23" xfId="28616" xr:uid="{8B22C3C6-94B8-43F3-916D-B6602F8C0829}"/>
    <cellStyle name="Note 21 2 2 2 23 2" xfId="46350" xr:uid="{FEEF6A7C-962B-4B6A-BA81-31A6309F3412}"/>
    <cellStyle name="Note 21 2 2 2 24" xfId="30289" xr:uid="{DBB9C247-3137-41C3-91FA-46E7DD71E6E7}"/>
    <cellStyle name="Note 21 2 2 2 24 2" xfId="47437" xr:uid="{562381FD-A608-4AAC-8FF3-4A3F80456210}"/>
    <cellStyle name="Note 21 2 2 2 25" xfId="24369" xr:uid="{C3DE67F8-A552-4F63-85C7-81447DE10B20}"/>
    <cellStyle name="Note 21 2 2 2 25 2" xfId="43621" xr:uid="{F31DD3A4-CAA7-4D84-ABB2-4D4671ECA7A7}"/>
    <cellStyle name="Note 21 2 2 2 26" xfId="28677" xr:uid="{63BDB2F2-015D-4AE3-AF38-A12A30CB4CFD}"/>
    <cellStyle name="Note 21 2 2 2 26 2" xfId="46411" xr:uid="{54074400-F3DE-4ECF-9D5A-596EA54E1E5F}"/>
    <cellStyle name="Note 21 2 2 2 27" xfId="22638" xr:uid="{27F4428A-845D-4E62-92F3-BAC4BD58AF02}"/>
    <cellStyle name="Note 21 2 2 2 27 2" xfId="42411" xr:uid="{D83C54E6-666F-4E05-9249-8610E3B04A05}"/>
    <cellStyle name="Note 21 2 2 2 28" xfId="6450" xr:uid="{C13D054A-69F9-4699-BF1A-CB96F5857F30}"/>
    <cellStyle name="Note 21 2 2 2 3" xfId="9312" xr:uid="{7282474D-110F-4D21-9510-78DB7D5C7169}"/>
    <cellStyle name="Note 21 2 2 2 3 2" xfId="33296" xr:uid="{9395392C-7FB3-4D90-95C7-4F7217F6EA69}"/>
    <cellStyle name="Note 21 2 2 2 4" xfId="7708" xr:uid="{05977F05-F797-40EE-B7DF-711C10A6528F}"/>
    <cellStyle name="Note 21 2 2 2 4 2" xfId="32006" xr:uid="{6A052D2B-0E43-4285-9F5A-E9F0FEEF4FC2}"/>
    <cellStyle name="Note 21 2 2 2 5" xfId="8813" xr:uid="{2F708FCE-AA33-46C0-AF9F-040791DD3FDB}"/>
    <cellStyle name="Note 21 2 2 2 5 2" xfId="32936" xr:uid="{5D3B7D50-AE1D-4911-B83A-07A0846594B7}"/>
    <cellStyle name="Note 21 2 2 2 6" xfId="13042" xr:uid="{CE7004F4-C2F6-4B37-AC0F-DB9E73F9DF0F}"/>
    <cellStyle name="Note 21 2 2 2 6 2" xfId="35390" xr:uid="{8336E962-AC90-45A7-A744-39FEAEAA4FAE}"/>
    <cellStyle name="Note 21 2 2 2 7" xfId="8518" xr:uid="{AFEA277B-5F14-48CF-BC49-1D395DBD53D1}"/>
    <cellStyle name="Note 21 2 2 2 7 2" xfId="32705" xr:uid="{229FF56A-6B39-43B9-ADA2-069D9F591C88}"/>
    <cellStyle name="Note 21 2 2 2 8" xfId="14894" xr:uid="{EC735098-AF50-4D14-8F14-8F59841A3749}"/>
    <cellStyle name="Note 21 2 2 2 8 2" xfId="36769" xr:uid="{8CABC720-018A-419D-B39A-8C6FC3B5C314}"/>
    <cellStyle name="Note 21 2 2 2 9" xfId="11686" xr:uid="{49D59EE8-0753-4F83-A1E9-EB00AF74EF4B}"/>
    <cellStyle name="Note 21 2 2 2 9 2" xfId="34299" xr:uid="{AB4B2F9D-D7FC-4866-B1D8-5305655E5C3D}"/>
    <cellStyle name="Note 21 2 2 20" xfId="22332" xr:uid="{DE445208-4AF8-42B7-AE7E-EC620540E1AC}"/>
    <cellStyle name="Note 21 2 2 20 2" xfId="42187" xr:uid="{4DFC7F69-10DD-40AA-9E85-EE3B1972164D}"/>
    <cellStyle name="Note 21 2 2 21" xfId="18137" xr:uid="{9A42831F-F26C-4FB3-A763-C554593E2631}"/>
    <cellStyle name="Note 21 2 2 21 2" xfId="39211" xr:uid="{7B9E3E9B-B309-42D3-8C0F-A2786501F8BD}"/>
    <cellStyle name="Note 21 2 2 22" xfId="25309" xr:uid="{CEA1770E-E8F0-495E-ADCC-4CB4061A6E0F}"/>
    <cellStyle name="Note 21 2 2 22 2" xfId="44225" xr:uid="{0072F08B-3257-4477-B7FA-4925371AF8F7}"/>
    <cellStyle name="Note 21 2 2 23" xfId="20552" xr:uid="{741FD6D4-0C69-48D4-82BF-504DE58FE0D3}"/>
    <cellStyle name="Note 21 2 2 23 2" xfId="40932" xr:uid="{03034537-EE4C-4432-AF99-C76935CB4139}"/>
    <cellStyle name="Note 21 2 2 24" xfId="26803" xr:uid="{05BE201D-D360-49AF-BFFF-F46CFCE689D4}"/>
    <cellStyle name="Note 21 2 2 24 2" xfId="45278" xr:uid="{6FCF8811-B6D2-40F3-B5F2-C821D049B287}"/>
    <cellStyle name="Note 21 2 2 25" xfId="23897" xr:uid="{317CA489-B99C-4011-9C84-9FC2185D6E1D}"/>
    <cellStyle name="Note 21 2 2 25 2" xfId="43275" xr:uid="{A7E7E2E3-882A-4C65-9A49-D5A27A08EE5B}"/>
    <cellStyle name="Note 21 2 2 26" xfId="23617" xr:uid="{741045CA-C0A6-4317-BD98-1965F0AA1E28}"/>
    <cellStyle name="Note 21 2 2 26 2" xfId="43048" xr:uid="{77A429FD-F2E2-4C8C-9741-901DB0961A2B}"/>
    <cellStyle name="Note 21 2 2 27" xfId="23044" xr:uid="{74C93613-1E23-4EB1-927C-8610C88C1273}"/>
    <cellStyle name="Note 21 2 2 27 2" xfId="42678" xr:uid="{EA49C35C-8CA1-4497-9248-18F999E1A007}"/>
    <cellStyle name="Note 21 2 2 28" xfId="29595" xr:uid="{900CD6A4-E21E-4936-BD58-7D7260880453}"/>
    <cellStyle name="Note 21 2 2 28 2" xfId="46990" xr:uid="{792D4191-0941-4AA5-A3A9-F83E509E34EE}"/>
    <cellStyle name="Note 21 2 2 29" xfId="6449" xr:uid="{7AA1B837-A35C-41D2-88CC-37425B13F692}"/>
    <cellStyle name="Note 21 2 2 3" xfId="8087" xr:uid="{50B8585D-2488-466A-9700-68DD28E82CA1}"/>
    <cellStyle name="Note 21 2 2 3 2" xfId="32331" xr:uid="{E219A81D-F4ED-497A-8CD7-005AC729B9F1}"/>
    <cellStyle name="Note 21 2 2 4" xfId="9311" xr:uid="{0DF3403F-39DA-400C-8D7E-16367D252419}"/>
    <cellStyle name="Note 21 2 2 4 2" xfId="33295" xr:uid="{37BBC7A9-AE32-467A-A9F2-A903798F204E}"/>
    <cellStyle name="Note 21 2 2 5" xfId="7709" xr:uid="{38CA58CA-BE9E-4198-9027-86C153AAFAD4}"/>
    <cellStyle name="Note 21 2 2 5 2" xfId="32007" xr:uid="{9789AC84-25BC-4B87-8D67-079CFAA273BD}"/>
    <cellStyle name="Note 21 2 2 6" xfId="8814" xr:uid="{31ED1F5C-1AE9-4F23-BAA0-E46E1D911ABD}"/>
    <cellStyle name="Note 21 2 2 6 2" xfId="32937" xr:uid="{D5895F42-6B7B-49C0-AB4A-1023453B17E8}"/>
    <cellStyle name="Note 21 2 2 7" xfId="10422" xr:uid="{7BD2A561-D33B-4565-A5D4-32A16F23FB61}"/>
    <cellStyle name="Note 21 2 2 7 2" xfId="34057" xr:uid="{49D6BA51-E349-4189-AED9-FE3975006044}"/>
    <cellStyle name="Note 21 2 2 8" xfId="8519" xr:uid="{AF86383E-F314-4354-9F9B-FD1F7B6AC766}"/>
    <cellStyle name="Note 21 2 2 8 2" xfId="32706" xr:uid="{173B9E7A-D874-492E-8C69-645959F05FCF}"/>
    <cellStyle name="Note 21 2 2 9" xfId="12923" xr:uid="{547C4F38-637A-4AD8-9ECE-D500422D789A}"/>
    <cellStyle name="Note 21 2 2 9 2" xfId="35279" xr:uid="{9A2A7727-1812-4CB2-8427-E9FAFEAE6812}"/>
    <cellStyle name="Note 21 2 20" xfId="18943" xr:uid="{4E2B6771-08AF-4F46-8925-EDECED5A2589}"/>
    <cellStyle name="Note 21 2 20 2" xfId="39775" xr:uid="{F2AEA081-EA90-4523-A7CE-F3D38D854BBC}"/>
    <cellStyle name="Note 21 2 21" xfId="21727" xr:uid="{9C49F989-3816-4187-BF7F-3963EC2FECBD}"/>
    <cellStyle name="Note 21 2 21 2" xfId="41750" xr:uid="{9BFC702B-CCDE-4CF0-A316-1420CB42E56D}"/>
    <cellStyle name="Note 21 2 22" xfId="15772" xr:uid="{CE303F44-C44F-4E5F-8C0B-3D7852CE5CFC}"/>
    <cellStyle name="Note 21 2 22 2" xfId="37396" xr:uid="{6D1EDB60-BEF3-434F-A599-7535DFDE5613}"/>
    <cellStyle name="Note 21 2 23" xfId="22289" xr:uid="{EA65ACA0-8AE9-4806-9AE4-86A6DF231349}"/>
    <cellStyle name="Note 21 2 23 2" xfId="42153" xr:uid="{7C25DA53-9972-4F4B-9345-A66212B92770}"/>
    <cellStyle name="Note 21 2 24" xfId="16864" xr:uid="{BDB9BCE2-61A5-4124-ADA1-AA742FE2871C}"/>
    <cellStyle name="Note 21 2 24 2" xfId="38286" xr:uid="{F3C30D92-7BF3-4F5C-9A20-9A091F1A4E07}"/>
    <cellStyle name="Note 21 2 25" xfId="28617" xr:uid="{6980A948-6C0F-413F-A8D9-0127DE065C09}"/>
    <cellStyle name="Note 21 2 25 2" xfId="46351" xr:uid="{53AC2F86-2E7E-4F6B-9F47-E2E951BFE8C6}"/>
    <cellStyle name="Note 21 2 26" xfId="21015" xr:uid="{4E548091-C040-446B-9341-4FA9FE2984F0}"/>
    <cellStyle name="Note 21 2 26 2" xfId="41273" xr:uid="{C8602E3B-0E54-4EA8-A289-938E1B3CE319}"/>
    <cellStyle name="Note 21 2 27" xfId="29249" xr:uid="{698AD8BB-2390-4A58-8610-78067D2E48CF}"/>
    <cellStyle name="Note 21 2 27 2" xfId="46766" xr:uid="{B484BF65-22A2-4773-8634-A00582A291D8}"/>
    <cellStyle name="Note 21 2 28" xfId="28676" xr:uid="{B3242EEE-8A56-498D-8B73-14A491CCCC3C}"/>
    <cellStyle name="Note 21 2 28 2" xfId="46410" xr:uid="{D4183076-2E93-4239-B19A-55407D00A9FE}"/>
    <cellStyle name="Note 21 2 29" xfId="26822" xr:uid="{E6B5E55F-5F0A-436F-86F3-BA99B72A76A0}"/>
    <cellStyle name="Note 21 2 29 2" xfId="45293" xr:uid="{BA8E81F0-7988-40C8-9D6D-AB029FC5F377}"/>
    <cellStyle name="Note 21 2 3" xfId="2925" xr:uid="{69B259C0-FD92-4FB6-9E60-FA1AC5D7323C}"/>
    <cellStyle name="Note 21 2 3 10" xfId="15478" xr:uid="{CB5B3E0A-7D0B-4FA2-B41D-8194D5AA5000}"/>
    <cellStyle name="Note 21 2 3 10 2" xfId="37143" xr:uid="{CA3DD7D9-48C7-45F4-8520-0428852AF278}"/>
    <cellStyle name="Note 21 2 3 11" xfId="16604" xr:uid="{BBE43AFE-5177-4A03-BBBF-68AB21CE6F80}"/>
    <cellStyle name="Note 21 2 3 11 2" xfId="38097" xr:uid="{89488A89-EBA4-4CE0-ABEE-EB2B3103ABDA}"/>
    <cellStyle name="Note 21 2 3 12" xfId="17509" xr:uid="{FE8C5D91-9310-4C47-B76A-74EEC238D338}"/>
    <cellStyle name="Note 21 2 3 12 2" xfId="38756" xr:uid="{32391A56-EB8B-41B0-82A4-04207A9C08A9}"/>
    <cellStyle name="Note 21 2 3 13" xfId="19528" xr:uid="{A0F7192C-FDC1-4FAD-8AEC-3D7317B5763B}"/>
    <cellStyle name="Note 21 2 3 13 2" xfId="40197" xr:uid="{85A6A750-B1B5-4E96-B76D-E3EB1B31F8D4}"/>
    <cellStyle name="Note 21 2 3 14" xfId="13914" xr:uid="{E12BCA2F-0527-4327-A2C6-C892F14F3428}"/>
    <cellStyle name="Note 21 2 3 14 2" xfId="36026" xr:uid="{B7803747-FB98-4232-B71D-8C79687E80B9}"/>
    <cellStyle name="Note 21 2 3 15" xfId="21660" xr:uid="{DBC22633-BF68-4666-8D04-106B97BD285D}"/>
    <cellStyle name="Note 21 2 3 15 2" xfId="41733" xr:uid="{76D6BBF6-514A-4605-9A1F-29D1B14A3F5C}"/>
    <cellStyle name="Note 21 2 3 16" xfId="21432" xr:uid="{DBD5709D-1E42-4253-BD47-EA62E90D7283}"/>
    <cellStyle name="Note 21 2 3 16 2" xfId="41561" xr:uid="{B9EF845E-00D6-42B0-8E67-718E7B474879}"/>
    <cellStyle name="Note 21 2 3 17" xfId="22006" xr:uid="{1FD09246-7550-4D22-BF34-73CACE50DC2B}"/>
    <cellStyle name="Note 21 2 3 17 2" xfId="41901" xr:uid="{6435B9EA-3D10-404F-9830-BA89D742BC65}"/>
    <cellStyle name="Note 21 2 3 18" xfId="20738" xr:uid="{F6D5C5AC-4478-42C9-924F-B3E6BAE6365A}"/>
    <cellStyle name="Note 21 2 3 18 2" xfId="41098" xr:uid="{B22D75B0-F238-495F-A8CE-D698483FFEBC}"/>
    <cellStyle name="Note 21 2 3 19" xfId="22880" xr:uid="{0641994C-2B69-46DC-B8CC-F57F7C8AB188}"/>
    <cellStyle name="Note 21 2 3 19 2" xfId="42598" xr:uid="{AB2A31B9-8001-4B5F-BB0C-4750F01A9544}"/>
    <cellStyle name="Note 21 2 3 2" xfId="8085" xr:uid="{007851BD-F4E4-46BB-B801-247B79B12C47}"/>
    <cellStyle name="Note 21 2 3 2 2" xfId="32329" xr:uid="{453BB336-FF93-49B8-8565-486082630D77}"/>
    <cellStyle name="Note 21 2 3 20" xfId="18136" xr:uid="{C508E76A-E8ED-4691-9CF5-C31BD94A6E89}"/>
    <cellStyle name="Note 21 2 3 20 2" xfId="39210" xr:uid="{601795DB-087E-4DB3-BFBD-473B7C6F6CBD}"/>
    <cellStyle name="Note 21 2 3 21" xfId="22742" xr:uid="{7748C8A6-3B6F-4191-90DE-FDD1DB264E0D}"/>
    <cellStyle name="Note 21 2 3 21 2" xfId="42499" xr:uid="{7BD878B3-D09D-4602-9D2F-D88C2697B8C9}"/>
    <cellStyle name="Note 21 2 3 22" xfId="18853" xr:uid="{78863CF6-6F87-45A4-A348-85AD7159B8C7}"/>
    <cellStyle name="Note 21 2 3 22 2" xfId="39699" xr:uid="{9F64B18F-9870-4FA7-A9D8-4AC6849340D0}"/>
    <cellStyle name="Note 21 2 3 23" xfId="27165" xr:uid="{670E14F9-51F6-49A1-8C1D-818BDDE2914A}"/>
    <cellStyle name="Note 21 2 3 23 2" xfId="45506" xr:uid="{D4800BA9-1C76-4E5E-9051-5399A72E9D7F}"/>
    <cellStyle name="Note 21 2 3 24" xfId="21007" xr:uid="{DCBF2184-49D0-4D56-85CD-528F78ECFBD1}"/>
    <cellStyle name="Note 21 2 3 24 2" xfId="41265" xr:uid="{E38743ED-D1D5-456F-B77B-CAB06CF51B0F}"/>
    <cellStyle name="Note 21 2 3 25" xfId="24313" xr:uid="{9CD1125A-4041-49CF-8C6B-456BA15D9749}"/>
    <cellStyle name="Note 21 2 3 25 2" xfId="43579" xr:uid="{9F6D7643-46D4-4821-AA9D-7EE0CA85A1BF}"/>
    <cellStyle name="Note 21 2 3 26" xfId="28675" xr:uid="{7BD312F1-B96A-48A8-AB39-E0F85E5420DC}"/>
    <cellStyle name="Note 21 2 3 26 2" xfId="46409" xr:uid="{90C1238D-B9B8-4A36-8B08-904E518AEDB2}"/>
    <cellStyle name="Note 21 2 3 27" xfId="27689" xr:uid="{B7C63C14-4D73-4C5C-8E8A-45E10DA49666}"/>
    <cellStyle name="Note 21 2 3 27 2" xfId="45803" xr:uid="{78266E69-7567-47E9-9E35-451D07A13954}"/>
    <cellStyle name="Note 21 2 3 28" xfId="6451" xr:uid="{AB951CFF-603D-46A0-A795-5F39183354B5}"/>
    <cellStyle name="Note 21 2 3 3" xfId="9313" xr:uid="{20E17539-8A3E-4B39-BE36-5DA8218398CA}"/>
    <cellStyle name="Note 21 2 3 3 2" xfId="33297" xr:uid="{E540E6DD-8E9B-4F77-B093-358921AA9765}"/>
    <cellStyle name="Note 21 2 3 4" xfId="7707" xr:uid="{7559046F-6881-4EAA-8484-A5B0919D9AB9}"/>
    <cellStyle name="Note 21 2 3 4 2" xfId="32005" xr:uid="{95577076-8A8C-47EF-B576-6E82CEF95E18}"/>
    <cellStyle name="Note 21 2 3 5" xfId="8812" xr:uid="{831EAFB6-8F08-4A53-87C8-939659464256}"/>
    <cellStyle name="Note 21 2 3 5 2" xfId="32935" xr:uid="{C74E8A7D-DDD8-4694-9590-98CA9BFB5650}"/>
    <cellStyle name="Note 21 2 3 6" xfId="10423" xr:uid="{CBB96A4F-2AFC-478D-896F-1716E36BA494}"/>
    <cellStyle name="Note 21 2 3 6 2" xfId="34058" xr:uid="{2100CC1D-A26A-40D0-97C7-699C848CA4B7}"/>
    <cellStyle name="Note 21 2 3 7" xfId="8517" xr:uid="{1887C2A5-9FA7-41A6-A9B4-7F66C4E03A87}"/>
    <cellStyle name="Note 21 2 3 7 2" xfId="32704" xr:uid="{51A38FFC-6D58-4EA4-9464-2D2894EBF9F4}"/>
    <cellStyle name="Note 21 2 3 8" xfId="10559" xr:uid="{BEF89AD2-1407-40B7-9B2D-C3870C05E50A}"/>
    <cellStyle name="Note 21 2 3 8 2" xfId="34185" xr:uid="{68CBA5BF-7EF1-4CAB-A8FE-67B22F54FDD3}"/>
    <cellStyle name="Note 21 2 3 9" xfId="7254" xr:uid="{4869B3F4-0D23-4EAD-A706-1D682FF90744}"/>
    <cellStyle name="Note 21 2 3 9 2" xfId="31619" xr:uid="{6A031AC2-0D47-438C-8065-79959077DCA0}"/>
    <cellStyle name="Note 21 2 30" xfId="6448" xr:uid="{21321D55-E2A7-471F-A696-CA53CAA76289}"/>
    <cellStyle name="Note 21 2 4" xfId="8088" xr:uid="{E0C9987E-026E-407F-8DEB-309656E2BFF0}"/>
    <cellStyle name="Note 21 2 4 2" xfId="32332" xr:uid="{CE68C077-12DC-48A7-AAF0-A93F960A60C1}"/>
    <cellStyle name="Note 21 2 5" xfId="9310" xr:uid="{F124FFA3-A964-43D6-9BE0-580E5A5F7500}"/>
    <cellStyle name="Note 21 2 5 2" xfId="33294" xr:uid="{27A3D577-8550-4147-9AAD-99B41389EF13}"/>
    <cellStyle name="Note 21 2 6" xfId="7710" xr:uid="{0CFBC66B-6589-4C08-B412-92D72D9464B2}"/>
    <cellStyle name="Note 21 2 6 2" xfId="32008" xr:uid="{A65C2A28-6ABB-43BC-BF8B-DBA3B1316BD5}"/>
    <cellStyle name="Note 21 2 7" xfId="8815" xr:uid="{9EAC4679-F399-42C1-818E-1495EC43B7F6}"/>
    <cellStyle name="Note 21 2 7 2" xfId="32938" xr:uid="{A325A777-AC71-4304-AD4F-363EB64A5B24}"/>
    <cellStyle name="Note 21 2 8" xfId="13043" xr:uid="{F605A4A6-E10B-4590-A1B0-33C6F7A433EF}"/>
    <cellStyle name="Note 21 2 8 2" xfId="35391" xr:uid="{3C8EC017-BD35-4FEE-9F33-125541E321C3}"/>
    <cellStyle name="Note 21 2 9" xfId="8520" xr:uid="{38F5AC66-925A-4EF6-B91A-05010C6CBA15}"/>
    <cellStyle name="Note 21 2 9 2" xfId="32707" xr:uid="{0DA4CD3A-B799-4DEC-AB11-78BD21C42244}"/>
    <cellStyle name="Note 21 2_Sheet2" xfId="2926" xr:uid="{D5A72F31-F4C0-4D0C-A0CD-96D98BBA581E}"/>
    <cellStyle name="Note 21 20" xfId="9854" xr:uid="{C4D79841-B169-469E-9A19-11BCC748A4B7}"/>
    <cellStyle name="Note 21 20 2" xfId="33600" xr:uid="{239A9BE3-ACE0-4CEE-8B27-AE7C1A959768}"/>
    <cellStyle name="Note 21 21" xfId="19750" xr:uid="{B21B3CC3-F89D-4C38-87C9-9F5B6D981F6C}"/>
    <cellStyle name="Note 21 21 2" xfId="40367" xr:uid="{DDF2E967-6389-4422-A425-0892E6C317D5}"/>
    <cellStyle name="Note 21 22" xfId="21658" xr:uid="{5A86F269-549B-417C-88FD-3B46D7765B00}"/>
    <cellStyle name="Note 21 22 2" xfId="41731" xr:uid="{F84EE619-271C-4BDF-8FDE-AEBF57D5AE3F}"/>
    <cellStyle name="Note 21 23" xfId="22513" xr:uid="{55D3F137-9D95-4199-9250-9713AC330DD3}"/>
    <cellStyle name="Note 21 23 2" xfId="42312" xr:uid="{003BAF40-E7E7-44D1-9503-BFA2F233D2C6}"/>
    <cellStyle name="Note 21 24" xfId="13953" xr:uid="{C93ADFB0-6132-4B72-9A10-05B20F91FAEC}"/>
    <cellStyle name="Note 21 24 2" xfId="36059" xr:uid="{ED46BA2C-4877-44FE-9E93-60356AF87D99}"/>
    <cellStyle name="Note 21 25" xfId="17073" xr:uid="{1BCDB9CE-D7D4-4660-9E9E-DEF27DD8FA0F}"/>
    <cellStyle name="Note 21 25 2" xfId="38412" xr:uid="{3C775BCE-5564-41C8-A5BA-CE0373E636C4}"/>
    <cellStyle name="Note 21 26" xfId="24748" xr:uid="{1F9D086F-8389-400A-AA98-1E82307A85A1}"/>
    <cellStyle name="Note 21 26 2" xfId="43893" xr:uid="{0D6ACD99-077F-4BC0-B925-06593DD42BBB}"/>
    <cellStyle name="Note 21 27" xfId="19977" xr:uid="{6B9176C8-3BB1-4542-8CA7-86D857930FDB}"/>
    <cellStyle name="Note 21 27 2" xfId="40561" xr:uid="{F4728F3E-A2A7-488D-BE70-7F100D7E925B}"/>
    <cellStyle name="Note 21 28" xfId="25047" xr:uid="{0C1565DE-0157-4F5F-BAD5-04B993298670}"/>
    <cellStyle name="Note 21 28 2" xfId="44078" xr:uid="{A740D012-2DD5-4FE0-B63F-C47ADD011821}"/>
    <cellStyle name="Note 21 29" xfId="20553" xr:uid="{CE1C5946-DD84-46C1-B103-80832EA543FE}"/>
    <cellStyle name="Note 21 29 2" xfId="40933" xr:uid="{154F730B-99AD-44CB-9776-DEBA2B67D6B7}"/>
    <cellStyle name="Note 21 3" xfId="2927" xr:uid="{42896951-5169-4719-972B-BCCC906A709C}"/>
    <cellStyle name="Note 21 3 10" xfId="7253" xr:uid="{BE5E3BD6-F333-4623-BAEC-6BDB70899519}"/>
    <cellStyle name="Note 21 3 10 2" xfId="31618" xr:uid="{C31ACC95-89C4-45EC-A9CA-CE86E032B720}"/>
    <cellStyle name="Note 21 3 11" xfId="13499" xr:uid="{4BA37E34-5CC1-4B08-A568-C4F168BB89E0}"/>
    <cellStyle name="Note 21 3 11 2" xfId="35753" xr:uid="{E57EDE28-B7C0-4FD6-8887-8F7AC8B2E2EA}"/>
    <cellStyle name="Note 21 3 12" xfId="16603" xr:uid="{980F63D4-C5D1-406C-92A6-E1A3E2E1F5E8}"/>
    <cellStyle name="Note 21 3 12 2" xfId="38096" xr:uid="{16CDD29C-0101-49D4-A015-5AD450792F9E}"/>
    <cellStyle name="Note 21 3 13" xfId="17508" xr:uid="{88D9BF75-C46C-429B-AB6A-95F13B24E3ED}"/>
    <cellStyle name="Note 21 3 13 2" xfId="38755" xr:uid="{95865965-B94A-4C39-9B27-A5351523D66E}"/>
    <cellStyle name="Note 21 3 14" xfId="17572" xr:uid="{F6AEF18B-02D9-42F4-88B5-0E4529AD72C5}"/>
    <cellStyle name="Note 21 3 14 2" xfId="38818" xr:uid="{F73E578E-4D75-4AB7-9132-E9BE847CF008}"/>
    <cellStyle name="Note 21 3 15" xfId="19732" xr:uid="{9C766AE4-BA3D-4F0A-9058-780EDE22A947}"/>
    <cellStyle name="Note 21 3 15 2" xfId="40349" xr:uid="{C6DD339D-10AB-4715-9CFF-C309217A6732}"/>
    <cellStyle name="Note 21 3 16" xfId="21657" xr:uid="{0203C869-8B78-4A76-B405-464E46C5C8BA}"/>
    <cellStyle name="Note 21 3 16 2" xfId="41730" xr:uid="{1315D73B-4C2D-461D-96D1-9EBE3A5946C7}"/>
    <cellStyle name="Note 21 3 17" xfId="21431" xr:uid="{52CA8331-BD75-4389-8165-7749F1BEE853}"/>
    <cellStyle name="Note 21 3 17 2" xfId="41560" xr:uid="{2A14B0F6-4333-402E-9D3C-1F161AB9DB6E}"/>
    <cellStyle name="Note 21 3 18" xfId="24118" xr:uid="{78661570-D5C3-46A4-8200-A3F5F1A345AF}"/>
    <cellStyle name="Note 21 3 18 2" xfId="43494" xr:uid="{D83D0C98-A345-4EBD-89CD-C88E7AD889C7}"/>
    <cellStyle name="Note 21 3 19" xfId="18944" xr:uid="{1AA41DCB-E021-46E2-8772-AB9AB520322C}"/>
    <cellStyle name="Note 21 3 19 2" xfId="39776" xr:uid="{0812984A-1EF2-447F-8FAC-E35BD81FC5F9}"/>
    <cellStyle name="Note 21 3 2" xfId="2928" xr:uid="{8F51BEDE-CC01-4285-A5FD-9A936F799E15}"/>
    <cellStyle name="Note 21 3 2 10" xfId="16008" xr:uid="{1A3DE0CE-A574-4FC5-9C15-CF92BB180939}"/>
    <cellStyle name="Note 21 3 2 10 2" xfId="37591" xr:uid="{A5ECA824-004F-4230-A472-6A41FA16BB6D}"/>
    <cellStyle name="Note 21 3 2 11" xfId="14055" xr:uid="{CB03CFAE-CABF-45E6-89B4-C964FC250D90}"/>
    <cellStyle name="Note 21 3 2 11 2" xfId="36149" xr:uid="{BCB19B3C-5559-40BD-9FC2-0A14988CB34D}"/>
    <cellStyle name="Note 21 3 2 12" xfId="15614" xr:uid="{52CEA042-DE91-4BD4-A48F-3AC60FC6F496}"/>
    <cellStyle name="Note 21 3 2 12 2" xfId="37272" xr:uid="{58CBC8C1-ACB8-4ABC-A687-CF211CF64673}"/>
    <cellStyle name="Note 21 3 2 13" xfId="9873" xr:uid="{17D32EF8-2AD0-4CF4-80B1-59671ACBBF33}"/>
    <cellStyle name="Note 21 3 2 13 2" xfId="33619" xr:uid="{D148B09F-6E1C-4AA2-B71B-E3BB57E287B5}"/>
    <cellStyle name="Note 21 3 2 14" xfId="17958" xr:uid="{6BCCF839-1999-4B0D-AB2C-3FE89F3594D0}"/>
    <cellStyle name="Note 21 3 2 14 2" xfId="39056" xr:uid="{DE27C264-E5A9-4512-AB70-C0D91EE3F7D8}"/>
    <cellStyle name="Note 21 3 2 15" xfId="18439" xr:uid="{8004362C-B3EB-4467-8428-0DEED1C46A21}"/>
    <cellStyle name="Note 21 3 2 15 2" xfId="39450" xr:uid="{B8106903-51D5-4E86-86EB-82E1FB76FF83}"/>
    <cellStyle name="Note 21 3 2 16" xfId="19628" xr:uid="{82A907BA-262F-417F-B711-B75FADE39F8B}"/>
    <cellStyle name="Note 21 3 2 16 2" xfId="40268" xr:uid="{F8864C1D-2720-4C5F-917D-B2A7CFA5468A}"/>
    <cellStyle name="Note 21 3 2 17" xfId="16315" xr:uid="{9C024E48-0757-4A85-B8B9-2B56EEDDECB5}"/>
    <cellStyle name="Note 21 3 2 17 2" xfId="37852" xr:uid="{F4ADFA5B-B5DF-4824-BFF1-8255C9CCF2A6}"/>
    <cellStyle name="Note 21 3 2 18" xfId="20739" xr:uid="{3B111125-AF86-4B94-B61C-02F8C7A0FB3B}"/>
    <cellStyle name="Note 21 3 2 18 2" xfId="41099" xr:uid="{0445AF8B-F610-46C0-8248-6576F20C90CC}"/>
    <cellStyle name="Note 21 3 2 19" xfId="24746" xr:uid="{9A3D3CA8-3FF1-4428-8F93-009596B42FE5}"/>
    <cellStyle name="Note 21 3 2 19 2" xfId="43891" xr:uid="{23EE4AE7-4D2C-4351-913F-8D9852B6B542}"/>
    <cellStyle name="Note 21 3 2 2" xfId="8083" xr:uid="{FF67CD60-E774-49F8-BDB6-8A0F20A48870}"/>
    <cellStyle name="Note 21 3 2 2 2" xfId="32327" xr:uid="{6E6022D6-FE65-4754-A006-68B1203841CB}"/>
    <cellStyle name="Note 21 3 2 20" xfId="23319" xr:uid="{DD11993C-71AC-4405-BA66-331509363542}"/>
    <cellStyle name="Note 21 3 2 20 2" xfId="42891" xr:uid="{0A37C4BA-FFBE-436F-9AF3-9217EA73FF3C}"/>
    <cellStyle name="Note 21 3 2 21" xfId="21066" xr:uid="{9B3F0EB9-91C7-45B7-97BB-C09C988BFF84}"/>
    <cellStyle name="Note 21 3 2 21 2" xfId="41311" xr:uid="{3C149656-9951-49B1-85B4-91DE6E9EFF42}"/>
    <cellStyle name="Note 21 3 2 22" xfId="20551" xr:uid="{57D9B1BD-753A-4A83-BBE0-5A02B40ABD8A}"/>
    <cellStyle name="Note 21 3 2 22 2" xfId="40931" xr:uid="{ECC3A994-2AFE-4034-AD34-A5EBD201F156}"/>
    <cellStyle name="Note 21 3 2 23" xfId="26111" xr:uid="{60D360D3-99BD-48C9-BBD7-ECF65D14E0D0}"/>
    <cellStyle name="Note 21 3 2 23 2" xfId="44854" xr:uid="{E3167B33-2C79-4712-81AE-A0500B8E3EF5}"/>
    <cellStyle name="Note 21 3 2 24" xfId="30288" xr:uid="{599BD45D-D4C7-48A1-A5DD-1F8D7C064A2C}"/>
    <cellStyle name="Note 21 3 2 24 2" xfId="47436" xr:uid="{057244B5-7D60-4476-B6A0-A49D9B06BFAC}"/>
    <cellStyle name="Note 21 3 2 25" xfId="25906" xr:uid="{9008C961-EB09-4B2B-BC60-CB7EA251CD4C}"/>
    <cellStyle name="Note 21 3 2 25 2" xfId="44710" xr:uid="{437A8B76-EF5F-4BB5-AA13-B4E7537B6E5C}"/>
    <cellStyle name="Note 21 3 2 26" xfId="28679" xr:uid="{531F56F3-9103-42EE-A356-B1E525D5E110}"/>
    <cellStyle name="Note 21 3 2 26 2" xfId="46413" xr:uid="{6ACE3699-70A9-47A5-B282-5B2009B4BB50}"/>
    <cellStyle name="Note 21 3 2 27" xfId="29005" xr:uid="{D42AF773-7F41-45E4-AE51-D9F76991EFFA}"/>
    <cellStyle name="Note 21 3 2 27 2" xfId="46599" xr:uid="{C7BDE913-FDA8-4594-B72E-6BA4B83FFFB0}"/>
    <cellStyle name="Note 21 3 2 28" xfId="6453" xr:uid="{C6A2B840-8173-4566-840C-13884222CFD8}"/>
    <cellStyle name="Note 21 3 2 3" xfId="9315" xr:uid="{A9C307BE-1803-4CF2-8746-C6C0415EBCCB}"/>
    <cellStyle name="Note 21 3 2 3 2" xfId="33299" xr:uid="{D69FBC92-DF3B-481B-8BE5-ECF54DC238CF}"/>
    <cellStyle name="Note 21 3 2 4" xfId="7705" xr:uid="{0FFD0DA7-0BDC-4F17-BA20-9560ED6A1569}"/>
    <cellStyle name="Note 21 3 2 4 2" xfId="32003" xr:uid="{FEC3FBC7-0CC7-4D58-A6AF-C0736CE75A74}"/>
    <cellStyle name="Note 21 3 2 5" xfId="14322" xr:uid="{3465B2C1-9EE8-4FB0-B1EC-857D9F7157D1}"/>
    <cellStyle name="Note 21 3 2 5 2" xfId="36365" xr:uid="{839CBDDD-0BD1-45A4-A944-FB34431F0FA3}"/>
    <cellStyle name="Note 21 3 2 6" xfId="13041" xr:uid="{35255719-834D-44CB-BF07-122E4EBF7CC1}"/>
    <cellStyle name="Note 21 3 2 6 2" xfId="35389" xr:uid="{36B25EF5-EF2D-48F5-A18B-01781919630C}"/>
    <cellStyle name="Note 21 3 2 7" xfId="8515" xr:uid="{EF875E0C-D9F1-4B9C-80D3-375C5B045970}"/>
    <cellStyle name="Note 21 3 2 7 2" xfId="32702" xr:uid="{59F9B6DA-FD21-4260-9C8E-5BAEEDE1BE96}"/>
    <cellStyle name="Note 21 3 2 8" xfId="14893" xr:uid="{F1710E65-C8DA-4749-8270-5DC17C2EC0B2}"/>
    <cellStyle name="Note 21 3 2 8 2" xfId="36768" xr:uid="{51556F70-9046-413C-9AFE-C5809A92B05B}"/>
    <cellStyle name="Note 21 3 2 9" xfId="11685" xr:uid="{0432EC69-DCAA-4856-852F-8480836F808A}"/>
    <cellStyle name="Note 21 3 2 9 2" xfId="34298" xr:uid="{8951E662-F57F-481A-B08E-349AA460FB7A}"/>
    <cellStyle name="Note 21 3 20" xfId="20390" xr:uid="{06E9EBDA-C20B-463F-9B2E-280BABC9C0A8}"/>
    <cellStyle name="Note 21 3 20 2" xfId="40812" xr:uid="{A182EC5C-FC88-451B-AF46-A7CC38D97ED7}"/>
    <cellStyle name="Note 21 3 21" xfId="13939" xr:uid="{7AA749BF-314E-4274-A9D6-F9BAE1622714}"/>
    <cellStyle name="Note 21 3 21 2" xfId="36047" xr:uid="{0939434D-A747-45D9-B09C-89F93A74F832}"/>
    <cellStyle name="Note 21 3 22" xfId="25310" xr:uid="{5D940DB4-3096-4A90-88E4-4A88D11B2BB1}"/>
    <cellStyle name="Note 21 3 22 2" xfId="44226" xr:uid="{5FF66B8E-B513-46CC-A50C-D0EA6B860F71}"/>
    <cellStyle name="Note 21 3 23" xfId="15341" xr:uid="{A1E88FB3-E700-48BC-AD87-E5BBD7149A89}"/>
    <cellStyle name="Note 21 3 23 2" xfId="37041" xr:uid="{8B1D785E-8255-4615-8AF4-7410E63EFE60}"/>
    <cellStyle name="Note 21 3 24" xfId="27005" xr:uid="{24260A30-E446-40F7-A6AF-C03738300921}"/>
    <cellStyle name="Note 21 3 24 2" xfId="45411" xr:uid="{A253E6FE-8023-4F82-8BF8-7E5600D71696}"/>
    <cellStyle name="Note 21 3 25" xfId="30285" xr:uid="{6BE6B62D-28C3-411E-A758-1B28C2B01FCD}"/>
    <cellStyle name="Note 21 3 25 2" xfId="47433" xr:uid="{FAD547A0-4A8E-40AF-A6AA-3DE6074268BE}"/>
    <cellStyle name="Note 21 3 26" xfId="23526" xr:uid="{B1480FD7-6688-4714-B430-C4563F1E1840}"/>
    <cellStyle name="Note 21 3 26 2" xfId="42981" xr:uid="{FDE00CAB-7701-49AB-A940-17618C987CCC}"/>
    <cellStyle name="Note 21 3 27" xfId="23043" xr:uid="{E9E4DC25-8AEE-4488-93C8-ED075E3E39E0}"/>
    <cellStyle name="Note 21 3 27 2" xfId="42677" xr:uid="{BF881D2C-43EE-4218-A5E9-7435850DAFC8}"/>
    <cellStyle name="Note 21 3 28" xfId="26534" xr:uid="{31A4AFC4-7DEA-418D-869F-F085E4B017B9}"/>
    <cellStyle name="Note 21 3 28 2" xfId="45109" xr:uid="{31CD8BC4-B3B9-4EEF-A6B9-31257912CA1B}"/>
    <cellStyle name="Note 21 3 29" xfId="6452" xr:uid="{D101A6F5-6B66-4927-B2F0-58747AF17399}"/>
    <cellStyle name="Note 21 3 3" xfId="8084" xr:uid="{82183F07-1BE6-4D11-9F4C-BD43C83DF04C}"/>
    <cellStyle name="Note 21 3 3 2" xfId="32328" xr:uid="{0C449C68-5DCE-4221-9257-24C05CD73289}"/>
    <cellStyle name="Note 21 3 4" xfId="9314" xr:uid="{D57819E0-55A7-4705-9A24-82A2DF3DAA5A}"/>
    <cellStyle name="Note 21 3 4 2" xfId="33298" xr:uid="{9E39A2EF-89C9-45A0-9B2E-37602D1C7BD9}"/>
    <cellStyle name="Note 21 3 5" xfId="7706" xr:uid="{8509B4FD-7607-4634-9FF8-B8062835B323}"/>
    <cellStyle name="Note 21 3 5 2" xfId="32004" xr:uid="{E6A81410-914D-4EEE-9D54-9D6A288DD591}"/>
    <cellStyle name="Note 21 3 6" xfId="8811" xr:uid="{A3B3A3F7-C349-49B5-904F-7D67C6A0A283}"/>
    <cellStyle name="Note 21 3 6 2" xfId="32934" xr:uid="{3FAFB0FC-2B41-4DC0-B34D-24BB250C3877}"/>
    <cellStyle name="Note 21 3 7" xfId="10424" xr:uid="{CA505891-E7B0-4FE1-AFD6-5F93E971EF85}"/>
    <cellStyle name="Note 21 3 7 2" xfId="34059" xr:uid="{3C977A45-4A5E-4890-9643-CA600F1744F7}"/>
    <cellStyle name="Note 21 3 8" xfId="8516" xr:uid="{E9C661DA-CD8F-4200-8CE2-3E6529E41A2E}"/>
    <cellStyle name="Note 21 3 8 2" xfId="32703" xr:uid="{C3B230C1-6EE0-4494-9325-329B1BA466AB}"/>
    <cellStyle name="Note 21 3 9" xfId="10560" xr:uid="{85E356D9-8E8F-4A1A-A6E9-54ECAC257ABA}"/>
    <cellStyle name="Note 21 3 9 2" xfId="34186" xr:uid="{13B0620E-D088-46E3-8546-B94B26F6CB7A}"/>
    <cellStyle name="Note 21 30" xfId="27166" xr:uid="{60699947-5E63-432D-A3AC-08DCF0AEAA8C}"/>
    <cellStyle name="Note 21 30 2" xfId="45507" xr:uid="{63C7F577-813B-4605-8163-12753E67BC75}"/>
    <cellStyle name="Note 21 31" xfId="25868" xr:uid="{D2780A04-FAED-418C-BB0C-1EF00EB9BABA}"/>
    <cellStyle name="Note 21 31 2" xfId="44685" xr:uid="{FE936C6C-D54E-427B-B213-7B91449CD009}"/>
    <cellStyle name="Note 21 32" xfId="23719" xr:uid="{255DDE24-ED94-4409-94CF-3A212B103271}"/>
    <cellStyle name="Note 21 32 2" xfId="43137" xr:uid="{12260781-3CC3-428A-937D-65273E1F4159}"/>
    <cellStyle name="Note 21 33" xfId="23034" xr:uid="{B71F83C1-62BB-4299-BBC3-F820C533C2EF}"/>
    <cellStyle name="Note 21 33 2" xfId="42668" xr:uid="{21DE469F-0785-4E24-A6EF-6AFEAF12035F}"/>
    <cellStyle name="Note 21 34" xfId="29201" xr:uid="{02D7615F-2B36-4E71-AEDB-1E2BC4984C07}"/>
    <cellStyle name="Note 21 34 2" xfId="46727" xr:uid="{0DC318DF-5D8A-43FA-9AB2-6F6E7647F7E3}"/>
    <cellStyle name="Note 21 35" xfId="6447" xr:uid="{D330E6CA-EEE4-4C6B-AB5E-6DC360792303}"/>
    <cellStyle name="Note 21 4" xfId="2929" xr:uid="{5787AF61-5891-4426-9C48-1A21CB589021}"/>
    <cellStyle name="Note 21 4 10" xfId="7252" xr:uid="{6106C9DA-5094-4FD3-A4B0-57F69A65DB57}"/>
    <cellStyle name="Note 21 4 10 2" xfId="31617" xr:uid="{E28209CF-EF66-42D8-9EFF-93397132F288}"/>
    <cellStyle name="Note 21 4 11" xfId="15479" xr:uid="{85030538-98C1-42CF-9C8E-6CA43E2B7498}"/>
    <cellStyle name="Note 21 4 11 2" xfId="37144" xr:uid="{607DB586-A162-4786-A760-C9C522352208}"/>
    <cellStyle name="Note 21 4 12" xfId="16602" xr:uid="{4B950A67-7D6A-4555-B153-396AB7AA6D2B}"/>
    <cellStyle name="Note 21 4 12 2" xfId="38095" xr:uid="{6F422E58-0DE7-47CA-BDB4-024474E3B362}"/>
    <cellStyle name="Note 21 4 13" xfId="17507" xr:uid="{ADD16386-D9D8-44A5-B4AB-FA898D60297C}"/>
    <cellStyle name="Note 21 4 13 2" xfId="38754" xr:uid="{19444F72-F3F2-48C2-AB53-2E0B8E9960D4}"/>
    <cellStyle name="Note 21 4 14" xfId="20806" xr:uid="{48C1EECD-CD91-425B-978E-845D1F5818F3}"/>
    <cellStyle name="Note 21 4 14 2" xfId="41166" xr:uid="{8A1AE75C-6407-417F-A47F-9BB114906146}"/>
    <cellStyle name="Note 21 4 15" xfId="19747" xr:uid="{A371DCE5-06FC-4669-9BE8-3B35955FC11A}"/>
    <cellStyle name="Note 21 4 15 2" xfId="40364" xr:uid="{EFDE7B97-F08B-485D-8349-F7426815B0DC}"/>
    <cellStyle name="Note 21 4 16" xfId="10175" xr:uid="{C1713FCB-F619-4FFA-8999-E033D0726C78}"/>
    <cellStyle name="Note 21 4 16 2" xfId="33832" xr:uid="{50B68C42-F3B1-4CD9-930C-65B6307C9920}"/>
    <cellStyle name="Note 21 4 17" xfId="21430" xr:uid="{5DEAA14B-5113-4993-B135-6F398A050F85}"/>
    <cellStyle name="Note 21 4 17 2" xfId="41559" xr:uid="{94418086-E96F-4C26-83B2-2BFF9214AE38}"/>
    <cellStyle name="Note 21 4 18" xfId="24117" xr:uid="{62A7A69F-BC28-4B08-A9BC-33C3D96C8A34}"/>
    <cellStyle name="Note 21 4 18 2" xfId="43493" xr:uid="{F86B7FD9-EE76-46F1-BD7D-09F32BDC635D}"/>
    <cellStyle name="Note 21 4 19" xfId="17074" xr:uid="{0486DEE2-93B6-466B-8A9D-39E0464FEA10}"/>
    <cellStyle name="Note 21 4 19 2" xfId="38413" xr:uid="{125A42EE-4B2D-497D-B6F4-5DE1E6797672}"/>
    <cellStyle name="Note 21 4 2" xfId="2930" xr:uid="{280FFDA1-42AD-4744-8CC0-07C726C2F657}"/>
    <cellStyle name="Note 21 4 2 10" xfId="12284" xr:uid="{2A67245C-2596-419F-AE61-5A004A226395}"/>
    <cellStyle name="Note 21 4 2 10 2" xfId="34790" xr:uid="{8DA9C47B-7739-419B-9B2B-32B0D225861C}"/>
    <cellStyle name="Note 21 4 2 11" xfId="12508" xr:uid="{6BC93A4F-6637-49F6-8127-FF50E03B5E59}"/>
    <cellStyle name="Note 21 4 2 11 2" xfId="34952" xr:uid="{2EEACE82-39D5-419F-A28A-98E1FACF1835}"/>
    <cellStyle name="Note 21 4 2 12" xfId="15168" xr:uid="{EC7849E9-87B6-42DC-88DF-EE03AA44A9AD}"/>
    <cellStyle name="Note 21 4 2 12 2" xfId="36956" xr:uid="{906D68C9-DF0F-428B-877C-188E56CC3E00}"/>
    <cellStyle name="Note 21 4 2 13" xfId="19284" xr:uid="{0F6EA6BA-8533-4DA1-959C-62BA55F966BE}"/>
    <cellStyle name="Note 21 4 2 13 2" xfId="40070" xr:uid="{AC8531D8-DEE0-4399-9DF6-8A2D2C8D7AC7}"/>
    <cellStyle name="Note 21 4 2 14" xfId="15279" xr:uid="{43344884-A6CA-4F98-B0C9-9B447026F1C6}"/>
    <cellStyle name="Note 21 4 2 14 2" xfId="36996" xr:uid="{E59758F1-F97E-4D6A-9384-C56112D0D6A0}"/>
    <cellStyle name="Note 21 4 2 15" xfId="21661" xr:uid="{3B65B6CC-CEA2-4604-9BE1-F02D8DDEAF3A}"/>
    <cellStyle name="Note 21 4 2 15 2" xfId="41734" xr:uid="{438594F0-A0C4-45D6-A2C9-3486B7B89A20}"/>
    <cellStyle name="Note 21 4 2 16" xfId="15293" xr:uid="{B33BFF2C-2FCB-406F-8BA3-BBCD592E6232}"/>
    <cellStyle name="Note 21 4 2 16 2" xfId="37008" xr:uid="{ED2E95ED-3891-45EF-9349-ADB6BF63EBC6}"/>
    <cellStyle name="Note 21 4 2 17" xfId="18324" xr:uid="{A4553111-64F0-4A00-8722-9ACFC3AFA02B}"/>
    <cellStyle name="Note 21 4 2 17 2" xfId="39355" xr:uid="{A7F09BB7-5542-450D-A1C5-A273699955DD}"/>
    <cellStyle name="Note 21 4 2 18" xfId="20740" xr:uid="{EDBCE24A-4C68-4F5A-9927-8EF8221B23F8}"/>
    <cellStyle name="Note 21 4 2 18 2" xfId="41100" xr:uid="{6D5CAD53-9890-4C36-986F-D8E1BAF91A3E}"/>
    <cellStyle name="Note 21 4 2 19" xfId="24745" xr:uid="{B6B2BFB1-C6B8-478F-A4FE-3EA7F40923D3}"/>
    <cellStyle name="Note 21 4 2 19 2" xfId="43890" xr:uid="{A8DAFB80-B640-4596-83C6-4D65BB0D5307}"/>
    <cellStyle name="Note 21 4 2 2" xfId="8081" xr:uid="{74C9C50B-6634-4AE0-A160-57428974016D}"/>
    <cellStyle name="Note 21 4 2 2 2" xfId="32325" xr:uid="{D198D02C-8E94-4861-AEAC-E0495524AA2E}"/>
    <cellStyle name="Note 21 4 2 20" xfId="23320" xr:uid="{75858265-9FC2-4E7B-B38D-82290DE414A3}"/>
    <cellStyle name="Note 21 4 2 20 2" xfId="42892" xr:uid="{9CB15EFB-23BA-4ECB-929E-A61CFA3C556B}"/>
    <cellStyle name="Note 21 4 2 21" xfId="20350" xr:uid="{9B3C15D0-5099-4746-8AC0-936D88612EF4}"/>
    <cellStyle name="Note 21 4 2 21 2" xfId="40782" xr:uid="{582B2626-D10A-4982-82CD-4C43C4B8ECE3}"/>
    <cellStyle name="Note 21 4 2 22" xfId="20550" xr:uid="{22EE2B72-6BCC-46F4-8E32-335789EA0617}"/>
    <cellStyle name="Note 21 4 2 22 2" xfId="40930" xr:uid="{6565433D-1355-4B75-A440-4C095749F85C}"/>
    <cellStyle name="Note 21 4 2 23" xfId="27164" xr:uid="{5AB75487-B541-4B13-B29C-0C24D8055C42}"/>
    <cellStyle name="Note 21 4 2 23 2" xfId="45505" xr:uid="{47027FEC-6341-4A5E-B4AE-710CB0A2F470}"/>
    <cellStyle name="Note 21 4 2 24" xfId="30287" xr:uid="{1A863C49-C75E-42FD-9639-0E76DDF436BB}"/>
    <cellStyle name="Note 21 4 2 24 2" xfId="47435" xr:uid="{93B64DE3-8238-4EA5-829B-2FB83F85F222}"/>
    <cellStyle name="Note 21 4 2 25" xfId="24314" xr:uid="{FDD17258-1246-46F4-A3FA-9C2774CF785E}"/>
    <cellStyle name="Note 21 4 2 25 2" xfId="43580" xr:uid="{21588080-B23C-49D5-85AC-22E8C9911F6E}"/>
    <cellStyle name="Note 21 4 2 26" xfId="28680" xr:uid="{F6D94608-61F0-4B73-841C-34DCCBFF6AAE}"/>
    <cellStyle name="Note 21 4 2 26 2" xfId="46414" xr:uid="{B2A2413B-672B-4F28-82A7-8164D5454448}"/>
    <cellStyle name="Note 21 4 2 27" xfId="29205" xr:uid="{BC15C1A9-64DD-42E1-8F23-D7DC7AD2E88D}"/>
    <cellStyle name="Note 21 4 2 27 2" xfId="46731" xr:uid="{68AE92E7-AC59-47FF-ABB5-1030D8F2BA3C}"/>
    <cellStyle name="Note 21 4 2 28" xfId="6455" xr:uid="{CA73D32D-1597-4F0F-9004-2A27CCD006B5}"/>
    <cellStyle name="Note 21 4 2 3" xfId="9317" xr:uid="{29CED708-C970-4144-A4F1-18EEB0D84FEF}"/>
    <cellStyle name="Note 21 4 2 3 2" xfId="33301" xr:uid="{CABD3169-F82F-4AD5-920F-DC0F53661249}"/>
    <cellStyle name="Note 21 4 2 4" xfId="7703" xr:uid="{81E64800-A7BC-4D9C-85C2-5E7C844E0671}"/>
    <cellStyle name="Note 21 4 2 4 2" xfId="32001" xr:uid="{28E9FA87-AC03-49C0-87B2-8C98B3993745}"/>
    <cellStyle name="Note 21 4 2 5" xfId="8810" xr:uid="{6BF64A4B-4553-4AD1-BD20-C635162F878C}"/>
    <cellStyle name="Note 21 4 2 5 2" xfId="32933" xr:uid="{CE5DCBC9-3D10-4CC8-9DAE-C3D1596F0020}"/>
    <cellStyle name="Note 21 4 2 6" xfId="13040" xr:uid="{A96EF724-DFD8-47DB-8323-F2DB10EB8BAA}"/>
    <cellStyle name="Note 21 4 2 6 2" xfId="35388" xr:uid="{D4B3AC76-4CED-41A9-BE65-A803ABBBDC90}"/>
    <cellStyle name="Note 21 4 2 7" xfId="8513" xr:uid="{05D67511-A0AB-45A7-897A-4A6D3C6A79FD}"/>
    <cellStyle name="Note 21 4 2 7 2" xfId="32700" xr:uid="{345C8286-2437-496E-9B35-1CC5F60D3E94}"/>
    <cellStyle name="Note 21 4 2 8" xfId="14892" xr:uid="{CDBA0ADF-83FA-4FBF-92B2-2945951C0960}"/>
    <cellStyle name="Note 21 4 2 8 2" xfId="36767" xr:uid="{C39ED248-A4E7-489F-B174-E4E41FC3B047}"/>
    <cellStyle name="Note 21 4 2 9" xfId="11684" xr:uid="{49A244C5-C0B4-4758-93DA-66F92DB511C4}"/>
    <cellStyle name="Note 21 4 2 9 2" xfId="34297" xr:uid="{F7E7BA55-6AB6-429A-B7E1-5E1922E45B20}"/>
    <cellStyle name="Note 21 4 20" xfId="22879" xr:uid="{29595E94-EC3B-4B0E-B0F9-430598F3BC72}"/>
    <cellStyle name="Note 21 4 20 2" xfId="42597" xr:uid="{80FA5B63-E598-4FB8-A61C-714A27F5CB3B}"/>
    <cellStyle name="Note 21 4 21" xfId="18135" xr:uid="{95628A15-A36E-4FA3-9B0E-F72D283E2DE5}"/>
    <cellStyle name="Note 21 4 21 2" xfId="39209" xr:uid="{BBA4AE48-6A77-4028-80AC-4A4DE8F9044F}"/>
    <cellStyle name="Note 21 4 22" xfId="25333" xr:uid="{587B569F-1700-45C4-88D5-980C285BBF98}"/>
    <cellStyle name="Note 21 4 22 2" xfId="44249" xr:uid="{F2B9021E-94D3-48F8-B628-2B35E35C4E41}"/>
    <cellStyle name="Note 21 4 23" xfId="18852" xr:uid="{C6B3494A-48FB-46BF-9211-6712BFD0D4E6}"/>
    <cellStyle name="Note 21 4 23 2" xfId="39698" xr:uid="{0C0B04AB-7516-47E1-97DD-47FFCF827840}"/>
    <cellStyle name="Note 21 4 24" xfId="28615" xr:uid="{F0E01A3C-9F0D-4F0C-9044-55E395EF15F3}"/>
    <cellStyle name="Note 21 4 24 2" xfId="46349" xr:uid="{E73CC14D-059F-4831-86DC-05EE525342E3}"/>
    <cellStyle name="Note 21 4 25" xfId="19506" xr:uid="{9CAF74F9-DD26-4448-AF8D-9D3CF8F4BD50}"/>
    <cellStyle name="Note 21 4 25 2" xfId="40183" xr:uid="{15DB951B-815F-4306-9395-5E86F4F6061B}"/>
    <cellStyle name="Note 21 4 26" xfId="25558" xr:uid="{10071E8A-A002-4B01-8370-1F0347F774B5}"/>
    <cellStyle name="Note 21 4 26 2" xfId="44426" xr:uid="{CC6B4B26-F6DC-4539-BC06-5AFD0D2FF333}"/>
    <cellStyle name="Note 21 4 27" xfId="27402" xr:uid="{DD94CAC7-32E1-4CC6-80DF-CDCB98F0FED3}"/>
    <cellStyle name="Note 21 4 27 2" xfId="45657" xr:uid="{AF3174B2-6237-41B0-BB80-292A9B8E08D2}"/>
    <cellStyle name="Note 21 4 28" xfId="29202" xr:uid="{DA793342-03C9-41C6-A750-244D260EB074}"/>
    <cellStyle name="Note 21 4 28 2" xfId="46728" xr:uid="{A97BAEDE-E23B-4960-A255-0C5678AA1F75}"/>
    <cellStyle name="Note 21 4 29" xfId="6454" xr:uid="{C6613524-9F87-4DF8-BCF3-9390E250D147}"/>
    <cellStyle name="Note 21 4 3" xfId="8082" xr:uid="{9AD1AEB2-C12F-4F2A-A451-5DB8973A7600}"/>
    <cellStyle name="Note 21 4 3 2" xfId="32326" xr:uid="{2AB63E21-D1E6-4418-A0EC-E1A4D533A33C}"/>
    <cellStyle name="Note 21 4 4" xfId="9316" xr:uid="{A3F6A4AD-64CB-44D8-B39D-CF563FDA4DB4}"/>
    <cellStyle name="Note 21 4 4 2" xfId="33300" xr:uid="{A3AD5D46-0A71-4E2D-9E8C-F1ACF2CA29F8}"/>
    <cellStyle name="Note 21 4 5" xfId="7704" xr:uid="{FE0F6AB2-F2D9-4279-B53A-8A8B0F310A8A}"/>
    <cellStyle name="Note 21 4 5 2" xfId="32002" xr:uid="{DB386E51-3050-4245-AEE7-46968C83D3A4}"/>
    <cellStyle name="Note 21 4 6" xfId="14325" xr:uid="{C79127F1-75BE-490A-9489-4FBB863B13F1}"/>
    <cellStyle name="Note 21 4 6 2" xfId="36368" xr:uid="{49BE3BA0-1245-45BE-AF77-9DF68939D277}"/>
    <cellStyle name="Note 21 4 7" xfId="10425" xr:uid="{C7E3473F-2884-4837-9773-E454121C88A2}"/>
    <cellStyle name="Note 21 4 7 2" xfId="34060" xr:uid="{BC2D5236-438D-4EF0-99B3-E7E46582E0E2}"/>
    <cellStyle name="Note 21 4 8" xfId="8514" xr:uid="{640643B6-AED3-4AD2-88FF-BF00C1227864}"/>
    <cellStyle name="Note 21 4 8 2" xfId="32701" xr:uid="{9F4016AB-CA2E-4D15-806B-4076A7AF515F}"/>
    <cellStyle name="Note 21 4 9" xfId="14402" xr:uid="{20D3BF26-695F-4B1C-886E-CED30E73F20C}"/>
    <cellStyle name="Note 21 4 9 2" xfId="36395" xr:uid="{E852D0D2-E618-47A0-90BB-142747D81376}"/>
    <cellStyle name="Note 21 5" xfId="2931" xr:uid="{109717DF-B43A-459A-A7F7-89EE5F3EFCA3}"/>
    <cellStyle name="Note 21 5 10" xfId="7251" xr:uid="{18469DB7-581D-4EC7-83C2-A5463E94B9CD}"/>
    <cellStyle name="Note 21 5 10 2" xfId="31616" xr:uid="{BC734A03-586E-49E1-A707-C99017A5543D}"/>
    <cellStyle name="Note 21 5 11" xfId="12774" xr:uid="{8522FE93-2847-400A-8E54-71C1301EAF0D}"/>
    <cellStyle name="Note 21 5 11 2" xfId="35182" xr:uid="{17A8881F-7256-429C-A870-67D48C720078}"/>
    <cellStyle name="Note 21 5 12" xfId="16601" xr:uid="{C0DDD68F-BC83-4990-A119-38186A2502F5}"/>
    <cellStyle name="Note 21 5 12 2" xfId="38094" xr:uid="{04AF3E33-77D3-4D73-9CC1-2DFA7775B23C}"/>
    <cellStyle name="Note 21 5 13" xfId="17506" xr:uid="{753EB59D-B40C-4B74-AE8A-6FE53E0D3193}"/>
    <cellStyle name="Note 21 5 13 2" xfId="38753" xr:uid="{4AD47253-ACB4-4D3E-B840-9F2BE7AC6BB0}"/>
    <cellStyle name="Note 21 5 14" xfId="20809" xr:uid="{A81226A1-8D22-4FF5-9662-DAFF3D52C34F}"/>
    <cellStyle name="Note 21 5 14 2" xfId="41169" xr:uid="{FA5AC55D-FD89-4B59-8F87-21CEDE55B986}"/>
    <cellStyle name="Note 21 5 15" xfId="19746" xr:uid="{75732676-4E95-4EBC-AF6B-11FFF7533EBA}"/>
    <cellStyle name="Note 21 5 15 2" xfId="40363" xr:uid="{54D5F90F-8332-43BA-90A3-2535F25A7CA5}"/>
    <cellStyle name="Note 21 5 16" xfId="18437" xr:uid="{D5C33ADD-FB4D-4270-89EC-1E3F5A24B92C}"/>
    <cellStyle name="Note 21 5 16 2" xfId="39448" xr:uid="{A86FA4AC-7BDF-4C6C-A590-CC1AD27176AF}"/>
    <cellStyle name="Note 21 5 17" xfId="22514" xr:uid="{4B7CC145-BCF5-4358-8AA9-3C0B5920C9C1}"/>
    <cellStyle name="Note 21 5 17 2" xfId="42313" xr:uid="{93E1C0B2-E222-471D-B732-1FA69BAACFE5}"/>
    <cellStyle name="Note 21 5 18" xfId="24116" xr:uid="{642300E2-2C51-4FF5-BAC8-BC59D952EA59}"/>
    <cellStyle name="Note 21 5 18 2" xfId="43492" xr:uid="{60FDE7C8-38CB-4152-98E4-C4323AA4EB12}"/>
    <cellStyle name="Note 21 5 19" xfId="18945" xr:uid="{202A2997-6D66-4B4A-8EC0-58C15EB948E3}"/>
    <cellStyle name="Note 21 5 19 2" xfId="39777" xr:uid="{4418A07C-6773-4585-AA35-29ED9335CA4E}"/>
    <cellStyle name="Note 21 5 2" xfId="2932" xr:uid="{00F949CC-2BC0-47EE-9F36-060E360AA979}"/>
    <cellStyle name="Note 21 5 2 10" xfId="14679" xr:uid="{FCE911DB-3062-459C-A051-6BC23D3A6901}"/>
    <cellStyle name="Note 21 5 2 10 2" xfId="36591" xr:uid="{6B8EC5CF-D3D4-4B37-808E-3A5B80CEDAEC}"/>
    <cellStyle name="Note 21 5 2 11" xfId="16600" xr:uid="{802B601F-7FF8-4FE0-8B4D-80B0FD381C96}"/>
    <cellStyle name="Note 21 5 2 11 2" xfId="38093" xr:uid="{F16DF5C9-5E2C-44F0-92CE-D883B716C5F9}"/>
    <cellStyle name="Note 21 5 2 12" xfId="13700" xr:uid="{23C4FD95-44DB-47A0-B262-EA8E38FBAC98}"/>
    <cellStyle name="Note 21 5 2 12 2" xfId="35856" xr:uid="{A8C7DB70-F59F-4FD0-A1BA-08F665978549}"/>
    <cellStyle name="Note 21 5 2 13" xfId="9874" xr:uid="{D34F56B2-3231-4082-807B-87785A4AFC2D}"/>
    <cellStyle name="Note 21 5 2 13 2" xfId="33620" xr:uid="{8D7E8612-4168-4810-B80D-52931A58D8C1}"/>
    <cellStyle name="Note 21 5 2 14" xfId="17957" xr:uid="{FD62440C-C513-4722-BC1B-E00FF1CA0951}"/>
    <cellStyle name="Note 21 5 2 14 2" xfId="39055" xr:uid="{38512B89-3D77-48B3-8642-386C08EF9E94}"/>
    <cellStyle name="Note 21 5 2 15" xfId="16707" xr:uid="{80722FBF-8CD6-446C-9FF7-D794F0BFF436}"/>
    <cellStyle name="Note 21 5 2 15 2" xfId="38197" xr:uid="{9C7A7BE6-36E8-4DBD-91DF-672A4DDFBCB8}"/>
    <cellStyle name="Note 21 5 2 16" xfId="21429" xr:uid="{FB1C361E-2AC0-4538-A49F-9694D4AAFD4B}"/>
    <cellStyle name="Note 21 5 2 16 2" xfId="41558" xr:uid="{EC959075-626D-465D-9827-C1B28CF893C1}"/>
    <cellStyle name="Note 21 5 2 17" xfId="18323" xr:uid="{4B0A65A2-B67F-449A-B5F7-F2DD8F731CB2}"/>
    <cellStyle name="Note 21 5 2 17 2" xfId="39354" xr:uid="{30DDE3A7-058A-41A7-9368-D4969B60D5A7}"/>
    <cellStyle name="Note 21 5 2 18" xfId="15356" xr:uid="{A0645990-99E0-4475-81EA-D955EF8B174E}"/>
    <cellStyle name="Note 21 5 2 18 2" xfId="37056" xr:uid="{170F8383-501F-4020-8E1B-B82A204819AC}"/>
    <cellStyle name="Note 21 5 2 19" xfId="24744" xr:uid="{C6228AC8-5782-49B9-A6B9-28C126B7FC80}"/>
    <cellStyle name="Note 21 5 2 19 2" xfId="43889" xr:uid="{EA9F3B80-C3E9-4605-B0AF-0A616F8C3E5E}"/>
    <cellStyle name="Note 21 5 2 2" xfId="8079" xr:uid="{09FABC42-FF50-47A2-9923-4FF97B7AA1B4}"/>
    <cellStyle name="Note 21 5 2 2 2" xfId="32323" xr:uid="{40789620-FC99-4BBA-83DB-630C7E398B8F}"/>
    <cellStyle name="Note 21 5 2 20" xfId="16224" xr:uid="{2935236E-83E7-4633-90D5-25C71D924D92}"/>
    <cellStyle name="Note 21 5 2 20 2" xfId="37777" xr:uid="{4526B284-1223-47AE-8B80-FA1F785AA9CF}"/>
    <cellStyle name="Note 21 5 2 21" xfId="25044" xr:uid="{4BC5E3A7-9582-44BD-BD78-CFC9DA43EB3F}"/>
    <cellStyle name="Note 21 5 2 21 2" xfId="44075" xr:uid="{B8ED0C00-A9DE-4AE7-AB5D-C8406C85664B}"/>
    <cellStyle name="Note 21 5 2 22" xfId="18540" xr:uid="{6E9832C8-8E2C-4A70-AB40-9DFA44E93CD4}"/>
    <cellStyle name="Note 21 5 2 22 2" xfId="39492" xr:uid="{41F985C6-3D6D-49AE-BB50-27AA09FE7358}"/>
    <cellStyle name="Note 21 5 2 23" xfId="28789" xr:uid="{55772EB9-AD86-4B82-A4CB-5B861DC93479}"/>
    <cellStyle name="Note 21 5 2 23 2" xfId="46464" xr:uid="{30CB4466-C06E-446D-BA14-75C12CA6B706}"/>
    <cellStyle name="Note 21 5 2 24" xfId="30286" xr:uid="{16E04D83-7C5B-44D0-A45B-B8CD65949B09}"/>
    <cellStyle name="Note 21 5 2 24 2" xfId="47434" xr:uid="{BCA5220D-576F-4D36-8194-974E997EB5E2}"/>
    <cellStyle name="Note 21 5 2 25" xfId="23686" xr:uid="{48D23293-70A8-4B19-8459-677D3825B8B2}"/>
    <cellStyle name="Note 21 5 2 25 2" xfId="43106" xr:uid="{728EAA87-A7B5-48BB-9E1A-67B942D3FD4C}"/>
    <cellStyle name="Note 21 5 2 26" xfId="28681" xr:uid="{4CDF2CC2-4321-499D-8C11-03BADD2711F8}"/>
    <cellStyle name="Note 21 5 2 26 2" xfId="46415" xr:uid="{45C85BF5-B6AF-498B-A4AA-8124326B7C44}"/>
    <cellStyle name="Note 21 5 2 27" xfId="26897" xr:uid="{D8D7D604-F3BE-45C6-A7DE-EB9B5824274F}"/>
    <cellStyle name="Note 21 5 2 27 2" xfId="45320" xr:uid="{4181C47E-0D1C-4BC4-9424-6AA583F282BA}"/>
    <cellStyle name="Note 21 5 2 28" xfId="6457" xr:uid="{A5922C92-C825-4ACA-A183-CD9D5650ED24}"/>
    <cellStyle name="Note 21 5 2 3" xfId="9319" xr:uid="{84880DD8-1BB1-4A44-AADD-2109BB2498E1}"/>
    <cellStyle name="Note 21 5 2 3 2" xfId="33303" xr:uid="{81FD8FDB-DA0D-4228-ADC3-13180E94AAF9}"/>
    <cellStyle name="Note 21 5 2 4" xfId="7701" xr:uid="{7F8E3380-1A6C-4885-A461-1E19014C5E5C}"/>
    <cellStyle name="Note 21 5 2 4 2" xfId="31999" xr:uid="{8D263B92-DC44-4418-8435-4C9CAB3A133E}"/>
    <cellStyle name="Note 21 5 2 5" xfId="8809" xr:uid="{7618E614-2FA0-4508-B610-734AF3D2A036}"/>
    <cellStyle name="Note 21 5 2 5 2" xfId="32932" xr:uid="{B815A7FA-4127-453C-8732-B73EEB34AA2F}"/>
    <cellStyle name="Note 21 5 2 6" xfId="13039" xr:uid="{0501F32B-EBD8-40BC-BF7B-7EF8E4FDB55A}"/>
    <cellStyle name="Note 21 5 2 6 2" xfId="35387" xr:uid="{6F00CF15-4B90-4008-A549-EA0C8D8EF603}"/>
    <cellStyle name="Note 21 5 2 7" xfId="8511" xr:uid="{3FBF5CCF-1C50-4700-8113-4183E5012E92}"/>
    <cellStyle name="Note 21 5 2 7 2" xfId="32698" xr:uid="{1C5BB94E-4F39-48FA-A46C-C795352B6F85}"/>
    <cellStyle name="Note 21 5 2 8" xfId="14891" xr:uid="{25B73F7B-F72F-446A-8375-AFC1790F1B12}"/>
    <cellStyle name="Note 21 5 2 8 2" xfId="36766" xr:uid="{513F7353-1A40-4CEF-99B8-378670F9B4EB}"/>
    <cellStyle name="Note 21 5 2 9" xfId="11683" xr:uid="{3D9A45B9-991B-47E1-AA4C-B97C068DA58B}"/>
    <cellStyle name="Note 21 5 2 9 2" xfId="34296" xr:uid="{B43E9DBD-3E34-4B1F-9C74-EBAE68975E1F}"/>
    <cellStyle name="Note 21 5 20" xfId="22872" xr:uid="{AAB5C814-D59E-452B-BA78-7F3F62C529AD}"/>
    <cellStyle name="Note 21 5 20 2" xfId="42590" xr:uid="{1B56C108-C9F5-4EB8-A49A-1BE6C4928254}"/>
    <cellStyle name="Note 21 5 21" xfId="23318" xr:uid="{536433C7-2C3A-408A-86FA-A5A8E750D5F0}"/>
    <cellStyle name="Note 21 5 21 2" xfId="42890" xr:uid="{25796017-D061-4411-8639-02A87BFF7611}"/>
    <cellStyle name="Note 21 5 22" xfId="22680" xr:uid="{7ACC643C-0C01-4149-8164-3E7F4DDA8992}"/>
    <cellStyle name="Note 21 5 22 2" xfId="42447" xr:uid="{446FAE43-1860-46E9-8382-894B62F9A18B}"/>
    <cellStyle name="Note 21 5 23" xfId="20549" xr:uid="{D2EBEEC4-A575-4139-8FEF-72A4A44E24EF}"/>
    <cellStyle name="Note 21 5 23 2" xfId="40929" xr:uid="{76CCA497-38EC-41DB-A84B-DFCC3092FF14}"/>
    <cellStyle name="Note 21 5 24" xfId="29105" xr:uid="{AC5B2E1F-6008-444F-8659-FC97FD641075}"/>
    <cellStyle name="Note 21 5 24 2" xfId="46673" xr:uid="{E242F117-DE7A-41ED-AD7B-22FEE5627271}"/>
    <cellStyle name="Note 21 5 25" xfId="23895" xr:uid="{00AD74E8-7F2A-41DB-AF69-FF5DCB52AB23}"/>
    <cellStyle name="Note 21 5 25 2" xfId="43273" xr:uid="{FF91AB93-E97C-4289-840A-EF53C435823C}"/>
    <cellStyle name="Note 21 5 26" xfId="23622" xr:uid="{BB50D520-C3E0-455B-981B-67DB984AA718}"/>
    <cellStyle name="Note 21 5 26 2" xfId="43053" xr:uid="{5290CC75-4A0F-4154-A81D-BEEACA4B657D}"/>
    <cellStyle name="Note 21 5 27" xfId="18796" xr:uid="{29E9D828-2735-45B6-8013-10D07E4F275E}"/>
    <cellStyle name="Note 21 5 27 2" xfId="39653" xr:uid="{E8C10743-D0A4-4EC9-AD74-A0778BD19109}"/>
    <cellStyle name="Note 21 5 28" xfId="28280" xr:uid="{C40867D3-CD06-48B5-9D54-5D03066A584A}"/>
    <cellStyle name="Note 21 5 28 2" xfId="46147" xr:uid="{5BD26940-9F4F-4BB4-A216-44FD35334010}"/>
    <cellStyle name="Note 21 5 29" xfId="6456" xr:uid="{7DCD4B72-D9EC-4E2E-8544-0463AE2FCC19}"/>
    <cellStyle name="Note 21 5 3" xfId="8080" xr:uid="{2D6064B5-E3B7-4B87-8809-97719267A5EB}"/>
    <cellStyle name="Note 21 5 3 2" xfId="32324" xr:uid="{2E6B5C85-3756-4007-918F-0D2FFEB97AB2}"/>
    <cellStyle name="Note 21 5 4" xfId="9318" xr:uid="{284958DA-01DA-4100-BE83-4D6C2F26E0CD}"/>
    <cellStyle name="Note 21 5 4 2" xfId="33302" xr:uid="{91387BCE-91BE-473E-BFB3-055DFCF3D5EA}"/>
    <cellStyle name="Note 21 5 5" xfId="7702" xr:uid="{21F745A2-FDA9-437A-96CD-17D992D4330A}"/>
    <cellStyle name="Note 21 5 5 2" xfId="32000" xr:uid="{C2C214ED-682F-4A9C-B6F1-8B95594C1EE7}"/>
    <cellStyle name="Note 21 5 6" xfId="14324" xr:uid="{C9F5833B-0A93-4C72-BC1F-A15A634F019D}"/>
    <cellStyle name="Note 21 5 6 2" xfId="36367" xr:uid="{98C372E5-7FB2-466A-BCE2-09A03934CB2D}"/>
    <cellStyle name="Note 21 5 7" xfId="10426" xr:uid="{8287F207-AD58-4B80-9FE6-C237BD718F4E}"/>
    <cellStyle name="Note 21 5 7 2" xfId="34061" xr:uid="{EF0B26C9-9C69-47D3-BD51-89CBB703DD62}"/>
    <cellStyle name="Note 21 5 8" xfId="8512" xr:uid="{5C43A01F-CD50-4F0C-83C0-A47DD73DAC64}"/>
    <cellStyle name="Note 21 5 8 2" xfId="32699" xr:uid="{4BD2A07E-FC29-4F52-8569-F682B0359539}"/>
    <cellStyle name="Note 21 5 9" xfId="12922" xr:uid="{EB4188C2-9186-45AF-8CE8-6DD9EE5650B7}"/>
    <cellStyle name="Note 21 5 9 2" xfId="35278" xr:uid="{145C9B6B-04DE-4A71-98B9-B7E41860C7E1}"/>
    <cellStyle name="Note 21 6" xfId="2933" xr:uid="{2D4E4AA2-E74D-4184-AE10-FC1EBF50453B}"/>
    <cellStyle name="Note 21 6 10" xfId="7250" xr:uid="{B23AABB9-D94E-4DDE-9ACD-F27C233B8B69}"/>
    <cellStyle name="Note 21 6 10 2" xfId="31615" xr:uid="{53BF7C25-2476-47FC-9DF6-E51D5F702DD7}"/>
    <cellStyle name="Note 21 6 11" xfId="15480" xr:uid="{A1564077-40C7-40BD-9FF2-FC354F0BE3A3}"/>
    <cellStyle name="Note 21 6 11 2" xfId="37145" xr:uid="{7A2A65D6-68C1-47C7-8DAB-622ED79FD8B9}"/>
    <cellStyle name="Note 21 6 12" xfId="12509" xr:uid="{8E58D78D-81EE-478D-A1A5-7003D5BF0976}"/>
    <cellStyle name="Note 21 6 12 2" xfId="34953" xr:uid="{FEA9A8B7-4DF5-4DB9-B45B-A57E01E33964}"/>
    <cellStyle name="Note 21 6 13" xfId="17505" xr:uid="{09722D8E-FFE9-4A66-AB1F-9AC28A3BE6F3}"/>
    <cellStyle name="Note 21 6 13 2" xfId="38752" xr:uid="{247E2377-9D53-4879-94FD-893129ED5920}"/>
    <cellStyle name="Note 21 6 14" xfId="20808" xr:uid="{58C710EC-EEBB-4882-AB9A-3D8359AC1631}"/>
    <cellStyle name="Note 21 6 14 2" xfId="41168" xr:uid="{BF06DBB8-B606-4B2B-B5C4-77C7213B70CC}"/>
    <cellStyle name="Note 21 6 15" xfId="19745" xr:uid="{29F27C38-6895-4A44-B229-396B917FB4BB}"/>
    <cellStyle name="Note 21 6 15 2" xfId="40362" xr:uid="{84D55273-46BB-4BCD-8242-D9AF394839DB}"/>
    <cellStyle name="Note 21 6 16" xfId="21662" xr:uid="{DAAFCEA3-1039-48B6-8A0F-77B05DDC220A}"/>
    <cellStyle name="Note 21 6 16 2" xfId="41735" xr:uid="{9668809A-7EAA-49D0-B24F-44584AD3F67F}"/>
    <cellStyle name="Note 21 6 17" xfId="22515" xr:uid="{CF72BC3E-3045-4F11-B4C2-45B2EA0F45ED}"/>
    <cellStyle name="Note 21 6 17 2" xfId="42314" xr:uid="{DF1C8D4F-995C-4F6F-A1CB-B3B4442F4795}"/>
    <cellStyle name="Note 21 6 18" xfId="17908" xr:uid="{2DAF07EC-48AA-4C30-98D4-09FE08CCF37D}"/>
    <cellStyle name="Note 21 6 18 2" xfId="39015" xr:uid="{5D4E1C7F-5AAC-4D36-ADF1-AD1ECF6EA086}"/>
    <cellStyle name="Note 21 6 19" xfId="20742" xr:uid="{1B5AAD96-424D-4B52-B43E-BB0082104E32}"/>
    <cellStyle name="Note 21 6 19 2" xfId="41102" xr:uid="{3730FDD6-099F-4909-8279-C3C083C785C0}"/>
    <cellStyle name="Note 21 6 2" xfId="2934" xr:uid="{A9032381-B3F4-426E-89C4-3DEFB4E5E343}"/>
    <cellStyle name="Note 21 6 2 10" xfId="12285" xr:uid="{ADB554DD-95FD-4B1A-BCE9-A709A8D76002}"/>
    <cellStyle name="Note 21 6 2 10 2" xfId="34791" xr:uid="{23561E61-ECB3-47A5-B75D-7AE424B6277D}"/>
    <cellStyle name="Note 21 6 2 11" xfId="16599" xr:uid="{FA1362CC-46B2-4CE0-99B3-41956B01307F}"/>
    <cellStyle name="Note 21 6 2 11 2" xfId="38092" xr:uid="{8F752E03-F5D5-4CC7-A0AE-00F0FBD4E49F}"/>
    <cellStyle name="Note 21 6 2 12" xfId="15615" xr:uid="{178364EF-F745-4885-A467-395C37E7E768}"/>
    <cellStyle name="Note 21 6 2 12 2" xfId="37273" xr:uid="{53D530B9-E97C-4AA7-9472-2D4AA826D2EF}"/>
    <cellStyle name="Note 21 6 2 13" xfId="9875" xr:uid="{3ACD9F74-7073-43C4-BB6B-D1DC06527D19}"/>
    <cellStyle name="Note 21 6 2 13 2" xfId="33621" xr:uid="{3A836199-7B8E-4E2F-AA9D-788519F59DCD}"/>
    <cellStyle name="Note 21 6 2 14" xfId="15714" xr:uid="{18780B3A-B708-4D3E-9F9E-9C3C3C316A93}"/>
    <cellStyle name="Note 21 6 2 14 2" xfId="37345" xr:uid="{409B912E-7C1B-4151-92EA-77824385B3D4}"/>
    <cellStyle name="Note 21 6 2 15" xfId="10109" xr:uid="{35A0F101-EB4C-439E-8CA1-1B7BBE0ECB4A}"/>
    <cellStyle name="Note 21 6 2 15 2" xfId="33780" xr:uid="{EAE3A178-9015-480A-BAAA-4C3D11353D44}"/>
    <cellStyle name="Note 21 6 2 16" xfId="19627" xr:uid="{686BD423-2F38-4EC7-AD09-5F263AC254CE}"/>
    <cellStyle name="Note 21 6 2 16 2" xfId="40267" xr:uid="{7239E33E-256F-4056-891B-B889D3F32C24}"/>
    <cellStyle name="Note 21 6 2 17" xfId="24112" xr:uid="{54E03EBD-C7E8-4A6D-856E-B8C3298C6B70}"/>
    <cellStyle name="Note 21 6 2 17 2" xfId="43488" xr:uid="{06BE38BA-650B-4745-8C31-67F034232685}"/>
    <cellStyle name="Note 21 6 2 18" xfId="18946" xr:uid="{D6CCFAF6-1325-453B-B1CA-211F830F3985}"/>
    <cellStyle name="Note 21 6 2 18 2" xfId="39778" xr:uid="{A9C0A2F0-F90A-47DD-AEBF-8F1DDDBF6C0B}"/>
    <cellStyle name="Note 21 6 2 19" xfId="24743" xr:uid="{61D50AB6-8893-45D1-97CF-B2E9F9AA3DFC}"/>
    <cellStyle name="Note 21 6 2 19 2" xfId="43888" xr:uid="{BB391429-C867-49D3-8DC4-7E9A732474BF}"/>
    <cellStyle name="Note 21 6 2 2" xfId="8077" xr:uid="{A5DF9008-8AD0-4486-8C3C-B6788C76464A}"/>
    <cellStyle name="Note 21 6 2 2 2" xfId="32321" xr:uid="{2D2DF0B0-C3AD-43C9-8A91-453F2FB3CEC6}"/>
    <cellStyle name="Note 21 6 2 20" xfId="15771" xr:uid="{E332698F-C77D-4F5A-B171-37788270A4E7}"/>
    <cellStyle name="Note 21 6 2 20 2" xfId="37395" xr:uid="{B7114339-7021-4BDC-8CA6-0F7DF3E82C21}"/>
    <cellStyle name="Note 21 6 2 21" xfId="25334" xr:uid="{A4101986-6F63-41B6-A476-850F45AC55E6}"/>
    <cellStyle name="Note 21 6 2 21 2" xfId="44250" xr:uid="{42BDB246-5D1F-4184-BB58-02D8C5D3D004}"/>
    <cellStyle name="Note 21 6 2 22" xfId="16828" xr:uid="{3563A775-AEE0-450B-A5A6-7FD5F632782C}"/>
    <cellStyle name="Note 21 6 2 22 2" xfId="38256" xr:uid="{09F2B474-DEE8-4FCB-ADED-E44D3E3A4CEF}"/>
    <cellStyle name="Note 21 6 2 23" xfId="28614" xr:uid="{6A611400-994C-48B3-8F07-A012473E3B41}"/>
    <cellStyle name="Note 21 6 2 23 2" xfId="46348" xr:uid="{FD2AF1BF-4766-488B-ADD8-460653B8F374}"/>
    <cellStyle name="Note 21 6 2 24" xfId="23894" xr:uid="{433626C9-DA1A-4013-AE0B-F4921A7157CC}"/>
    <cellStyle name="Note 21 6 2 24 2" xfId="43272" xr:uid="{25CAD3EE-E6CC-41AE-BC09-CA1F555344B5}"/>
    <cellStyle name="Note 21 6 2 25" xfId="24367" xr:uid="{79A23ECD-1F00-40B6-B5F2-3F04ECBE5BD1}"/>
    <cellStyle name="Note 21 6 2 25 2" xfId="43620" xr:uid="{78BEC570-5F86-494E-AE7E-333644CA34A1}"/>
    <cellStyle name="Note 21 6 2 26" xfId="23035" xr:uid="{7F3DFFA6-118F-4731-8467-707F03F29020}"/>
    <cellStyle name="Note 21 6 2 26 2" xfId="42669" xr:uid="{69982DDA-4B18-4270-8134-C1C84B69FA2A}"/>
    <cellStyle name="Note 21 6 2 27" xfId="26478" xr:uid="{1A54A1BE-7B15-40DF-9DCF-E3A7D55FF476}"/>
    <cellStyle name="Note 21 6 2 27 2" xfId="45101" xr:uid="{A48C4A60-07D0-408D-915C-398762C94BED}"/>
    <cellStyle name="Note 21 6 2 28" xfId="6459" xr:uid="{27ECB38E-57C0-4329-B681-57473ACFD3AA}"/>
    <cellStyle name="Note 21 6 2 3" xfId="9321" xr:uid="{655CE313-7C88-4154-85D3-DEBE76CC25AB}"/>
    <cellStyle name="Note 21 6 2 3 2" xfId="33305" xr:uid="{CFF9C738-FE10-4915-8DF5-39DD84FF8CFD}"/>
    <cellStyle name="Note 21 6 2 4" xfId="7699" xr:uid="{2207880D-3024-465E-A11B-AB8913454CB3}"/>
    <cellStyle name="Note 21 6 2 4 2" xfId="31997" xr:uid="{B2230F7B-5D4A-4A93-AA16-B4BB9EFF55B3}"/>
    <cellStyle name="Note 21 6 2 5" xfId="8808" xr:uid="{F197DA33-FE4F-49C6-B85E-2F2868788E06}"/>
    <cellStyle name="Note 21 6 2 5 2" xfId="32931" xr:uid="{9D539391-B42A-4DFA-950F-F91655E60569}"/>
    <cellStyle name="Note 21 6 2 6" xfId="13038" xr:uid="{8D6E9648-B86A-4C3E-847F-109BD48C182C}"/>
    <cellStyle name="Note 21 6 2 6 2" xfId="35386" xr:uid="{AC4F5B65-D86B-43AF-9F48-319EE381630E}"/>
    <cellStyle name="Note 21 6 2 7" xfId="8509" xr:uid="{E0732AB7-1250-45C4-813F-8617ADD827E6}"/>
    <cellStyle name="Note 21 6 2 7 2" xfId="32696" xr:uid="{CFD4FFC1-CEE5-45E2-9A53-B818D0B37953}"/>
    <cellStyle name="Note 21 6 2 8" xfId="14890" xr:uid="{E89573C1-E89A-41E7-98B1-901CB63A1AF1}"/>
    <cellStyle name="Note 21 6 2 8 2" xfId="36765" xr:uid="{C6519052-F11F-424E-8AB1-387141039775}"/>
    <cellStyle name="Note 21 6 2 9" xfId="11682" xr:uid="{61EBE81C-04F9-4770-9C46-ADF7333A3754}"/>
    <cellStyle name="Note 21 6 2 9 2" xfId="34295" xr:uid="{4302C1EC-E2EC-42F1-847B-FFCD2EAED6F2}"/>
    <cellStyle name="Note 21 6 20" xfId="22878" xr:uid="{199F6355-3197-4669-9D12-D3C0941FE6DA}"/>
    <cellStyle name="Note 21 6 20 2" xfId="42596" xr:uid="{4E7E4085-A992-43C3-A878-B3D24FDD190B}"/>
    <cellStyle name="Note 21 6 21" xfId="18134" xr:uid="{42CB0768-E8FE-4CCE-A25E-36712EAE7222}"/>
    <cellStyle name="Note 21 6 21 2" xfId="39208" xr:uid="{166D793B-7C09-4924-A802-02F5519F97F5}"/>
    <cellStyle name="Note 21 6 22" xfId="25796" xr:uid="{362EBC86-A5C8-44C8-9A64-3749DB040A16}"/>
    <cellStyle name="Note 21 6 22 2" xfId="44624" xr:uid="{83B28F3F-263C-4DE7-915F-900C250CAFF6}"/>
    <cellStyle name="Note 21 6 23" xfId="20548" xr:uid="{10749D87-6984-46D1-AD79-104D82903278}"/>
    <cellStyle name="Note 21 6 23 2" xfId="40928" xr:uid="{13E10D2B-55AC-48E9-BA7D-8E6E30EBACC5}"/>
    <cellStyle name="Note 21 6 24" xfId="29515" xr:uid="{80F0315D-459D-4894-BBC6-780A297F12BB}"/>
    <cellStyle name="Note 21 6 24 2" xfId="46924" xr:uid="{6CCC526C-C804-44BD-BE1A-1214037FEF95}"/>
    <cellStyle name="Note 21 6 25" xfId="22593" xr:uid="{51401ABB-46D0-4606-B9BB-B21A561DB24F}"/>
    <cellStyle name="Note 21 6 25 2" xfId="42379" xr:uid="{466F48D3-A6CB-437A-8A6D-747E9691F027}"/>
    <cellStyle name="Note 21 6 26" xfId="27904" xr:uid="{D00C8281-0806-4D91-AB5E-49E2F497EBE0}"/>
    <cellStyle name="Note 21 6 26 2" xfId="45976" xr:uid="{46D1633B-69C0-4357-B0C6-0A5D9E81DA7A}"/>
    <cellStyle name="Note 21 6 27" xfId="28678" xr:uid="{C6960A15-635F-4BFB-93E3-A6A727747CCA}"/>
    <cellStyle name="Note 21 6 27 2" xfId="46412" xr:uid="{40EC42AC-BACD-4356-B23C-B9C8E181413E}"/>
    <cellStyle name="Note 21 6 28" xfId="26969" xr:uid="{DB48A4D5-033F-4B2D-BFE6-9C8E4B3DE795}"/>
    <cellStyle name="Note 21 6 28 2" xfId="45376" xr:uid="{D21DDBC2-8C2A-47D9-BF24-C4C17D06C57B}"/>
    <cellStyle name="Note 21 6 29" xfId="6458" xr:uid="{92C7AF7C-6094-4191-A000-191C62FA0615}"/>
    <cellStyle name="Note 21 6 3" xfId="8078" xr:uid="{670B9F5C-C6A1-48D8-8F3C-5F7BA15BF1B8}"/>
    <cellStyle name="Note 21 6 3 2" xfId="32322" xr:uid="{8D910312-32AF-412A-9F72-41009E822EF6}"/>
    <cellStyle name="Note 21 6 4" xfId="9320" xr:uid="{119E759E-56C0-4A4E-8365-0EDE3961F8AD}"/>
    <cellStyle name="Note 21 6 4 2" xfId="33304" xr:uid="{897D4705-158C-497D-93E4-0910BF2EDB74}"/>
    <cellStyle name="Note 21 6 5" xfId="7700" xr:uid="{FA97DCC1-CDB1-4AD9-B2D1-F7D8AFA3498C}"/>
    <cellStyle name="Note 21 6 5 2" xfId="31998" xr:uid="{FB55837D-7C6D-4B0A-997A-384DF039355D}"/>
    <cellStyle name="Note 21 6 6" xfId="14323" xr:uid="{54391415-94E8-4246-A687-8E5060A83079}"/>
    <cellStyle name="Note 21 6 6 2" xfId="36366" xr:uid="{2542449A-7BAE-4F33-BAA8-7CC61948FB83}"/>
    <cellStyle name="Note 21 6 7" xfId="10427" xr:uid="{5535879C-7CC9-4473-B6E7-0EE56FB9E500}"/>
    <cellStyle name="Note 21 6 7 2" xfId="34062" xr:uid="{2A9A4277-A4D5-4989-AF96-8607FCE7394B}"/>
    <cellStyle name="Note 21 6 8" xfId="15081" xr:uid="{3373BE75-0B6E-4DE5-BE79-4377F013B0CB}"/>
    <cellStyle name="Note 21 6 8 2" xfId="36926" xr:uid="{9C2F746A-35AA-4DB7-81B3-268006AD01FA}"/>
    <cellStyle name="Note 21 6 9" xfId="10561" xr:uid="{951AD5C5-EC96-4ACF-8E19-57242CA384ED}"/>
    <cellStyle name="Note 21 6 9 2" xfId="34187" xr:uid="{280DA7A0-303D-466E-B096-33EF7D3FB329}"/>
    <cellStyle name="Note 21 7" xfId="2935" xr:uid="{2636E388-7E8E-4265-A54F-2389C4A9C04A}"/>
    <cellStyle name="Note 21 7 10" xfId="7249" xr:uid="{69910938-7727-43BA-8F68-327BD2F735FF}"/>
    <cellStyle name="Note 21 7 10 2" xfId="31614" xr:uid="{71C10F06-96C5-4A62-909D-E1C983124B9F}"/>
    <cellStyle name="Note 21 7 11" xfId="13498" xr:uid="{5F616DCA-A3A0-40D3-83CC-36CADC825277}"/>
    <cellStyle name="Note 21 7 11 2" xfId="35752" xr:uid="{9AD9C5D6-B8D2-4EA2-9EAE-5D5571910A01}"/>
    <cellStyle name="Note 21 7 12" xfId="14053" xr:uid="{B82D94DE-7B94-4202-9D43-FD4DC72C5CF9}"/>
    <cellStyle name="Note 21 7 12 2" xfId="36147" xr:uid="{247DF796-FF99-448E-8A6D-945266EEA74E}"/>
    <cellStyle name="Note 21 7 13" xfId="17504" xr:uid="{91224A07-8105-467F-A181-B9ACE6E06A3F}"/>
    <cellStyle name="Note 21 7 13 2" xfId="38751" xr:uid="{6F2B1165-5A07-4421-BA8A-C0DBD0091FF0}"/>
    <cellStyle name="Note 21 7 14" xfId="20807" xr:uid="{D9EDDBCE-E7B2-4DE7-AA09-33A29771A2FE}"/>
    <cellStyle name="Note 21 7 14 2" xfId="41167" xr:uid="{9D439CD8-D743-424E-8F85-6BC9126ED281}"/>
    <cellStyle name="Note 21 7 15" xfId="19744" xr:uid="{E0D3D5A3-D3D4-42CC-B649-FF7740F9F95E}"/>
    <cellStyle name="Note 21 7 15 2" xfId="40361" xr:uid="{A1932821-3336-4082-AAA2-6A816D9CD13B}"/>
    <cellStyle name="Note 21 7 16" xfId="13339" xr:uid="{0E2B9761-9813-47D6-805D-60375A34B135}"/>
    <cellStyle name="Note 21 7 16 2" xfId="35649" xr:uid="{19CA33AC-E1B7-4815-B277-92243BC40473}"/>
    <cellStyle name="Note 21 7 17" xfId="21428" xr:uid="{8892BC59-16B7-4C90-93FB-735AEDC3F7D8}"/>
    <cellStyle name="Note 21 7 17 2" xfId="41557" xr:uid="{6B25E9F1-5D89-41A2-A8F5-023F7D54F276}"/>
    <cellStyle name="Note 21 7 18" xfId="24115" xr:uid="{5BE4781A-440E-4791-AAC9-C85899354AC6}"/>
    <cellStyle name="Note 21 7 18 2" xfId="43491" xr:uid="{6B84FA05-AD2D-46D6-BD0E-004484BBE0C7}"/>
    <cellStyle name="Note 21 7 19" xfId="20743" xr:uid="{FE881B36-70CD-4529-A22D-01BAB99B5340}"/>
    <cellStyle name="Note 21 7 19 2" xfId="41103" xr:uid="{1AE96777-92E5-471E-BE35-6616B56429C0}"/>
    <cellStyle name="Note 21 7 2" xfId="2936" xr:uid="{1A63434C-FA0E-41DE-933D-44C23B7CF1AD}"/>
    <cellStyle name="Note 21 7 2 10" xfId="14678" xr:uid="{E61FF6B3-9FBA-4270-A020-77E056D6275F}"/>
    <cellStyle name="Note 21 7 2 10 2" xfId="36590" xr:uid="{79B7F1BF-D8C3-4DFB-AB28-B6986F413E5D}"/>
    <cellStyle name="Note 21 7 2 11" xfId="16598" xr:uid="{0A9738E7-FF10-4803-9ACA-29350876862D}"/>
    <cellStyle name="Note 21 7 2 11 2" xfId="38091" xr:uid="{BB707668-5699-46BE-B267-60EFEF5F9FB8}"/>
    <cellStyle name="Note 21 7 2 12" xfId="14448" xr:uid="{708974A7-63F6-4AF6-896F-58C96CDB4A67}"/>
    <cellStyle name="Note 21 7 2 12 2" xfId="36437" xr:uid="{590D254F-DA75-418A-B70A-560ABB7F8200}"/>
    <cellStyle name="Note 21 7 2 13" xfId="17546" xr:uid="{EA8E95EB-A1DE-4DBB-82A8-898D76931482}"/>
    <cellStyle name="Note 21 7 2 13 2" xfId="38793" xr:uid="{01742565-7508-4858-AAAC-29395B761420}"/>
    <cellStyle name="Note 21 7 2 14" xfId="17956" xr:uid="{600892DA-99C2-4146-BA0C-1247D1547948}"/>
    <cellStyle name="Note 21 7 2 14 2" xfId="39054" xr:uid="{0BBC9576-1FCB-48CE-9330-C19E4FE7E1D0}"/>
    <cellStyle name="Note 21 7 2 15" xfId="21663" xr:uid="{87A44445-30F4-4389-966B-14E6AA1C97BD}"/>
    <cellStyle name="Note 21 7 2 15 2" xfId="41736" xr:uid="{8879272F-6AED-48B7-B520-598CFAF4BC49}"/>
    <cellStyle name="Note 21 7 2 16" xfId="19380" xr:uid="{8797C496-0C98-4991-A908-10EEABCA2ECD}"/>
    <cellStyle name="Note 21 7 2 16 2" xfId="40103" xr:uid="{F3ABF1C3-6F2E-4E15-AB28-DE120B9EE43D}"/>
    <cellStyle name="Note 21 7 2 17" xfId="22007" xr:uid="{190FD7A3-62BB-4248-ABFD-0C11757549D6}"/>
    <cellStyle name="Note 21 7 2 17 2" xfId="41902" xr:uid="{8C3D48EE-F872-465B-BCFB-9F1CC85D85B0}"/>
    <cellStyle name="Note 21 7 2 18" xfId="16823" xr:uid="{258E1A22-A18D-40D3-8D6D-2A872AEEBC48}"/>
    <cellStyle name="Note 21 7 2 18 2" xfId="38251" xr:uid="{82268ABA-FE9D-4913-BC6C-8DD584732B5F}"/>
    <cellStyle name="Note 21 7 2 19" xfId="24742" xr:uid="{D7E6BFCB-E27F-40E6-A71F-4CD06FBCD6C0}"/>
    <cellStyle name="Note 21 7 2 19 2" xfId="43887" xr:uid="{81AA1730-BC20-4C72-8FE5-2979162808F9}"/>
    <cellStyle name="Note 21 7 2 2" xfId="8075" xr:uid="{C9A9C9FC-26A4-4CEE-84D9-9ED506D39C1F}"/>
    <cellStyle name="Note 21 7 2 2 2" xfId="32319" xr:uid="{434C3156-BE47-4738-A3C9-3ABED29E6186}"/>
    <cellStyle name="Note 21 7 2 20" xfId="18132" xr:uid="{2B97DCF9-E3BC-4BBF-9946-07727143B94E}"/>
    <cellStyle name="Note 21 7 2 20 2" xfId="39206" xr:uid="{0FC844BE-D1D8-45B5-BA1B-22BC480D984C}"/>
    <cellStyle name="Note 21 7 2 21" xfId="23420" xr:uid="{230754DD-2B61-472E-A699-B5F676794B74}"/>
    <cellStyle name="Note 21 7 2 21 2" xfId="42937" xr:uid="{2A1948E8-7018-4F6C-81DF-DA3C67770C36}"/>
    <cellStyle name="Note 21 7 2 22" xfId="20514" xr:uid="{0625F706-AA1B-4BFF-9987-85C9D5AFD3F2}"/>
    <cellStyle name="Note 21 7 2 22 2" xfId="40894" xr:uid="{5C643CBF-12C5-4F18-8294-ED20F6395DC0}"/>
    <cellStyle name="Note 21 7 2 23" xfId="28613" xr:uid="{B0446E9E-753D-4C53-A645-477EB21D6F12}"/>
    <cellStyle name="Note 21 7 2 23 2" xfId="46347" xr:uid="{C0CDFE01-739A-40E3-9C6F-08DAF54CD103}"/>
    <cellStyle name="Note 21 7 2 24" xfId="21008" xr:uid="{A9B17FC8-EF9E-486A-BADF-ED8066E0CE2D}"/>
    <cellStyle name="Note 21 7 2 24 2" xfId="41266" xr:uid="{568D52D0-9615-4DC8-BC94-DCB1A690DE71}"/>
    <cellStyle name="Note 21 7 2 25" xfId="21923" xr:uid="{33F4A019-ECD9-4649-9F95-09D06C8CFC1A}"/>
    <cellStyle name="Note 21 7 2 25 2" xfId="41840" xr:uid="{4CBA8A5E-2E3D-47B8-A8C2-7230F7573354}"/>
    <cellStyle name="Note 21 7 2 26" xfId="23042" xr:uid="{B3D27F9F-22D1-493D-BD24-A37878BEF41F}"/>
    <cellStyle name="Note 21 7 2 26 2" xfId="42676" xr:uid="{A6A4BDA1-2582-4F2C-BE47-E003B032CEAE}"/>
    <cellStyle name="Note 21 7 2 27" xfId="29081" xr:uid="{383BAD0F-716E-4D00-8C51-7C21B54B6D3E}"/>
    <cellStyle name="Note 21 7 2 27 2" xfId="46654" xr:uid="{B749F66D-C055-4405-8C7B-98C622B115A2}"/>
    <cellStyle name="Note 21 7 2 28" xfId="6461" xr:uid="{563B8383-DAB8-42C1-96A0-95B64B6B35E4}"/>
    <cellStyle name="Note 21 7 2 3" xfId="9323" xr:uid="{5C0FFC7F-F3C6-4CD7-9D89-7302EE5B1D3B}"/>
    <cellStyle name="Note 21 7 2 3 2" xfId="33307" xr:uid="{7E5A4FF2-3894-45F1-B730-E712F99481CD}"/>
    <cellStyle name="Note 21 7 2 4" xfId="7697" xr:uid="{A58F8335-0F09-4163-BA8C-7F0816D4351D}"/>
    <cellStyle name="Note 21 7 2 4 2" xfId="31995" xr:uid="{303A308B-9602-4E8C-AA3A-A6C13F2B214A}"/>
    <cellStyle name="Note 21 7 2 5" xfId="8806" xr:uid="{034CD2C1-F29D-4397-AADA-0CE6A8EF1133}"/>
    <cellStyle name="Note 21 7 2 5 2" xfId="32929" xr:uid="{C091DB3F-8937-4B53-8445-EE706C5B469B}"/>
    <cellStyle name="Note 21 7 2 6" xfId="13037" xr:uid="{5E0E3FD9-745B-4368-B7EA-2237640A660B}"/>
    <cellStyle name="Note 21 7 2 6 2" xfId="35385" xr:uid="{0E6594A0-3814-4AA2-9911-EB822A247AFA}"/>
    <cellStyle name="Note 21 7 2 7" xfId="8508" xr:uid="{32875361-E3FB-45BC-8832-1D9E46A29616}"/>
    <cellStyle name="Note 21 7 2 7 2" xfId="32695" xr:uid="{F1AED090-F8AB-4C1E-9F91-732C3C956BDD}"/>
    <cellStyle name="Note 21 7 2 8" xfId="14889" xr:uid="{CC6C7E35-18BC-4A27-A1A5-FF99717832D6}"/>
    <cellStyle name="Note 21 7 2 8 2" xfId="36764" xr:uid="{67AAC289-C198-40F0-84B6-8731BB3C7C2C}"/>
    <cellStyle name="Note 21 7 2 9" xfId="11681" xr:uid="{2385B15C-04B2-4997-8656-2D272E3AA59B}"/>
    <cellStyle name="Note 21 7 2 9 2" xfId="34294" xr:uid="{913F7A20-9530-4410-9B88-D965B8FB4E28}"/>
    <cellStyle name="Note 21 7 20" xfId="22339" xr:uid="{4C9F7A3F-F959-4CE4-91BF-FE603633AFF2}"/>
    <cellStyle name="Note 21 7 20 2" xfId="42194" xr:uid="{FCFFDF1B-D9CD-4584-ABA6-9D54B8BC04FA}"/>
    <cellStyle name="Note 21 7 21" xfId="18133" xr:uid="{74D28430-8301-4FA8-860D-7AF406E6C4E5}"/>
    <cellStyle name="Note 21 7 21 2" xfId="39207" xr:uid="{DA81169D-502B-4D1D-971E-5BD944F652BA}"/>
    <cellStyle name="Note 21 7 22" xfId="24528" xr:uid="{E53DEEF4-D1D0-4EFA-8494-40677778B789}"/>
    <cellStyle name="Note 21 7 22 2" xfId="43711" xr:uid="{61F437FB-D1B0-4447-8374-0CC318EDF446}"/>
    <cellStyle name="Note 21 7 23" xfId="20547" xr:uid="{403B4A4E-A607-444D-9500-2E23C9947F97}"/>
    <cellStyle name="Note 21 7 23 2" xfId="40927" xr:uid="{E83CE918-C930-4CB1-99A5-6161C1FB6C68}"/>
    <cellStyle name="Note 21 7 24" xfId="23769" xr:uid="{02F3A5C9-57C5-457A-85F1-0484B3B020E2}"/>
    <cellStyle name="Note 21 7 24 2" xfId="43173" xr:uid="{77E761E7-5FEE-461C-A211-FF99FE23599E}"/>
    <cellStyle name="Note 21 7 25" xfId="19508" xr:uid="{B33B8540-B378-43CB-A279-4F43BF1AD2AC}"/>
    <cellStyle name="Note 21 7 25 2" xfId="40185" xr:uid="{8BB2607F-1025-46FD-A94D-D09F898C2794}"/>
    <cellStyle name="Note 21 7 26" xfId="23685" xr:uid="{E8811B8A-D963-488F-899B-76424002C886}"/>
    <cellStyle name="Note 21 7 26 2" xfId="43105" xr:uid="{9786D8D5-9771-4EC4-A859-5FE43E3F9F76}"/>
    <cellStyle name="Note 21 7 27" xfId="27403" xr:uid="{E84FD48C-456C-41D6-8440-D9EB1A438D96}"/>
    <cellStyle name="Note 21 7 27 2" xfId="45658" xr:uid="{FEC6F970-F7F0-4D6E-8F66-A945A038DB2A}"/>
    <cellStyle name="Note 21 7 28" xfId="26030" xr:uid="{29CA8A76-FBEA-4BE3-ADEA-77D0413D3DDF}"/>
    <cellStyle name="Note 21 7 28 2" xfId="44801" xr:uid="{35E2CDCC-FF5D-4798-A4AC-677209089191}"/>
    <cellStyle name="Note 21 7 29" xfId="6460" xr:uid="{0FC69F24-7C7B-4DF2-B0B7-0D73677134AD}"/>
    <cellStyle name="Note 21 7 3" xfId="8076" xr:uid="{E330E667-DB73-4510-B1B1-D0E7D922F682}"/>
    <cellStyle name="Note 21 7 3 2" xfId="32320" xr:uid="{E9D77F83-DEDF-4CB1-9575-A70413AC44D8}"/>
    <cellStyle name="Note 21 7 4" xfId="9322" xr:uid="{EFA59486-8515-4ED3-9D29-25AC15293B5C}"/>
    <cellStyle name="Note 21 7 4 2" xfId="33306" xr:uid="{6B22BFDA-F04F-4C3C-AA30-9D4A7B77482A}"/>
    <cellStyle name="Note 21 7 5" xfId="7698" xr:uid="{05BC2D8F-98E2-48DC-AF02-7C0B648A4DF8}"/>
    <cellStyle name="Note 21 7 5 2" xfId="31996" xr:uid="{D95B7C67-867B-439D-9C99-1F70BF5981E0}"/>
    <cellStyle name="Note 21 7 6" xfId="8807" xr:uid="{20517856-3A07-4857-8448-70D1D54FA1AF}"/>
    <cellStyle name="Note 21 7 6 2" xfId="32930" xr:uid="{087F8086-F33E-4380-BDA9-D2ECC1E752D7}"/>
    <cellStyle name="Note 21 7 7" xfId="10428" xr:uid="{FCD9FBB6-0D60-485C-873F-691FDDD04F41}"/>
    <cellStyle name="Note 21 7 7 2" xfId="34063" xr:uid="{72AB4FAD-02EF-443F-BB16-2CC37B08212C}"/>
    <cellStyle name="Note 21 7 8" xfId="15082" xr:uid="{E3D2FBAB-CAC2-4F1E-8268-577A2265F065}"/>
    <cellStyle name="Note 21 7 8 2" xfId="36927" xr:uid="{C6869B82-D2A2-4434-A717-F90915739934}"/>
    <cellStyle name="Note 21 7 9" xfId="10596" xr:uid="{D2D60215-A5F8-424D-B9F6-8521DBC00E18}"/>
    <cellStyle name="Note 21 7 9 2" xfId="34222" xr:uid="{A2AB09E2-3488-4585-9951-5BCE7EC17C2E}"/>
    <cellStyle name="Note 21 8" xfId="2937" xr:uid="{6AE38C3E-03CB-4FAA-B179-2BA9C6CA5661}"/>
    <cellStyle name="Note 21 8 10" xfId="15481" xr:uid="{049565C9-2CDB-40CD-B019-FC6E8F661785}"/>
    <cellStyle name="Note 21 8 10 2" xfId="37146" xr:uid="{E07E8CC2-AE54-4900-A094-8398614C0035}"/>
    <cellStyle name="Note 21 8 11" xfId="16521" xr:uid="{83097265-EED9-40EA-9EFE-3192A0AB0DEA}"/>
    <cellStyle name="Note 21 8 11 2" xfId="38014" xr:uid="{FF7B9084-5245-4EB9-99D2-3BCC7FC6F869}"/>
    <cellStyle name="Note 21 8 12" xfId="17503" xr:uid="{01852FE0-8A78-43CE-9482-CD01A2F46E4F}"/>
    <cellStyle name="Note 21 8 12 2" xfId="38750" xr:uid="{75B08468-A628-4DDE-B714-D7E28E43E5D2}"/>
    <cellStyle name="Note 21 8 13" xfId="20803" xr:uid="{8CA4E1FB-ED09-4621-B0A0-36CDF583D89F}"/>
    <cellStyle name="Note 21 8 13 2" xfId="41163" xr:uid="{E8F8CBED-C8B6-43F3-A4D4-E54B5A5E2DDA}"/>
    <cellStyle name="Note 21 8 14" xfId="19743" xr:uid="{E9C5F80E-DE00-49A3-A8D5-4A9723570F38}"/>
    <cellStyle name="Note 21 8 14 2" xfId="40360" xr:uid="{AE8C1B3E-4614-47FB-BC19-D14D80FC522F}"/>
    <cellStyle name="Note 21 8 15" xfId="10110" xr:uid="{1322FE3A-1ECD-4AF3-ADB1-2426BCB5D5C2}"/>
    <cellStyle name="Note 21 8 15 2" xfId="33781" xr:uid="{DE0347FA-ED3A-48D7-9B41-2F4B6EB0AB22}"/>
    <cellStyle name="Note 21 8 16" xfId="21427" xr:uid="{15602D9D-13F8-48B3-8ABA-61119C9DDC2D}"/>
    <cellStyle name="Note 21 8 16 2" xfId="41556" xr:uid="{0BEB4CA6-E582-4BD5-8C76-1D54299F41D6}"/>
    <cellStyle name="Note 21 8 17" xfId="24114" xr:uid="{CE090B95-A8D6-406A-85D6-0B174E0E0BF1}"/>
    <cellStyle name="Note 21 8 17 2" xfId="43490" xr:uid="{4E4D1880-C383-4A5C-B909-E0FE03B4C21F}"/>
    <cellStyle name="Note 21 8 18" xfId="18957" xr:uid="{A17EA80B-A07E-439A-91B5-93AA9A5BDD0D}"/>
    <cellStyle name="Note 21 8 18 2" xfId="39789" xr:uid="{248A1E64-2432-4A7A-A0DF-A822DC3E78D8}"/>
    <cellStyle name="Note 21 8 19" xfId="24726" xr:uid="{81617DC9-E377-4700-930F-507A517BEFBE}"/>
    <cellStyle name="Note 21 8 19 2" xfId="43871" xr:uid="{94DF89D2-6C62-40FF-96E4-1DA370C33156}"/>
    <cellStyle name="Note 21 8 2" xfId="8073" xr:uid="{083994DF-B9FA-401B-9CFC-88DE09D96A45}"/>
    <cellStyle name="Note 21 8 2 2" xfId="32318" xr:uid="{2BA9C135-57E3-4224-AEEC-694EB346A660}"/>
    <cellStyle name="Note 21 8 20" xfId="12629" xr:uid="{D233223F-348C-4CB6-BD56-206ECA0E35C8}"/>
    <cellStyle name="Note 21 8 20 2" xfId="35057" xr:uid="{5487A3FA-110B-412C-8A18-CE6B6BC51134}"/>
    <cellStyle name="Note 21 8 21" xfId="21076" xr:uid="{26A86985-69AA-4260-B819-02BF52140C95}"/>
    <cellStyle name="Note 21 8 21 2" xfId="41321" xr:uid="{BAAEB15D-7649-442B-A51B-8963B51EEE06}"/>
    <cellStyle name="Note 21 8 22" xfId="20546" xr:uid="{7685F119-18B4-42DE-A04B-2DECF1D82F41}"/>
    <cellStyle name="Note 21 8 22 2" xfId="40926" xr:uid="{714CAF1F-EA7B-4CE3-9CE4-6675E847061E}"/>
    <cellStyle name="Note 21 8 23" xfId="27163" xr:uid="{A98C229C-96EB-4A05-9D88-541303D0DB4B}"/>
    <cellStyle name="Note 21 8 23 2" xfId="45504" xr:uid="{E013855F-85A7-412A-BE95-F6BD72E06E2D}"/>
    <cellStyle name="Note 21 8 24" xfId="23892" xr:uid="{51FB19F0-5271-4A93-9966-5FB7BE4A4521}"/>
    <cellStyle name="Note 21 8 24 2" xfId="43271" xr:uid="{72BB3D2F-214B-41DC-8466-5577CE4F4E76}"/>
    <cellStyle name="Note 21 8 25" xfId="23619" xr:uid="{74896301-408B-477A-8B55-9D67AD1690C2}"/>
    <cellStyle name="Note 21 8 25 2" xfId="43050" xr:uid="{BCC5AF60-1E07-4B04-9B8D-0BC94061E6D6}"/>
    <cellStyle name="Note 21 8 26" xfId="30743" xr:uid="{E173DEA4-9688-43C5-81C1-72CC496C1629}"/>
    <cellStyle name="Note 21 8 26 2" xfId="47684" xr:uid="{FADC7D04-3585-4DF8-91D5-7C718574E5F2}"/>
    <cellStyle name="Note 21 8 27" xfId="28276" xr:uid="{7E4569AC-EC8D-40CA-8DBA-29E5123B22DA}"/>
    <cellStyle name="Note 21 8 27 2" xfId="46143" xr:uid="{9B58B2BE-1C51-4B6A-9805-1EA799942C50}"/>
    <cellStyle name="Note 21 8 28" xfId="6462" xr:uid="{866F028B-C8E2-4654-8906-CF22D61F2A62}"/>
    <cellStyle name="Note 21 8 3" xfId="9324" xr:uid="{4A84CB4F-4178-40A0-9FD8-2F8010187C7B}"/>
    <cellStyle name="Note 21 8 3 2" xfId="33308" xr:uid="{B6E7B9F1-7B3B-42F7-9957-0C859ABF54BE}"/>
    <cellStyle name="Note 21 8 4" xfId="7696" xr:uid="{4EF4BF49-0BC3-4048-8FF3-422328780966}"/>
    <cellStyle name="Note 21 8 4 2" xfId="31994" xr:uid="{BB51DBA9-893E-480F-8D1A-3413CF9C243B}"/>
    <cellStyle name="Note 21 8 5" xfId="8805" xr:uid="{78AA527E-3AA0-439B-A5E5-C93B2163FF0A}"/>
    <cellStyle name="Note 21 8 5 2" xfId="32928" xr:uid="{10400EE5-1FF8-4CAD-8DA0-767854E5AE42}"/>
    <cellStyle name="Note 21 8 6" xfId="10429" xr:uid="{F8ED69AF-2881-49DD-BF8C-E6FA73BAD05F}"/>
    <cellStyle name="Note 21 8 6 2" xfId="34064" xr:uid="{90AC1A55-9135-4BE9-A795-BCD2BC9D6488}"/>
    <cellStyle name="Note 21 8 7" xfId="15083" xr:uid="{8C839CBE-5D90-4243-AAEA-4BC50AEA6A05}"/>
    <cellStyle name="Note 21 8 7 2" xfId="36928" xr:uid="{0292E920-904E-4A9D-BC4C-82319EA0D5F4}"/>
    <cellStyle name="Note 21 8 8" xfId="14403" xr:uid="{ABCC44A0-FFB0-49EF-8E76-1A396EDA8912}"/>
    <cellStyle name="Note 21 8 8 2" xfId="36396" xr:uid="{EABF67BE-E80F-4681-A7F3-F187966986E9}"/>
    <cellStyle name="Note 21 8 9" xfId="11622" xr:uid="{52C69021-C899-4B72-9554-B1AABBCAEB07}"/>
    <cellStyle name="Note 21 8 9 2" xfId="34235" xr:uid="{93785533-03F3-4F8B-9F8A-58FEC1F04CF0}"/>
    <cellStyle name="Note 21 9" xfId="8089" xr:uid="{FF410F37-E89F-485F-9871-5D053637ED65}"/>
    <cellStyle name="Note 21 9 2" xfId="32333" xr:uid="{78B32566-30B0-4B47-B51C-DD1C19C19FDA}"/>
    <cellStyle name="Note 21_Sheet2" xfId="2938" xr:uid="{14CDCC4A-6F9A-436D-A898-6CE1FF208A79}"/>
    <cellStyle name="Note 22" xfId="2939" xr:uid="{F3584840-5CBA-4CD5-B68C-7A13ACFA2613}"/>
    <cellStyle name="Note 22 10" xfId="9325" xr:uid="{D699BF9B-1D1E-42A8-AB4F-E26B2AF34C4C}"/>
    <cellStyle name="Note 22 10 2" xfId="33309" xr:uid="{AEA14487-EE03-4CEE-8EC6-994BB93A19A0}"/>
    <cellStyle name="Note 22 11" xfId="7695" xr:uid="{31CA1934-DA13-4A04-9E5A-7DED9FCB351A}"/>
    <cellStyle name="Note 22 11 2" xfId="31993" xr:uid="{D22A92AC-C155-4762-B7E2-143A8698BC55}"/>
    <cellStyle name="Note 22 12" xfId="14318" xr:uid="{30E2DB65-7D90-4C1A-8A62-0155D44C95C8}"/>
    <cellStyle name="Note 22 12 2" xfId="36361" xr:uid="{BFAF0721-8BC6-48A8-B6B8-BB590BE63654}"/>
    <cellStyle name="Note 22 13" xfId="10430" xr:uid="{4FA33D6D-5277-4006-B679-0AECE75A923B}"/>
    <cellStyle name="Note 22 13 2" xfId="34065" xr:uid="{80E9F649-1A60-456B-A7DF-96C8E8B288CA}"/>
    <cellStyle name="Note 22 14" xfId="8507" xr:uid="{869C4A56-2520-4AE3-BB41-78991E9EEF99}"/>
    <cellStyle name="Note 22 14 2" xfId="32694" xr:uid="{E224AF51-D076-4AB8-B6B0-6FDBAF2222B7}"/>
    <cellStyle name="Note 22 15" xfId="14888" xr:uid="{1D774304-ADB1-46D3-89BA-EDB71EC52799}"/>
    <cellStyle name="Note 22 15 2" xfId="36763" xr:uid="{29E9F839-187B-4E0A-8012-1896BFA97E4D}"/>
    <cellStyle name="Note 22 16" xfId="11680" xr:uid="{E0DD3E9F-2E04-45A1-9CBF-0B8FE63990D8}"/>
    <cellStyle name="Note 22 16 2" xfId="34293" xr:uid="{92F5A352-ACC0-4E0E-BA2D-559C36C746E1}"/>
    <cellStyle name="Note 22 17" xfId="14677" xr:uid="{97C2CF90-84C8-4486-BD54-BB416581B7CB}"/>
    <cellStyle name="Note 22 17 2" xfId="36589" xr:uid="{9FB16FCE-24C1-4EE9-B1F4-F19FD573F742}"/>
    <cellStyle name="Note 22 18" xfId="16597" xr:uid="{6C08A0E4-77FD-442F-A505-91525D8D0303}"/>
    <cellStyle name="Note 22 18 2" xfId="38090" xr:uid="{FCFA5D36-DB2B-4D7B-906B-EA90D1E1F6B7}"/>
    <cellStyle name="Note 22 19" xfId="15623" xr:uid="{B067D188-AD8A-47D9-8E0F-EDA0D4C70DDC}"/>
    <cellStyle name="Note 22 19 2" xfId="37281" xr:uid="{63B0D570-940D-43ED-B8C9-17117F49E5B9}"/>
    <cellStyle name="Note 22 2" xfId="2940" xr:uid="{B05934D3-F8AF-4B86-833D-E0CA872EEA54}"/>
    <cellStyle name="Note 22 2 10" xfId="10562" xr:uid="{BE2A0B43-3A39-4677-B331-8674B1051917}"/>
    <cellStyle name="Note 22 2 10 2" xfId="34188" xr:uid="{E52DBB71-FF73-45F8-9667-7097C2190FAA}"/>
    <cellStyle name="Note 22 2 11" xfId="7203" xr:uid="{B19E33F2-306D-4D57-AF16-3902B36399A8}"/>
    <cellStyle name="Note 22 2 11 2" xfId="31569" xr:uid="{2FB0DED4-48C0-4FBC-B237-FCE2C01DDEB3}"/>
    <cellStyle name="Note 22 2 12" xfId="12286" xr:uid="{EF6E1564-48B2-4EE5-95E1-E60E6672EAE7}"/>
    <cellStyle name="Note 22 2 12 2" xfId="34792" xr:uid="{CC4DB83E-D0C9-4814-AD44-9BF969CA6B9F}"/>
    <cellStyle name="Note 22 2 13" xfId="14052" xr:uid="{3D9B793C-ED25-4C06-9CDC-41838547DEFD}"/>
    <cellStyle name="Note 22 2 13 2" xfId="36146" xr:uid="{B64335C8-C134-43FF-9216-3FCF3762B5FD}"/>
    <cellStyle name="Note 22 2 14" xfId="17502" xr:uid="{4F3B665F-24FC-4604-88AA-1AE2EFEBB76E}"/>
    <cellStyle name="Note 22 2 14 2" xfId="38749" xr:uid="{F9AB15EE-7FFE-4953-979F-5152068466F0}"/>
    <cellStyle name="Note 22 2 15" xfId="20805" xr:uid="{6239E557-C39F-4889-9D4D-9030CBE4D419}"/>
    <cellStyle name="Note 22 2 15 2" xfId="41165" xr:uid="{1D581A52-0E35-4024-9CDB-59BA3BACD672}"/>
    <cellStyle name="Note 22 2 16" xfId="19742" xr:uid="{1DD18D9A-FDC0-4518-AAF5-6C3E1FB91BC1}"/>
    <cellStyle name="Note 22 2 16 2" xfId="40359" xr:uid="{87BE1363-D024-4C85-A81B-2722E610C90F}"/>
    <cellStyle name="Note 22 2 17" xfId="21664" xr:uid="{F4DAB3B8-33A8-405A-9430-87704C27F8E3}"/>
    <cellStyle name="Note 22 2 17 2" xfId="41737" xr:uid="{84F1BF67-80E1-4547-9021-B477024A1F5F}"/>
    <cellStyle name="Note 22 2 18" xfId="17728" xr:uid="{F77142EA-89EA-45BD-ABD3-FC1534514E56}"/>
    <cellStyle name="Note 22 2 18 2" xfId="38904" xr:uid="{31172BF8-6309-4CDC-AE7E-858BE6190790}"/>
    <cellStyle name="Note 22 2 19" xfId="18322" xr:uid="{BEE1B336-0BEA-4791-93E6-8E5DF839BF35}"/>
    <cellStyle name="Note 22 2 19 2" xfId="39353" xr:uid="{6A3D91E9-A194-47C1-85FF-3BBC6152BEC7}"/>
    <cellStyle name="Note 22 2 2" xfId="2941" xr:uid="{BF303E7F-2B60-4BBD-884C-E46A45F0D47D}"/>
    <cellStyle name="Note 22 2 2 10" xfId="11637" xr:uid="{B2EE9ACF-28D1-4958-B52D-11A802972556}"/>
    <cellStyle name="Note 22 2 2 10 2" xfId="34250" xr:uid="{ABCC1551-24B1-41F8-8401-3FB5A8BB0A86}"/>
    <cellStyle name="Note 22 2 2 11" xfId="12773" xr:uid="{5CCA7D59-7A99-42AB-BBFD-5BAD05EAA1FA}"/>
    <cellStyle name="Note 22 2 2 11 2" xfId="35181" xr:uid="{7DDA2927-9922-49E1-9D23-3DACC4C3293D}"/>
    <cellStyle name="Note 22 2 2 12" xfId="16583" xr:uid="{6F5F8D13-E5AA-4DB5-B9E5-F6154F590D5D}"/>
    <cellStyle name="Note 22 2 2 12 2" xfId="38076" xr:uid="{61CD3899-18B6-4620-973C-0B2443291AE6}"/>
    <cellStyle name="Note 22 2 2 13" xfId="17483" xr:uid="{27EEC366-D7D2-4A4E-A63E-51AAE20487AB}"/>
    <cellStyle name="Note 22 2 2 13 2" xfId="38730" xr:uid="{A2C29311-FBC5-4D80-B000-7C28A6B341C8}"/>
    <cellStyle name="Note 22 2 2 14" xfId="19272" xr:uid="{9A3D214E-B947-4DE7-94FA-8B990E52D823}"/>
    <cellStyle name="Note 22 2 2 14 2" xfId="40058" xr:uid="{EF2896CA-4542-4DA1-A64F-2FC99FEBF978}"/>
    <cellStyle name="Note 22 2 2 15" xfId="12876" xr:uid="{184BD490-20D2-48F7-BF85-A5C2071B61D5}"/>
    <cellStyle name="Note 22 2 2 15 2" xfId="35236" xr:uid="{90847BED-1C4E-4207-A415-6647DE04F102}"/>
    <cellStyle name="Note 22 2 2 16" xfId="16173" xr:uid="{F83AE047-7741-4D80-9FFD-CDBB47C2DEBE}"/>
    <cellStyle name="Note 22 2 2 16 2" xfId="37733" xr:uid="{EC9192E5-4C41-4711-BB39-6BE93D4B34F6}"/>
    <cellStyle name="Note 22 2 2 17" xfId="19625" xr:uid="{655EF2DF-E499-4DB9-B92A-E512C51C758B}"/>
    <cellStyle name="Note 22 2 2 17 2" xfId="40265" xr:uid="{EE9D5F1D-2EC5-4E7E-A0F7-DAC7615A51F8}"/>
    <cellStyle name="Note 22 2 2 18" xfId="25722" xr:uid="{3BFC8E6E-FB63-44CC-B9EE-B34EC4846AF5}"/>
    <cellStyle name="Note 22 2 2 18 2" xfId="44559" xr:uid="{B5E81A07-45CA-404D-B410-5002CB21AD6A}"/>
    <cellStyle name="Note 22 2 2 19" xfId="22777" xr:uid="{F7472478-A547-4631-8586-8D8F395AC8FE}"/>
    <cellStyle name="Note 22 2 2 19 2" xfId="42530" xr:uid="{1294881E-E428-4A78-BC6E-A7025169C999}"/>
    <cellStyle name="Note 22 2 2 2" xfId="2942" xr:uid="{F7C50A73-FCAE-47C5-85F8-0ED6820061F4}"/>
    <cellStyle name="Note 22 2 2 2 10" xfId="14676" xr:uid="{8C7A065D-3331-459B-8F1A-93AD2CBCC3C3}"/>
    <cellStyle name="Note 22 2 2 2 10 2" xfId="36588" xr:uid="{47F5B0DE-1D2E-4C96-991B-49E59F236153}"/>
    <cellStyle name="Note 22 2 2 2 11" xfId="13476" xr:uid="{314C14E5-8F60-4E94-AFA5-F739DA3E1D9C}"/>
    <cellStyle name="Note 22 2 2 2 11 2" xfId="35732" xr:uid="{9C06809E-D979-4C35-B3FC-6998C33941DE}"/>
    <cellStyle name="Note 22 2 2 2 12" xfId="14449" xr:uid="{5ADE2ABA-9D24-4311-8558-85568DAF6470}"/>
    <cellStyle name="Note 22 2 2 2 12 2" xfId="36438" xr:uid="{464FABB3-36EE-4C32-879D-069C44FC56F3}"/>
    <cellStyle name="Note 22 2 2 2 13" xfId="20804" xr:uid="{4E98A91A-388E-4C6F-A28F-762483A0351E}"/>
    <cellStyle name="Note 22 2 2 2 13 2" xfId="41164" xr:uid="{F253A065-03B4-4590-9EE3-9E4BBC3553A5}"/>
    <cellStyle name="Note 22 2 2 2 14" xfId="19741" xr:uid="{C88440CC-876C-41CB-B51B-10F511C0207F}"/>
    <cellStyle name="Note 22 2 2 2 14 2" xfId="40358" xr:uid="{A8828669-3452-45DA-BC3D-C5C69565720C}"/>
    <cellStyle name="Note 22 2 2 2 15" xfId="13338" xr:uid="{9B1A9427-7BE4-4878-B5A9-CEAECC830DA8}"/>
    <cellStyle name="Note 22 2 2 2 15 2" xfId="35648" xr:uid="{47AEB8C6-16F7-46BE-87E2-E96E416EAA08}"/>
    <cellStyle name="Note 22 2 2 2 16" xfId="21426" xr:uid="{3431F0CD-86A5-4EE2-96EC-CAD761794A7E}"/>
    <cellStyle name="Note 22 2 2 2 16 2" xfId="41555" xr:uid="{08AE6A75-98E7-42D4-AA62-1F92E39EE4C5}"/>
    <cellStyle name="Note 22 2 2 2 17" xfId="25724" xr:uid="{1D087479-A754-457C-9022-26EFEABE08A1}"/>
    <cellStyle name="Note 22 2 2 2 17 2" xfId="44561" xr:uid="{5120C71C-A04A-4C54-BFD3-7F928B85476B}"/>
    <cellStyle name="Note 22 2 2 2 18" xfId="22771" xr:uid="{A9C52F60-D45B-4B58-B5DE-5776B7D243FF}"/>
    <cellStyle name="Note 22 2 2 2 18 2" xfId="42528" xr:uid="{DBB4E30D-3D16-4CB0-BBA5-54B142A9D572}"/>
    <cellStyle name="Note 22 2 2 2 19" xfId="24740" xr:uid="{529670CD-1A16-4E36-AF08-6A2C92326ABA}"/>
    <cellStyle name="Note 22 2 2 2 19 2" xfId="43885" xr:uid="{61412C3D-8D86-46A6-9DE8-3B5A5C10BC1A}"/>
    <cellStyle name="Note 22 2 2 2 2" xfId="8069" xr:uid="{6A1912F2-4E73-4A4F-A93C-3877183F676C}"/>
    <cellStyle name="Note 22 2 2 2 2 2" xfId="32314" xr:uid="{329A8A19-EB19-4325-9EB5-83D7EAAC9D47}"/>
    <cellStyle name="Note 22 2 2 2 20" xfId="15770" xr:uid="{6A670F87-AFF5-43C3-998A-C068FB0A0C7F}"/>
    <cellStyle name="Note 22 2 2 2 20 2" xfId="37394" xr:uid="{CD91FEA1-5F05-4880-81C6-A390B2C2E6AD}"/>
    <cellStyle name="Note 22 2 2 2 21" xfId="21077" xr:uid="{9C2B054D-4BA2-45C5-8C0C-A7B4BC351CAD}"/>
    <cellStyle name="Note 22 2 2 2 21 2" xfId="41322" xr:uid="{EA571082-4A2B-479C-8EAF-AE84327E4325}"/>
    <cellStyle name="Note 22 2 2 2 22" xfId="21691" xr:uid="{82BFC6FA-008C-435D-9DDA-00FA29223B2D}"/>
    <cellStyle name="Note 22 2 2 2 22 2" xfId="41746" xr:uid="{62EA0F16-F482-4127-ADF7-6155D98F38C3}"/>
    <cellStyle name="Note 22 2 2 2 23" xfId="28612" xr:uid="{CF6071AB-1843-47A1-8A24-EB471956DD8A}"/>
    <cellStyle name="Note 22 2 2 2 23 2" xfId="46346" xr:uid="{7B8689EF-71EC-48FE-BEA5-E36F9EC3C951}"/>
    <cellStyle name="Note 22 2 2 2 24" xfId="28650" xr:uid="{4F4CBC0B-956C-4E4E-8AF6-A0C7442D248E}"/>
    <cellStyle name="Note 22 2 2 2 24 2" xfId="46384" xr:uid="{D0938038-7395-4B43-8577-49A68368111C}"/>
    <cellStyle name="Note 22 2 2 2 25" xfId="22662" xr:uid="{EC9E582D-1140-4CCA-83C0-2B6F88B8A52E}"/>
    <cellStyle name="Note 22 2 2 2 25 2" xfId="42433" xr:uid="{0D22D209-6078-4065-B5DA-B85056BE473A}"/>
    <cellStyle name="Note 22 2 2 2 26" xfId="27404" xr:uid="{15FAC377-CCED-46D5-8B01-590CACE72D3B}"/>
    <cellStyle name="Note 22 2 2 2 26 2" xfId="45659" xr:uid="{1FCCCF76-2A03-48C8-B496-A33894293623}"/>
    <cellStyle name="Note 22 2 2 2 27" xfId="27690" xr:uid="{EE408067-49E0-4DC7-96DA-5355DC4C64D5}"/>
    <cellStyle name="Note 22 2 2 2 27 2" xfId="45804" xr:uid="{AEBC0661-2FFE-40E3-B5B6-590A3B6517B3}"/>
    <cellStyle name="Note 22 2 2 2 28" xfId="6466" xr:uid="{3BEC302C-2BE4-4D64-9EFF-E3D3624A621F}"/>
    <cellStyle name="Note 22 2 2 2 3" xfId="9328" xr:uid="{671577BF-76EE-4437-B45E-D711B68ED738}"/>
    <cellStyle name="Note 22 2 2 2 3 2" xfId="33312" xr:uid="{766838DC-9E49-426B-A975-6EB9D9B72E59}"/>
    <cellStyle name="Note 22 2 2 2 4" xfId="7692" xr:uid="{280109AD-2206-45B1-8E28-0F886F8A3A0E}"/>
    <cellStyle name="Note 22 2 2 2 4 2" xfId="31990" xr:uid="{833709A7-E658-4D19-A1B4-2261BE6A0351}"/>
    <cellStyle name="Note 22 2 2 2 5" xfId="14320" xr:uid="{773B9C15-9F30-43B5-B2BD-14F56F3F6463}"/>
    <cellStyle name="Note 22 2 2 2 5 2" xfId="36363" xr:uid="{9758D832-36E5-4ADB-907A-5CBA972DE41B}"/>
    <cellStyle name="Note 22 2 2 2 6" xfId="13035" xr:uid="{9AE4CB7B-E1FF-4C02-9BF2-50DC46DF3E0D}"/>
    <cellStyle name="Note 22 2 2 2 6 2" xfId="35383" xr:uid="{CD414A6C-9C12-4B70-A86B-567F7D853D1B}"/>
    <cellStyle name="Note 22 2 2 2 7" xfId="8505" xr:uid="{9E98CC8A-4748-4714-AA78-4D830DF92122}"/>
    <cellStyle name="Note 22 2 2 2 7 2" xfId="32692" xr:uid="{612581F2-D9BB-4B76-976A-7F29605E4396}"/>
    <cellStyle name="Note 22 2 2 2 8" xfId="12921" xr:uid="{F291E5AD-3A26-42A0-9988-334153B548F6}"/>
    <cellStyle name="Note 22 2 2 2 8 2" xfId="35277" xr:uid="{529B382A-F11A-44B6-ADFC-4DD04AE22872}"/>
    <cellStyle name="Note 22 2 2 2 9" xfId="7202" xr:uid="{1D47C124-97E6-4333-B19B-7114C65499B1}"/>
    <cellStyle name="Note 22 2 2 2 9 2" xfId="31568" xr:uid="{BAB478E5-27DC-4AD5-B2E0-1863A2994CEF}"/>
    <cellStyle name="Note 22 2 2 20" xfId="22877" xr:uid="{A2470B29-871C-4E27-99DC-C074739E0D3A}"/>
    <cellStyle name="Note 22 2 2 20 2" xfId="42595" xr:uid="{F4DF292E-C4EB-4376-851E-DD1F64BB6722}"/>
    <cellStyle name="Note 22 2 2 21" xfId="15766" xr:uid="{B1C1C112-399F-43C2-9D83-184567D22054}"/>
    <cellStyle name="Note 22 2 2 21 2" xfId="37390" xr:uid="{9CB301E1-F11D-48C6-9E08-6778D8C93EAE}"/>
    <cellStyle name="Note 22 2 2 22" xfId="23457" xr:uid="{A00B2A36-ADC8-449E-B817-E2138624E3D1}"/>
    <cellStyle name="Note 22 2 2 22 2" xfId="42963" xr:uid="{016D78A1-97E5-420A-8DFF-9156CA1DACCF}"/>
    <cellStyle name="Note 22 2 2 23" xfId="20544" xr:uid="{D5B57769-2587-4325-B824-C7D66E063517}"/>
    <cellStyle name="Note 22 2 2 23 2" xfId="40924" xr:uid="{E95C00D9-0A9B-4DFB-8678-9811C4D469E1}"/>
    <cellStyle name="Note 22 2 2 24" xfId="25649" xr:uid="{E6A82276-8CA7-419C-851F-7ABB36D66F97}"/>
    <cellStyle name="Note 22 2 2 24 2" xfId="44494" xr:uid="{4EF987CA-DB7E-4CB7-AD0C-A0D4BB30D7DE}"/>
    <cellStyle name="Note 22 2 2 25" xfId="23879" xr:uid="{DEBF292C-B5DB-4EEA-8C3E-C7FA4D606C0D}"/>
    <cellStyle name="Note 22 2 2 25 2" xfId="43258" xr:uid="{CA7E4D95-A39A-46CE-8C03-AAB1F2106095}"/>
    <cellStyle name="Note 22 2 2 26" xfId="24366" xr:uid="{8EF4AE09-C134-43DE-AD6A-E972089AD141}"/>
    <cellStyle name="Note 22 2 2 26 2" xfId="43619" xr:uid="{F2951514-CA33-4DE4-AE9B-BDE13FE26A67}"/>
    <cellStyle name="Note 22 2 2 27" xfId="30734" xr:uid="{9B46F5A5-3AA2-4109-BD58-5B8E74E6944A}"/>
    <cellStyle name="Note 22 2 2 27 2" xfId="47680" xr:uid="{AA023DA3-1ACA-4D34-93E2-D83A340C2F56}"/>
    <cellStyle name="Note 22 2 2 28" xfId="28279" xr:uid="{1E38885A-338A-4356-8F88-4BEA834F857C}"/>
    <cellStyle name="Note 22 2 2 28 2" xfId="46146" xr:uid="{6EC113E0-5C59-4CE8-8598-C12686EFAAD3}"/>
    <cellStyle name="Note 22 2 2 29" xfId="6465" xr:uid="{5197E1C8-F25D-43FA-AF5C-CBA91F6B8274}"/>
    <cellStyle name="Note 22 2 2 3" xfId="8070" xr:uid="{EA506695-A268-4A38-BF7D-788E473F10F2}"/>
    <cellStyle name="Note 22 2 2 3 2" xfId="32315" xr:uid="{4A186951-AF81-44F8-9C85-2F2BAF47B865}"/>
    <cellStyle name="Note 22 2 2 4" xfId="9327" xr:uid="{80386EA2-42F0-4CF1-BDD0-23EA861AC763}"/>
    <cellStyle name="Note 22 2 2 4 2" xfId="33311" xr:uid="{D3B57576-7877-44D5-B8B1-65DB7116769E}"/>
    <cellStyle name="Note 22 2 2 5" xfId="7693" xr:uid="{83A409FB-4B8C-49B7-9066-B9ACF8973DCE}"/>
    <cellStyle name="Note 22 2 2 5 2" xfId="31991" xr:uid="{35738F2A-AAE9-4C50-9AFD-54DE4EA88E4B}"/>
    <cellStyle name="Note 22 2 2 6" xfId="8804" xr:uid="{7F856681-41E6-4B87-B507-539ADBD9C09C}"/>
    <cellStyle name="Note 22 2 2 6 2" xfId="32927" xr:uid="{4C3C29B4-A1CE-4009-894A-3565E65F40B3}"/>
    <cellStyle name="Note 22 2 2 7" xfId="10431" xr:uid="{5E8BE9A8-4E3F-43E7-9544-54E89BB64182}"/>
    <cellStyle name="Note 22 2 2 7 2" xfId="34066" xr:uid="{16937715-2D5F-4CE5-9ED5-B8B0F118FC84}"/>
    <cellStyle name="Note 22 2 2 8" xfId="8506" xr:uid="{2A014191-1039-4DEC-9B5D-5979823BBE84}"/>
    <cellStyle name="Note 22 2 2 8 2" xfId="32693" xr:uid="{CD785574-3E73-4101-90A4-526590891D4E}"/>
    <cellStyle name="Note 22 2 2 9" xfId="14887" xr:uid="{87C45FA0-E2BF-43B7-9E85-F1CFEB067CDB}"/>
    <cellStyle name="Note 22 2 2 9 2" xfId="36762" xr:uid="{EF4A1294-7467-4C3A-B6C4-291B9406FA32}"/>
    <cellStyle name="Note 22 2 20" xfId="25281" xr:uid="{A50BE767-D214-4330-9A3D-38D8BA290C11}"/>
    <cellStyle name="Note 22 2 20 2" xfId="44197" xr:uid="{52EA470C-754E-42C3-B0E6-7541BD386F57}"/>
    <cellStyle name="Note 22 2 21" xfId="25738" xr:uid="{55EC5EF0-78A6-4318-AC85-74BD22C5808D}"/>
    <cellStyle name="Note 22 2 21 2" xfId="44575" xr:uid="{B59F5E6A-6817-4643-AA62-E5117FF7C273}"/>
    <cellStyle name="Note 22 2 22" xfId="18131" xr:uid="{EAFFFBE2-6A39-4362-9982-B35A0FD6A6BA}"/>
    <cellStyle name="Note 22 2 22 2" xfId="39205" xr:uid="{B8DD4372-387E-4483-8500-BE0906A9EFA4}"/>
    <cellStyle name="Note 22 2 23" xfId="24527" xr:uid="{67F1DAD7-7CFA-48F6-BADA-36830267AC38}"/>
    <cellStyle name="Note 22 2 23 2" xfId="43710" xr:uid="{625320D1-3270-437D-B978-13C62DA862BA}"/>
    <cellStyle name="Note 22 2 24" xfId="18850" xr:uid="{BB5436A4-0A93-42C6-822B-B5AF70ADA5E0}"/>
    <cellStyle name="Note 22 2 24 2" xfId="39697" xr:uid="{55ED9006-F0D6-4D20-99BC-158FD1A0E9A2}"/>
    <cellStyle name="Note 22 2 25" xfId="27162" xr:uid="{F64FAE17-6A6C-40B2-9D59-5485606F5EB3}"/>
    <cellStyle name="Note 22 2 25 2" xfId="45503" xr:uid="{578E2BB3-0861-4894-BE1B-15C0E8F66E14}"/>
    <cellStyle name="Note 22 2 26" xfId="21011" xr:uid="{87927611-197B-4FBC-91A5-41F3F4262B95}"/>
    <cellStyle name="Note 22 2 26 2" xfId="41269" xr:uid="{D90C3EB8-8AB4-41CB-99E7-6E1E13CE6D85}"/>
    <cellStyle name="Note 22 2 27" xfId="24315" xr:uid="{7041DBF5-4934-45DE-8B18-E8F508C8BF1F}"/>
    <cellStyle name="Note 22 2 27 2" xfId="43581" xr:uid="{1C2065DD-6524-49E0-B9B9-CF7BA87E5BBF}"/>
    <cellStyle name="Note 22 2 28" xfId="30741" xr:uid="{D88CB595-6EAB-4ADF-8118-11E0BFE6ADE6}"/>
    <cellStyle name="Note 22 2 28 2" xfId="47682" xr:uid="{7B6DDC56-5570-4FAE-9DFD-83351D9D789C}"/>
    <cellStyle name="Note 22 2 29" xfId="25088" xr:uid="{93F3ED9A-20A9-4F78-A939-8037C31045CB}"/>
    <cellStyle name="Note 22 2 29 2" xfId="44092" xr:uid="{AB02AD4C-B576-4718-8343-0E8D2D69B0B5}"/>
    <cellStyle name="Note 22 2 3" xfId="2943" xr:uid="{365E0278-99B0-48D0-9E3F-4C87F25D4E1F}"/>
    <cellStyle name="Note 22 2 3 10" xfId="15482" xr:uid="{6A8A01B7-C908-425C-B481-3F9AC063C897}"/>
    <cellStyle name="Note 22 2 3 10 2" xfId="37147" xr:uid="{E0204DA2-338D-4ADC-8446-DD7ED84AD905}"/>
    <cellStyle name="Note 22 2 3 11" xfId="16582" xr:uid="{FBD739F4-0821-42AD-92FA-8B0435CDD0FE}"/>
    <cellStyle name="Note 22 2 3 11 2" xfId="38075" xr:uid="{34CAD21F-AB85-4B11-A6AB-106B3183EBEF}"/>
    <cellStyle name="Note 22 2 3 12" xfId="17501" xr:uid="{1E99CA7A-DEC3-4F14-AB6E-658137959D4C}"/>
    <cellStyle name="Note 22 2 3 12 2" xfId="38748" xr:uid="{7E4D8283-BDEB-43D3-94E4-96C84171BAEB}"/>
    <cellStyle name="Note 22 2 3 13" xfId="17561" xr:uid="{777D6987-4580-4F32-8435-4E32282C0E36}"/>
    <cellStyle name="Note 22 2 3 13 2" xfId="38808" xr:uid="{E4DF549C-4C4E-44A4-820E-6A443E07BF02}"/>
    <cellStyle name="Note 22 2 3 14" xfId="17955" xr:uid="{42297995-917A-4423-8255-F1829934DA81}"/>
    <cellStyle name="Note 22 2 3 14 2" xfId="39053" xr:uid="{5A8B4596-9339-4DC4-A379-C115C041FF1F}"/>
    <cellStyle name="Note 22 2 3 15" xfId="18442" xr:uid="{831601FC-D3C7-4014-8F9B-228723908F08}"/>
    <cellStyle name="Note 22 2 3 15 2" xfId="39453" xr:uid="{4351791B-0FAE-4B75-A440-D533CDEAC5A7}"/>
    <cellStyle name="Note 22 2 3 16" xfId="13889" xr:uid="{AFE5E623-078E-4B41-A8A8-B6C4A0FE456C}"/>
    <cellStyle name="Note 22 2 3 16 2" xfId="36008" xr:uid="{57F69050-1625-4F10-9A66-C050769D2AF0}"/>
    <cellStyle name="Note 22 2 3 17" xfId="18646" xr:uid="{D9ED3209-8076-426C-BACC-C581F25BBDCC}"/>
    <cellStyle name="Note 22 2 3 17 2" xfId="39542" xr:uid="{35FB9F82-B26D-4E4F-9EB9-759A84A1A6C9}"/>
    <cellStyle name="Note 22 2 3 18" xfId="17089" xr:uid="{3D57D6FC-BD48-489C-A870-28A179C529AA}"/>
    <cellStyle name="Note 22 2 3 18 2" xfId="38428" xr:uid="{11A0127B-C558-46D1-B61F-CDEE38C9AC68}"/>
    <cellStyle name="Note 22 2 3 19" xfId="20389" xr:uid="{0B912F4D-B8FA-44AA-BE47-E65EA006682E}"/>
    <cellStyle name="Note 22 2 3 19 2" xfId="40811" xr:uid="{3CC2FF60-A0F7-4D2C-BFED-70F029A0B425}"/>
    <cellStyle name="Note 22 2 3 2" xfId="8068" xr:uid="{05009F51-DC8F-4AA8-9E8B-D7BEE9683C29}"/>
    <cellStyle name="Note 22 2 3 2 2" xfId="32313" xr:uid="{3251075D-6A66-4791-8057-E0A7B6C6CF62}"/>
    <cellStyle name="Note 22 2 3 20" xfId="16221" xr:uid="{5CD81C3D-F06B-40D7-8D92-4E67A2118E74}"/>
    <cellStyle name="Note 22 2 3 20 2" xfId="37775" xr:uid="{13E32F3F-07F7-462C-BC68-08029139AC69}"/>
    <cellStyle name="Note 22 2 3 21" xfId="24519" xr:uid="{4FFA50A3-6A3A-4934-BD17-BACE163974EB}"/>
    <cellStyle name="Note 22 2 3 21 2" xfId="43702" xr:uid="{B9FE6E9E-9A20-47BC-87F8-27757551222D}"/>
    <cellStyle name="Note 22 2 3 22" xfId="15380" xr:uid="{0B8693FB-2A33-498B-8847-0C14EDB7614B}"/>
    <cellStyle name="Note 22 2 3 22 2" xfId="37078" xr:uid="{A31F3E7B-9CF2-4EBD-929E-AEBAB26CCD15}"/>
    <cellStyle name="Note 22 2 3 23" xfId="27161" xr:uid="{0432BE55-574F-482A-BEB1-28FEB8110E83}"/>
    <cellStyle name="Note 22 2 3 23 2" xfId="45502" xr:uid="{F77E7950-6A21-40E8-968F-9C58141E38AB}"/>
    <cellStyle name="Note 22 2 3 24" xfId="23402" xr:uid="{B5EC710D-5A1D-402D-BB46-F8D50BA43FA2}"/>
    <cellStyle name="Note 22 2 3 24 2" xfId="42924" xr:uid="{7E77D305-77A6-46FE-A683-0D56F0080137}"/>
    <cellStyle name="Note 22 2 3 25" xfId="23723" xr:uid="{7D058D06-F63C-4671-866F-94C19A8A3B7A}"/>
    <cellStyle name="Note 22 2 3 25 2" xfId="43139" xr:uid="{D0944E52-5602-48DE-9343-1FCE3F5C9898}"/>
    <cellStyle name="Note 22 2 3 26" xfId="28684" xr:uid="{82D46656-5454-4B1E-9CD0-4173F27BBA2D}"/>
    <cellStyle name="Note 22 2 3 26 2" xfId="46418" xr:uid="{7A40C798-C9FF-425E-AD1C-2568C636C863}"/>
    <cellStyle name="Note 22 2 3 27" xfId="29007" xr:uid="{6290701B-45D7-46BF-BD3C-6E46B1F3F9CD}"/>
    <cellStyle name="Note 22 2 3 27 2" xfId="46601" xr:uid="{19DD4ECA-B2D8-4014-8338-B7E1AC738804}"/>
    <cellStyle name="Note 22 2 3 28" xfId="6467" xr:uid="{5FDBCBFB-82E6-4288-800C-C756AFACA410}"/>
    <cellStyle name="Note 22 2 3 3" xfId="9329" xr:uid="{26FE084B-391D-489A-B444-872FA69849EC}"/>
    <cellStyle name="Note 22 2 3 3 2" xfId="33313" xr:uid="{E40611A2-C3C6-4790-895C-2F4B82B5456D}"/>
    <cellStyle name="Note 22 2 3 4" xfId="7691" xr:uid="{D2F8D7B0-2561-4987-8284-D6F15F7E9600}"/>
    <cellStyle name="Note 22 2 3 4 2" xfId="31989" xr:uid="{639B5167-4C86-441C-A1F4-BAA5D5B0CB73}"/>
    <cellStyle name="Note 22 2 3 5" xfId="8803" xr:uid="{55DD4B50-AAEF-4E34-8CA8-81ED7B03E8DC}"/>
    <cellStyle name="Note 22 2 3 5 2" xfId="32926" xr:uid="{82509087-4082-4CCD-A5E8-A66011D7C093}"/>
    <cellStyle name="Note 22 2 3 6" xfId="10433" xr:uid="{694E4B85-2E0F-4A24-A534-FBE59742ECB4}"/>
    <cellStyle name="Note 22 2 3 6 2" xfId="34068" xr:uid="{871B135C-6D77-4668-B94F-A97D6737015E}"/>
    <cellStyle name="Note 22 2 3 7" xfId="15084" xr:uid="{8C38BA26-152A-4539-833F-3FA38BC993B0}"/>
    <cellStyle name="Note 22 2 3 7 2" xfId="36929" xr:uid="{F31C9B29-C447-42B2-BF70-AD1813D957E6}"/>
    <cellStyle name="Note 22 2 3 8" xfId="14886" xr:uid="{A6EFD489-BAD6-454D-9DD5-A83DA7C72112}"/>
    <cellStyle name="Note 22 2 3 8 2" xfId="36761" xr:uid="{9A27EFF7-0FD2-48F6-909A-F9C461FE1EF3}"/>
    <cellStyle name="Note 22 2 3 9" xfId="11636" xr:uid="{CD7A6F6F-CB22-42FF-B9B0-50EA16DF12DA}"/>
    <cellStyle name="Note 22 2 3 9 2" xfId="34249" xr:uid="{A0D243FE-7772-442E-A532-B0473BCAFF85}"/>
    <cellStyle name="Note 22 2 30" xfId="6464" xr:uid="{DA2F3C60-B9DC-4A97-B61A-5C9C67126F50}"/>
    <cellStyle name="Note 22 2 4" xfId="8071" xr:uid="{358F2965-4AB9-4863-8E0C-98FC3AA482FD}"/>
    <cellStyle name="Note 22 2 4 2" xfId="32316" xr:uid="{205E56CD-130B-41FE-B9C5-741ACBE24911}"/>
    <cellStyle name="Note 22 2 5" xfId="9326" xr:uid="{E9896D0F-2B6E-4D4D-9479-AC6CC17165E1}"/>
    <cellStyle name="Note 22 2 5 2" xfId="33310" xr:uid="{AE337F20-78A6-4DC6-8A92-5740FD39053B}"/>
    <cellStyle name="Note 22 2 6" xfId="7694" xr:uid="{AE0547A4-FFAA-4444-B42C-887DDE7B27C7}"/>
    <cellStyle name="Note 22 2 6 2" xfId="31992" xr:uid="{DC6129DB-62B5-40C4-8E73-0E6A4601B2C9}"/>
    <cellStyle name="Note 22 2 7" xfId="14321" xr:uid="{E65A5D0E-1F92-413E-96A0-4DE9A18D4733}"/>
    <cellStyle name="Note 22 2 7 2" xfId="36364" xr:uid="{7CD8F3DC-85B6-4DB8-AE56-5EE9E179AF60}"/>
    <cellStyle name="Note 22 2 8" xfId="13036" xr:uid="{7E847B25-3005-4444-99E8-952D8DB2DE62}"/>
    <cellStyle name="Note 22 2 8 2" xfId="35384" xr:uid="{DC67E501-D1EA-41AC-BB06-B4A38B5BF2BC}"/>
    <cellStyle name="Note 22 2 9" xfId="15080" xr:uid="{FA8E02C6-6959-4BA7-8F74-694BA779404E}"/>
    <cellStyle name="Note 22 2 9 2" xfId="36925" xr:uid="{0979D258-D8D9-4330-88D1-E3A9420C00F1}"/>
    <cellStyle name="Note 22 2_Sheet2" xfId="2944" xr:uid="{0D8B84F0-B94E-4DA2-B178-50691C6DD7CD}"/>
    <cellStyle name="Note 22 20" xfId="19270" xr:uid="{6439BAA8-DD7F-4377-9822-237DD7ECDC41}"/>
    <cellStyle name="Note 22 20 2" xfId="40056" xr:uid="{163B2C7D-9627-48E2-B624-286A40940330}"/>
    <cellStyle name="Note 22 21" xfId="19372" xr:uid="{DA36CA2E-42C3-4F89-B8EB-94323B5AA2F8}"/>
    <cellStyle name="Note 22 21 2" xfId="40097" xr:uid="{A36625AA-9C54-48AC-91DC-E0D697DD0841}"/>
    <cellStyle name="Note 22 22" xfId="18441" xr:uid="{E8EA8086-8D1D-41E9-B868-0C513D96BB75}"/>
    <cellStyle name="Note 22 22 2" xfId="39452" xr:uid="{555E0FA1-705D-485B-B741-6466BFC19E63}"/>
    <cellStyle name="Note 22 23" xfId="19626" xr:uid="{022BE163-F5AC-4667-9B14-5CB725079457}"/>
    <cellStyle name="Note 22 23 2" xfId="40266" xr:uid="{348777D8-9F71-424F-8819-64ECB5AA19F7}"/>
    <cellStyle name="Note 22 24" xfId="24113" xr:uid="{53E9320D-2A5F-4DE2-8C10-D737CF5DCCAC}"/>
    <cellStyle name="Note 22 24 2" xfId="43489" xr:uid="{397E171E-31C3-48EB-8CE2-6455D34A8D44}"/>
    <cellStyle name="Note 22 25" xfId="23510" xr:uid="{6E8F21C0-CAB1-40F1-8479-AB7C1C3ACE8D}"/>
    <cellStyle name="Note 22 25 2" xfId="42970" xr:uid="{FA537434-D8D5-4BD8-AC06-1397FAD6F03A}"/>
    <cellStyle name="Note 22 26" xfId="24741" xr:uid="{F95E9BE6-FFFA-4BFE-8BF8-D47C446B2F01}"/>
    <cellStyle name="Note 22 26 2" xfId="43886" xr:uid="{7C120385-3E29-43A5-B0A7-3F68CA4E6AD6}"/>
    <cellStyle name="Note 22 27" xfId="16222" xr:uid="{E5A7341F-0259-47AC-B05A-BCC7650BF4EC}"/>
    <cellStyle name="Note 22 27 2" xfId="37776" xr:uid="{A4E9D90C-42BB-48B2-8073-C7EF49C83EA3}"/>
    <cellStyle name="Note 22 28" xfId="22284" xr:uid="{814F424D-93E8-47A2-BA50-77A57506CC4F}"/>
    <cellStyle name="Note 22 28 2" xfId="42148" xr:uid="{42598003-FB70-44CC-9269-99A489CBE1A7}"/>
    <cellStyle name="Note 22 29" xfId="20545" xr:uid="{8BCB37E4-4929-4930-952C-76B6C77311EE}"/>
    <cellStyle name="Note 22 29 2" xfId="40925" xr:uid="{FDB69564-AFA2-4D3A-9A30-CC1FC1EDB9C1}"/>
    <cellStyle name="Note 22 3" xfId="2945" xr:uid="{B8FF1CC7-8C25-499C-911C-01238272B81D}"/>
    <cellStyle name="Note 22 3 10" xfId="11635" xr:uid="{9FB9D41F-67D0-4378-9F10-FDD416C68B2A}"/>
    <cellStyle name="Note 22 3 10 2" xfId="34248" xr:uid="{03B3135D-718C-4678-8EE6-C0672A0BF0E6}"/>
    <cellStyle name="Note 22 3 11" xfId="16009" xr:uid="{9BDD6085-C80C-47F9-A73D-0EB702F43C2D}"/>
    <cellStyle name="Note 22 3 11 2" xfId="37592" xr:uid="{599ED06F-8106-4E6A-BC3D-ACD66022B6B8}"/>
    <cellStyle name="Note 22 3 12" xfId="16581" xr:uid="{BE55BD90-76B1-4E57-918C-B6FFD1C27C92}"/>
    <cellStyle name="Note 22 3 12 2" xfId="38074" xr:uid="{48624550-D057-447F-945A-3D928AA0C59B}"/>
    <cellStyle name="Note 22 3 13" xfId="17500" xr:uid="{7A1013F3-2D05-489A-AD67-F4F23E33A01E}"/>
    <cellStyle name="Note 22 3 13 2" xfId="38747" xr:uid="{35CDC694-7528-4D77-A99A-830E81C7F1FB}"/>
    <cellStyle name="Note 22 3 14" xfId="20799" xr:uid="{C9F9EA47-A289-42D3-BE95-469D9D94021D}"/>
    <cellStyle name="Note 22 3 14 2" xfId="41159" xr:uid="{D9B48CA0-6609-4999-A2AF-3349225F6E99}"/>
    <cellStyle name="Note 22 3 15" xfId="12656" xr:uid="{3BAE820E-6735-4500-B84C-7E5B5FBE34F4}"/>
    <cellStyle name="Note 22 3 15 2" xfId="35082" xr:uid="{D0083BB0-A0F7-465F-9E0B-EB931018F24A}"/>
    <cellStyle name="Note 22 3 16" xfId="18443" xr:uid="{59975649-6827-46AF-A6BF-B95AD7CDEE86}"/>
    <cellStyle name="Note 22 3 16 2" xfId="39454" xr:uid="{7FC4CCCC-A3D8-4C64-A0BA-EE6E7A4B0B46}"/>
    <cellStyle name="Note 22 3 17" xfId="19624" xr:uid="{615F5ADB-AC45-4F6E-97F7-FDC88E8364DC}"/>
    <cellStyle name="Note 22 3 17 2" xfId="40264" xr:uid="{7ACBC285-F5B1-4226-B100-97988288A685}"/>
    <cellStyle name="Note 22 3 18" xfId="24357" xr:uid="{88A2A1F5-370F-4163-BE1C-BA4355AD5481}"/>
    <cellStyle name="Note 22 3 18 2" xfId="43612" xr:uid="{13B5E2CB-40EC-4D74-AAB5-4A9B38121916}"/>
    <cellStyle name="Note 22 3 19" xfId="15348" xr:uid="{D010BCE3-06C3-42FC-B41C-D5BB01980AF7}"/>
    <cellStyle name="Note 22 3 19 2" xfId="37048" xr:uid="{40742338-1993-466B-9DE7-2AB0D90C8156}"/>
    <cellStyle name="Note 22 3 2" xfId="2946" xr:uid="{01E62747-4AC0-45FE-B44E-72B8CDC6DA5B}"/>
    <cellStyle name="Note 22 3 2 10" xfId="15483" xr:uid="{7BB9DB69-17DA-485A-8F84-3ACDC1C7CBB6}"/>
    <cellStyle name="Note 22 3 2 10 2" xfId="37148" xr:uid="{1A9287D1-5D52-46D6-A8D0-96CEE153C21B}"/>
    <cellStyle name="Note 22 3 2 11" xfId="12517" xr:uid="{E2290CE7-7ED4-48E8-9104-45EBB6E2CB95}"/>
    <cellStyle name="Note 22 3 2 11 2" xfId="34961" xr:uid="{284C8D65-3851-410E-B8BD-500850CF4335}"/>
    <cellStyle name="Note 22 3 2 12" xfId="13701" xr:uid="{AC4C1D87-7017-472F-BD8F-C967CED53096}"/>
    <cellStyle name="Note 22 3 2 12 2" xfId="35857" xr:uid="{57717F74-0D8A-47C0-A695-CEB37FFAAA32}"/>
    <cellStyle name="Note 22 3 2 13" xfId="20802" xr:uid="{8FC15090-B493-49C9-8B2A-3DFEA0FBDE29}"/>
    <cellStyle name="Note 22 3 2 13 2" xfId="41162" xr:uid="{2492EBC9-DE09-424B-B384-F35E716F00B8}"/>
    <cellStyle name="Note 22 3 2 14" xfId="19740" xr:uid="{CF8788FB-EA27-4DAA-B381-104BAB9EA328}"/>
    <cellStyle name="Note 22 3 2 14 2" xfId="40357" xr:uid="{757E028C-1454-44B6-9465-A554C2F03FEA}"/>
    <cellStyle name="Note 22 3 2 15" xfId="18440" xr:uid="{7BF73E7D-9FCE-4E0A-86E8-DD66043BB6FC}"/>
    <cellStyle name="Note 22 3 2 15 2" xfId="39451" xr:uid="{02D077E7-0AB3-4504-B8F5-65ECED98CAB0}"/>
    <cellStyle name="Note 22 3 2 16" xfId="21425" xr:uid="{A0E9468E-3CA8-49B0-A8EE-47F9F057572C}"/>
    <cellStyle name="Note 22 3 2 16 2" xfId="41554" xr:uid="{73C2B72C-DE56-4710-A31B-D36D11D472CB}"/>
    <cellStyle name="Note 22 3 2 17" xfId="25723" xr:uid="{B9223CE3-127E-46BE-BD6E-769B6BD58029}"/>
    <cellStyle name="Note 22 3 2 17 2" xfId="44560" xr:uid="{5E3EBE9D-0FE3-4BA9-A407-53225533FE01}"/>
    <cellStyle name="Note 22 3 2 18" xfId="18976" xr:uid="{69F1E3F3-D4EA-476E-8238-0501D08023D8}"/>
    <cellStyle name="Note 22 3 2 18 2" xfId="39808" xr:uid="{DBFF5731-27A9-41C3-AE13-DDA15768F84B}"/>
    <cellStyle name="Note 22 3 2 19" xfId="24739" xr:uid="{7DE4FE59-3D71-4B74-A4AE-4E67AB7379A6}"/>
    <cellStyle name="Note 22 3 2 19 2" xfId="43884" xr:uid="{E6553F0B-179E-435F-8259-A00C1644C383}"/>
    <cellStyle name="Note 22 3 2 2" xfId="8066" xr:uid="{01B6661A-5D4E-43D8-8B07-33DD1BFBDA9E}"/>
    <cellStyle name="Note 22 3 2 2 2" xfId="32311" xr:uid="{2B8879DF-EC09-4553-8118-C3D9CC6B66DC}"/>
    <cellStyle name="Note 22 3 2 20" xfId="16220" xr:uid="{4826CA62-5E78-4A1A-9609-F20F28027555}"/>
    <cellStyle name="Note 22 3 2 20 2" xfId="37774" xr:uid="{F8D50C14-4521-4D98-81FD-8FC9ED3DF6F1}"/>
    <cellStyle name="Note 22 3 2 21" xfId="25045" xr:uid="{6D3D90E1-4EE1-488A-AEE8-23AA21E8E957}"/>
    <cellStyle name="Note 22 3 2 21 2" xfId="44076" xr:uid="{280B48D6-3107-4C74-B183-574A7EA1256C}"/>
    <cellStyle name="Note 22 3 2 22" xfId="26931" xr:uid="{E7D9FC7A-91F0-4A11-BA4C-1DA8798BF2EB}"/>
    <cellStyle name="Note 22 3 2 22 2" xfId="45346" xr:uid="{2F15A25C-2329-4763-AE3D-01A3244D053F}"/>
    <cellStyle name="Note 22 3 2 23" xfId="26109" xr:uid="{79259AA3-A7D4-4390-ABBE-768847E6356D}"/>
    <cellStyle name="Note 22 3 2 23 2" xfId="44852" xr:uid="{3F5F1012-5790-4603-A0B9-0BCB7ECBF975}"/>
    <cellStyle name="Note 22 3 2 24" xfId="28887" xr:uid="{0DFB4E78-D893-47D8-9E4D-D211605589DA}"/>
    <cellStyle name="Note 22 3 2 24 2" xfId="46497" xr:uid="{CE83CA7C-D371-4035-97FD-25AD2F3BBC07}"/>
    <cellStyle name="Note 22 3 2 25" xfId="27899" xr:uid="{4701007C-2208-40A4-BA20-57448068A045}"/>
    <cellStyle name="Note 22 3 2 25 2" xfId="45971" xr:uid="{43C431DB-CB0D-491F-B7FE-55AF1A602774}"/>
    <cellStyle name="Note 22 3 2 26" xfId="30753" xr:uid="{C4598BB1-2AFF-46F5-91B3-A3B08967C176}"/>
    <cellStyle name="Note 22 3 2 26 2" xfId="47694" xr:uid="{3B6314CA-5FF2-4704-94DB-9D234E491333}"/>
    <cellStyle name="Note 22 3 2 27" xfId="26958" xr:uid="{03562AAD-9236-41E8-B696-8F9195229232}"/>
    <cellStyle name="Note 22 3 2 27 2" xfId="45365" xr:uid="{2DCDD853-F397-4BCC-B301-020E8EE908B2}"/>
    <cellStyle name="Note 22 3 2 28" xfId="6469" xr:uid="{6CF115F5-07D6-4064-BA48-B90E2C8F4A5C}"/>
    <cellStyle name="Note 22 3 2 3" xfId="9332" xr:uid="{D94778CE-305A-42C7-B4E3-6ABD0B488A61}"/>
    <cellStyle name="Note 22 3 2 3 2" xfId="33315" xr:uid="{482F1A1F-B3BF-43BD-B54F-60AC20437954}"/>
    <cellStyle name="Note 22 3 2 4" xfId="7689" xr:uid="{FAAAB419-44D6-4F64-9064-BC7006AD124E}"/>
    <cellStyle name="Note 22 3 2 4 2" xfId="31987" xr:uid="{6F8F68AF-6E3D-4B1D-B7DA-D32F2F6518A6}"/>
    <cellStyle name="Note 22 3 2 5" xfId="14314" xr:uid="{C11B5989-7349-4A28-953B-05D585C18C74}"/>
    <cellStyle name="Note 22 3 2 5 2" xfId="36357" xr:uid="{01BE8CCC-02A1-4668-8624-B8C1944946C9}"/>
    <cellStyle name="Note 22 3 2 6" xfId="13034" xr:uid="{CAFFCFE8-6BFA-414E-B9E3-4435FBFE417F}"/>
    <cellStyle name="Note 22 3 2 6 2" xfId="35382" xr:uid="{CA819816-30C5-478C-88D8-0C5FC63FFB49}"/>
    <cellStyle name="Note 22 3 2 7" xfId="8504" xr:uid="{DB2DE5EC-2A8E-4D79-A2A9-9CCDE86C5683}"/>
    <cellStyle name="Note 22 3 2 7 2" xfId="32691" xr:uid="{F50C1617-B544-4074-AC38-F3E7DCE05009}"/>
    <cellStyle name="Note 22 3 2 8" xfId="15960" xr:uid="{D4FE91E9-58DC-4E9F-A365-5B14736C2F7D}"/>
    <cellStyle name="Note 22 3 2 8 2" xfId="37551" xr:uid="{474A90CA-51DC-4F8C-BF9B-C3E4A0D55C27}"/>
    <cellStyle name="Note 22 3 2 9" xfId="7201" xr:uid="{0D367C8C-9FEF-4CCD-A5A2-7D7BB8170FB7}"/>
    <cellStyle name="Note 22 3 2 9 2" xfId="31567" xr:uid="{3CD50A40-1F83-4A95-83A0-A7C823CC29B2}"/>
    <cellStyle name="Note 22 3 20" xfId="22876" xr:uid="{D11D630E-F17F-44A7-8932-BFEA0B8319D6}"/>
    <cellStyle name="Note 22 3 20 2" xfId="42594" xr:uid="{181BA63D-2679-4B9C-A741-91C73798FEF2}"/>
    <cellStyle name="Note 22 3 21" xfId="18130" xr:uid="{E5A5A251-D1AC-4D6A-BD4A-3EF889F246D4}"/>
    <cellStyle name="Note 22 3 21 2" xfId="39204" xr:uid="{1EEC9EA7-D025-4E46-876E-E2D282AF6666}"/>
    <cellStyle name="Note 22 3 22" xfId="24526" xr:uid="{9DA251CB-4E30-4197-B1E7-1EFAA0A8DF37}"/>
    <cellStyle name="Note 22 3 22 2" xfId="43709" xr:uid="{0367A985-6009-4709-A4CD-51E0559616E1}"/>
    <cellStyle name="Note 22 3 23" xfId="18849" xr:uid="{7EEBDF49-DA74-4AD3-B96D-32132C80208C}"/>
    <cellStyle name="Note 22 3 23 2" xfId="39696" xr:uid="{2E36C043-9429-4AD0-97A5-B3D76AE89DF6}"/>
    <cellStyle name="Note 22 3 24" xfId="29522" xr:uid="{5FEAAAB9-8E15-4820-94BF-6B2EE01EC2A4}"/>
    <cellStyle name="Note 22 3 24 2" xfId="46930" xr:uid="{AAFEFF2A-0D0A-487D-99AA-691BEEC4F1BC}"/>
    <cellStyle name="Note 22 3 25" xfId="27516" xr:uid="{DA3922F9-1BD1-4BFA-9456-CEF1C34A1773}"/>
    <cellStyle name="Note 22 3 25 2" xfId="45710" xr:uid="{4055190C-7230-46D4-9EED-728368095081}"/>
    <cellStyle name="Note 22 3 26" xfId="29384" xr:uid="{EB1CAAC7-995E-493D-BA90-218A7328D127}"/>
    <cellStyle name="Note 22 3 26 2" xfId="46851" xr:uid="{27E97303-1787-4D12-B0DA-BAA7F29A229E}"/>
    <cellStyle name="Note 22 3 27" xfId="28685" xr:uid="{30812F5D-41A9-40CB-A9ED-BFF6AF720DD0}"/>
    <cellStyle name="Note 22 3 27 2" xfId="46419" xr:uid="{932EC113-3964-4442-9BBB-E8C59EDEF708}"/>
    <cellStyle name="Note 22 3 28" xfId="26823" xr:uid="{26896BBB-01DB-4EBF-ADBA-CB450A40868A}"/>
    <cellStyle name="Note 22 3 28 2" xfId="45294" xr:uid="{55607889-F787-4C2F-9087-6439739671B5}"/>
    <cellStyle name="Note 22 3 29" xfId="6468" xr:uid="{9BE8AC50-4D20-4A2A-8E10-86E7D7E5ED07}"/>
    <cellStyle name="Note 22 3 3" xfId="8067" xr:uid="{F0882AE6-4917-4E15-B8A1-EEA97322DF9D}"/>
    <cellStyle name="Note 22 3 3 2" xfId="32312" xr:uid="{E821CBDA-974B-4AF2-ADC8-98808F08C011}"/>
    <cellStyle name="Note 22 3 4" xfId="9331" xr:uid="{72201A12-9324-427C-B6A6-58604380B060}"/>
    <cellStyle name="Note 22 3 4 2" xfId="33314" xr:uid="{EAC8B5AA-11EC-4A78-8B3E-E294AA47F8DC}"/>
    <cellStyle name="Note 22 3 5" xfId="7690" xr:uid="{2979EF8A-402E-4C3E-AF08-FF076F0B7B0C}"/>
    <cellStyle name="Note 22 3 5 2" xfId="31988" xr:uid="{3CBA0F5E-BD31-4E61-A6B9-F605A6A413F5}"/>
    <cellStyle name="Note 22 3 6" xfId="8802" xr:uid="{78F740EC-8910-4911-95DA-567164918FF6}"/>
    <cellStyle name="Note 22 3 6 2" xfId="32925" xr:uid="{23CF91EA-F849-47D7-97A4-2F5749D71063}"/>
    <cellStyle name="Note 22 3 7" xfId="10434" xr:uid="{8441540E-5976-48E1-ACD4-7CF6AE828915}"/>
    <cellStyle name="Note 22 3 7 2" xfId="34069" xr:uid="{4D178FAE-AE73-42A4-AF6E-C1A2CE61041C}"/>
    <cellStyle name="Note 22 3 8" xfId="13397" xr:uid="{7C9F3D49-1390-41C9-A809-87C887116EAA}"/>
    <cellStyle name="Note 22 3 8 2" xfId="35704" xr:uid="{19241FB4-C76F-4472-9BE7-26475366F879}"/>
    <cellStyle name="Note 22 3 9" xfId="14885" xr:uid="{61B473BA-ADBF-4CE0-BBEB-1BBAB7041208}"/>
    <cellStyle name="Note 22 3 9 2" xfId="36760" xr:uid="{C05A1A0E-1439-4238-ABDA-464C9B7A9E8E}"/>
    <cellStyle name="Note 22 30" xfId="26110" xr:uid="{608A7289-2401-4012-B824-680EC0FBD04B}"/>
    <cellStyle name="Note 22 30 2" xfId="44853" xr:uid="{4EBCEFAD-5B69-4A48-BB65-28F84E24C6CC}"/>
    <cellStyle name="Note 22 31" xfId="28651" xr:uid="{B986BC76-FFB7-4686-AA04-91D2A4BF2144}"/>
    <cellStyle name="Note 22 31 2" xfId="46385" xr:uid="{08E78376-0839-4C29-8DAB-F380C8BA2FF2}"/>
    <cellStyle name="Note 22 32" xfId="25481" xr:uid="{ABD06053-A624-480C-AD5D-387FDF3F0DEE}"/>
    <cellStyle name="Note 22 32 2" xfId="44360" xr:uid="{9257699D-E7C5-43AE-9A89-5C156EE0385F}"/>
    <cellStyle name="Note 22 33" xfId="30735" xr:uid="{EEB7447F-7A8F-485A-838A-7EF429ACDD49}"/>
    <cellStyle name="Note 22 33 2" xfId="47681" xr:uid="{62F34854-A1E8-4AF7-B7D5-4A67183F7C30}"/>
    <cellStyle name="Note 22 34" xfId="26968" xr:uid="{DA95099D-372A-465A-B02E-B7CDC3CAE938}"/>
    <cellStyle name="Note 22 34 2" xfId="45375" xr:uid="{3C728BD6-0279-429F-92E9-628566DACB8A}"/>
    <cellStyle name="Note 22 35" xfId="6463" xr:uid="{59BE3023-111B-43CC-BB03-5ACF28F4D6B1}"/>
    <cellStyle name="Note 22 4" xfId="2947" xr:uid="{46EE99AB-46F5-4E39-942B-AB52BCC702CD}"/>
    <cellStyle name="Note 22 4 10" xfId="11634" xr:uid="{86CDADFA-C941-4AD5-BC0E-2AF747CA6DA1}"/>
    <cellStyle name="Note 22 4 10 2" xfId="34247" xr:uid="{0C595AF1-8570-416C-B152-6268A454BE89}"/>
    <cellStyle name="Note 22 4 11" xfId="14675" xr:uid="{A00E1724-D88F-46F7-9610-9313369C1EFD}"/>
    <cellStyle name="Note 22 4 11 2" xfId="36587" xr:uid="{FE78E806-8882-4A66-B370-98D090C9AD1E}"/>
    <cellStyle name="Note 22 4 12" xfId="16580" xr:uid="{032AEDE2-1089-4B3C-B653-AED17E89A027}"/>
    <cellStyle name="Note 22 4 12 2" xfId="38073" xr:uid="{D56AD8CB-B11A-432B-BD16-1583B77F5B3C}"/>
    <cellStyle name="Note 22 4 13" xfId="17499" xr:uid="{F4829FDC-4AB0-45A3-AAEE-5D08CC62B4EE}"/>
    <cellStyle name="Note 22 4 13 2" xfId="38746" xr:uid="{65B9A12F-B0D6-4898-9F6F-B20663930BB3}"/>
    <cellStyle name="Note 22 4 14" xfId="17547" xr:uid="{CCEB9B65-5BFB-42F5-B311-624E0E9464E3}"/>
    <cellStyle name="Note 22 4 14 2" xfId="38794" xr:uid="{A3DEA8FE-4CF7-4F35-9D34-E7A50EB38EC9}"/>
    <cellStyle name="Note 22 4 15" xfId="17954" xr:uid="{4F24533B-153F-4F44-A5B0-80D6507AA827}"/>
    <cellStyle name="Note 22 4 15 2" xfId="39052" xr:uid="{09A3CC29-4AE4-459F-9FBD-E62DE0433C34}"/>
    <cellStyle name="Note 22 4 16" xfId="13280" xr:uid="{8632E468-4EA0-4514-ACAD-2125675FAD60}"/>
    <cellStyle name="Note 22 4 16 2" xfId="35599" xr:uid="{BF87B4B5-613C-428D-AAC4-7196FE5C5E9D}"/>
    <cellStyle name="Note 22 4 17" xfId="17729" xr:uid="{E3B8DD42-BD0F-492F-8156-7FBE1161FC42}"/>
    <cellStyle name="Note 22 4 17 2" xfId="38905" xr:uid="{562203DD-E010-4FA6-AC80-F49239F4A5C2}"/>
    <cellStyle name="Note 22 4 18" xfId="15814" xr:uid="{936BD388-9048-42E5-8571-1833CAE261C8}"/>
    <cellStyle name="Note 22 4 18 2" xfId="37429" xr:uid="{6884DB6F-A487-426F-BA48-EFA0D2ED7BAE}"/>
    <cellStyle name="Note 22 4 19" xfId="22780" xr:uid="{9DC8E87F-6D91-4BAD-8A1C-5891BF8AA2C6}"/>
    <cellStyle name="Note 22 4 19 2" xfId="42533" xr:uid="{CCB6E270-15AD-425C-BFEB-B64178B7E647}"/>
    <cellStyle name="Note 22 4 2" xfId="2948" xr:uid="{C3216577-2508-4D43-A28A-6BCAFED93D54}"/>
    <cellStyle name="Note 22 4 2 10" xfId="15178" xr:uid="{DA6A71AA-A1FD-477B-BE62-2068EC7C3163}"/>
    <cellStyle name="Note 22 4 2 10 2" xfId="36965" xr:uid="{A5869380-4C6D-470D-8B3A-5B101D729489}"/>
    <cellStyle name="Note 22 4 2 11" xfId="14045" xr:uid="{B45DBCD8-306A-4586-9D32-0825C54FE5B8}"/>
    <cellStyle name="Note 22 4 2 11 2" xfId="36139" xr:uid="{B647966B-DA20-4924-9626-40494B8A192E}"/>
    <cellStyle name="Note 22 4 2 12" xfId="15616" xr:uid="{54BCB10B-0A89-4540-8CF1-33C8C9F5D625}"/>
    <cellStyle name="Note 22 4 2 12 2" xfId="37274" xr:uid="{193C919B-8839-470F-A0E6-2CF1D6919295}"/>
    <cellStyle name="Note 22 4 2 13" xfId="20801" xr:uid="{E026BBAE-187B-4828-9171-2F4A6679CEE5}"/>
    <cellStyle name="Note 22 4 2 13 2" xfId="41161" xr:uid="{7890ABB3-443B-4604-A265-DE030794575B}"/>
    <cellStyle name="Note 22 4 2 14" xfId="19739" xr:uid="{85B53C2C-6D01-4E93-A5E0-80BD1E731086}"/>
    <cellStyle name="Note 22 4 2 14 2" xfId="40356" xr:uid="{C04A8DC0-3B44-40EF-B8E5-04DE0656D2DF}"/>
    <cellStyle name="Note 22 4 2 15" xfId="13337" xr:uid="{EAC5C4EC-2FFE-4698-A961-E3B17C829C5E}"/>
    <cellStyle name="Note 22 4 2 15 2" xfId="35647" xr:uid="{EB333491-EEE6-4CE4-AF2C-3CEA1100A3A9}"/>
    <cellStyle name="Note 22 4 2 16" xfId="21424" xr:uid="{0B853563-236C-4D99-B936-4636F9F0E3B4}"/>
    <cellStyle name="Note 22 4 2 16 2" xfId="41553" xr:uid="{1F5E72B4-AF1D-45E6-8279-6F521F96FFC0}"/>
    <cellStyle name="Note 22 4 2 17" xfId="22008" xr:uid="{E06B5514-B35A-405D-BE4A-8D74D2A9FF4A}"/>
    <cellStyle name="Note 22 4 2 17 2" xfId="41903" xr:uid="{17D72EA7-C056-48E8-AC11-94E8CD82323D}"/>
    <cellStyle name="Note 22 4 2 18" xfId="18977" xr:uid="{F012AE79-A458-46DC-BD5E-6BF72F7AF584}"/>
    <cellStyle name="Note 22 4 2 18 2" xfId="39809" xr:uid="{208C2297-FF25-4906-AF7A-F23692732A8E}"/>
    <cellStyle name="Note 22 4 2 19" xfId="24738" xr:uid="{572503A2-F33C-4668-AE9A-A21686D3F98B}"/>
    <cellStyle name="Note 22 4 2 19 2" xfId="43883" xr:uid="{2DFD313A-8A81-489F-AF26-979BEF2C3E4B}"/>
    <cellStyle name="Note 22 4 2 2" xfId="8064" xr:uid="{52669429-8155-4B05-ABF8-464EE4EC59B7}"/>
    <cellStyle name="Note 22 4 2 2 2" xfId="32309" xr:uid="{FD767AD1-4044-46BF-B61D-569D72734FA1}"/>
    <cellStyle name="Note 22 4 2 20" xfId="15211" xr:uid="{897148E2-5F1E-4CD3-B342-6C6BBFD098A2}"/>
    <cellStyle name="Note 22 4 2 20 2" xfId="36981" xr:uid="{F1171514-FB57-4817-8CFB-ED0D9FBFA09A}"/>
    <cellStyle name="Note 22 4 2 21" xfId="25336" xr:uid="{C91ABEB2-642A-4F55-AE5E-88DF3C6E891C}"/>
    <cellStyle name="Note 22 4 2 21 2" xfId="44252" xr:uid="{3683EF67-C4E5-4241-9436-E2309E31175F}"/>
    <cellStyle name="Note 22 4 2 22" xfId="26922" xr:uid="{9677745A-73B9-476C-B047-7C961542B4C7}"/>
    <cellStyle name="Note 22 4 2 22 2" xfId="45338" xr:uid="{59417356-1AFE-4FCD-9CFD-7A1E32B6315F}"/>
    <cellStyle name="Note 22 4 2 23" xfId="22596" xr:uid="{D343BD02-CC77-4402-9A5F-0EF6DDE8C1F9}"/>
    <cellStyle name="Note 22 4 2 23 2" xfId="42382" xr:uid="{CB2146E0-3295-416C-8977-08F0179E58C2}"/>
    <cellStyle name="Note 22 4 2 24" xfId="22223" xr:uid="{F6BE2086-4E1A-4EC7-983F-E9D5FF2A58F5}"/>
    <cellStyle name="Note 22 4 2 24 2" xfId="42102" xr:uid="{97F2CC8E-0847-4A1D-833B-69C36351F871}"/>
    <cellStyle name="Note 22 4 2 25" xfId="25821" xr:uid="{E54117E6-4115-4547-8C43-555AB97D70D6}"/>
    <cellStyle name="Note 22 4 2 25 2" xfId="44646" xr:uid="{1595A306-6B37-4793-91DD-99E59167AA1E}"/>
    <cellStyle name="Note 22 4 2 26" xfId="30754" xr:uid="{7A6524BC-B1C2-41E8-B6EE-2BE4788D28A5}"/>
    <cellStyle name="Note 22 4 2 26 2" xfId="47695" xr:uid="{77353A89-E0C5-45F0-BD47-9EC254B3A63A}"/>
    <cellStyle name="Note 22 4 2 27" xfId="26967" xr:uid="{1FB24789-8A9A-479C-AFC8-064FD9892840}"/>
    <cellStyle name="Note 22 4 2 27 2" xfId="45374" xr:uid="{AA8AFDA6-E37A-4B7B-B3A3-F198BF65C141}"/>
    <cellStyle name="Note 22 4 2 28" xfId="6471" xr:uid="{8B2DD950-4083-4965-AA10-DB5523A52235}"/>
    <cellStyle name="Note 22 4 2 3" xfId="9334" xr:uid="{0D1B3880-2196-425A-BE3A-B393BDF5F0F7}"/>
    <cellStyle name="Note 22 4 2 3 2" xfId="33317" xr:uid="{02FEC179-8220-4308-836C-8EED07AF5A31}"/>
    <cellStyle name="Note 22 4 2 4" xfId="7687" xr:uid="{0FD2D808-C2D8-4139-B49F-E0098DDBDE45}"/>
    <cellStyle name="Note 22 4 2 4 2" xfId="31985" xr:uid="{99B72AE2-91D0-469D-B93B-78041A0C2A35}"/>
    <cellStyle name="Note 22 4 2 5" xfId="8801" xr:uid="{D5497336-761A-4966-BAD4-689CAC273577}"/>
    <cellStyle name="Note 22 4 2 5 2" xfId="32924" xr:uid="{1AEEC3FC-B655-4ED3-BD9E-DCF1D29E3BCE}"/>
    <cellStyle name="Note 22 4 2 6" xfId="13033" xr:uid="{CF6600E1-A311-4058-9D6F-328E4D3FD7DA}"/>
    <cellStyle name="Note 22 4 2 6 2" xfId="35381" xr:uid="{F4B372FC-0C6D-4AD5-8ED9-6CEE7D3E16F2}"/>
    <cellStyle name="Note 22 4 2 7" xfId="8503" xr:uid="{58F855B8-7A06-49D5-8E9B-553B5B9AFDF8}"/>
    <cellStyle name="Note 22 4 2 7 2" xfId="32690" xr:uid="{23BDF57B-98B5-4E51-AC52-B11666D4EEF1}"/>
    <cellStyle name="Note 22 4 2 8" xfId="10563" xr:uid="{7C41CFAC-C027-4F7F-8709-9536AEFBDF36}"/>
    <cellStyle name="Note 22 4 2 8 2" xfId="34189" xr:uid="{007DA641-DC69-4DA5-B599-1BBB4BCF5108}"/>
    <cellStyle name="Note 22 4 2 9" xfId="7200" xr:uid="{6D67E1C4-075A-47F6-980B-1CCF190EA2F0}"/>
    <cellStyle name="Note 22 4 2 9 2" xfId="31566" xr:uid="{5694BC37-EBD2-4245-B7BC-4426FBCF8461}"/>
    <cellStyle name="Note 22 4 20" xfId="21787" xr:uid="{8094FF99-C660-426A-ADA1-02F40B98C55E}"/>
    <cellStyle name="Note 22 4 20 2" xfId="41785" xr:uid="{D9AD0290-467A-488F-8514-DD7B61C882B4}"/>
    <cellStyle name="Note 22 4 21" xfId="18129" xr:uid="{91246DDC-81B7-4B1A-B35C-E5A6CCF43369}"/>
    <cellStyle name="Note 22 4 21 2" xfId="39203" xr:uid="{5EB33444-C67B-4CD7-947F-2E30E40A0982}"/>
    <cellStyle name="Note 22 4 22" xfId="16935" xr:uid="{C4EBF9CC-5347-462E-9E24-9EA6DBE761F4}"/>
    <cellStyle name="Note 22 4 22 2" xfId="38306" xr:uid="{453C2681-D45C-4D6C-BA14-935F27D17C38}"/>
    <cellStyle name="Note 22 4 23" xfId="26548" xr:uid="{D7B7F71B-E80E-45C7-AF11-CF64E21A6BA3}"/>
    <cellStyle name="Note 22 4 23 2" xfId="45121" xr:uid="{C794B7A3-C364-4B9D-A1B1-F5F25FA81B6D}"/>
    <cellStyle name="Note 22 4 24" xfId="28611" xr:uid="{C8EBF5B8-3DD4-4151-AED4-7CD830CD27FE}"/>
    <cellStyle name="Note 22 4 24 2" xfId="46345" xr:uid="{0ACCD88B-8039-4610-845C-2F31E0E3AF1D}"/>
    <cellStyle name="Note 22 4 25" xfId="29167" xr:uid="{5A6DF3E7-3C7B-4C00-84E0-1FC47F104AE9}"/>
    <cellStyle name="Note 22 4 25 2" xfId="46695" xr:uid="{9769EACD-5D3C-4531-910F-8667AE949D51}"/>
    <cellStyle name="Note 22 4 26" xfId="25093" xr:uid="{7C6A4ABE-3295-48FA-8968-3A0CFF5425CD}"/>
    <cellStyle name="Note 22 4 26 2" xfId="44097" xr:uid="{C385776D-8806-4E4E-A455-0A31E4186269}"/>
    <cellStyle name="Note 22 4 27" xfId="28682" xr:uid="{0208536E-6087-4243-9C29-C941CCE986C0}"/>
    <cellStyle name="Note 22 4 27 2" xfId="46416" xr:uid="{F493A38F-3711-4415-A8C4-64CD16B79467}"/>
    <cellStyle name="Note 22 4 28" xfId="29203" xr:uid="{ABAE7368-6C04-43EF-AB07-6BB3BC5B62DF}"/>
    <cellStyle name="Note 22 4 28 2" xfId="46729" xr:uid="{8614AD35-1851-43D2-884C-CD1E4D4F1CE9}"/>
    <cellStyle name="Note 22 4 29" xfId="6470" xr:uid="{3883182C-5444-45D8-833A-02E8BFDD4AAF}"/>
    <cellStyle name="Note 22 4 3" xfId="8065" xr:uid="{1D011581-8004-4BCE-913F-745E777027D5}"/>
    <cellStyle name="Note 22 4 3 2" xfId="32310" xr:uid="{BFFC7511-03FF-4C80-BC80-5563396F8BDE}"/>
    <cellStyle name="Note 22 4 4" xfId="9333" xr:uid="{B84576C7-5918-41AC-BFE5-7D9D7B4FC31E}"/>
    <cellStyle name="Note 22 4 4 2" xfId="33316" xr:uid="{2A365A37-9CAD-48D4-A233-41FB3ADD8C1C}"/>
    <cellStyle name="Note 22 4 5" xfId="7688" xr:uid="{5CB9FFA6-EFE2-4F68-A8A3-043FF83F2DE3}"/>
    <cellStyle name="Note 22 4 5 2" xfId="31986" xr:uid="{F516C871-0061-4CAE-8976-06305F3B8BC9}"/>
    <cellStyle name="Note 22 4 6" xfId="14317" xr:uid="{D5B532B5-95E3-468C-9CCA-32D4E0058AAC}"/>
    <cellStyle name="Note 22 4 6 2" xfId="36360" xr:uid="{0B5E0D40-A21B-427A-8EF1-22C1EC05C053}"/>
    <cellStyle name="Note 22 4 7" xfId="10435" xr:uid="{660FE7C0-3BF9-4BD1-B2C1-BC16D8767BC2}"/>
    <cellStyle name="Note 22 4 7 2" xfId="34070" xr:uid="{550A5434-5AA0-4D63-99A5-1D63BA3CE31C}"/>
    <cellStyle name="Note 22 4 8" xfId="15085" xr:uid="{D08A7056-4356-410B-87C6-2EF69E39BB05}"/>
    <cellStyle name="Note 22 4 8 2" xfId="36930" xr:uid="{58C7DD2C-2CE4-4AE7-83F7-1E576EA7FB51}"/>
    <cellStyle name="Note 22 4 9" xfId="14884" xr:uid="{910FA8FB-2E29-4FC6-84E1-C3ED81F8BEAE}"/>
    <cellStyle name="Note 22 4 9 2" xfId="36759" xr:uid="{F0B181B1-CE6B-4859-9092-1919F8DBF7BC}"/>
    <cellStyle name="Note 22 5" xfId="2949" xr:uid="{A0FA78F1-6B76-4EEF-8AE8-2FD56D69F8FD}"/>
    <cellStyle name="Note 22 5 10" xfId="7100" xr:uid="{7082E181-7735-4718-927E-D7FBEF6C5ECC}"/>
    <cellStyle name="Note 22 5 10 2" xfId="31467" xr:uid="{5DBE5A0F-DC65-49F6-83B6-4B911AA5AB35}"/>
    <cellStyle name="Note 22 5 11" xfId="12287" xr:uid="{1919DB31-AB6C-4046-9C3F-A7B3001F73D7}"/>
    <cellStyle name="Note 22 5 11 2" xfId="34793" xr:uid="{0172C320-A456-4D08-AF57-F497271FCDB9}"/>
    <cellStyle name="Note 22 5 12" xfId="16579" xr:uid="{965C0D41-364F-48BF-821A-A8F48EB03411}"/>
    <cellStyle name="Note 22 5 12 2" xfId="38072" xr:uid="{C43A2BDA-5BC5-4F79-9C80-CA18F7A89A02}"/>
    <cellStyle name="Note 22 5 13" xfId="17498" xr:uid="{870C9162-C5F5-483C-B1CC-62756EB45A29}"/>
    <cellStyle name="Note 22 5 13 2" xfId="38745" xr:uid="{7C8068A9-C58D-473A-92EC-27818B970EBF}"/>
    <cellStyle name="Note 22 5 14" xfId="19271" xr:uid="{B47522F9-A33F-4B64-8788-D148AC35D0EC}"/>
    <cellStyle name="Note 22 5 14 2" xfId="40057" xr:uid="{3FF53212-D868-4523-95FE-F7C395451706}"/>
    <cellStyle name="Note 22 5 15" xfId="15280" xr:uid="{825E28DA-4C30-45F6-ABD5-80048C9E2325}"/>
    <cellStyle name="Note 22 5 15 2" xfId="36997" xr:uid="{B72B6661-7560-41A2-A916-FAC19B79C9E8}"/>
    <cellStyle name="Note 22 5 16" xfId="16970" xr:uid="{9DDAFB09-4CE4-4A18-990B-CE530D5C626E}"/>
    <cellStyle name="Note 22 5 16 2" xfId="38333" xr:uid="{264DD715-7E1A-4EB9-8F17-45473AC019C2}"/>
    <cellStyle name="Note 22 5 17" xfId="17732" xr:uid="{DBCEA378-D600-4FC0-BA59-42AD98E7E800}"/>
    <cellStyle name="Note 22 5 17 2" xfId="38908" xr:uid="{9D42F80C-2A93-4E13-9CF8-BC17CBEA34B8}"/>
    <cellStyle name="Note 22 5 18" xfId="18321" xr:uid="{21A8F6B2-F29F-4873-B0AB-50A7723D1BC8}"/>
    <cellStyle name="Note 22 5 18 2" xfId="39352" xr:uid="{FF1410AB-7F2C-4FCD-AC08-1D23054BBD87}"/>
    <cellStyle name="Note 22 5 19" xfId="25267" xr:uid="{8466CBAA-96D2-4AC8-AC0A-C1BD22B3CDB2}"/>
    <cellStyle name="Note 22 5 19 2" xfId="44188" xr:uid="{45B1B22E-A466-46EF-9A1C-38D3196893FA}"/>
    <cellStyle name="Note 22 5 2" xfId="2950" xr:uid="{63FB029B-E1C8-44F0-91CF-E37C9CCB2E75}"/>
    <cellStyle name="Note 22 5 2 10" xfId="12323" xr:uid="{39F732FA-2B4F-40EF-8FE7-ECAA9866B12D}"/>
    <cellStyle name="Note 22 5 2 10 2" xfId="34827" xr:uid="{6B7F8419-161A-44DE-AD74-705554E9D545}"/>
    <cellStyle name="Note 22 5 2 11" xfId="12518" xr:uid="{03E99202-8236-4C42-B26E-6142572543FC}"/>
    <cellStyle name="Note 22 5 2 11 2" xfId="34962" xr:uid="{03285778-04C7-4F10-B3DE-36F3895DF706}"/>
    <cellStyle name="Note 22 5 2 12" xfId="14450" xr:uid="{3945F60D-F996-4AA1-AC7F-5423B2DECAFC}"/>
    <cellStyle name="Note 22 5 2 12 2" xfId="36439" xr:uid="{2F87D3A0-376E-41BA-9356-E8007BCCECE0}"/>
    <cellStyle name="Note 22 5 2 13" xfId="20800" xr:uid="{7846F265-C0D0-4385-8E93-40C8F4C51398}"/>
    <cellStyle name="Note 22 5 2 13 2" xfId="41160" xr:uid="{6477AFED-4F94-462D-B2E5-4FC54A6A3FEA}"/>
    <cellStyle name="Note 22 5 2 14" xfId="19738" xr:uid="{D46D9CA4-65E0-43DB-89B3-DCE77272B357}"/>
    <cellStyle name="Note 22 5 2 14 2" xfId="40355" xr:uid="{D6A86802-4A28-4A29-92EC-E687EE914F88}"/>
    <cellStyle name="Note 22 5 2 15" xfId="10111" xr:uid="{04EEECA1-091B-41C2-A977-756F8C3CBC49}"/>
    <cellStyle name="Note 22 5 2 15 2" xfId="33782" xr:uid="{77BD2C83-3014-459D-B6D6-A6EDE4649AF3}"/>
    <cellStyle name="Note 22 5 2 16" xfId="13608" xr:uid="{9A7B96F3-484C-431A-9D02-1DFC454616C2}"/>
    <cellStyle name="Note 22 5 2 16 2" xfId="35778" xr:uid="{4DCECBD3-816F-4306-AA6A-D56E92B102D9}"/>
    <cellStyle name="Note 22 5 2 17" xfId="18245" xr:uid="{5A9D99CC-9EBD-46C3-802D-24905A9A68F5}"/>
    <cellStyle name="Note 22 5 2 17 2" xfId="39276" xr:uid="{8B1383AE-E011-4BDA-8BE6-25E6C60C0C12}"/>
    <cellStyle name="Note 22 5 2 18" xfId="17095" xr:uid="{C87430BD-83D0-45FE-B945-6A3356524A19}"/>
    <cellStyle name="Note 22 5 2 18 2" xfId="38434" xr:uid="{0AE4FE1A-FB2E-483C-9CEF-361C53585673}"/>
    <cellStyle name="Note 22 5 2 19" xfId="25739" xr:uid="{75076CD2-060B-4A55-83C5-F0E229CC572B}"/>
    <cellStyle name="Note 22 5 2 19 2" xfId="44576" xr:uid="{A3891134-58D8-4ADE-A9B3-07BAF760A22D}"/>
    <cellStyle name="Note 22 5 2 2" xfId="8062" xr:uid="{8A0E7E49-9AA9-410C-8E2D-B1784FB98C2B}"/>
    <cellStyle name="Note 22 5 2 2 2" xfId="32307" xr:uid="{93901992-1DE2-4E71-8BCF-46B3C2BA00BB}"/>
    <cellStyle name="Note 22 5 2 20" xfId="16219" xr:uid="{B8A4521B-A4F9-4C67-B08D-4193452EB03F}"/>
    <cellStyle name="Note 22 5 2 20 2" xfId="37773" xr:uid="{CABFB7A9-5D6A-48BA-8463-A44E2ACDD7C9}"/>
    <cellStyle name="Note 22 5 2 21" xfId="21977" xr:uid="{13B80410-CAF1-4446-BA04-5301ADB6547B}"/>
    <cellStyle name="Note 22 5 2 21 2" xfId="41884" xr:uid="{0B062E69-0026-4265-A3F6-C04499029478}"/>
    <cellStyle name="Note 22 5 2 22" xfId="23247" xr:uid="{A382B7C3-B28C-4E49-91F3-AD391CDF1D4B}"/>
    <cellStyle name="Note 22 5 2 22 2" xfId="42822" xr:uid="{4AA3C642-7D89-4799-AB3B-9295AC651AFE}"/>
    <cellStyle name="Note 22 5 2 23" xfId="29757" xr:uid="{BFA88517-3692-4422-B377-46CC1CD20371}"/>
    <cellStyle name="Note 22 5 2 23 2" xfId="47076" xr:uid="{959A8DA8-3092-4642-98FA-0799B10A4658}"/>
    <cellStyle name="Note 22 5 2 24" xfId="28649" xr:uid="{835AC2D1-A835-4599-A029-C7E9240E4342}"/>
    <cellStyle name="Note 22 5 2 24 2" xfId="46383" xr:uid="{D8F6DAA4-DF3E-4029-A9C0-622EEC365674}"/>
    <cellStyle name="Note 22 5 2 25" xfId="27507" xr:uid="{52E3B327-CB53-4717-8E83-B0058BF416F2}"/>
    <cellStyle name="Note 22 5 2 25 2" xfId="45701" xr:uid="{7D78CADF-9ACC-4400-9AC8-9622B72BC977}"/>
    <cellStyle name="Note 22 5 2 26" xfId="30767" xr:uid="{1A545ECC-32B2-4A3F-B2CA-7E7D60F1CC5E}"/>
    <cellStyle name="Note 22 5 2 26 2" xfId="47708" xr:uid="{0B02E8AC-3450-40B7-A249-E3D2E64D33F4}"/>
    <cellStyle name="Note 22 5 2 27" xfId="25607" xr:uid="{7363D68D-D458-4F68-A27A-AAA22D0A7762}"/>
    <cellStyle name="Note 22 5 2 27 2" xfId="44467" xr:uid="{2DE25BB8-6392-4061-BD6F-E6F06947AC3A}"/>
    <cellStyle name="Note 22 5 2 28" xfId="6473" xr:uid="{88CC9BE1-BBA0-4819-95B9-9120E1DF5261}"/>
    <cellStyle name="Note 22 5 2 3" xfId="9336" xr:uid="{4331FB7A-CA25-4A08-9094-DA5D770B8B7C}"/>
    <cellStyle name="Note 22 5 2 3 2" xfId="33319" xr:uid="{FB6B755E-A970-4DDF-AB9C-EDAA739A31FE}"/>
    <cellStyle name="Note 22 5 2 4" xfId="7685" xr:uid="{A4650006-9D14-41ED-BF49-4DB219C9B921}"/>
    <cellStyle name="Note 22 5 2 4 2" xfId="31983" xr:uid="{D960C4FA-F18A-4DCF-9A0B-B2C3A32239FC}"/>
    <cellStyle name="Note 22 5 2 5" xfId="8800" xr:uid="{F3D7F8CC-52B0-46D2-A2E3-7138FE75B854}"/>
    <cellStyle name="Note 22 5 2 5 2" xfId="32923" xr:uid="{73CCE640-0EDF-4E65-AF70-DEF5032EECE4}"/>
    <cellStyle name="Note 22 5 2 6" xfId="13032" xr:uid="{24476544-AFC5-49C6-AC74-B3D7651D2930}"/>
    <cellStyle name="Note 22 5 2 6 2" xfId="35380" xr:uid="{6A92AE7A-3DB5-466D-B36F-A55304C9556E}"/>
    <cellStyle name="Note 22 5 2 7" xfId="15086" xr:uid="{3EB75627-8E76-414B-9054-07BC0C7729FA}"/>
    <cellStyle name="Note 22 5 2 7 2" xfId="36931" xr:uid="{B2A355D4-5E38-4946-8DC2-EAD38B0B16C3}"/>
    <cellStyle name="Note 22 5 2 8" xfId="10564" xr:uid="{A02ECCB2-715A-4C65-A9C3-7FD82A08941F}"/>
    <cellStyle name="Note 22 5 2 8 2" xfId="34190" xr:uid="{8A5F53DC-3D94-4A92-8D03-82522E9DD332}"/>
    <cellStyle name="Note 22 5 2 9" xfId="11633" xr:uid="{ECFF3034-75E1-4B05-A991-0E0F47C5DE2B}"/>
    <cellStyle name="Note 22 5 2 9 2" xfId="34246" xr:uid="{DFD78936-257E-45DC-9F25-7117BCA66D67}"/>
    <cellStyle name="Note 22 5 20" xfId="22875" xr:uid="{F955D2DB-6D6E-418A-B9C3-A28952061319}"/>
    <cellStyle name="Note 22 5 20 2" xfId="42593" xr:uid="{051C649C-D0C4-4F71-A10C-FE9BEFDDF038}"/>
    <cellStyle name="Note 22 5 21" xfId="18128" xr:uid="{977AB58B-E68D-42FA-8511-05395F740467}"/>
    <cellStyle name="Note 22 5 21 2" xfId="39202" xr:uid="{C2FC369B-2213-405C-90DC-92485A5B9E20}"/>
    <cellStyle name="Note 22 5 22" xfId="24525" xr:uid="{BB552520-FA9C-4C52-B4FF-AACD90249482}"/>
    <cellStyle name="Note 22 5 22 2" xfId="43708" xr:uid="{D75177EF-0DEA-410F-90A2-90392E9701BB}"/>
    <cellStyle name="Note 22 5 23" xfId="20519" xr:uid="{EBDDF9DE-CE36-4AB4-AEBB-2A93413E8EC7}"/>
    <cellStyle name="Note 22 5 23 2" xfId="40899" xr:uid="{C9504658-6882-486D-BAA8-851691DF545E}"/>
    <cellStyle name="Note 22 5 24" xfId="28610" xr:uid="{FE2386C1-4EE8-4510-B722-2B750A487252}"/>
    <cellStyle name="Note 22 5 24 2" xfId="46344" xr:uid="{E4D369C0-6852-443A-8A66-9ADC260DB142}"/>
    <cellStyle name="Note 22 5 25" xfId="22773" xr:uid="{E942916E-34FE-4957-9337-14ACD6D478F0}"/>
    <cellStyle name="Note 22 5 25 2" xfId="42529" xr:uid="{AE2CA9A7-D484-489C-ABCE-EE23BEC696D6}"/>
    <cellStyle name="Note 22 5 26" xfId="25560" xr:uid="{796F6A29-E7C8-495D-8D7D-57EEED6BF8AB}"/>
    <cellStyle name="Note 22 5 26 2" xfId="44428" xr:uid="{7B4E37BE-C7A4-420C-B51F-8AA767191DFF}"/>
    <cellStyle name="Note 22 5 27" xfId="23021" xr:uid="{1E59018E-3EBD-486D-BE03-7364466A9E12}"/>
    <cellStyle name="Note 22 5 27 2" xfId="42656" xr:uid="{49952207-2471-465C-9787-79F29FD2F74C}"/>
    <cellStyle name="Note 22 5 28" xfId="26898" xr:uid="{CFEF31B3-53AF-4F2D-92D0-D130C87B3757}"/>
    <cellStyle name="Note 22 5 28 2" xfId="45321" xr:uid="{2A213B66-177B-4A61-9950-F7271F09BEB3}"/>
    <cellStyle name="Note 22 5 29" xfId="6472" xr:uid="{B25C80E1-AD57-4D8B-8375-1DDABAF0E30B}"/>
    <cellStyle name="Note 22 5 3" xfId="8063" xr:uid="{98CC9D4C-785E-4965-9719-88F052EABF70}"/>
    <cellStyle name="Note 22 5 3 2" xfId="32308" xr:uid="{087F6705-C5B2-48BA-B9F4-D1916415AD79}"/>
    <cellStyle name="Note 22 5 4" xfId="9335" xr:uid="{948A663F-3E78-4B2C-A218-1ADA385E30D8}"/>
    <cellStyle name="Note 22 5 4 2" xfId="33318" xr:uid="{40501304-A4C9-400E-927E-96740D8675BF}"/>
    <cellStyle name="Note 22 5 5" xfId="7686" xr:uid="{21795859-5D83-4F25-BFEF-35B273CFB4C0}"/>
    <cellStyle name="Note 22 5 5 2" xfId="31984" xr:uid="{61788ECE-3C3E-4E34-B039-7AC7140AA3B6}"/>
    <cellStyle name="Note 22 5 6" xfId="14316" xr:uid="{8903BE0A-A28F-4809-B1D8-49F08C651479}"/>
    <cellStyle name="Note 22 5 6 2" xfId="36359" xr:uid="{8044E726-18D9-4105-B2BD-51999910ED38}"/>
    <cellStyle name="Note 22 5 7" xfId="10436" xr:uid="{AB9C0DDD-89FC-41CE-AC1B-1FA418207057}"/>
    <cellStyle name="Note 22 5 7 2" xfId="34071" xr:uid="{BCE44FC1-3CF5-4C2E-92F5-B811327C0640}"/>
    <cellStyle name="Note 22 5 8" xfId="8502" xr:uid="{9A95A6E6-473D-4189-BC53-13FA87E06531}"/>
    <cellStyle name="Note 22 5 8 2" xfId="32689" xr:uid="{0879B3A7-9C5E-4385-99C3-58FDD599616C}"/>
    <cellStyle name="Note 22 5 9" xfId="14883" xr:uid="{538A4663-7576-439E-B7AA-613634B80278}"/>
    <cellStyle name="Note 22 5 9 2" xfId="36758" xr:uid="{D01DD9C0-EE35-4B7B-AE26-9413F44815D6}"/>
    <cellStyle name="Note 22 6" xfId="2951" xr:uid="{F65D1193-778E-4B44-BAEF-662AC95587D3}"/>
    <cellStyle name="Note 22 6 10" xfId="7199" xr:uid="{5ABA4EE4-C59D-4425-88FE-AD7F46FCF44D}"/>
    <cellStyle name="Note 22 6 10 2" xfId="31565" xr:uid="{9D2BE87F-78BA-4049-A175-47E58B6CE0B2}"/>
    <cellStyle name="Note 22 6 11" xfId="15484" xr:uid="{E91ACA59-6445-4B9B-93B9-C1E1A6F9CEAB}"/>
    <cellStyle name="Note 22 6 11 2" xfId="37149" xr:uid="{3BDC11C7-D23B-42D5-82EC-4CB07F12E209}"/>
    <cellStyle name="Note 22 6 12" xfId="16578" xr:uid="{2C02B601-AFD3-490A-BFD1-72C53A219C17}"/>
    <cellStyle name="Note 22 6 12 2" xfId="38071" xr:uid="{881A46FF-D1B8-4579-AD3E-11FC0DC423BE}"/>
    <cellStyle name="Note 22 6 13" xfId="17497" xr:uid="{420D56A6-7ABF-4F60-917C-D0A4867B99BA}"/>
    <cellStyle name="Note 22 6 13 2" xfId="38744" xr:uid="{84992F68-EB60-419D-91C8-873C552196BC}"/>
    <cellStyle name="Note 22 6 14" xfId="17563" xr:uid="{B3FD72D6-7607-4C75-9F12-AD6302E1C8AC}"/>
    <cellStyle name="Note 22 6 14 2" xfId="38810" xr:uid="{6999EA5F-B166-4917-A0AC-272403483A0C}"/>
    <cellStyle name="Note 22 6 15" xfId="17953" xr:uid="{0D4B6719-3724-47E5-9E38-269A795DEA6E}"/>
    <cellStyle name="Note 22 6 15 2" xfId="39051" xr:uid="{043940A7-EC41-4F12-B7B4-825A6787ED47}"/>
    <cellStyle name="Note 22 6 16" xfId="13336" xr:uid="{1F67A64F-E8B5-4474-AF62-E66F7610B636}"/>
    <cellStyle name="Note 22 6 16 2" xfId="35646" xr:uid="{3A9D425E-2190-4A7B-91F4-B016FE4AB050}"/>
    <cellStyle name="Note 22 6 17" xfId="21423" xr:uid="{126DE99C-8C33-44AC-82F9-B6E74B7F1F64}"/>
    <cellStyle name="Note 22 6 17 2" xfId="41552" xr:uid="{F998329F-A9A5-4F92-A56E-B742EC69A506}"/>
    <cellStyle name="Note 22 6 18" xfId="25719" xr:uid="{E292A040-C6EF-4973-A306-B0725D2D0652}"/>
    <cellStyle name="Note 22 6 18 2" xfId="44556" xr:uid="{C172EE07-8148-452D-BEAF-7A80992EB92D}"/>
    <cellStyle name="Note 22 6 19" xfId="16096" xr:uid="{B1F16228-A059-4093-BBA0-F392988F561B}"/>
    <cellStyle name="Note 22 6 19 2" xfId="37666" xr:uid="{BAAE93D1-57A1-46F9-AB60-BD6D96770423}"/>
    <cellStyle name="Note 22 6 2" xfId="2952" xr:uid="{83685AA5-D0A8-4CCD-9A97-478C6D48B3E0}"/>
    <cellStyle name="Note 22 6 2 10" xfId="14674" xr:uid="{73FDF497-B883-4F59-9ED3-4B9072999691}"/>
    <cellStyle name="Note 22 6 2 10 2" xfId="36586" xr:uid="{12B20D2F-071A-4D71-BA31-15B32DBDA258}"/>
    <cellStyle name="Note 22 6 2 11" xfId="14044" xr:uid="{343B790F-C4A5-4FEC-BF75-7EA1CFCA7CD1}"/>
    <cellStyle name="Note 22 6 2 11 2" xfId="36138" xr:uid="{AA1FBF41-B600-4F1E-9AD0-4B7CA0D59FA2}"/>
    <cellStyle name="Note 22 6 2 12" xfId="12702" xr:uid="{DFFD0D64-3843-4274-899A-70EB06F506EB}"/>
    <cellStyle name="Note 22 6 2 12 2" xfId="35115" xr:uid="{EA130A1A-0BBA-407C-83FC-FA1E33F77141}"/>
    <cellStyle name="Note 22 6 2 13" xfId="18674" xr:uid="{404335C7-5051-4FD9-9C9F-CE25260FB7F1}"/>
    <cellStyle name="Note 22 6 2 13 2" xfId="39557" xr:uid="{600F525D-9342-4F35-99FE-F7E58F7D95FF}"/>
    <cellStyle name="Note 22 6 2 14" xfId="19737" xr:uid="{182A223A-A07A-4F2C-A305-0BECBE968376}"/>
    <cellStyle name="Note 22 6 2 14 2" xfId="40354" xr:uid="{56EDBDFE-F7BE-470A-A8C2-430D1E5D0B2C}"/>
    <cellStyle name="Note 22 6 2 15" xfId="16711" xr:uid="{298EFC70-34BD-4F5E-ACC4-9E7B1D82394C}"/>
    <cellStyle name="Note 22 6 2 15 2" xfId="38201" xr:uid="{40E18EDC-6F08-4CD8-9C92-66ABEBC7E9B8}"/>
    <cellStyle name="Note 22 6 2 16" xfId="17730" xr:uid="{CEC008BE-7846-47B0-9935-D0D6D1CDD00E}"/>
    <cellStyle name="Note 22 6 2 16 2" xfId="38906" xr:uid="{62E466F9-F92C-4C18-B3E5-5361BC26B2B8}"/>
    <cellStyle name="Note 22 6 2 17" xfId="25721" xr:uid="{3E38E1A0-2DFA-466E-8151-267977114AF9}"/>
    <cellStyle name="Note 22 6 2 17 2" xfId="44558" xr:uid="{66C5C365-25A4-4763-B6F3-BF0FAF9BDF45}"/>
    <cellStyle name="Note 22 6 2 18" xfId="25049" xr:uid="{2FC202D7-5F8C-4D22-830B-925C1B3BEDD5}"/>
    <cellStyle name="Note 22 6 2 18 2" xfId="44079" xr:uid="{FD10E756-2F64-47BA-9DEB-7ABBCE482075}"/>
    <cellStyle name="Note 22 6 2 19" xfId="22338" xr:uid="{B5436C38-5DD2-4251-811C-4F9E99722595}"/>
    <cellStyle name="Note 22 6 2 19 2" xfId="42193" xr:uid="{5108EABF-DC34-45E5-90A6-320C38C59C40}"/>
    <cellStyle name="Note 22 6 2 2" xfId="8060" xr:uid="{BF94FF8C-8AAD-445A-99E2-F2805A6A6AAD}"/>
    <cellStyle name="Note 22 6 2 2 2" xfId="32305" xr:uid="{CD440E51-195F-4048-A09F-91EE240D9BDA}"/>
    <cellStyle name="Note 22 6 2 20" xfId="15769" xr:uid="{F3C709C2-86C4-4292-8AFA-AF8AF5FB0CD7}"/>
    <cellStyle name="Note 22 6 2 20 2" xfId="37393" xr:uid="{E803B493-EAAD-4A32-95D5-BFF7646B00EA}"/>
    <cellStyle name="Note 22 6 2 21" xfId="25337" xr:uid="{1A900A53-885C-4694-9C5F-20A3F34C6CE7}"/>
    <cellStyle name="Note 22 6 2 21 2" xfId="44253" xr:uid="{E3417824-A30B-43B4-ADA5-A4209572AEA6}"/>
    <cellStyle name="Note 22 6 2 22" xfId="27627" xr:uid="{CBF612BD-44FC-4AD4-9631-060CB12187B2}"/>
    <cellStyle name="Note 22 6 2 22 2" xfId="45765" xr:uid="{4A7300DD-0B35-46AE-8E00-31288D93F0F4}"/>
    <cellStyle name="Note 22 6 2 23" xfId="26804" xr:uid="{AC3742FF-BF7A-41B6-9CED-A6EF2A149503}"/>
    <cellStyle name="Note 22 6 2 23 2" xfId="45279" xr:uid="{2AC4D39D-8DCC-4E56-91D5-4E446456E7BF}"/>
    <cellStyle name="Note 22 6 2 24" xfId="23878" xr:uid="{298512AB-D1B6-4633-8C56-693E6EA115FA}"/>
    <cellStyle name="Note 22 6 2 24 2" xfId="43257" xr:uid="{D5625989-42BC-4230-9267-FDB7A9FE7509}"/>
    <cellStyle name="Note 22 6 2 25" xfId="24365" xr:uid="{AB428916-A7D9-438D-8D79-E39A1E48FAAF}"/>
    <cellStyle name="Note 22 6 2 25 2" xfId="43618" xr:uid="{B79BC63B-21D4-41D7-B696-EEA24E0E1884}"/>
    <cellStyle name="Note 22 6 2 26" xfId="30752" xr:uid="{8EA39168-01D8-49AA-9762-DB9C62BFC28A}"/>
    <cellStyle name="Note 22 6 2 26 2" xfId="47693" xr:uid="{3F6690EB-EE0A-49FD-A397-BC729B1035F3}"/>
    <cellStyle name="Note 22 6 2 27" xfId="28278" xr:uid="{1004CAF8-D6C8-4352-B7B3-9E2E21731EE9}"/>
    <cellStyle name="Note 22 6 2 27 2" xfId="46145" xr:uid="{3882AC1D-C119-479C-B618-B764D0915D78}"/>
    <cellStyle name="Note 22 6 2 28" xfId="6475" xr:uid="{ED77FF47-40B6-4423-AFD7-7FEE43C184DE}"/>
    <cellStyle name="Note 22 6 2 3" xfId="9338" xr:uid="{34C8230C-D0D4-41F6-9C22-0C227B9CE38E}"/>
    <cellStyle name="Note 22 6 2 3 2" xfId="33321" xr:uid="{C93AD9EA-BE7C-4E9B-A23C-D5CA4D878397}"/>
    <cellStyle name="Note 22 6 2 4" xfId="7683" xr:uid="{FCF94BEF-6C48-4118-8B92-0D2986442C93}"/>
    <cellStyle name="Note 22 6 2 4 2" xfId="31981" xr:uid="{3B513DB3-F74D-489F-8DA4-D2261412AC73}"/>
    <cellStyle name="Note 22 6 2 5" xfId="8799" xr:uid="{38275C7C-1FCD-4B4A-AEB3-57EF58BD0A9A}"/>
    <cellStyle name="Note 22 6 2 5 2" xfId="32922" xr:uid="{313DD533-1D42-4F9D-B58D-A0A824AC7180}"/>
    <cellStyle name="Note 22 6 2 6" xfId="10473" xr:uid="{3AEAD663-DFEE-4078-A95E-1CF3F3DE4E34}"/>
    <cellStyle name="Note 22 6 2 6 2" xfId="34108" xr:uid="{417A2DEC-88D1-4F39-BBC4-BE5FEFC3BED5}"/>
    <cellStyle name="Note 22 6 2 7" xfId="8500" xr:uid="{3E7BE95C-066B-46AA-B05F-BDA058CCFF6C}"/>
    <cellStyle name="Note 22 6 2 7 2" xfId="32687" xr:uid="{23CE43CC-F91F-4F80-B0B1-4EB0DB73F2D1}"/>
    <cellStyle name="Note 22 6 2 8" xfId="14882" xr:uid="{48F1A548-9297-412A-8D97-7E1B4786ECD7}"/>
    <cellStyle name="Note 22 6 2 8 2" xfId="36757" xr:uid="{87E1A369-815E-48EC-B1F8-5437FD3266CC}"/>
    <cellStyle name="Note 22 6 2 9" xfId="11632" xr:uid="{692BC485-C675-4276-AD00-74CF8E55DCFA}"/>
    <cellStyle name="Note 22 6 2 9 2" xfId="34245" xr:uid="{6B1390F3-1493-4B43-8386-4BE2A4F5F3F7}"/>
    <cellStyle name="Note 22 6 20" xfId="24737" xr:uid="{021EB272-BD71-460B-84EE-6AF0AF634E4F}"/>
    <cellStyle name="Note 22 6 20 2" xfId="43882" xr:uid="{61655367-7272-4968-80DF-5E959B0E324A}"/>
    <cellStyle name="Note 22 6 21" xfId="18127" xr:uid="{28CB549A-46E3-4CEB-9CD0-F0C52B7A1281}"/>
    <cellStyle name="Note 22 6 21 2" xfId="39201" xr:uid="{FF7DD3AC-9BA1-4FCD-B8DF-B72F2A275FEE}"/>
    <cellStyle name="Note 22 6 22" xfId="20366" xr:uid="{E65E4966-34A5-4F98-BDEA-28EA1CC67B54}"/>
    <cellStyle name="Note 22 6 22 2" xfId="40793" xr:uid="{9758B48A-F454-41F4-B041-D02AF3F70C2E}"/>
    <cellStyle name="Note 22 6 23" xfId="15386" xr:uid="{BC504B07-48FC-4B87-8058-6DEEF1A18238}"/>
    <cellStyle name="Note 22 6 23 2" xfId="37084" xr:uid="{F324B4E8-565E-4FDC-88A6-F61E9D28562D}"/>
    <cellStyle name="Note 22 6 24" xfId="29253" xr:uid="{03C0444D-440C-460A-8FE0-9ADEA467BC2F}"/>
    <cellStyle name="Note 22 6 24 2" xfId="46769" xr:uid="{454C9FE3-DC1C-4E3D-B297-760E9D9DB0FA}"/>
    <cellStyle name="Note 22 6 25" xfId="24979" xr:uid="{27C66F75-4773-429F-AABF-63A6769DCFFB}"/>
    <cellStyle name="Note 22 6 25 2" xfId="44048" xr:uid="{B1A62E55-7719-4779-9317-AE4BEF074379}"/>
    <cellStyle name="Note 22 6 26" xfId="25482" xr:uid="{B955B626-602D-44C3-8CC0-CA9E5594625B}"/>
    <cellStyle name="Note 22 6 26 2" xfId="44361" xr:uid="{F7DB9B1F-6EE9-4DA5-A968-481A6492041F}"/>
    <cellStyle name="Note 22 6 27" xfId="30755" xr:uid="{E74C89F7-7C2C-425E-A985-F4F543973DE6}"/>
    <cellStyle name="Note 22 6 27 2" xfId="47696" xr:uid="{B4C224D8-237E-4DEA-B39A-5DAE08F96A27}"/>
    <cellStyle name="Note 22 6 28" xfId="28208" xr:uid="{C0A50F9E-05E9-436A-AF4B-863D3884BDB6}"/>
    <cellStyle name="Note 22 6 28 2" xfId="46097" xr:uid="{769FEAF6-FED3-4613-AD51-C38253C8E12E}"/>
    <cellStyle name="Note 22 6 29" xfId="6474" xr:uid="{5B2D53A4-B79F-4745-A33A-C085C6684344}"/>
    <cellStyle name="Note 22 6 3" xfId="8061" xr:uid="{0F7AA575-DACE-4FE7-A8C6-65B97F699968}"/>
    <cellStyle name="Note 22 6 3 2" xfId="32306" xr:uid="{219B1335-0885-4820-8264-A844097EEB4F}"/>
    <cellStyle name="Note 22 6 4" xfId="9337" xr:uid="{2D88943E-8921-4EA2-9B7E-6E05A64CA2D2}"/>
    <cellStyle name="Note 22 6 4 2" xfId="33320" xr:uid="{05A971F9-2626-4350-ADD3-200C42751660}"/>
    <cellStyle name="Note 22 6 5" xfId="7684" xr:uid="{583B96EB-2E37-4148-8D1E-A0872B3917D8}"/>
    <cellStyle name="Note 22 6 5 2" xfId="31982" xr:uid="{018F37F4-25FC-42AA-A0A8-8D5C1D8DCD9E}"/>
    <cellStyle name="Note 22 6 6" xfId="14315" xr:uid="{EEF2F62C-BAA7-4C51-A631-904CB812A36B}"/>
    <cellStyle name="Note 22 6 6 2" xfId="36358" xr:uid="{EC626E7A-55DB-4B16-98CA-33DE031B8CA5}"/>
    <cellStyle name="Note 22 6 7" xfId="10437" xr:uid="{265014E8-1AFB-4CA8-B9DC-D0D5E00C2871}"/>
    <cellStyle name="Note 22 6 7 2" xfId="34072" xr:uid="{8370C917-3523-43FD-933F-F737A727DAE7}"/>
    <cellStyle name="Note 22 6 8" xfId="8501" xr:uid="{A90FE8DF-B5B6-401F-AB4B-15F86D595D50}"/>
    <cellStyle name="Note 22 6 8 2" xfId="32688" xr:uid="{BE8D3975-643F-42F4-9CF8-8317DE0DFC40}"/>
    <cellStyle name="Note 22 6 9" xfId="14865" xr:uid="{2506301A-B1CD-4DE3-9B95-604D88A0C96C}"/>
    <cellStyle name="Note 22 6 9 2" xfId="36740" xr:uid="{D4F58055-F394-4D8A-8731-30200436686B}"/>
    <cellStyle name="Note 22 7" xfId="2953" xr:uid="{979DFEEC-6E11-4934-B816-D8D046424B52}"/>
    <cellStyle name="Note 22 7 10" xfId="7198" xr:uid="{1573C465-31BE-4FA0-BD34-3AA356AC13EC}"/>
    <cellStyle name="Note 22 7 10 2" xfId="31564" xr:uid="{4B3150DF-0477-44CF-AE8A-8F321F105A42}"/>
    <cellStyle name="Note 22 7 11" xfId="15491" xr:uid="{3E2C3147-B019-4F8C-BADD-66D6D28525E7}"/>
    <cellStyle name="Note 22 7 11 2" xfId="37156" xr:uid="{7243E49E-AAD3-40A0-B8D4-30872F5E1322}"/>
    <cellStyle name="Note 22 7 12" xfId="16577" xr:uid="{E36C571F-37C5-4A63-8A4B-E8F0F1CF86F8}"/>
    <cellStyle name="Note 22 7 12 2" xfId="38070" xr:uid="{67DE92D6-000D-448A-9414-BB12A60BB3CA}"/>
    <cellStyle name="Note 22 7 13" xfId="17496" xr:uid="{8AAEC9C2-1C4A-4CFC-AB97-C1435E6B6831}"/>
    <cellStyle name="Note 22 7 13 2" xfId="38743" xr:uid="{6B1B92DB-2939-4AE9-A81B-0BC648FE92B0}"/>
    <cellStyle name="Note 22 7 14" xfId="21049" xr:uid="{FAE87BC0-2155-4321-8FC6-F326EA7808CD}"/>
    <cellStyle name="Note 22 7 14 2" xfId="41297" xr:uid="{EA4E0A70-7A95-443F-8CA9-7690037268DC}"/>
    <cellStyle name="Note 22 7 15" xfId="13913" xr:uid="{1B841B7A-E964-4CD9-A177-D54CEBBA2DAF}"/>
    <cellStyle name="Note 22 7 15 2" xfId="36025" xr:uid="{84CAFD14-6CE1-464E-BB14-4F59B6D9573F}"/>
    <cellStyle name="Note 22 7 16" xfId="10112" xr:uid="{BCCF4346-F2C1-4FC6-A8B0-F55D5025E1E3}"/>
    <cellStyle name="Note 22 7 16 2" xfId="33783" xr:uid="{B0C39EA5-108B-44BC-B893-1FBA84F75EDE}"/>
    <cellStyle name="Note 22 7 17" xfId="21422" xr:uid="{F5B37404-9B57-4CD3-AF07-06CC16D5169B}"/>
    <cellStyle name="Note 22 7 17 2" xfId="41551" xr:uid="{0C6E7CAB-6A8D-4E09-A8A1-4A69FFDAC73C}"/>
    <cellStyle name="Note 22 7 18" xfId="16313" xr:uid="{51226377-2F2B-4832-BB58-6A658D6C746B}"/>
    <cellStyle name="Note 22 7 18 2" xfId="37850" xr:uid="{B6F85A4A-4382-4FD1-BB5B-6E91E610EF5D}"/>
    <cellStyle name="Note 22 7 19" xfId="25268" xr:uid="{4D86D6E3-DA7F-4691-B756-37C6E92FA21D}"/>
    <cellStyle name="Note 22 7 19 2" xfId="44189" xr:uid="{B5938738-2047-4F96-9DA9-68C2401AE9E3}"/>
    <cellStyle name="Note 22 7 2" xfId="2954" xr:uid="{4E9D422E-1F0F-4BDD-9C84-F1472DEB80E7}"/>
    <cellStyle name="Note 22 7 2 10" xfId="14667" xr:uid="{52465855-63B6-44B7-9ECB-98A1C5C992FD}"/>
    <cellStyle name="Note 22 7 2 10 2" xfId="36579" xr:uid="{D416F40F-C13A-4767-BA9A-52D59ECFFA96}"/>
    <cellStyle name="Note 22 7 2 11" xfId="12519" xr:uid="{7EBFC8C5-57CB-48C9-B793-D00378EAA893}"/>
    <cellStyle name="Note 22 7 2 11 2" xfId="34963" xr:uid="{2BC5E0D3-3030-4E40-A846-0B98A51130F6}"/>
    <cellStyle name="Note 22 7 2 12" xfId="13702" xr:uid="{52615F78-E32B-474B-BB0B-60FC5C8752AD}"/>
    <cellStyle name="Note 22 7 2 12 2" xfId="35858" xr:uid="{79FB7B4F-1FB9-4FEB-A05A-B5B4B37EC6AF}"/>
    <cellStyle name="Note 22 7 2 13" xfId="9876" xr:uid="{89EC7E10-766B-406B-BD5F-B8031E17217F}"/>
    <cellStyle name="Note 22 7 2 13 2" xfId="33622" xr:uid="{32418370-E901-48D3-B320-C064AD31BFF9}"/>
    <cellStyle name="Note 22 7 2 14" xfId="19736" xr:uid="{0F834F07-FC4C-432C-A6CF-3C88DE1F71D1}"/>
    <cellStyle name="Note 22 7 2 14 2" xfId="40353" xr:uid="{5DD8F682-E0B6-468E-8D9E-DC5AD60FAFC0}"/>
    <cellStyle name="Note 22 7 2 15" xfId="16712" xr:uid="{2684603E-1CB0-4BED-B3CF-3E8C93F522A7}"/>
    <cellStyle name="Note 22 7 2 15 2" xfId="38202" xr:uid="{E6B1B797-C993-4B15-81EB-6CE9748C9469}"/>
    <cellStyle name="Note 22 7 2 16" xfId="22517" xr:uid="{500E25A3-F135-49D1-A139-50D1B1E7FCD0}"/>
    <cellStyle name="Note 22 7 2 16 2" xfId="42316" xr:uid="{5F2EF8D8-B47A-48F4-8ED2-5B8C2EAF9465}"/>
    <cellStyle name="Note 22 7 2 17" xfId="25720" xr:uid="{19185E40-508A-4B51-9AC6-F46B5E734DDD}"/>
    <cellStyle name="Note 22 7 2 17 2" xfId="44557" xr:uid="{E31720AD-886A-4FBC-ACA0-004F6633C4B6}"/>
    <cellStyle name="Note 22 7 2 18" xfId="18978" xr:uid="{44869C19-BA72-4A84-A6DA-0B2277F8E6BF}"/>
    <cellStyle name="Note 22 7 2 18 2" xfId="39810" xr:uid="{50B9CF7B-34A8-4476-AC13-8EB401A5F423}"/>
    <cellStyle name="Note 22 7 2 19" xfId="24200" xr:uid="{52D9E4A8-05EF-4F3B-A8E7-9643F66AEB51}"/>
    <cellStyle name="Note 22 7 2 19 2" xfId="43523" xr:uid="{72B810D5-9A62-4E65-80CD-08D42150D2B9}"/>
    <cellStyle name="Note 22 7 2 2" xfId="8058" xr:uid="{5B47C3A2-A4B6-47F9-B572-6F6C5FFC38B2}"/>
    <cellStyle name="Note 22 7 2 2 2" xfId="32303" xr:uid="{204E0269-3846-4BAA-96E4-5E16253D0D81}"/>
    <cellStyle name="Note 22 7 2 20" xfId="12630" xr:uid="{31F62F5B-9945-455E-B3C2-AF2D66A6F234}"/>
    <cellStyle name="Note 22 7 2 20 2" xfId="35058" xr:uid="{F4EA6F2D-6C71-40D6-9031-1CC42A4107A0}"/>
    <cellStyle name="Note 22 7 2 21" xfId="23456" xr:uid="{F3460662-8369-4953-869E-3BC872B05DC8}"/>
    <cellStyle name="Note 22 7 2 21 2" xfId="42962" xr:uid="{03406F09-B46B-4AEA-9670-978D41D9C169}"/>
    <cellStyle name="Note 22 7 2 22" xfId="20125" xr:uid="{A1A6318B-34B3-44D4-8213-62746ACB1CE0}"/>
    <cellStyle name="Note 22 7 2 22 2" xfId="40636" xr:uid="{6816FFC3-F05C-4369-8E4B-5BDE7BF0E717}"/>
    <cellStyle name="Note 22 7 2 23" xfId="28609" xr:uid="{37671238-1CCF-4A61-A3B9-B8DC16908FFE}"/>
    <cellStyle name="Note 22 7 2 23 2" xfId="46343" xr:uid="{2A7CDD2C-D6F7-4A6D-83B5-83E0406C76B2}"/>
    <cellStyle name="Note 22 7 2 24" xfId="28646" xr:uid="{2C53793D-2B98-422B-AFAD-36F9B02945E7}"/>
    <cellStyle name="Note 22 7 2 24 2" xfId="46380" xr:uid="{63FD2058-7D4F-4B79-80DB-FFB8E63E9FC7}"/>
    <cellStyle name="Note 22 7 2 25" xfId="23620" xr:uid="{03596636-4CF5-4415-8D4C-46C71402D4D2}"/>
    <cellStyle name="Note 22 7 2 25 2" xfId="43051" xr:uid="{F2DFE99C-5A69-4875-B780-36BF385A559F}"/>
    <cellStyle name="Note 22 7 2 26" xfId="26926" xr:uid="{BF66CF30-B92D-4D3E-86D7-8D3614A188F1}"/>
    <cellStyle name="Note 22 7 2 26 2" xfId="45341" xr:uid="{D6E1FCC5-AAF4-4EC0-A1BA-BEFB578A46BB}"/>
    <cellStyle name="Note 22 7 2 27" xfId="25610" xr:uid="{D734ED00-06AD-46A1-AAC7-902367CD598A}"/>
    <cellStyle name="Note 22 7 2 27 2" xfId="44469" xr:uid="{AA28CA6C-27E4-47A6-89D5-354F3D127AD9}"/>
    <cellStyle name="Note 22 7 2 28" xfId="6477" xr:uid="{986EBD00-5555-4606-801F-6012970C0F11}"/>
    <cellStyle name="Note 22 7 2 3" xfId="9340" xr:uid="{041299EB-BC8B-4A9B-A96D-C5F8A75B9572}"/>
    <cellStyle name="Note 22 7 2 3 2" xfId="33323" xr:uid="{71F5B7C4-04FD-4F30-B8E5-89FFFE695C01}"/>
    <cellStyle name="Note 22 7 2 4" xfId="7681" xr:uid="{6ED9D75B-8C22-463F-A9C2-C65AB950DDA4}"/>
    <cellStyle name="Note 22 7 2 4 2" xfId="31980" xr:uid="{E4BE5FCE-1071-4C14-915F-AB3F24D2E0D4}"/>
    <cellStyle name="Note 22 7 2 5" xfId="14310" xr:uid="{29DEAFD2-6FEF-46A5-98C2-8DBB7BA510EA}"/>
    <cellStyle name="Note 22 7 2 5 2" xfId="36353" xr:uid="{A16CCBFC-5A5E-47A5-B0ED-906C9220DE18}"/>
    <cellStyle name="Note 22 7 2 6" xfId="10438" xr:uid="{5A7F67A8-6EAF-4229-A797-67F0C68F7CEF}"/>
    <cellStyle name="Note 22 7 2 6 2" xfId="34073" xr:uid="{AFD74E05-0DF3-418B-BEDE-98143AD8AD7A}"/>
    <cellStyle name="Note 22 7 2 7" xfId="8499" xr:uid="{2D5206C6-0DBC-4A45-ADAA-B19D954FA677}"/>
    <cellStyle name="Note 22 7 2 7 2" xfId="32686" xr:uid="{AF1B2ECB-211B-41AD-94F7-68197C71E9A6}"/>
    <cellStyle name="Note 22 7 2 8" xfId="15961" xr:uid="{B37DA07B-C6F6-42B0-B51B-A5AF04184837}"/>
    <cellStyle name="Note 22 7 2 8 2" xfId="37552" xr:uid="{A99B2259-E305-4DA1-A122-30BCC008758D}"/>
    <cellStyle name="Note 22 7 2 9" xfId="11631" xr:uid="{26F1FE6F-3126-448F-90AB-56010A8F7893}"/>
    <cellStyle name="Note 22 7 2 9 2" xfId="34244" xr:uid="{92E24F49-FE92-4983-9D43-762A32DE49D8}"/>
    <cellStyle name="Note 22 7 20" xfId="24736" xr:uid="{676647C4-4DBF-4A71-9E8F-631101E81C63}"/>
    <cellStyle name="Note 22 7 20 2" xfId="43881" xr:uid="{1748D3E3-1B97-43A5-9CE3-AC02BACFBFCF}"/>
    <cellStyle name="Note 22 7 21" xfId="18126" xr:uid="{86869808-4762-4493-983C-915894F7D2E8}"/>
    <cellStyle name="Note 22 7 21 2" xfId="39200" xr:uid="{4D571EA1-7653-4761-9FCC-61D396C76E48}"/>
    <cellStyle name="Note 22 7 22" xfId="24524" xr:uid="{C163F6CA-B4EF-45D2-8587-CA3438E6F41A}"/>
    <cellStyle name="Note 22 7 22 2" xfId="43707" xr:uid="{BC19CF8A-B640-4D07-B3DA-982A5C6A4713}"/>
    <cellStyle name="Note 22 7 23" xfId="23246" xr:uid="{AF307972-436C-4A9B-B446-747C9D61777D}"/>
    <cellStyle name="Note 22 7 23 2" xfId="42821" xr:uid="{14BD60D6-3265-452E-B3E0-42DEBDD63BD7}"/>
    <cellStyle name="Note 22 7 24" xfId="29756" xr:uid="{C3983B8E-3FF4-4CEB-A458-A0920D60CD1F}"/>
    <cellStyle name="Note 22 7 24 2" xfId="47075" xr:uid="{1718BD07-9974-4222-BC88-88F338F17C84}"/>
    <cellStyle name="Note 22 7 25" xfId="28899" xr:uid="{C77E69A2-2B3F-4A51-A16F-9E6E2757CF13}"/>
    <cellStyle name="Note 22 7 25 2" xfId="46504" xr:uid="{60BDD7D7-0C47-4484-950D-63DB24CD8911}"/>
    <cellStyle name="Note 22 7 26" xfId="28225" xr:uid="{732447EB-C74E-4FB7-A6BF-C3161C5FDB79}"/>
    <cellStyle name="Note 22 7 26 2" xfId="46108" xr:uid="{C50BE01E-F091-48D4-A291-B477883DA8EE}"/>
    <cellStyle name="Note 22 7 27" xfId="20430" xr:uid="{F07CF8DE-8F55-46FA-9170-59B2ABECF58A}"/>
    <cellStyle name="Note 22 7 27 2" xfId="40832" xr:uid="{12433B6D-3C96-4674-AE81-915334EDDFE5}"/>
    <cellStyle name="Note 22 7 28" xfId="29082" xr:uid="{6D0C8BFA-D326-4CBC-8B5B-61120BDB3A0D}"/>
    <cellStyle name="Note 22 7 28 2" xfId="46655" xr:uid="{C4C7B160-7B22-4693-AA74-6D6879BF1307}"/>
    <cellStyle name="Note 22 7 29" xfId="6476" xr:uid="{F14F4731-488C-4ABA-89AC-8BB868B0D9FB}"/>
    <cellStyle name="Note 22 7 3" xfId="8059" xr:uid="{CC0602C4-7A03-4879-A757-14487FDE4910}"/>
    <cellStyle name="Note 22 7 3 2" xfId="32304" xr:uid="{8FBD3B5D-B7E1-4993-A3F3-CDEE4573B366}"/>
    <cellStyle name="Note 22 7 4" xfId="9339" xr:uid="{7E3E05B1-A79A-4E7F-9415-491437F872BF}"/>
    <cellStyle name="Note 22 7 4 2" xfId="33322" xr:uid="{D4A184D1-1D7F-4D67-B917-706AC93409F0}"/>
    <cellStyle name="Note 22 7 5" xfId="12089" xr:uid="{2A95D930-5B3A-4F57-A7B1-015C9B0DE27A}"/>
    <cellStyle name="Note 22 7 5 2" xfId="34647" xr:uid="{5C2BBB30-02E5-40E1-A3CB-5907C97C0771}"/>
    <cellStyle name="Note 22 7 6" xfId="8798" xr:uid="{8CADD23B-0076-469B-BF12-2C50EC22A938}"/>
    <cellStyle name="Note 22 7 6 2" xfId="32921" xr:uid="{28D69BCF-DFF2-4B0B-8280-49C96065EA6D}"/>
    <cellStyle name="Note 22 7 7" xfId="13031" xr:uid="{29FF556C-4DB6-4E29-81A1-F52D36EF7E53}"/>
    <cellStyle name="Note 22 7 7 2" xfId="35379" xr:uid="{116B0410-61D9-4A83-9967-3B9436C543DE}"/>
    <cellStyle name="Note 22 7 8" xfId="15087" xr:uid="{82A30279-D047-40E6-B9E6-886A1F3766E0}"/>
    <cellStyle name="Note 22 7 8 2" xfId="36932" xr:uid="{01FFEE21-7B6A-4686-8C6C-EB1E7B042EF6}"/>
    <cellStyle name="Note 22 7 9" xfId="12918" xr:uid="{ADDE7C8D-0817-4B8B-8AF9-6DCC9094EFD6}"/>
    <cellStyle name="Note 22 7 9 2" xfId="35274" xr:uid="{884F0916-6B98-4EAE-AB13-0D7E750B9CAA}"/>
    <cellStyle name="Note 22 8" xfId="2955" xr:uid="{B7C54305-5CD8-4DC9-B9C5-677CD8CBFFAE}"/>
    <cellStyle name="Note 22 8 10" xfId="12767" xr:uid="{94C1E4FD-8E08-4AB8-A7BA-5E9F46AFD63C}"/>
    <cellStyle name="Note 22 8 10 2" xfId="35176" xr:uid="{059119EB-64A0-4F9C-A084-015D6DC8073B}"/>
    <cellStyle name="Note 22 8 11" xfId="16576" xr:uid="{E3DD133E-AB0D-46A1-8799-D07079A496EE}"/>
    <cellStyle name="Note 22 8 11 2" xfId="38069" xr:uid="{D4D7BF20-8AFC-4416-841A-D59BD682D986}"/>
    <cellStyle name="Note 22 8 12" xfId="17495" xr:uid="{38B5926B-9328-43BD-BCE0-9B0E14C2F517}"/>
    <cellStyle name="Note 22 8 12 2" xfId="38742" xr:uid="{0ED64C48-DBD7-4ABF-A885-678037565EE3}"/>
    <cellStyle name="Note 22 8 13" xfId="19267" xr:uid="{80E7D1D7-A358-489E-B836-A7A3D09953E5}"/>
    <cellStyle name="Note 22 8 13 2" xfId="40053" xr:uid="{E7F08A7B-6917-4F20-9ED3-F6D9A045EABD}"/>
    <cellStyle name="Note 22 8 14" xfId="17952" xr:uid="{C2C7E717-BAF7-4F2F-B7C3-4CD773EF904F}"/>
    <cellStyle name="Note 22 8 14 2" xfId="39050" xr:uid="{937CCA37-C97A-4573-8F90-76CD7013E11A}"/>
    <cellStyle name="Note 22 8 15" xfId="13335" xr:uid="{C8046DBD-C146-40E4-8497-E826D18E4AA3}"/>
    <cellStyle name="Note 22 8 15 2" xfId="35645" xr:uid="{6D15BBD2-DDB4-48AB-B161-81F0890BDC57}"/>
    <cellStyle name="Note 22 8 16" xfId="19623" xr:uid="{C4E91BA5-D8B1-4DB5-8B52-36B8B38CDBDA}"/>
    <cellStyle name="Note 22 8 16 2" xfId="40263" xr:uid="{FFB25273-2B72-4D0D-8757-2ACE3089A4FD}"/>
    <cellStyle name="Note 22 8 17" xfId="18320" xr:uid="{434AF4C9-115F-4F59-BACC-A82EC92C6997}"/>
    <cellStyle name="Note 22 8 17 2" xfId="39351" xr:uid="{FA7EAC89-3DE8-4115-BA80-327772A96896}"/>
    <cellStyle name="Note 22 8 18" xfId="17091" xr:uid="{07697908-74FE-4108-AE5B-F4BA91FF0607}"/>
    <cellStyle name="Note 22 8 18 2" xfId="38430" xr:uid="{56E4C4DF-A0F3-4AE0-A3C9-3725165CC0F3}"/>
    <cellStyle name="Note 22 8 19" xfId="24735" xr:uid="{A30AF52C-9196-43DF-9BF4-EA2D81F02526}"/>
    <cellStyle name="Note 22 8 19 2" xfId="43880" xr:uid="{C60F2BCA-E8C5-4CE5-99DB-83225BA52EB7}"/>
    <cellStyle name="Note 22 8 2" xfId="8057" xr:uid="{2757503A-3B8E-4BC0-94D4-87783A2506A6}"/>
    <cellStyle name="Note 22 8 2 2" xfId="32302" xr:uid="{72F9E407-56A6-4053-B3E7-4EB47543036B}"/>
    <cellStyle name="Note 22 8 20" xfId="18124" xr:uid="{5B203980-C2DB-401F-9E75-D3E8E931D36B}"/>
    <cellStyle name="Note 22 8 20 2" xfId="39198" xr:uid="{E6C7A340-E02F-44AE-90FA-C479A3A14A6D}"/>
    <cellStyle name="Note 22 8 21" xfId="22282" xr:uid="{11F3CC5E-6D24-4ED3-A6C5-95D7B48E141A}"/>
    <cellStyle name="Note 22 8 21 2" xfId="42147" xr:uid="{82E503F6-BB33-4107-8512-19F440422DAA}"/>
    <cellStyle name="Note 22 8 22" xfId="18836" xr:uid="{821ED724-6F8F-49AE-9A36-7E7C32B53B31}"/>
    <cellStyle name="Note 22 8 22 2" xfId="39683" xr:uid="{64CF26BB-6B78-4B87-9BA7-D0940A8A6A21}"/>
    <cellStyle name="Note 22 8 23" xfId="29388" xr:uid="{285EA1BE-5DAF-4F35-B197-65D9716DE58D}"/>
    <cellStyle name="Note 22 8 23 2" xfId="46855" xr:uid="{0DD89026-A3FF-4C28-B0D1-FC42F07F8CB0}"/>
    <cellStyle name="Note 22 8 24" xfId="24980" xr:uid="{4651B528-8E9C-4C90-A093-3E331A0A83C7}"/>
    <cellStyle name="Note 22 8 24 2" xfId="44049" xr:uid="{4A8BDC7C-6D36-4F1C-94E4-DF19C6256FD1}"/>
    <cellStyle name="Note 22 8 25" xfId="25027" xr:uid="{210D23C8-EB32-4E8C-837A-5E59EF710750}"/>
    <cellStyle name="Note 22 8 25 2" xfId="44060" xr:uid="{06AF0941-C3F5-421B-8D19-A09347A86CE0}"/>
    <cellStyle name="Note 22 8 26" xfId="30563" xr:uid="{6F31AB5B-32FE-4577-B393-0C10D991D100}"/>
    <cellStyle name="Note 22 8 26 2" xfId="47518" xr:uid="{F3D9CC0F-FE7D-4AA0-833A-F01065D40672}"/>
    <cellStyle name="Note 22 8 27" xfId="25860" xr:uid="{B7E13F65-885B-4694-A5B3-2288D7ECF5D0}"/>
    <cellStyle name="Note 22 8 27 2" xfId="44678" xr:uid="{C4BACBB0-0360-485B-BCA2-116E3AD9F2A5}"/>
    <cellStyle name="Note 22 8 28" xfId="6478" xr:uid="{11A227F2-46EA-4776-8931-F0E1BC6571CD}"/>
    <cellStyle name="Note 22 8 3" xfId="9341" xr:uid="{6B1BE8BA-42A6-4413-A66D-6510E58966DA}"/>
    <cellStyle name="Note 22 8 3 2" xfId="33324" xr:uid="{2B2B9A30-CB2C-407D-B7A0-AF8A61A11F65}"/>
    <cellStyle name="Note 22 8 4" xfId="12088" xr:uid="{3CE9A0CC-8855-4256-98B1-385D729F20B8}"/>
    <cellStyle name="Note 22 8 4 2" xfId="34646" xr:uid="{BA0D1C24-F09D-4FAE-9FDF-85869312F504}"/>
    <cellStyle name="Note 22 8 5" xfId="14313" xr:uid="{88F4A9EF-7CCA-43EE-9CBD-9B6A387FF8D2}"/>
    <cellStyle name="Note 22 8 5 2" xfId="36356" xr:uid="{BB514BE8-7083-4329-A8F3-F0AD6C1B1651}"/>
    <cellStyle name="Note 22 8 6" xfId="13030" xr:uid="{2698DC5B-D39B-41DD-9BB3-9257F5C2DFAE}"/>
    <cellStyle name="Note 22 8 6 2" xfId="35378" xr:uid="{CC2D5809-41F7-47CC-9935-8C36E93501F3}"/>
    <cellStyle name="Note 22 8 7" xfId="8498" xr:uid="{B7EB7574-A969-4A0A-B8A3-96679DD1C107}"/>
    <cellStyle name="Note 22 8 7 2" xfId="32685" xr:uid="{7E52DE50-FBDB-4E02-94A5-A86BF9E487FC}"/>
    <cellStyle name="Note 22 8 8" xfId="14881" xr:uid="{3062E897-983D-4E48-84CA-5B759AF9F4F9}"/>
    <cellStyle name="Note 22 8 8 2" xfId="36756" xr:uid="{248151AB-3015-4718-91B4-DF5784D8D809}"/>
    <cellStyle name="Note 22 8 9" xfId="7197" xr:uid="{50D64CE8-4624-4DFE-B0E4-AF8DE1843349}"/>
    <cellStyle name="Note 22 8 9 2" xfId="31563" xr:uid="{4A989560-5435-4291-89B6-E80944E13538}"/>
    <cellStyle name="Note 22 9" xfId="8072" xr:uid="{17F61622-4051-48FB-9818-DC378E1C866F}"/>
    <cellStyle name="Note 22 9 2" xfId="32317" xr:uid="{090F8655-2A38-44A3-A3EC-27181B0E298F}"/>
    <cellStyle name="Note 22_Sheet2" xfId="2956" xr:uid="{AC0E2A41-29A1-4BE6-B31E-ABF1996E0852}"/>
    <cellStyle name="Note 23" xfId="2957" xr:uid="{8B7C69E0-6243-48CD-A62A-8A99DD7BC37E}"/>
    <cellStyle name="Note 23 10" xfId="7196" xr:uid="{03CB2CD9-19A9-4E7F-A8F9-80D449BCBB6A}"/>
    <cellStyle name="Note 23 10 2" xfId="31562" xr:uid="{C7CAF1FC-44E0-45ED-8EFF-E172856134DB}"/>
    <cellStyle name="Note 23 11" xfId="15492" xr:uid="{9173C969-93CE-4AA2-9750-51D4BCD977FE}"/>
    <cellStyle name="Note 23 11 2" xfId="37157" xr:uid="{7217906E-27BD-49A6-97F1-B93A2CCA41F6}"/>
    <cellStyle name="Note 23 12" xfId="16575" xr:uid="{769D6950-1F7D-4896-93F3-31E5C7159BD3}"/>
    <cellStyle name="Note 23 12 2" xfId="38068" xr:uid="{12312AAC-BD4A-4AAD-AFB2-6B2B305D600A}"/>
    <cellStyle name="Note 23 13" xfId="17494" xr:uid="{4BC8C066-2A6E-498A-BCF2-E2B8755AA914}"/>
    <cellStyle name="Note 23 13 2" xfId="38741" xr:uid="{259F7627-2CFF-4873-AB65-152A096A19AA}"/>
    <cellStyle name="Note 23 14" xfId="9877" xr:uid="{6FB7F32B-196C-4B72-A01B-C959CAECF7EA}"/>
    <cellStyle name="Note 23 14 2" xfId="33623" xr:uid="{00C31163-9AC9-470A-B030-51A4922C834C}"/>
    <cellStyle name="Note 23 15" xfId="17690" xr:uid="{40EF90ED-08DE-409F-93A8-A0597A08C3A6}"/>
    <cellStyle name="Note 23 15 2" xfId="38875" xr:uid="{68D42C3D-3150-4CD8-BFEA-B1BBA6E3EE00}"/>
    <cellStyle name="Note 23 16" xfId="16710" xr:uid="{01B673BC-C673-485C-983D-A0BD78AA4475}"/>
    <cellStyle name="Note 23 16 2" xfId="38200" xr:uid="{C3ED9E4F-4B6C-4A10-95F3-F17F859D1E50}"/>
    <cellStyle name="Note 23 17" xfId="15278" xr:uid="{5AB31AEC-8CBF-4470-8915-5D1E0947139B}"/>
    <cellStyle name="Note 23 17 2" xfId="36995" xr:uid="{E2B04600-9A83-4A19-86B7-88FC11E96409}"/>
    <cellStyle name="Note 23 18" xfId="17903" xr:uid="{365951FA-7193-4A39-AC7C-800DA44ABECE}"/>
    <cellStyle name="Note 23 18 2" xfId="39010" xr:uid="{A018A454-D3BB-4DF0-925A-0F4890D6CE73}"/>
    <cellStyle name="Note 23 19" xfId="23513" xr:uid="{B4CD351E-B720-4EA1-95DB-79D0DDC75C1B}"/>
    <cellStyle name="Note 23 19 2" xfId="42973" xr:uid="{BB79BD0A-7B4C-40EF-B97E-EB8B541A8151}"/>
    <cellStyle name="Note 23 2" xfId="2958" xr:uid="{8CD0B264-E9A8-4D40-AECC-74CEE4EF4E60}"/>
    <cellStyle name="Note 23 2 10" xfId="16011" xr:uid="{5D41D451-BCAC-449A-9731-78BA0F541980}"/>
    <cellStyle name="Note 23 2 10 2" xfId="37594" xr:uid="{AC4F6549-13B8-4E67-8B7F-E6B9C5699010}"/>
    <cellStyle name="Note 23 2 11" xfId="12520" xr:uid="{5A22CFFA-8EC2-4A48-91AE-5BB934D72399}"/>
    <cellStyle name="Note 23 2 11 2" xfId="34964" xr:uid="{6AFB4EF9-93CF-443F-BBC3-8974A20C11B1}"/>
    <cellStyle name="Note 23 2 12" xfId="14451" xr:uid="{509BB73F-D043-4236-A1C8-BFCC7F4A97FF}"/>
    <cellStyle name="Note 23 2 12 2" xfId="36440" xr:uid="{CC266F9A-E986-402F-AF1B-0AB2CBE3AA92}"/>
    <cellStyle name="Note 23 2 13" xfId="22493" xr:uid="{2BF73D74-E7DD-4FF4-90A4-9900810DE85A}"/>
    <cellStyle name="Note 23 2 13 2" xfId="42292" xr:uid="{2AA4D86A-D7FF-46D4-9D91-FD97481E0DF8}"/>
    <cellStyle name="Note 23 2 14" xfId="17951" xr:uid="{9ECB1B87-EBA6-4A45-9DF9-511B6AEE3C2D}"/>
    <cellStyle name="Note 23 2 14 2" xfId="39049" xr:uid="{7683B731-52A4-413A-A056-FAFBD3134695}"/>
    <cellStyle name="Note 23 2 15" xfId="10113" xr:uid="{95680F15-1481-44CE-8168-84CE1FFFE73B}"/>
    <cellStyle name="Note 23 2 15 2" xfId="33784" xr:uid="{C6FEBF0E-F295-4CD8-8E2D-D24423E05C37}"/>
    <cellStyle name="Note 23 2 16" xfId="21421" xr:uid="{631C0284-CD65-42FE-A86D-8A28482ADE01}"/>
    <cellStyle name="Note 23 2 16 2" xfId="41550" xr:uid="{6DA02CBA-2762-422B-893C-03B9481CA64B}"/>
    <cellStyle name="Note 23 2 17" xfId="24108" xr:uid="{8909073F-11F3-4B0B-A7CC-FAAAE7247961}"/>
    <cellStyle name="Note 23 2 17 2" xfId="43484" xr:uid="{11E3E6E2-7D28-4E1C-A110-E686310A458A}"/>
    <cellStyle name="Note 23 2 18" xfId="15347" xr:uid="{8A17521E-B5A1-4CE2-B81F-50EB68D13E99}"/>
    <cellStyle name="Note 23 2 18 2" xfId="37047" xr:uid="{843DB3AB-2228-43C0-B57F-08FCB711620F}"/>
    <cellStyle name="Note 23 2 19" xfId="16155" xr:uid="{C993C584-1D42-47FF-A728-1C5353861284}"/>
    <cellStyle name="Note 23 2 19 2" xfId="37717" xr:uid="{74546880-2EA1-489E-8EE9-7434A2596F72}"/>
    <cellStyle name="Note 23 2 2" xfId="8055" xr:uid="{F1AEBE4D-68AB-47D6-B309-E4B4931ADCB3}"/>
    <cellStyle name="Note 23 2 2 2" xfId="32300" xr:uid="{2CD7AB56-F27A-45DD-990B-345025025383}"/>
    <cellStyle name="Note 23 2 20" xfId="12636" xr:uid="{E58F9D29-C075-4ECF-9B52-6E16295680B0}"/>
    <cellStyle name="Note 23 2 20 2" xfId="35064" xr:uid="{B8516CD0-346F-4315-95AC-20C1E38A5412}"/>
    <cellStyle name="Note 23 2 21" xfId="22696" xr:uid="{9BC5E48F-D633-430B-B803-76C16EFBFC99}"/>
    <cellStyle name="Note 23 2 21 2" xfId="42457" xr:uid="{04D06EA3-0CA6-4DBB-B0A6-F0E9D3741DAD}"/>
    <cellStyle name="Note 23 2 22" xfId="29436" xr:uid="{1A9B07F5-6FEC-42FB-A3DA-017EFC5FD13E}"/>
    <cellStyle name="Note 23 2 22 2" xfId="46897" xr:uid="{5751F039-647B-47AB-BDF7-126871B0A4B8}"/>
    <cellStyle name="Note 23 2 23" xfId="26108" xr:uid="{FA2BD6BD-FA17-4F26-AB29-86B3BA55E80F}"/>
    <cellStyle name="Note 23 2 23 2" xfId="44851" xr:uid="{ED73F562-8A7A-454E-AFB8-CAA7A2BA598A}"/>
    <cellStyle name="Note 23 2 24" xfId="23877" xr:uid="{985CAD43-653D-447B-B24B-B5E2E939DD34}"/>
    <cellStyle name="Note 23 2 24 2" xfId="43256" xr:uid="{297449CE-5925-4A0B-8B55-4F4C1A28467E}"/>
    <cellStyle name="Note 23 2 25" xfId="25561" xr:uid="{3045BC0A-9207-42FB-B05F-AA5C4F9F6229}"/>
    <cellStyle name="Note 23 2 25 2" xfId="44429" xr:uid="{FDBEC132-CDF0-4283-9096-C9F4F9A03BDD}"/>
    <cellStyle name="Note 23 2 26" xfId="30757" xr:uid="{7BFA3AB9-5C2B-4C5A-88A7-6268C5349A60}"/>
    <cellStyle name="Note 23 2 26 2" xfId="47698" xr:uid="{32554C31-BC8C-47CB-97D2-3A3A381613A6}"/>
    <cellStyle name="Note 23 2 27" xfId="28277" xr:uid="{090238EA-21EC-4D5A-8170-2A2FA2C5F7D5}"/>
    <cellStyle name="Note 23 2 27 2" xfId="46144" xr:uid="{00471ACF-9870-48A0-8CCB-6C3393AE9CC3}"/>
    <cellStyle name="Note 23 2 28" xfId="6480" xr:uid="{CC8C955A-B6E0-419B-99BB-F2CAD7CA42EF}"/>
    <cellStyle name="Note 23 2 3" xfId="9343" xr:uid="{ABE153CD-39D6-4E54-B8F6-DEB83A6DE0D2}"/>
    <cellStyle name="Note 23 2 3 2" xfId="33326" xr:uid="{F4F72959-AC54-45A2-A79B-B9572C7625AD}"/>
    <cellStyle name="Note 23 2 4" xfId="7680" xr:uid="{EB4945E6-322E-4865-82DA-4F295B6EDEF6}"/>
    <cellStyle name="Note 23 2 4 2" xfId="31979" xr:uid="{9C94EF5B-61B3-4C70-B533-686485E97C35}"/>
    <cellStyle name="Note 23 2 5" xfId="15945" xr:uid="{2FB796FA-7397-468A-BB12-A8F88649695B}"/>
    <cellStyle name="Note 23 2 5 2" xfId="37536" xr:uid="{DF593662-F53F-4D11-85CA-44190ED1E486}"/>
    <cellStyle name="Note 23 2 6" xfId="10439" xr:uid="{0EBE8E64-10D6-431C-8BEA-A13D41C01FD2}"/>
    <cellStyle name="Note 23 2 6 2" xfId="34074" xr:uid="{AB1E21D1-9499-48A4-96AF-6CF02D60C67F}"/>
    <cellStyle name="Note 23 2 7" xfId="8496" xr:uid="{333DEADA-C3F2-4AB1-BD46-8294EA8C6607}"/>
    <cellStyle name="Note 23 2 7 2" xfId="32683" xr:uid="{85962891-B0D8-48A5-A549-BD3899153FEB}"/>
    <cellStyle name="Note 23 2 8" xfId="12917" xr:uid="{8BA49367-40BA-461E-9C5A-8F403AF34BE9}"/>
    <cellStyle name="Note 23 2 8 2" xfId="35273" xr:uid="{949EAD9A-04FA-4443-A96F-7B08A59D2366}"/>
    <cellStyle name="Note 23 2 9" xfId="11630" xr:uid="{911C968A-E62F-4E00-8D55-4885202D0DA4}"/>
    <cellStyle name="Note 23 2 9 2" xfId="34243" xr:uid="{30BB3EA4-4FB7-448D-8D57-247466DCE662}"/>
    <cellStyle name="Note 23 20" xfId="24734" xr:uid="{E3D091E5-7FAD-4716-9F6C-F17685D5E481}"/>
    <cellStyle name="Note 23 20 2" xfId="43879" xr:uid="{113FAAAB-5FA5-46F7-A947-056D8E9B7BB0}"/>
    <cellStyle name="Note 23 21" xfId="18084" xr:uid="{37C8BF24-C331-459C-BA6D-1D887FF4E079}"/>
    <cellStyle name="Note 23 21 2" xfId="39158" xr:uid="{F90A5CEF-A839-45C4-B303-A061103FF321}"/>
    <cellStyle name="Note 23 22" xfId="24523" xr:uid="{32E28049-F362-4325-A6A7-2E55F59999E8}"/>
    <cellStyle name="Note 23 22 2" xfId="43706" xr:uid="{26FBAC3B-408A-438C-9A28-2AA1DF520F2D}"/>
    <cellStyle name="Note 23 23" xfId="20516" xr:uid="{EB080B70-9848-46A8-935C-5F0C738A4407}"/>
    <cellStyle name="Note 23 23 2" xfId="40896" xr:uid="{54082925-FC1E-4A87-B827-7AC5D957303F}"/>
    <cellStyle name="Note 23 24" xfId="28608" xr:uid="{61ACA84B-7BF4-4F2B-8A55-95B4BCCFD2C0}"/>
    <cellStyle name="Note 23 24 2" xfId="46342" xr:uid="{7C4391A2-EC41-4465-AF86-3A52EC82EF7E}"/>
    <cellStyle name="Note 23 25" xfId="27509" xr:uid="{91344F7E-5DDF-42CC-A8A7-71C516FCEBA1}"/>
    <cellStyle name="Note 23 25 2" xfId="45703" xr:uid="{965FE804-ABCB-47CD-9632-F102209026B8}"/>
    <cellStyle name="Note 23 26" xfId="25092" xr:uid="{2A771BDD-749F-4A70-8F3F-CA119FB94745}"/>
    <cellStyle name="Note 23 26 2" xfId="44096" xr:uid="{66881CEF-C201-4315-8753-1010FD870A21}"/>
    <cellStyle name="Note 23 27" xfId="18791" xr:uid="{A4C9B5CB-8D9F-4F2D-A20D-259A699487DA}"/>
    <cellStyle name="Note 23 27 2" xfId="39650" xr:uid="{26D27D9B-3AE3-4A34-B0C5-AFE03AAAE1AA}"/>
    <cellStyle name="Note 23 28" xfId="25596" xr:uid="{65670828-8DD4-4153-B616-AEF93345FBDC}"/>
    <cellStyle name="Note 23 28 2" xfId="44458" xr:uid="{A6663B27-E5E8-41B5-A417-0D2D51F5D230}"/>
    <cellStyle name="Note 23 29" xfId="6479" xr:uid="{C8C1E1CD-B3DF-415B-9073-703F9761E1B1}"/>
    <cellStyle name="Note 23 3" xfId="8056" xr:uid="{6E841457-9924-4E36-BE6B-AC33F7463436}"/>
    <cellStyle name="Note 23 3 2" xfId="32301" xr:uid="{D62DDBD4-DC59-4F7A-A92B-A9B885505EEA}"/>
    <cellStyle name="Note 23 4" xfId="9342" xr:uid="{5E37573A-B53D-42C0-A423-97CD6FC29821}"/>
    <cellStyle name="Note 23 4 2" xfId="33325" xr:uid="{EB1F31C8-F6B8-45CA-840D-0D997283140B}"/>
    <cellStyle name="Note 23 5" xfId="12087" xr:uid="{FD8885EA-7B7C-404D-9E9A-F5EADCFB7F45}"/>
    <cellStyle name="Note 23 5 2" xfId="34645" xr:uid="{B45B8DCD-043C-443D-9BB5-413E58DE2B35}"/>
    <cellStyle name="Note 23 6" xfId="14312" xr:uid="{D57FDAFC-D9CD-44E1-9F43-4423F27623BB}"/>
    <cellStyle name="Note 23 6 2" xfId="36355" xr:uid="{D830E647-3EBD-4B38-B895-DCCCEC2A9648}"/>
    <cellStyle name="Note 23 7" xfId="13029" xr:uid="{CA40759F-812A-421F-9A45-4761C820C77C}"/>
    <cellStyle name="Note 23 7 2" xfId="35377" xr:uid="{E52D323D-5EE0-49B1-8ADC-F82756F1A32A}"/>
    <cellStyle name="Note 23 8" xfId="8497" xr:uid="{85944E86-A848-4670-A676-FE8B5B2A4B61}"/>
    <cellStyle name="Note 23 8 2" xfId="32684" xr:uid="{53AE6446-F564-41C2-99DD-77CBEB7EE0B0}"/>
    <cellStyle name="Note 23 9" xfId="14880" xr:uid="{1F82F1DE-784C-4DFC-B42E-34773FC0A4F6}"/>
    <cellStyle name="Note 23 9 2" xfId="36755" xr:uid="{A6C0BEBC-1139-45BC-BB72-928818E59E2F}"/>
    <cellStyle name="Note 24" xfId="2959" xr:uid="{97EE8F77-FAEA-41FB-AF7C-818F43F06F8E}"/>
    <cellStyle name="Note 24 10" xfId="7195" xr:uid="{454B0219-6237-4395-91A2-96DA88C86CF7}"/>
    <cellStyle name="Note 24 10 2" xfId="31561" xr:uid="{FD2B5BA1-9DAF-4A67-B7CD-955DB6A74ADF}"/>
    <cellStyle name="Note 24 11" xfId="12766" xr:uid="{4CDC968B-0842-45ED-8414-373DC843FA41}"/>
    <cellStyle name="Note 24 11 2" xfId="35175" xr:uid="{E04C2CFD-C21D-41A6-9BAB-351457EBB36E}"/>
    <cellStyle name="Note 24 12" xfId="16574" xr:uid="{8C84267A-4EC8-4B0A-8385-FF31D78B0A75}"/>
    <cellStyle name="Note 24 12 2" xfId="38067" xr:uid="{6F741FA4-56AA-4680-8676-4605E2D7E726}"/>
    <cellStyle name="Note 24 13" xfId="17493" xr:uid="{D244C798-578A-4FA4-98CF-985D5C9649D4}"/>
    <cellStyle name="Note 24 13 2" xfId="38740" xr:uid="{46BE7643-9F20-40D9-80BD-C40CD9EAADF7}"/>
    <cellStyle name="Note 24 14" xfId="22496" xr:uid="{91C6472C-AB09-4034-AB6F-71DBF337F93E}"/>
    <cellStyle name="Note 24 14 2" xfId="42295" xr:uid="{0A2372A0-55F7-47C2-A182-C9227DB757A2}"/>
    <cellStyle name="Note 24 15" xfId="13601" xr:uid="{933F9FCD-1AD7-4528-983B-6BED42C51124}"/>
    <cellStyle name="Note 24 15 2" xfId="35773" xr:uid="{EEFFBFEA-540A-4DB8-A5DE-A09551D6A4C4}"/>
    <cellStyle name="Note 24 16" xfId="21902" xr:uid="{9A76D0D4-C7E6-4847-9491-815AE1024FAD}"/>
    <cellStyle name="Note 24 16 2" xfId="41829" xr:uid="{E697AE8F-2245-4EC0-B7CD-BF6A88E58EBA}"/>
    <cellStyle name="Note 24 17" xfId="19622" xr:uid="{C15BF3E9-4E9A-41EC-BB3A-A5E10C79D20A}"/>
    <cellStyle name="Note 24 17 2" xfId="40262" xr:uid="{73825ABC-C64F-4843-83FD-226545F3ADC4}"/>
    <cellStyle name="Note 24 18" xfId="25715" xr:uid="{7C82C47A-FCDE-4857-9C92-1ACEAE04CD48}"/>
    <cellStyle name="Note 24 18 2" xfId="44552" xr:uid="{72CB946E-CE21-487A-A787-63D9A0022A67}"/>
    <cellStyle name="Note 24 19" xfId="25265" xr:uid="{28E6103A-F068-48A2-A792-00A90A86EB52}"/>
    <cellStyle name="Note 24 19 2" xfId="44186" xr:uid="{2A887673-D416-493C-BEE3-5FEF1D5B24D8}"/>
    <cellStyle name="Note 24 2" xfId="2960" xr:uid="{41655930-084B-4570-A27F-EC26CF5FFF4C}"/>
    <cellStyle name="Note 24 2 10" xfId="14666" xr:uid="{F000D589-8F6A-4F46-A372-19622F418EB8}"/>
    <cellStyle name="Note 24 2 10 2" xfId="36578" xr:uid="{45C78745-FCA3-4B0C-8AFF-ABFAF7660983}"/>
    <cellStyle name="Note 24 2 11" xfId="14565" xr:uid="{3843FEB2-B109-460D-9071-5B8D5A2AF651}"/>
    <cellStyle name="Note 24 2 11 2" xfId="36489" xr:uid="{A54B1128-A238-4DCA-A23D-2BDA9B045F32}"/>
    <cellStyle name="Note 24 2 12" xfId="17492" xr:uid="{5633C2F4-C88D-40E8-B8DF-C2C2B82DC3DF}"/>
    <cellStyle name="Note 24 2 12 2" xfId="38739" xr:uid="{B71680AD-FBFA-4B30-BD3F-324AA4E16F7A}"/>
    <cellStyle name="Note 24 2 13" xfId="19269" xr:uid="{59976CE3-9736-4B07-A2C1-E3A40C37A715}"/>
    <cellStyle name="Note 24 2 13 2" xfId="40055" xr:uid="{4F4A3440-0AC5-45CE-8B0B-00E859622167}"/>
    <cellStyle name="Note 24 2 14" xfId="19735" xr:uid="{BC252C3D-642E-4412-B222-0D0A5DF6B6E8}"/>
    <cellStyle name="Note 24 2 14 2" xfId="40352" xr:uid="{BA167120-B94F-4423-8363-34A672ECE4FB}"/>
    <cellStyle name="Note 24 2 15" xfId="13334" xr:uid="{3CD4773F-191A-44CC-B856-0E48E60F4146}"/>
    <cellStyle name="Note 24 2 15 2" xfId="35644" xr:uid="{96611CB6-5409-40C6-A37D-7C995D311CC5}"/>
    <cellStyle name="Note 24 2 16" xfId="21420" xr:uid="{678CC3FB-3D94-4DB6-BBC8-16CC17B1662C}"/>
    <cellStyle name="Note 24 2 16 2" xfId="41549" xr:uid="{8CF18D6E-E191-4BD9-8C66-B99114F04280}"/>
    <cellStyle name="Note 24 2 17" xfId="25718" xr:uid="{6303D08B-611B-4A9A-985D-847C1CFC5394}"/>
    <cellStyle name="Note 24 2 17 2" xfId="44555" xr:uid="{9DA668FA-501F-4CBC-8B7B-3ED90F6EF701}"/>
    <cellStyle name="Note 24 2 18" xfId="18979" xr:uid="{B23E44F8-D0B9-4B1A-B84B-49853B7E2CD8}"/>
    <cellStyle name="Note 24 2 18 2" xfId="39811" xr:uid="{57E163D1-3814-42A2-BE96-113B9BB73757}"/>
    <cellStyle name="Note 24 2 19" xfId="25740" xr:uid="{865CEAA8-3B69-4BB2-B9FE-1A63554EDC89}"/>
    <cellStyle name="Note 24 2 19 2" xfId="44577" xr:uid="{B866DD95-313F-49CF-A9B3-99283C4FA357}"/>
    <cellStyle name="Note 24 2 2" xfId="8053" xr:uid="{31F4E26B-C976-40C0-BCF9-B7C22370C354}"/>
    <cellStyle name="Note 24 2 2 2" xfId="32298" xr:uid="{F469BDEB-9BEB-4FB4-98C3-789A79F0AC17}"/>
    <cellStyle name="Note 24 2 20" xfId="18083" xr:uid="{D78A8712-A562-4309-A448-5A6BDF9E3367}"/>
    <cellStyle name="Note 24 2 20 2" xfId="39157" xr:uid="{1817D7C0-921C-4A0D-B6E6-8A1F30A3F8D5}"/>
    <cellStyle name="Note 24 2 21" xfId="23455" xr:uid="{93714332-F292-4C10-AEA2-2909B0EBD8E3}"/>
    <cellStyle name="Note 24 2 21 2" xfId="42961" xr:uid="{48749E87-4A79-4F7F-96AE-FC3D81517D7A}"/>
    <cellStyle name="Note 24 2 22" xfId="25735" xr:uid="{A5EAFB3F-D783-470A-A66B-A161AD8EBB56}"/>
    <cellStyle name="Note 24 2 22 2" xfId="44572" xr:uid="{3F144C5D-2BA8-4F0D-B4B9-8D72C4EBEBC3}"/>
    <cellStyle name="Note 24 2 23" xfId="29759" xr:uid="{E2FEE5B4-34D1-46E9-98D3-FA39B35240FB}"/>
    <cellStyle name="Note 24 2 23 2" xfId="47078" xr:uid="{37CAE6A6-F53F-4A2F-8CC8-7A5054BED183}"/>
    <cellStyle name="Note 24 2 24" xfId="27673" xr:uid="{76F4764D-9182-4CF9-91D0-078BB98B543C}"/>
    <cellStyle name="Note 24 2 24 2" xfId="45788" xr:uid="{C2933322-27CF-464B-A44E-61F30A80B945}"/>
    <cellStyle name="Note 24 2 25" xfId="26448" xr:uid="{5215F37E-26CF-466B-B05E-D8A78BB515C8}"/>
    <cellStyle name="Note 24 2 25 2" xfId="45077" xr:uid="{BECF864E-069B-4B2B-8644-ADC44B77B450}"/>
    <cellStyle name="Note 24 2 26" xfId="30758" xr:uid="{E3B616C9-DE4E-44D9-A4D8-3CE87C967A20}"/>
    <cellStyle name="Note 24 2 26 2" xfId="47699" xr:uid="{B53878FC-E4ED-4192-AD3F-13C2F1CD9F88}"/>
    <cellStyle name="Note 24 2 27" xfId="29204" xr:uid="{7C466D37-FB61-4F07-A7CC-BEE53FD20584}"/>
    <cellStyle name="Note 24 2 27 2" xfId="46730" xr:uid="{870365FE-1AC2-43AD-864B-E42CED0EE477}"/>
    <cellStyle name="Note 24 2 28" xfId="6482" xr:uid="{C8AF2C8B-0261-444C-82BB-39BDE816A746}"/>
    <cellStyle name="Note 24 2 3" xfId="9345" xr:uid="{719E241B-812E-4AB0-AE27-5738CD63F355}"/>
    <cellStyle name="Note 24 2 3 2" xfId="33328" xr:uid="{729715AF-BDF0-4866-A8AC-77FCFCE7E0C6}"/>
    <cellStyle name="Note 24 2 4" xfId="7679" xr:uid="{28C82E70-A87F-4B68-B185-663D792560E1}"/>
    <cellStyle name="Note 24 2 4 2" xfId="31978" xr:uid="{23A7501F-8191-4E35-AE79-B992B3740467}"/>
    <cellStyle name="Note 24 2 5" xfId="8797" xr:uid="{61EDC8AE-E3C6-4F7C-8208-57AE6C873F59}"/>
    <cellStyle name="Note 24 2 5 2" xfId="32920" xr:uid="{31253477-3FCB-4B43-91F6-0E17C1CD0652}"/>
    <cellStyle name="Note 24 2 6" xfId="13027" xr:uid="{D1A067CF-B461-4786-9A22-3E862B061766}"/>
    <cellStyle name="Note 24 2 6 2" xfId="35375" xr:uid="{4175871B-B411-41CD-9945-BD0C02EA369C}"/>
    <cellStyle name="Note 24 2 7" xfId="8494" xr:uid="{BC88D23E-AB70-45DC-9239-AE4F78B708A6}"/>
    <cellStyle name="Note 24 2 7 2" xfId="32681" xr:uid="{8BC59273-7168-4D7F-884E-0D10E1B4E69B}"/>
    <cellStyle name="Note 24 2 8" xfId="10565" xr:uid="{BDD9E99F-CA82-4F4C-99DE-5F01A2C9FCD2}"/>
    <cellStyle name="Note 24 2 8 2" xfId="34191" xr:uid="{CD1EE2D4-E2C6-4D05-8378-95B58E71B5D0}"/>
    <cellStyle name="Note 24 2 9" xfId="11629" xr:uid="{66C9F4BA-AE2E-4708-AE4B-E7E3BA23A37A}"/>
    <cellStyle name="Note 24 2 9 2" xfId="34242" xr:uid="{353DD404-8D7E-4516-A660-B0285A74B20B}"/>
    <cellStyle name="Note 24 20" xfId="24733" xr:uid="{941FBAFA-F3C9-489C-81AD-AAF23FD939B6}"/>
    <cellStyle name="Note 24 20 2" xfId="43878" xr:uid="{B4F7BF89-DFED-4B9F-97F7-85644C60AAA7}"/>
    <cellStyle name="Note 24 21" xfId="24953" xr:uid="{C998F674-5B77-4B7F-B019-4C1444134D98}"/>
    <cellStyle name="Note 24 21 2" xfId="44035" xr:uid="{0E3C9C52-75F0-4D29-B509-CC2B43AF3853}"/>
    <cellStyle name="Note 24 22" xfId="25797" xr:uid="{B5BDE0BF-7875-4C11-825B-5AF11873F1C6}"/>
    <cellStyle name="Note 24 22 2" xfId="44625" xr:uid="{1452ADDD-4727-40B0-98D9-3951B89787E1}"/>
    <cellStyle name="Note 24 23" xfId="28955" xr:uid="{B74BB814-D42A-4FBC-9155-4BA2D98B9E9A}"/>
    <cellStyle name="Note 24 23 2" xfId="46551" xr:uid="{4FAA7B1C-3F3C-433C-BA5A-E4C82D22F384}"/>
    <cellStyle name="Note 24 24" xfId="28607" xr:uid="{318F0AB7-0370-49EF-A62D-B7B146D561CB}"/>
    <cellStyle name="Note 24 24 2" xfId="46341" xr:uid="{232DB562-3C21-4CEA-B3A8-978744C0CD6F}"/>
    <cellStyle name="Note 24 25" xfId="28648" xr:uid="{C9D7F5E6-12D5-4825-9C04-5CDAEF694D71}"/>
    <cellStyle name="Note 24 25 2" xfId="46382" xr:uid="{618BBBFF-0BC6-4AA5-9AA0-29FB0E2ED686}"/>
    <cellStyle name="Note 24 26" xfId="25483" xr:uid="{579DC39B-531F-41B2-A7CD-04B1D43CBAC6}"/>
    <cellStyle name="Note 24 26 2" xfId="44362" xr:uid="{F23BC1BA-22B5-4146-8CB7-AE09152ECB9F}"/>
    <cellStyle name="Note 24 27" xfId="27406" xr:uid="{C2F5D690-7E47-4989-B190-963A7699A54D}"/>
    <cellStyle name="Note 24 27 2" xfId="45661" xr:uid="{6E2B9FA8-D373-4250-AD3D-8373A9ED37C6}"/>
    <cellStyle name="Note 24 28" xfId="30448" xr:uid="{119D3BF8-A58D-417A-992A-DDD51584F116}"/>
    <cellStyle name="Note 24 28 2" xfId="47494" xr:uid="{FCCE0031-451C-40A5-ABC6-3DDF2FD55790}"/>
    <cellStyle name="Note 24 29" xfId="6481" xr:uid="{F096761E-E08E-4DCE-9FBF-07275B3A7C88}"/>
    <cellStyle name="Note 24 3" xfId="8054" xr:uid="{58315836-4FA0-42C3-9FBA-A4EE93E5E1FD}"/>
    <cellStyle name="Note 24 3 2" xfId="32299" xr:uid="{E2DC85B4-D70C-45C1-94E5-AA196300E376}"/>
    <cellStyle name="Note 24 4" xfId="9344" xr:uid="{44141CF3-5918-42F3-AC33-DB6D288F986F}"/>
    <cellStyle name="Note 24 4 2" xfId="33327" xr:uid="{D3409D23-1B3C-41AD-A641-C987FF7D6637}"/>
    <cellStyle name="Note 24 5" xfId="12086" xr:uid="{F09268A0-1C95-44E8-A495-A4FD59A5ABCA}"/>
    <cellStyle name="Note 24 5 2" xfId="34644" xr:uid="{B06D9D2A-84C7-4015-B916-0FC453C312FC}"/>
    <cellStyle name="Note 24 6" xfId="15948" xr:uid="{9EFC89E8-BE0E-485D-9AA5-2BDC23F0C7B1}"/>
    <cellStyle name="Note 24 6 2" xfId="37539" xr:uid="{1820ACC7-C395-4464-851D-65992E766CA9}"/>
    <cellStyle name="Note 24 7" xfId="10440" xr:uid="{A5430A68-50BF-4488-8A0B-28C5AC8B12AB}"/>
    <cellStyle name="Note 24 7 2" xfId="34075" xr:uid="{15D29694-DB7D-42B1-B4EA-31B88831D899}"/>
    <cellStyle name="Note 24 8" xfId="8495" xr:uid="{7AE2F1DA-3D5C-4548-9404-C68B83454861}"/>
    <cellStyle name="Note 24 8 2" xfId="32682" xr:uid="{A0348E47-00D0-4D83-94F7-A7F34063D402}"/>
    <cellStyle name="Note 24 9" xfId="14879" xr:uid="{0F9E0983-C90A-4DBF-A478-DF31C3EBB6A1}"/>
    <cellStyle name="Note 24 9 2" xfId="36754" xr:uid="{EF34E7ED-A921-4354-8713-C4964486EEE7}"/>
    <cellStyle name="Note 25" xfId="2961" xr:uid="{C7D1EFF5-9529-4431-8065-629FA8AF154E}"/>
    <cellStyle name="Note 25 10" xfId="7194" xr:uid="{6F4F9251-DB5E-4B4D-AB62-221A64E6D1EC}"/>
    <cellStyle name="Note 25 10 2" xfId="31560" xr:uid="{E20F76FC-BC9B-4DB7-9F70-57AA94F44EFA}"/>
    <cellStyle name="Note 25 11" xfId="15493" xr:uid="{8273CB94-DD31-4EE8-A196-0E0EBEA383A8}"/>
    <cellStyle name="Note 25 11 2" xfId="37158" xr:uid="{568CB5A2-B30D-4765-9DD7-1496C2C14418}"/>
    <cellStyle name="Note 25 12" xfId="16573" xr:uid="{2D48A292-7506-45DC-B519-343995CB2B3B}"/>
    <cellStyle name="Note 25 12 2" xfId="38066" xr:uid="{19271282-8687-496C-9677-7704C9BD4261}"/>
    <cellStyle name="Note 25 13" xfId="13703" xr:uid="{D3AD746D-245D-49E5-80D7-81A479304470}"/>
    <cellStyle name="Note 25 13 2" xfId="35859" xr:uid="{82B79E5E-1ADC-4220-9716-69995BFE66DB}"/>
    <cellStyle name="Note 25 14" xfId="22495" xr:uid="{40E0C9C7-2DC6-4663-9564-BAE08C02EA52}"/>
    <cellStyle name="Note 25 14 2" xfId="42294" xr:uid="{ABFC137E-DFF0-42C2-B047-33E27B164F6F}"/>
    <cellStyle name="Note 25 15" xfId="17950" xr:uid="{5F5CFD73-3D82-4A01-B31F-C14E8A5473DA}"/>
    <cellStyle name="Note 25 15 2" xfId="39048" xr:uid="{7FA0F654-28D1-4B16-BD97-E698F7EDF274}"/>
    <cellStyle name="Note 25 16" xfId="16714" xr:uid="{FBA2B91B-F212-4176-BDB7-2A57B20DA6F5}"/>
    <cellStyle name="Note 25 16 2" xfId="38204" xr:uid="{E0654D30-85FB-4924-9989-5347D924EF8A}"/>
    <cellStyle name="Note 25 17" xfId="20892" xr:uid="{38325D3E-AFF2-406B-8F51-90B27534AB2E}"/>
    <cellStyle name="Note 25 17 2" xfId="41200" xr:uid="{EBB59574-400D-49CA-B0F8-5BE34D161994}"/>
    <cellStyle name="Note 25 18" xfId="24111" xr:uid="{4A43E543-D088-4E50-AA92-E2A65497A680}"/>
    <cellStyle name="Note 25 18 2" xfId="43487" xr:uid="{D36E78C3-B32F-468C-8C3B-E60AB9EC9C22}"/>
    <cellStyle name="Note 25 19" xfId="22781" xr:uid="{19BF4D81-32C2-4BD0-B0A4-230CB5EEBF5E}"/>
    <cellStyle name="Note 25 19 2" xfId="42534" xr:uid="{0E470F63-9810-4B00-9745-968BF5FB8B52}"/>
    <cellStyle name="Note 25 2" xfId="2962" xr:uid="{289D0EEB-FB9D-4B0A-B8B9-B2C171DDC8E5}"/>
    <cellStyle name="Note 25 2 10" xfId="12295" xr:uid="{24B3A1AE-AF9D-4724-A24B-DCC820979433}"/>
    <cellStyle name="Note 25 2 10 2" xfId="34801" xr:uid="{BCA963B4-4CBC-4F34-B134-24822F433A6E}"/>
    <cellStyle name="Note 25 2 11" xfId="14043" xr:uid="{9BF3AABE-02E0-427A-9B78-0A541A9BABE7}"/>
    <cellStyle name="Note 25 2 11 2" xfId="36137" xr:uid="{E747F915-4AB5-448E-83CA-B02494B3D4EC}"/>
    <cellStyle name="Note 25 2 12" xfId="17491" xr:uid="{9E66624F-232D-47F4-AC96-EAAC1CDD4C12}"/>
    <cellStyle name="Note 25 2 12 2" xfId="38738" xr:uid="{10F6B4C9-D096-425B-8A31-4BDC2EB315AF}"/>
    <cellStyle name="Note 25 2 13" xfId="9878" xr:uid="{D7C621AE-8076-4ECB-88E4-C66D7AB5EC29}"/>
    <cellStyle name="Note 25 2 13 2" xfId="33624" xr:uid="{A63EB93D-8B2A-42A2-AABB-DE99F432D3CA}"/>
    <cellStyle name="Note 25 2 14" xfId="19734" xr:uid="{64AB5092-6AA4-42F8-A532-4A75DE17B7AE}"/>
    <cellStyle name="Note 25 2 14 2" xfId="40351" xr:uid="{EB349653-8BEC-4668-BDFB-1BD877F89523}"/>
    <cellStyle name="Note 25 2 15" xfId="10114" xr:uid="{B82A97A4-D89B-4006-88A7-AAC758C1916D}"/>
    <cellStyle name="Note 25 2 15 2" xfId="33785" xr:uid="{D3D8706E-6148-4DAE-AEEE-542112FFD1C7}"/>
    <cellStyle name="Note 25 2 16" xfId="21419" xr:uid="{47188E41-1538-409C-80FC-091D04DFBACD}"/>
    <cellStyle name="Note 25 2 16 2" xfId="41548" xr:uid="{1C328B29-FEC9-40DC-BF0F-B9656BE05C4B}"/>
    <cellStyle name="Note 25 2 17" xfId="25717" xr:uid="{640FE832-2582-4FD4-8E7D-729408857497}"/>
    <cellStyle name="Note 25 2 17 2" xfId="44554" xr:uid="{B61B0304-A9FB-4951-90C6-C25B080AA669}"/>
    <cellStyle name="Note 25 2 18" xfId="25266" xr:uid="{A0D688EF-17CA-4BB6-9248-B5318F57D962}"/>
    <cellStyle name="Note 25 2 18 2" xfId="44187" xr:uid="{E2E92534-4CD8-4349-83C9-03EB1E716DC1}"/>
    <cellStyle name="Note 25 2 19" xfId="24732" xr:uid="{F7B64D9C-9B93-47FA-9CD1-94D18EB1CBDA}"/>
    <cellStyle name="Note 25 2 19 2" xfId="43877" xr:uid="{F15B5D37-9960-4A61-97E7-B3B536C8F175}"/>
    <cellStyle name="Note 25 2 2" xfId="8051" xr:uid="{DEC2AF9C-3E65-4FE1-838B-DC1F1408E4C0}"/>
    <cellStyle name="Note 25 2 2 2" xfId="32296" xr:uid="{5062214C-EACD-4DFE-8CA8-2ACA5A258E63}"/>
    <cellStyle name="Note 25 2 20" xfId="15757" xr:uid="{36F7DB68-14DD-442E-9268-705E3F09ACC8}"/>
    <cellStyle name="Note 25 2 20 2" xfId="37382" xr:uid="{4DDE139B-400A-4503-BDC6-1A2E480F1678}"/>
    <cellStyle name="Note 25 2 21" xfId="21976" xr:uid="{CB463F47-861E-4C10-8D4D-967CE22AB700}"/>
    <cellStyle name="Note 25 2 21 2" xfId="41883" xr:uid="{6DA23017-2476-4AAD-86E7-3AA5823D0E45}"/>
    <cellStyle name="Note 25 2 22" xfId="25911" xr:uid="{988842A4-7E2F-4DEC-9A3E-347293A18949}"/>
    <cellStyle name="Note 25 2 22 2" xfId="44715" xr:uid="{A07969DC-749A-4575-89D3-3A711BA61DCC}"/>
    <cellStyle name="Note 25 2 23" xfId="27160" xr:uid="{B80A90C5-F801-4EE8-BF7D-8B873131FE13}"/>
    <cellStyle name="Note 25 2 23 2" xfId="45501" xr:uid="{BE0D48E5-2152-46AE-B6B5-5FDF3894F9DD}"/>
    <cellStyle name="Note 25 2 24" xfId="18558" xr:uid="{C3BE9647-6A87-4A18-AC71-65DB2DC505CA}"/>
    <cellStyle name="Note 25 2 24 2" xfId="39502" xr:uid="{B8EFA26A-C139-452F-87F1-3F38DDE50C33}"/>
    <cellStyle name="Note 25 2 25" xfId="24364" xr:uid="{C730D23E-7B10-4EE0-AD9C-7F48B138F956}"/>
    <cellStyle name="Note 25 2 25 2" xfId="43617" xr:uid="{29D8A5C3-3876-4CE8-A999-C95FD11CF1D8}"/>
    <cellStyle name="Note 25 2 26" xfId="25602" xr:uid="{66C9AD58-14B8-4C5D-8999-3DFCDDB071BD}"/>
    <cellStyle name="Note 25 2 26 2" xfId="44463" xr:uid="{BBF9F482-54F3-4FF2-838E-2496BE9ABD5E}"/>
    <cellStyle name="Note 25 2 27" xfId="28151" xr:uid="{C78C7B12-A2C6-46E7-8CA0-7D01C0A8BB4D}"/>
    <cellStyle name="Note 25 2 27 2" xfId="46086" xr:uid="{95CD3C31-CD3A-4F26-BCCA-08B63D82F2D9}"/>
    <cellStyle name="Note 25 2 28" xfId="6484" xr:uid="{47998A55-9E8C-4B99-98C2-A9FE903E03D3}"/>
    <cellStyle name="Note 25 2 3" xfId="9347" xr:uid="{72A58BE1-54BE-4F0F-A2D8-0A2F940703F0}"/>
    <cellStyle name="Note 25 2 3 2" xfId="33330" xr:uid="{77AF4CBD-4CD2-4F98-8B9C-7F8ADE2A5202}"/>
    <cellStyle name="Note 25 2 4" xfId="7678" xr:uid="{18709540-6EA1-428F-B8FE-59E982838A27}"/>
    <cellStyle name="Note 25 2 4 2" xfId="31977" xr:uid="{13585D99-8CC4-4F39-93CE-1224C97FF246}"/>
    <cellStyle name="Note 25 2 5" xfId="14311" xr:uid="{16C7F189-896F-4AEA-A9CA-71FF172D8506}"/>
    <cellStyle name="Note 25 2 5 2" xfId="36354" xr:uid="{0602D0C5-559B-4A1C-A32A-DC80E1989AFA}"/>
    <cellStyle name="Note 25 2 6" xfId="13026" xr:uid="{273C7F46-0C3F-469F-8F17-5FE740815353}"/>
    <cellStyle name="Note 25 2 6 2" xfId="35374" xr:uid="{DC5F0A86-EEDB-449F-8843-BD2BFA8EF9A2}"/>
    <cellStyle name="Note 25 2 7" xfId="8492" xr:uid="{4E7DF5CE-7716-48A4-BA32-CC4DBFCE1B0F}"/>
    <cellStyle name="Note 25 2 7 2" xfId="32679" xr:uid="{01F7C064-1964-4D01-BB9D-FD53F4810F13}"/>
    <cellStyle name="Note 25 2 8" xfId="14878" xr:uid="{F5118988-F80B-46B7-B296-0985F57E3A1F}"/>
    <cellStyle name="Note 25 2 8 2" xfId="36753" xr:uid="{34832388-C116-4AD0-8F59-1F3C6F854849}"/>
    <cellStyle name="Note 25 2 9" xfId="11628" xr:uid="{2AC58143-F5F6-4642-8490-7AD8A080B5C0}"/>
    <cellStyle name="Note 25 2 9 2" xfId="34241" xr:uid="{C2C75E54-5C8B-4EBE-A96F-86B37746D1E5}"/>
    <cellStyle name="Note 25 20" xfId="22874" xr:uid="{DBA8ACC1-A144-4427-B3F6-A0A7D206FC82}"/>
    <cellStyle name="Note 25 20 2" xfId="42592" xr:uid="{2A992400-E821-4320-9E2F-7F5B5E39AC4A}"/>
    <cellStyle name="Note 25 21" xfId="24954" xr:uid="{FDC70F0C-7AA5-4C20-B3E3-DB2E9CD5A6AC}"/>
    <cellStyle name="Note 25 21 2" xfId="44036" xr:uid="{A2849FC6-E7D6-4357-ABE5-6B2332AADD4C}"/>
    <cellStyle name="Note 25 22" xfId="18545" xr:uid="{E36B7FD6-7978-4B02-92E4-CB983BD8AED1}"/>
    <cellStyle name="Note 25 22 2" xfId="39493" xr:uid="{EAD35EC2-FA7B-4581-9ED3-5B095AB4B3A9}"/>
    <cellStyle name="Note 25 23" xfId="28926" xr:uid="{6181F5DB-B60F-4151-AB3F-24C93760FE5B}"/>
    <cellStyle name="Note 25 23 2" xfId="46525" xr:uid="{F1A570DF-E6F3-4D21-852D-59853FC54B67}"/>
    <cellStyle name="Note 25 24" xfId="27716" xr:uid="{D0AC9DBE-6B52-430F-B8F5-E586737F97E1}"/>
    <cellStyle name="Note 25 24 2" xfId="45823" xr:uid="{453E36DC-DFF2-40F7-B1A1-B5FB9A5D0E7B}"/>
    <cellStyle name="Note 25 25" xfId="29066" xr:uid="{1AAC5264-4AB7-48B7-85E0-960657F26697}"/>
    <cellStyle name="Note 25 25 2" xfId="46641" xr:uid="{DFD3D7BC-41EA-4271-8705-9A8DBEBC5243}"/>
    <cellStyle name="Note 25 26" xfId="23621" xr:uid="{BAF51E96-6E7F-4C94-A864-39DC342AD5E9}"/>
    <cellStyle name="Note 25 26 2" xfId="43052" xr:uid="{4DBB0D5A-BA58-4D5F-80C5-C8EC2796523A}"/>
    <cellStyle name="Note 25 27" xfId="30756" xr:uid="{798E9F20-D885-4B75-A501-EB3AA922619A}"/>
    <cellStyle name="Note 25 27 2" xfId="47697" xr:uid="{7BEBD2B3-425A-42FF-9B29-C1B0ACEC7DB3}"/>
    <cellStyle name="Note 25 28" xfId="26966" xr:uid="{4171A238-9B97-4CFC-88B6-A0AB08AFD4A0}"/>
    <cellStyle name="Note 25 28 2" xfId="45373" xr:uid="{729C92AA-6459-4E41-9355-AA833C7E07C1}"/>
    <cellStyle name="Note 25 29" xfId="6483" xr:uid="{8936E254-D74D-4D79-B01B-CABDD5B2A082}"/>
    <cellStyle name="Note 25 3" xfId="8052" xr:uid="{105C7F56-41C9-4355-A0E6-2425C0730A90}"/>
    <cellStyle name="Note 25 3 2" xfId="32297" xr:uid="{596025CD-76CA-4B16-B86E-FD0BC40E0337}"/>
    <cellStyle name="Note 25 4" xfId="9346" xr:uid="{DEEDA256-9087-48D0-8C9A-9EA025624979}"/>
    <cellStyle name="Note 25 4 2" xfId="33329" xr:uid="{184BCF68-9444-44AB-84E7-2417E016DE90}"/>
    <cellStyle name="Note 25 5" xfId="12085" xr:uid="{ABC5A22A-6FBA-4938-AE28-A11D30A5E897}"/>
    <cellStyle name="Note 25 5 2" xfId="34643" xr:uid="{BEB0EF3D-891B-40BD-A825-F0C38EF9697F}"/>
    <cellStyle name="Note 25 6" xfId="15947" xr:uid="{00ED459D-53F8-4059-9A5A-E206A0AF2557}"/>
    <cellStyle name="Note 25 6 2" xfId="37538" xr:uid="{7DC82DBA-9601-4C2E-897E-68FD64E87611}"/>
    <cellStyle name="Note 25 7" xfId="10441" xr:uid="{DEFE6B2A-A874-42A3-AE52-FCB8487D4626}"/>
    <cellStyle name="Note 25 7 2" xfId="34076" xr:uid="{FE118349-52EA-4345-9B29-5C465FFE1F39}"/>
    <cellStyle name="Note 25 8" xfId="8493" xr:uid="{A00D57ED-5279-47DB-9DD5-905A9A3DD201}"/>
    <cellStyle name="Note 25 8 2" xfId="32680" xr:uid="{29969C09-A5D6-4741-B72D-3061ED699972}"/>
    <cellStyle name="Note 25 9" xfId="10583" xr:uid="{0A3B4FBC-3900-4E55-8BB1-189CF35F74C2}"/>
    <cellStyle name="Note 25 9 2" xfId="34209" xr:uid="{6B728CB1-CC2E-4614-BBDB-22890E208426}"/>
    <cellStyle name="Note 26" xfId="2963" xr:uid="{1AE12CEA-C499-4CC9-8BD0-FF53AA9DD746}"/>
    <cellStyle name="Note 26 10" xfId="7193" xr:uid="{B7A8DAEB-5D17-49C1-AD92-F3F9FE309616}"/>
    <cellStyle name="Note 26 10 2" xfId="31559" xr:uid="{C53E0029-D093-4E96-B94D-45447312A34A}"/>
    <cellStyle name="Note 26 11" xfId="12765" xr:uid="{D1D67E0D-0F22-4274-84A0-9C97F829DA05}"/>
    <cellStyle name="Note 26 11 2" xfId="35174" xr:uid="{FA8F6E67-1D6B-4825-817E-F19B7548C916}"/>
    <cellStyle name="Note 26 12" xfId="16572" xr:uid="{BCE5CF9C-04C2-4DC2-AD18-E96D4A1289EA}"/>
    <cellStyle name="Note 26 12 2" xfId="38065" xr:uid="{D2909FC4-FCF1-4555-8BBD-548A99D6824B}"/>
    <cellStyle name="Note 26 13" xfId="15617" xr:uid="{9831D664-93A2-4351-9D15-BD17A0DAD26D}"/>
    <cellStyle name="Note 26 13 2" xfId="37275" xr:uid="{FCBC6CDB-A524-4207-AE06-F41AC8EF8DF9}"/>
    <cellStyle name="Note 26 14" xfId="22494" xr:uid="{8A90A64A-9001-4B55-AB5D-DF578B2EDA87}"/>
    <cellStyle name="Note 26 14 2" xfId="42293" xr:uid="{D26124B9-AC6F-4072-AF1C-B7A3D61DFA50}"/>
    <cellStyle name="Note 26 15" xfId="12657" xr:uid="{52B87E2A-C8B5-485B-91A3-AE3731DF3627}"/>
    <cellStyle name="Note 26 15 2" xfId="35083" xr:uid="{71274306-7F71-4409-BF16-CC81845493A8}"/>
    <cellStyle name="Note 26 16" xfId="16715" xr:uid="{E4D941D6-DE8B-46D8-AD44-A925C3BFD00F}"/>
    <cellStyle name="Note 26 16 2" xfId="38205" xr:uid="{705F6B43-CD0E-4D03-AA94-70D254E0E80B}"/>
    <cellStyle name="Note 26 17" xfId="19381" xr:uid="{33A2632E-AD70-4B79-B45C-03E38F62F33F}"/>
    <cellStyle name="Note 26 17 2" xfId="40104" xr:uid="{08E9FCDC-56B8-40E3-B764-FE4CD751FBC9}"/>
    <cellStyle name="Note 26 18" xfId="22014" xr:uid="{3EE4674D-B10F-4E37-A3A2-3870FD438365}"/>
    <cellStyle name="Note 26 18 2" xfId="41909" xr:uid="{45CE3300-422A-45AD-B1C9-A18F6AB92A4A}"/>
    <cellStyle name="Note 26 19" xfId="18530" xr:uid="{3C4D308F-B0F1-4007-A85F-C080B7EE0D33}"/>
    <cellStyle name="Note 26 19 2" xfId="39482" xr:uid="{5B40E371-9EFA-4E2E-9093-A6A600F041B5}"/>
    <cellStyle name="Note 26 2" xfId="2964" xr:uid="{E8BCEF3A-F25D-48C5-936A-030A2C1B80A9}"/>
    <cellStyle name="Note 26 2 10" xfId="14665" xr:uid="{AC10B778-E66A-4999-9393-37BB412C089A}"/>
    <cellStyle name="Note 26 2 10 2" xfId="36577" xr:uid="{DBDE6AFE-6D80-4034-BD12-A5AAA80FCD07}"/>
    <cellStyle name="Note 26 2 11" xfId="14042" xr:uid="{6BA2ABBF-5505-4B74-AE22-03B327F03566}"/>
    <cellStyle name="Note 26 2 11 2" xfId="36136" xr:uid="{3E8CEA3F-CF49-46A9-BB0E-78A5F6CD655E}"/>
    <cellStyle name="Note 26 2 12" xfId="17490" xr:uid="{7F5EA09F-E859-4C41-8104-D49048DC7ACC}"/>
    <cellStyle name="Note 26 2 12 2" xfId="38737" xr:uid="{023EE037-74D2-430C-889C-179CF8B16E3A}"/>
    <cellStyle name="Note 26 2 13" xfId="19268" xr:uid="{05897980-B03A-4027-BE98-FED330C9B154}"/>
    <cellStyle name="Note 26 2 13 2" xfId="40054" xr:uid="{876FB27E-6A99-4EE8-B313-0F0C8AC6D6EB}"/>
    <cellStyle name="Note 26 2 14" xfId="19733" xr:uid="{56B0EB62-6060-4D36-9110-2EACB7906510}"/>
    <cellStyle name="Note 26 2 14 2" xfId="40350" xr:uid="{82371318-993C-43BB-860A-109EE844A005}"/>
    <cellStyle name="Note 26 2 15" xfId="13333" xr:uid="{DB32F984-9D16-4608-9348-2CF23A1F4BA9}"/>
    <cellStyle name="Note 26 2 15 2" xfId="35643" xr:uid="{47BF5E81-D4D7-48E3-BA4D-737546AD3A85}"/>
    <cellStyle name="Note 26 2 16" xfId="22518" xr:uid="{D0EA4573-54A9-444D-9F18-FA078104714B}"/>
    <cellStyle name="Note 26 2 16 2" xfId="42317" xr:uid="{18D5CE5B-84D7-47DF-BC2A-DD2DD444E252}"/>
    <cellStyle name="Note 26 2 17" xfId="25716" xr:uid="{CB922C0C-5738-4E57-86B9-A304F1FCB808}"/>
    <cellStyle name="Note 26 2 17 2" xfId="44553" xr:uid="{626A07E4-A6EB-48E7-A245-0174A788F270}"/>
    <cellStyle name="Note 26 2 18" xfId="18980" xr:uid="{019D9C5E-9C56-4A95-AFA6-8D0E234C8487}"/>
    <cellStyle name="Note 26 2 18 2" xfId="39812" xr:uid="{B1C5183C-314F-4972-AD76-9894008A3D67}"/>
    <cellStyle name="Note 26 2 19" xfId="24731" xr:uid="{2055A45B-A701-4AF8-A035-E697006F28E2}"/>
    <cellStyle name="Note 26 2 19 2" xfId="43876" xr:uid="{E9ED0360-69C8-4E5C-962F-12B518142546}"/>
    <cellStyle name="Note 26 2 2" xfId="8049" xr:uid="{B7B250F6-83DD-4571-BFAC-101960BBF9E4}"/>
    <cellStyle name="Note 26 2 2 2" xfId="32294" xr:uid="{EF5E7FBE-BBDA-4027-93F5-14656E89E8EE}"/>
    <cellStyle name="Note 26 2 20" xfId="18082" xr:uid="{C8F636E3-DF64-4ADB-B2BA-56655EE1EC0F}"/>
    <cellStyle name="Note 26 2 20 2" xfId="39156" xr:uid="{EA41C560-4F0E-4DA7-9883-7321BBF4F6C0}"/>
    <cellStyle name="Note 26 2 21" xfId="25338" xr:uid="{514E80FC-BBDF-4816-A1F7-81BE6CEA9678}"/>
    <cellStyle name="Note 26 2 21 2" xfId="44254" xr:uid="{16F15F73-EDB1-4CD4-B3E5-F1D5DE1DCAE4}"/>
    <cellStyle name="Note 26 2 22" xfId="16129" xr:uid="{7722BA55-993F-4CD0-A69B-5DB0D2C149FF}"/>
    <cellStyle name="Note 26 2 22 2" xfId="37698" xr:uid="{88B9AA56-E35B-4996-96D7-202D7354C9D4}"/>
    <cellStyle name="Note 26 2 23" xfId="28606" xr:uid="{3DC96556-8BD8-4984-93CC-C20A8986BF78}"/>
    <cellStyle name="Note 26 2 23 2" xfId="46340" xr:uid="{67645DC8-8AF4-4A3C-A50C-C6BB7D7A077E}"/>
    <cellStyle name="Note 26 2 24" xfId="24983" xr:uid="{C22B4198-194B-4188-B034-80894F073502}"/>
    <cellStyle name="Note 26 2 24 2" xfId="44052" xr:uid="{3FB24C28-59F4-4B2C-A10D-9E7C17092499}"/>
    <cellStyle name="Note 26 2 25" xfId="21941" xr:uid="{F6E6616D-0AE9-465C-BD97-A3DCEAFEEB68}"/>
    <cellStyle name="Note 26 2 25 2" xfId="41855" xr:uid="{57C95961-2A5B-487E-AD9B-349793613241}"/>
    <cellStyle name="Note 26 2 26" xfId="24158" xr:uid="{C866DEA1-4D00-430B-91AD-487913E64E14}"/>
    <cellStyle name="Note 26 2 26 2" xfId="43516" xr:uid="{1CF35135-9175-409B-9C49-62073183758C}"/>
    <cellStyle name="Note 26 2 27" xfId="30046" xr:uid="{FD000CD5-EABA-479F-AF53-A355AB2933C3}"/>
    <cellStyle name="Note 26 2 27 2" xfId="47266" xr:uid="{98C0F2BC-B91F-4427-9374-9AF8A3E8FDB2}"/>
    <cellStyle name="Note 26 2 28" xfId="6486" xr:uid="{CAB038D3-4C85-4C97-B6AB-38788D7D902E}"/>
    <cellStyle name="Note 26 2 3" xfId="13350" xr:uid="{62D3C704-1004-4B36-8AA4-41DEE9A7B585}"/>
    <cellStyle name="Note 26 2 3 2" xfId="35657" xr:uid="{AB94C174-763F-4D9D-A0A8-872E88A68F55}"/>
    <cellStyle name="Note 26 2 4" xfId="7677" xr:uid="{D78EFE8E-5EAB-4289-9992-B9268B1EC318}"/>
    <cellStyle name="Note 26 2 4 2" xfId="31976" xr:uid="{64B83F9C-B5A0-47DF-8C0C-070A9D035C34}"/>
    <cellStyle name="Note 26 2 5" xfId="8796" xr:uid="{8F7C5FFB-B158-4CEB-B56C-67DFA2A30D25}"/>
    <cellStyle name="Note 26 2 5 2" xfId="32919" xr:uid="{45995FEE-F8FD-4067-B164-1E94F42230EC}"/>
    <cellStyle name="Note 26 2 6" xfId="10460" xr:uid="{C34C4121-DC86-46CF-B49D-3EB849ED0909}"/>
    <cellStyle name="Note 26 2 6 2" xfId="34095" xr:uid="{156DC7DE-C804-48DE-9272-1903EFFBEEF1}"/>
    <cellStyle name="Note 26 2 7" xfId="8490" xr:uid="{7F81374C-7034-46C4-AB4E-0D3121ED171A}"/>
    <cellStyle name="Note 26 2 7 2" xfId="32677" xr:uid="{D56F49A8-783A-45A3-A7E4-03D810AB91A9}"/>
    <cellStyle name="Note 26 2 8" xfId="14877" xr:uid="{FD1F4B5B-403A-4947-8764-63EDBEDA2A85}"/>
    <cellStyle name="Note 26 2 8 2" xfId="36752" xr:uid="{68CEAE12-9CE5-434C-B61B-6802EA44EB08}"/>
    <cellStyle name="Note 26 2 9" xfId="11627" xr:uid="{9D95E7BF-FAB9-4A75-9690-1BD5147BA6EE}"/>
    <cellStyle name="Note 26 2 9 2" xfId="34240" xr:uid="{E1B230A9-7DCF-4EB6-8F59-AE47C56B0E55}"/>
    <cellStyle name="Note 26 20" xfId="22337" xr:uid="{6ED17ABB-D8BD-4F8B-9F29-5C52D3B653BA}"/>
    <cellStyle name="Note 26 20 2" xfId="42192" xr:uid="{115B0254-E4D6-49BA-9AAC-59BA139B865F}"/>
    <cellStyle name="Note 26 21" xfId="24955" xr:uid="{355C0ABB-0ED5-487A-B7F2-9A5EAC3F1E49}"/>
    <cellStyle name="Note 26 21 2" xfId="44037" xr:uid="{1524E032-4EDD-46C4-AAC5-89A72753B3A9}"/>
    <cellStyle name="Note 26 22" xfId="25798" xr:uid="{464B2B05-05E9-43DA-BF19-4EBEA72BBE6B}"/>
    <cellStyle name="Note 26 22 2" xfId="44626" xr:uid="{B1E58C4C-0430-4AA9-8305-B7507BB52458}"/>
    <cellStyle name="Note 26 23" xfId="29410" xr:uid="{3FB69B63-8B3F-4F60-8C53-5E5E7A1C43FC}"/>
    <cellStyle name="Note 26 23 2" xfId="46872" xr:uid="{D43AE3A5-AF5F-4A06-85D3-E5602E347A7B}"/>
    <cellStyle name="Note 26 24" xfId="29758" xr:uid="{CB5082F8-0E30-4C80-923B-E56774900E2D}"/>
    <cellStyle name="Note 26 24 2" xfId="47077" xr:uid="{DEFD098B-B4C9-4AC3-9D62-DFA12F769775}"/>
    <cellStyle name="Note 26 25" xfId="29168" xr:uid="{5F972213-1836-4FE6-B8BE-2A762BCD0009}"/>
    <cellStyle name="Note 26 25 2" xfId="46696" xr:uid="{3D59BACD-6CAF-416E-9660-893141CF9DAB}"/>
    <cellStyle name="Note 26 26" xfId="25488" xr:uid="{914DABA3-8DEA-402B-8372-6A8DA5AE7E09}"/>
    <cellStyle name="Note 26 26 2" xfId="44366" xr:uid="{2E5AE024-26EA-43BA-AA3F-B9B5A7FB43ED}"/>
    <cellStyle name="Note 26 27" xfId="28687" xr:uid="{39A38A91-B484-4526-8EFF-EC118DA3FE3F}"/>
    <cellStyle name="Note 26 27 2" xfId="46421" xr:uid="{00D23EC3-2B1C-4AFA-8B49-4030FB334FD0}"/>
    <cellStyle name="Note 26 28" xfId="27691" xr:uid="{EE0A2B2C-7AE0-45E4-A67C-30866172FBA2}"/>
    <cellStyle name="Note 26 28 2" xfId="45805" xr:uid="{BB4A7C70-7B5B-49E1-9230-7F7580BFE7E3}"/>
    <cellStyle name="Note 26 29" xfId="6485" xr:uid="{813B5DBD-E0DD-4DAE-AB17-B7EE74C76F28}"/>
    <cellStyle name="Note 26 3" xfId="8050" xr:uid="{2D74FD1E-6204-49CC-9C5C-85D9F67204E9}"/>
    <cellStyle name="Note 26 3 2" xfId="32295" xr:uid="{25B10551-917D-4173-9857-A3BA68B9CAAD}"/>
    <cellStyle name="Note 26 4" xfId="9348" xr:uid="{856DC16F-BCA2-447E-B479-0CA5DED3D284}"/>
    <cellStyle name="Note 26 4 2" xfId="33331" xr:uid="{85AA516A-451D-48AB-A7AA-39DEB472E0EB}"/>
    <cellStyle name="Note 26 5" xfId="12084" xr:uid="{AF3F00AA-58D0-43D2-B067-20909B74FF79}"/>
    <cellStyle name="Note 26 5 2" xfId="34642" xr:uid="{0F791A04-A201-4AC8-B866-E48104CD0230}"/>
    <cellStyle name="Note 26 6" xfId="15946" xr:uid="{FE1BE23F-0AE8-4914-8CD7-0C7D72497F7C}"/>
    <cellStyle name="Note 26 6 2" xfId="37537" xr:uid="{3731FA48-B3D9-4313-92E7-1BB9DD326224}"/>
    <cellStyle name="Note 26 7" xfId="10442" xr:uid="{214A696B-1DC7-42EA-806D-FA087F76409A}"/>
    <cellStyle name="Note 26 7 2" xfId="34077" xr:uid="{E1F02CC1-63BE-4832-9FB4-6949984FAE75}"/>
    <cellStyle name="Note 26 8" xfId="8491" xr:uid="{462DDCEC-E604-4280-ADC9-F2421A9E88DD}"/>
    <cellStyle name="Note 26 8 2" xfId="32678" xr:uid="{B04C3C87-406A-408C-86B5-4C9E9B06DAB6}"/>
    <cellStyle name="Note 26 9" xfId="12916" xr:uid="{35214C2D-AA9A-40B5-9D0F-E1909DBBBBF8}"/>
    <cellStyle name="Note 26 9 2" xfId="35272" xr:uid="{02A8D51A-C977-4EBE-82A1-39E6E953D2B4}"/>
    <cellStyle name="Note 27" xfId="2965" xr:uid="{3F348C22-5044-49A7-A150-567A9198FD43}"/>
    <cellStyle name="Note 27 10" xfId="7192" xr:uid="{6ABEE744-4AFF-404D-A4EC-4B51AFE82AE9}"/>
    <cellStyle name="Note 27 10 2" xfId="31558" xr:uid="{DA526432-E4AE-4ADF-A3AA-AC1EFDBE71EA}"/>
    <cellStyle name="Note 27 11" xfId="15494" xr:uid="{A8D5B50C-6D95-4DC0-B9FA-C4AFC3FE9E58}"/>
    <cellStyle name="Note 27 11 2" xfId="37159" xr:uid="{01601389-908B-4968-8442-C0743DC9FCD8}"/>
    <cellStyle name="Note 27 12" xfId="16571" xr:uid="{89CC2D89-C204-4B41-B61C-D8B357F2232B}"/>
    <cellStyle name="Note 27 12 2" xfId="38064" xr:uid="{28153F5D-4A1C-4ED5-9759-8FCF0A7861E9}"/>
    <cellStyle name="Note 27 13" xfId="17473" xr:uid="{0D080779-B2E9-4C22-BA38-95F69D5FFEBF}"/>
    <cellStyle name="Note 27 13 2" xfId="38720" xr:uid="{D0EEA2CF-F411-47DF-879C-753F0D17DD7D}"/>
    <cellStyle name="Note 27 14" xfId="20795" xr:uid="{4AE1EF1A-6D3B-4F87-ADCA-59764A4065A0}"/>
    <cellStyle name="Note 27 14 2" xfId="41155" xr:uid="{1D90EA28-BD8A-410E-98F0-80E183B893FC}"/>
    <cellStyle name="Note 27 15" xfId="17949" xr:uid="{FAC9F809-4A7F-4C53-8600-CCE20EFEFCE5}"/>
    <cellStyle name="Note 27 15 2" xfId="39047" xr:uid="{F2EC73C5-07F7-4275-9DF7-BDDAD0941111}"/>
    <cellStyle name="Note 27 16" xfId="16716" xr:uid="{DBD2F83E-7A94-4F7B-8B0C-7AC589C5FC78}"/>
    <cellStyle name="Note 27 16 2" xfId="38206" xr:uid="{0F494FC5-EDBD-44F0-B014-88FB23A8DB6F}"/>
    <cellStyle name="Note 27 17" xfId="21418" xr:uid="{5DEFC9BD-1132-4FB2-82D3-25897A310E39}"/>
    <cellStyle name="Note 27 17 2" xfId="41547" xr:uid="{5EB83D36-D470-40A3-AAF4-8F96B2B5FE7D}"/>
    <cellStyle name="Note 27 18" xfId="24110" xr:uid="{12A85EEE-392D-4617-95E3-57AE1C25076F}"/>
    <cellStyle name="Note 27 18 2" xfId="43486" xr:uid="{3941DAAD-5210-416B-8CE2-D18D1B9B2E84}"/>
    <cellStyle name="Note 27 19" xfId="17092" xr:uid="{FE71CA8D-6232-4173-B90E-4C12ED02B3CD}"/>
    <cellStyle name="Note 27 19 2" xfId="38431" xr:uid="{7D654E32-82D3-4BE1-9CD9-221B7665F591}"/>
    <cellStyle name="Note 27 2" xfId="2966" xr:uid="{F2D01D53-7550-4418-B053-B7C671558741}"/>
    <cellStyle name="Note 27 2 10" xfId="12296" xr:uid="{EBF19438-C6C5-4EA2-80F5-F7F6A0FB0210}"/>
    <cellStyle name="Note 27 2 10 2" xfId="34802" xr:uid="{E613D77E-C032-4ECB-9071-B10BB12780F6}"/>
    <cellStyle name="Note 27 2 11" xfId="12523" xr:uid="{2C84115D-8470-4930-B38B-74D650C45C66}"/>
    <cellStyle name="Note 27 2 11 2" xfId="34967" xr:uid="{3F476AA5-3A46-4D27-86B6-B9955717A08E}"/>
    <cellStyle name="Note 27 2 12" xfId="14452" xr:uid="{C8458067-32F9-4ED5-B70E-4AFB901EFF0F}"/>
    <cellStyle name="Note 27 2 12 2" xfId="36441" xr:uid="{1F26CFB2-1E1D-48EF-8618-0851DDA96C1B}"/>
    <cellStyle name="Note 27 2 13" xfId="20798" xr:uid="{2BF49130-1C1C-4EA5-98B6-3BA77796161D}"/>
    <cellStyle name="Note 27 2 13 2" xfId="41158" xr:uid="{966699B3-3B7B-420E-8F8A-7DE006154DD0}"/>
    <cellStyle name="Note 27 2 14" xfId="15281" xr:uid="{607F60C4-AC83-4259-B2CE-BF2CD4A7D0AB}"/>
    <cellStyle name="Note 27 2 14 2" xfId="36998" xr:uid="{8F6F3565-0250-40EA-94EC-1A37CB55AB23}"/>
    <cellStyle name="Note 27 2 15" xfId="16713" xr:uid="{95E4EF95-2AFF-4A19-9EDD-BFF68718B180}"/>
    <cellStyle name="Note 27 2 15 2" xfId="38203" xr:uid="{8DD5295D-C8A2-4BE6-BBA6-1E01A5BC3691}"/>
    <cellStyle name="Note 27 2 16" xfId="17731" xr:uid="{A383D930-6DD7-4BB7-BD23-9033A7154531}"/>
    <cellStyle name="Note 27 2 16 2" xfId="38907" xr:uid="{0051D731-0696-4FDB-AC3B-F79F9D2B19AA}"/>
    <cellStyle name="Note 27 2 17" xfId="22021" xr:uid="{8571964D-468C-4002-A7D6-2B6EF159A29C}"/>
    <cellStyle name="Note 27 2 17 2" xfId="41916" xr:uid="{B29B62A9-90F4-49C9-9159-FC666DA0847D}"/>
    <cellStyle name="Note 27 2 18" xfId="18981" xr:uid="{21433C9E-0893-4C99-963F-3A22EF448CE0}"/>
    <cellStyle name="Note 27 2 18 2" xfId="39813" xr:uid="{11A9D67D-39C2-492F-905D-BC4358B17624}"/>
    <cellStyle name="Note 27 2 19" xfId="24730" xr:uid="{6DD3576B-8913-4354-89A2-14CB869738BB}"/>
    <cellStyle name="Note 27 2 19 2" xfId="43875" xr:uid="{44BE2B19-7F0E-495A-A479-80660BF2BFA9}"/>
    <cellStyle name="Note 27 2 2" xfId="8047" xr:uid="{37A8AB65-47E9-479E-89D2-55D3D1D559E7}"/>
    <cellStyle name="Note 27 2 2 2" xfId="32292" xr:uid="{516DE379-750C-4726-8711-725494A120A5}"/>
    <cellStyle name="Note 27 2 20" xfId="13934" xr:uid="{A57A8987-3DCF-4F89-B79D-80D9522EC891}"/>
    <cellStyle name="Note 27 2 20 2" xfId="36043" xr:uid="{68553C7D-670F-4973-93AD-A587034201EE}"/>
    <cellStyle name="Note 27 2 21" xfId="23454" xr:uid="{7BBA9EFC-020C-4F95-9171-2AA22D728533}"/>
    <cellStyle name="Note 27 2 21 2" xfId="42960" xr:uid="{3185B278-53CB-4F06-94CE-F79AAC4FFA4D}"/>
    <cellStyle name="Note 27 2 22" xfId="23241" xr:uid="{F158F908-161A-4D90-8C0D-13025072548B}"/>
    <cellStyle name="Note 27 2 22 2" xfId="42817" xr:uid="{1182DD3D-302B-4DE1-9CDC-DFC31350C85A}"/>
    <cellStyle name="Note 27 2 23" xfId="25648" xr:uid="{87F53D43-4A36-480A-ABDC-953D33B37F7E}"/>
    <cellStyle name="Note 27 2 23 2" xfId="44493" xr:uid="{1A1C207E-146B-45F8-9252-07CEF839A653}"/>
    <cellStyle name="Note 27 2 24" xfId="28647" xr:uid="{4C32D60B-6D8A-40A9-B880-EE077E29E52C}"/>
    <cellStyle name="Note 27 2 24 2" xfId="46381" xr:uid="{1CFBB99C-BCA6-406D-B2E0-792A0466D022}"/>
    <cellStyle name="Note 27 2 25" xfId="24317" xr:uid="{D61F215C-F395-4971-8171-7BEC022AE009}"/>
    <cellStyle name="Note 27 2 25 2" xfId="43582" xr:uid="{BD1F4C83-F94A-4F4B-AB5C-441EE0ED9F28}"/>
    <cellStyle name="Note 27 2 26" xfId="28688" xr:uid="{D475B7BC-C032-4A23-8B93-5EE50C9414B4}"/>
    <cellStyle name="Note 27 2 26 2" xfId="46422" xr:uid="{AFCE61DA-E0D3-461C-A86D-2BA67973535C}"/>
    <cellStyle name="Note 27 2 27" xfId="29373" xr:uid="{954B0DCE-0D4D-4EF3-8362-A8CB6B11E227}"/>
    <cellStyle name="Note 27 2 27 2" xfId="46842" xr:uid="{A55B5529-BC25-4F2D-B1B6-480372DA9B7E}"/>
    <cellStyle name="Note 27 2 28" xfId="6488" xr:uid="{9EB823A2-1B61-49FB-AB06-11B90E8F9340}"/>
    <cellStyle name="Note 27 2 3" xfId="13358" xr:uid="{67466411-8AF5-4CEA-A5A9-F64272E94C0B}"/>
    <cellStyle name="Note 27 2 3 2" xfId="35665" xr:uid="{BBAE9D0C-7C28-4DFB-A11D-B7CAEA8F3F81}"/>
    <cellStyle name="Note 27 2 4" xfId="7676" xr:uid="{A9ADA8F3-297A-4FB9-A1F0-F805A212E448}"/>
    <cellStyle name="Note 27 2 4 2" xfId="31975" xr:uid="{E4295D6F-76B1-43BF-A1EC-F80A17E87B19}"/>
    <cellStyle name="Note 27 2 5" xfId="14569" xr:uid="{392BE4DE-CB62-4C3E-93E5-BE2268E82FC1}"/>
    <cellStyle name="Note 27 2 5 2" xfId="36491" xr:uid="{DA0C0EA0-604A-4DAE-8CD6-2F9C314F56C7}"/>
    <cellStyle name="Note 27 2 6" xfId="10443" xr:uid="{BB17F6BD-3778-432B-8E94-8382A2879E65}"/>
    <cellStyle name="Note 27 2 6 2" xfId="34078" xr:uid="{53E9FD44-4CB1-4D4F-8532-9196F8438F35}"/>
    <cellStyle name="Note 27 2 7" xfId="8488" xr:uid="{CA04C959-45E2-4A2F-99B3-45031EA6B7C6}"/>
    <cellStyle name="Note 27 2 7 2" xfId="32675" xr:uid="{C447BB67-F62A-4A4E-92D9-9B84674E57C5}"/>
    <cellStyle name="Note 27 2 8" xfId="14876" xr:uid="{999C25F0-DFAF-488B-8A1F-0CDCA7F40BEF}"/>
    <cellStyle name="Note 27 2 8 2" xfId="36751" xr:uid="{AB265BFE-8114-43E9-96E7-3C5D513B70CA}"/>
    <cellStyle name="Note 27 2 9" xfId="11626" xr:uid="{D7C77953-F024-4511-B839-D4DA319B1A06}"/>
    <cellStyle name="Note 27 2 9 2" xfId="34239" xr:uid="{8F0D7DD0-F819-4B5C-BD55-A2FA4DA97678}"/>
    <cellStyle name="Note 27 20" xfId="22873" xr:uid="{83767E55-D16E-44C3-90DC-3F975A830AEB}"/>
    <cellStyle name="Note 27 20 2" xfId="42591" xr:uid="{71806777-B8A9-4AF6-A9C0-E98188E043E8}"/>
    <cellStyle name="Note 27 21" xfId="24952" xr:uid="{DA574767-1BB5-4170-994E-676992E05ADE}"/>
    <cellStyle name="Note 27 21 2" xfId="44034" xr:uid="{130CF4C0-FE88-41E4-BC81-EBB0B23DADAD}"/>
    <cellStyle name="Note 27 22" xfId="22281" xr:uid="{E1D24EB4-E8B1-40FB-8B31-D59391798E73}"/>
    <cellStyle name="Note 27 22 2" xfId="42146" xr:uid="{CCF9DB0D-445B-4C97-BCCA-14A4D8638182}"/>
    <cellStyle name="Note 27 23" xfId="20515" xr:uid="{F469A598-A4D3-490B-943B-0094785FE355}"/>
    <cellStyle name="Note 27 23 2" xfId="40895" xr:uid="{B62BDEA0-078C-49EA-8E73-79C7F7867A2E}"/>
    <cellStyle name="Note 27 24" xfId="27630" xr:uid="{EB3CBD23-DC69-4760-ACB4-F306CFBBC711}"/>
    <cellStyle name="Note 27 24 2" xfId="45768" xr:uid="{86F84434-3F42-4A26-B543-CC53EF71C887}"/>
    <cellStyle name="Note 27 25" xfId="28074" xr:uid="{A9768CF8-8ADE-4AED-9B5C-1EC222F4F92B}"/>
    <cellStyle name="Note 27 25 2" xfId="46059" xr:uid="{2EDBC904-A8CC-47EA-A3AC-2BACDBF9D91C}"/>
    <cellStyle name="Note 27 26" xfId="22645" xr:uid="{8DA85CF4-9E5F-44E5-8931-D8C8C7D4D92F}"/>
    <cellStyle name="Note 27 26 2" xfId="42417" xr:uid="{7CAF0634-836A-4602-8403-EFA2E9747EA9}"/>
    <cellStyle name="Note 27 27" xfId="29411" xr:uid="{B292F06A-F08A-47DF-93D6-F423E824C2A3}"/>
    <cellStyle name="Note 27 27 2" xfId="46873" xr:uid="{DB6C5B4A-7EB4-4255-95A3-A2050E0F8EA3}"/>
    <cellStyle name="Note 27 28" xfId="29360" xr:uid="{20F19D9C-6378-4C7A-B030-4EE7C7548937}"/>
    <cellStyle name="Note 27 28 2" xfId="46833" xr:uid="{04697147-B29A-433D-83D9-1E9B5792BA95}"/>
    <cellStyle name="Note 27 29" xfId="6487" xr:uid="{42016520-A3E2-4D6A-B4C8-3CED51ACCE28}"/>
    <cellStyle name="Note 27 3" xfId="8048" xr:uid="{D2BA5EFD-D2D1-4457-AFF9-A1022A0FA46B}"/>
    <cellStyle name="Note 27 3 2" xfId="32293" xr:uid="{D082D9F6-D77D-4F60-BCF5-82843E1F1E1B}"/>
    <cellStyle name="Note 27 4" xfId="13361" xr:uid="{3AF18E2E-57AC-4CE0-8893-F2ACE2C36992}"/>
    <cellStyle name="Note 27 4 2" xfId="35668" xr:uid="{BCECC64C-03D1-49F5-830B-32B10FFAFBE3}"/>
    <cellStyle name="Note 27 5" xfId="12083" xr:uid="{98A9A938-2061-4B13-B2D6-CD11C9EC9A81}"/>
    <cellStyle name="Note 27 5 2" xfId="34641" xr:uid="{9B6AE703-60A6-4BF7-A588-D08885FEBF52}"/>
    <cellStyle name="Note 27 6" xfId="8795" xr:uid="{EA4BDB26-83AE-4AB8-9D8C-D8F7E1BFF261}"/>
    <cellStyle name="Note 27 6 2" xfId="32918" xr:uid="{FA263A55-5A21-4944-89D6-F6E5016D8A35}"/>
    <cellStyle name="Note 27 7" xfId="13025" xr:uid="{C74F459D-16E2-47B9-B48B-BA33B3E14370}"/>
    <cellStyle name="Note 27 7 2" xfId="35373" xr:uid="{9254343A-8178-4F7E-A6C8-C973540E6E39}"/>
    <cellStyle name="Note 27 8" xfId="8489" xr:uid="{827D7ED9-0A0D-4AB1-B618-0339AD24F52C}"/>
    <cellStyle name="Note 27 8 2" xfId="32676" xr:uid="{3B5F605C-A76F-4D27-8550-61D1A85108F7}"/>
    <cellStyle name="Note 27 9" xfId="10566" xr:uid="{B6122C05-A881-4611-9600-B303C41277B7}"/>
    <cellStyle name="Note 27 9 2" xfId="34192" xr:uid="{82738B02-239F-4CFE-A388-14B28835FE17}"/>
    <cellStyle name="Note 28" xfId="2967" xr:uid="{1E680FC5-D348-43A2-9315-5225D825E462}"/>
    <cellStyle name="Note 28 10" xfId="7191" xr:uid="{97769C8A-EBEA-4E64-9B48-BE6A8363F222}"/>
    <cellStyle name="Note 28 10 2" xfId="31557" xr:uid="{BE094EAE-5EAD-4F91-8383-B9878922D6C2}"/>
    <cellStyle name="Note 28 11" xfId="12764" xr:uid="{E8957FD8-6BF8-4F66-93D4-5D3A49586EF1}"/>
    <cellStyle name="Note 28 11 2" xfId="35173" xr:uid="{45C1A754-B5A6-46B0-AC97-04AD85CE4E27}"/>
    <cellStyle name="Note 28 12" xfId="16508" xr:uid="{2C78EF62-10DA-4448-9517-86ACA6E458C0}"/>
    <cellStyle name="Note 28 12 2" xfId="38001" xr:uid="{50F402CA-920F-4580-AEE4-3178A9A9DCB0}"/>
    <cellStyle name="Note 28 13" xfId="17489" xr:uid="{3A97F325-2072-4317-ADA5-442A403B7520}"/>
    <cellStyle name="Note 28 13 2" xfId="38736" xr:uid="{54F30724-A628-4E9A-B12F-C93B0363F16A}"/>
    <cellStyle name="Note 28 14" xfId="19279" xr:uid="{9ACC2161-BB2D-46A0-9494-5D3409865B68}"/>
    <cellStyle name="Note 28 14 2" xfId="40065" xr:uid="{2654EE4E-C9CD-4D7C-AF1E-5B3062C1E89C}"/>
    <cellStyle name="Note 28 15" xfId="19731" xr:uid="{B5DC588D-5273-4A29-A73A-13EBEFA6027C}"/>
    <cellStyle name="Note 28 15 2" xfId="40348" xr:uid="{FE343A3D-938A-428A-9FCA-FC2667E53020}"/>
    <cellStyle name="Note 28 16" xfId="10115" xr:uid="{57BF29A5-D488-4022-B7C6-DD8885886DAE}"/>
    <cellStyle name="Note 28 16 2" xfId="33786" xr:uid="{72F1AF2D-4967-4749-A933-CDB8D4454480}"/>
    <cellStyle name="Note 28 17" xfId="21417" xr:uid="{93D8C59B-6879-4587-9E2B-6CC6DDDD9180}"/>
    <cellStyle name="Note 28 17 2" xfId="41546" xr:uid="{85F53066-F238-42D5-9210-187FD79B6368}"/>
    <cellStyle name="Note 28 18" xfId="25711" xr:uid="{A4878C8B-2964-48FA-9757-9F60940F5A07}"/>
    <cellStyle name="Note 28 18 2" xfId="44548" xr:uid="{A5D5547F-48D0-4AD8-BCD8-5516E9F00972}"/>
    <cellStyle name="Note 28 19" xfId="16095" xr:uid="{4F18C148-568C-4AF7-B8AB-84FA0643E72F}"/>
    <cellStyle name="Note 28 19 2" xfId="37665" xr:uid="{A12F820C-C8BB-4448-B22D-52B7811A87FC}"/>
    <cellStyle name="Note 28 2" xfId="2968" xr:uid="{953A8A83-B0B9-471B-AE4B-87D9E12D90F2}"/>
    <cellStyle name="Note 28 2 10" xfId="14664" xr:uid="{6EDEAE8A-34D2-4935-9A14-0F9C6AA18B5A}"/>
    <cellStyle name="Note 28 2 10 2" xfId="36576" xr:uid="{597127EC-513D-4B4E-A245-7072E18C7994}"/>
    <cellStyle name="Note 28 2 11" xfId="16570" xr:uid="{4F924D32-2994-4E18-982D-681E892885DA}"/>
    <cellStyle name="Note 28 2 11 2" xfId="38063" xr:uid="{C1F9BB34-D958-4B35-AFF6-ECA03523887C}"/>
    <cellStyle name="Note 28 2 12" xfId="12701" xr:uid="{154EFF0A-5DBB-4A93-86E6-9635CA5C099F}"/>
    <cellStyle name="Note 28 2 12 2" xfId="35114" xr:uid="{1F025822-2173-4B86-80EA-7F168CFEEE9C}"/>
    <cellStyle name="Note 28 2 13" xfId="22489" xr:uid="{868ED90C-DB70-4A36-ABAB-5423BAE8B2E9}"/>
    <cellStyle name="Note 28 2 13 2" xfId="42288" xr:uid="{DCF96A67-A0A6-4B35-BB6D-33D731E0C7C2}"/>
    <cellStyle name="Note 28 2 14" xfId="17948" xr:uid="{70C2DB2D-8F56-4E13-AD47-F83BAD6BBA03}"/>
    <cellStyle name="Note 28 2 14 2" xfId="39046" xr:uid="{76C99526-1698-4A03-9158-C46C81F20E2E}"/>
    <cellStyle name="Note 28 2 15" xfId="13332" xr:uid="{CD9544DB-068B-483C-8B00-E3A65B798C53}"/>
    <cellStyle name="Note 28 2 15 2" xfId="35642" xr:uid="{3E97682E-39AE-4EEC-9460-F4300ADCEDAB}"/>
    <cellStyle name="Note 28 2 16" xfId="19620" xr:uid="{18918741-B79E-4B26-85C4-8B99034E0AC9}"/>
    <cellStyle name="Note 28 2 16 2" xfId="40260" xr:uid="{7EE5C8A9-6459-4BE5-9909-4596BA558AA0}"/>
    <cellStyle name="Note 28 2 17" xfId="25714" xr:uid="{4803917E-80EC-4C75-8212-5AFDC2874F4A}"/>
    <cellStyle name="Note 28 2 17 2" xfId="44551" xr:uid="{159A9628-2AFC-47EA-BA3C-610B009F0E11}"/>
    <cellStyle name="Note 28 2 18" xfId="18982" xr:uid="{C5D8358C-C255-429D-A8D3-398DD917F6A7}"/>
    <cellStyle name="Note 28 2 18 2" xfId="39814" xr:uid="{B6132A9D-6FED-461C-ABCC-D2A28A159698}"/>
    <cellStyle name="Note 28 2 19" xfId="24729" xr:uid="{9778F591-DA1E-4AC7-ACB6-0AC8250CC2FF}"/>
    <cellStyle name="Note 28 2 19 2" xfId="43874" xr:uid="{B4E04D5A-5111-4938-80C6-8D3A29B1ADF7}"/>
    <cellStyle name="Note 28 2 2" xfId="8045" xr:uid="{5E57059A-EDBC-4CE1-9513-9FA3D8491EF5}"/>
    <cellStyle name="Note 28 2 2 2" xfId="32290" xr:uid="{57F5697D-544C-4C43-84BD-1CD34BDDDF96}"/>
    <cellStyle name="Note 28 2 20" xfId="24956" xr:uid="{DFD9BDAB-04F6-48C1-B490-483C93E2BD72}"/>
    <cellStyle name="Note 28 2 20 2" xfId="44038" xr:uid="{68E8DEC7-529A-4288-892F-24FCE7B8C596}"/>
    <cellStyle name="Note 28 2 21" xfId="25339" xr:uid="{7412676D-8423-4A15-B237-11DBBF4A045D}"/>
    <cellStyle name="Note 28 2 21 2" xfId="44255" xr:uid="{0252457D-0B2C-43F9-A595-6B1FA565A796}"/>
    <cellStyle name="Note 28 2 22" xfId="29434" xr:uid="{41C433AC-AD7E-48D6-90FF-4A06FF870DA9}"/>
    <cellStyle name="Note 28 2 22 2" xfId="46895" xr:uid="{7DB931B0-3DC1-42D6-B52F-9CD1A178760F}"/>
    <cellStyle name="Note 28 2 23" xfId="29761" xr:uid="{9E1E1ABD-71B9-4A7F-BDE7-685EF746BEFD}"/>
    <cellStyle name="Note 28 2 23 2" xfId="47080" xr:uid="{871A8874-5F9B-433D-AE4D-9F4CDBC85673}"/>
    <cellStyle name="Note 28 2 24" xfId="20336" xr:uid="{A8A48234-49C5-467B-B929-A93ABA95075B}"/>
    <cellStyle name="Note 28 2 24 2" xfId="40769" xr:uid="{E4B4CE33-C106-40B1-86BB-B188A3702F77}"/>
    <cellStyle name="Note 28 2 25" xfId="25484" xr:uid="{EE5CB5BA-B308-46BE-84F0-ABABA8A99224}"/>
    <cellStyle name="Note 28 2 25 2" xfId="44363" xr:uid="{FCAEEED6-1233-438F-8FB8-07C5EAA48F1A}"/>
    <cellStyle name="Note 28 2 26" xfId="30137" xr:uid="{05AFA8D4-F8A9-4431-9107-5D7418BFE6AA}"/>
    <cellStyle name="Note 28 2 26 2" xfId="47305" xr:uid="{4CF5860D-3DF0-4368-BCFB-83F53972C055}"/>
    <cellStyle name="Note 28 2 27" xfId="26960" xr:uid="{01508E51-9D40-43F9-A584-BD17F0156C66}"/>
    <cellStyle name="Note 28 2 27 2" xfId="45367" xr:uid="{0367842F-74D8-473E-A925-58179E4D8197}"/>
    <cellStyle name="Note 28 2 28" xfId="6490" xr:uid="{18E315A4-299E-4DC1-8EB0-41D64099F57A}"/>
    <cellStyle name="Note 28 2 3" xfId="9350" xr:uid="{851FBC63-8554-46A4-87FC-E5B50DDCD1D2}"/>
    <cellStyle name="Note 28 2 3 2" xfId="33333" xr:uid="{E0BE5813-2413-47F2-8FF2-1EBD1CFDC57A}"/>
    <cellStyle name="Note 28 2 4" xfId="7675" xr:uid="{1E6C46F1-F09B-4A85-943A-03602E4C43AC}"/>
    <cellStyle name="Note 28 2 4 2" xfId="31974" xr:uid="{AEE34B03-08A1-4CA3-A77D-7299EC0BAD75}"/>
    <cellStyle name="Note 28 2 5" xfId="15941" xr:uid="{08549FE3-7B58-4E5D-B773-0C3439A6C299}"/>
    <cellStyle name="Note 28 2 5 2" xfId="37532" xr:uid="{89D0B1F6-FEE0-4049-B506-132F3B19E461}"/>
    <cellStyle name="Note 28 2 6" xfId="10444" xr:uid="{C5F5934C-B088-4441-80B4-6A54758DAE82}"/>
    <cellStyle name="Note 28 2 6 2" xfId="34079" xr:uid="{6F5F1ADA-AFA7-4A9B-9B6A-43294CD54B45}"/>
    <cellStyle name="Note 28 2 7" xfId="8486" xr:uid="{8BF85EC2-11C5-4290-8C24-DF7F43B348D5}"/>
    <cellStyle name="Note 28 2 7 2" xfId="32673" xr:uid="{7D4A2BE6-38DE-4A8A-8B0F-B9986F03110B}"/>
    <cellStyle name="Note 28 2 8" xfId="14875" xr:uid="{109A3EB8-DF00-41E0-A6EA-717ED869DAD5}"/>
    <cellStyle name="Note 28 2 8 2" xfId="36750" xr:uid="{4358E7E3-CFDF-43ED-9BA4-8288415160D7}"/>
    <cellStyle name="Note 28 2 9" xfId="11625" xr:uid="{831F2F97-8BD8-4530-8F3E-55190440955A}"/>
    <cellStyle name="Note 28 2 9 2" xfId="34238" xr:uid="{68037847-EA4C-47B1-86BA-6927326D7C7D}"/>
    <cellStyle name="Note 28 20" xfId="20388" xr:uid="{E74CDC29-BE7E-4A7A-9E78-8A901AA1ACEB}"/>
    <cellStyle name="Note 28 20 2" xfId="40810" xr:uid="{2AE6EC0C-508D-4349-A7BE-9325ED843E97}"/>
    <cellStyle name="Note 28 21" xfId="18081" xr:uid="{497E13EA-926E-4AD1-8543-AB1C3CC63098}"/>
    <cellStyle name="Note 28 21 2" xfId="39155" xr:uid="{6DCAEBF0-B53B-4C97-B5E2-C8168109105C}"/>
    <cellStyle name="Note 28 22" xfId="24521" xr:uid="{807AE3FE-A677-4B23-920E-16BCE25B7BA9}"/>
    <cellStyle name="Note 28 22 2" xfId="43704" xr:uid="{C205C7B1-94F8-491F-A4B2-8AFFC9816E4D}"/>
    <cellStyle name="Note 28 23" xfId="18835" xr:uid="{F183176B-4E10-485A-A953-AE80377ECA16}"/>
    <cellStyle name="Note 28 23 2" xfId="39682" xr:uid="{580A7DAB-4F69-420F-B672-A1F1007B8034}"/>
    <cellStyle name="Note 28 24" xfId="28605" xr:uid="{D60907A2-9B51-422D-B92D-843E7BE28EE9}"/>
    <cellStyle name="Note 28 24 2" xfId="46339" xr:uid="{88B8879E-7C94-4879-BBF4-80ADA4DA25A3}"/>
    <cellStyle name="Note 28 25" xfId="24982" xr:uid="{CB9FBF0B-89D3-4246-8CCC-45838B83FDC3}"/>
    <cellStyle name="Note 28 25 2" xfId="44051" xr:uid="{A50164FC-3C51-477D-B59F-DD5E2C2BF55D}"/>
    <cellStyle name="Note 28 26" xfId="25091" xr:uid="{47E30D16-12DB-46DE-89C6-1814ECF6AFB5}"/>
    <cellStyle name="Note 28 26 2" xfId="44095" xr:uid="{1DD91CA1-1ECD-4CF4-8556-93E338C50C00}"/>
    <cellStyle name="Note 28 27" xfId="27407" xr:uid="{F6F225E9-D4B8-4D81-8C43-5B72CE0A6493}"/>
    <cellStyle name="Note 28 27 2" xfId="45662" xr:uid="{823CE2E7-9054-4578-806C-3B4B460CDAB8}"/>
    <cellStyle name="Note 28 28" xfId="29008" xr:uid="{D38AAFCA-2801-4D81-9C77-B0BFA773356F}"/>
    <cellStyle name="Note 28 28 2" xfId="46602" xr:uid="{978311C5-5B24-4F36-8179-4254A6D2F4F2}"/>
    <cellStyle name="Note 28 29" xfId="6489" xr:uid="{6EEC24BA-987F-4A8C-BBB9-95D5F6266C27}"/>
    <cellStyle name="Note 28 3" xfId="8046" xr:uid="{F7EB96C2-0E1A-4F02-966F-20E69C9C4993}"/>
    <cellStyle name="Note 28 3 2" xfId="32291" xr:uid="{35D9737C-2A1F-4274-A238-F6D1E0576C3C}"/>
    <cellStyle name="Note 28 4" xfId="9349" xr:uid="{37A09DB4-65E1-452C-BED2-C6FD070F405F}"/>
    <cellStyle name="Note 28 4 2" xfId="33332" xr:uid="{18044EF9-6AB7-4A1D-A293-D9EDB3DE062B}"/>
    <cellStyle name="Note 28 5" xfId="12082" xr:uid="{1083A9D9-486B-4E99-8025-2CC288BD2904}"/>
    <cellStyle name="Note 28 5 2" xfId="34640" xr:uid="{8EAF466C-5447-4B38-9B5C-5A4B823D3BAD}"/>
    <cellStyle name="Note 28 6" xfId="8794" xr:uid="{48FD16F4-73C9-47F7-99F4-081AECE5E02A}"/>
    <cellStyle name="Note 28 6 2" xfId="32917" xr:uid="{5BBCF76C-2DFD-457B-9F3A-97993840CF97}"/>
    <cellStyle name="Note 28 7" xfId="13024" xr:uid="{039F065D-3080-4007-B15D-8479FACC2F85}"/>
    <cellStyle name="Note 28 7 2" xfId="35372" xr:uid="{4D921B2E-61AE-4FE4-BDB1-0A65898926F6}"/>
    <cellStyle name="Note 28 8" xfId="8487" xr:uid="{521B93DD-7E98-4948-A840-B006DA7A3DEA}"/>
    <cellStyle name="Note 28 8 2" xfId="32674" xr:uid="{86DAB6AA-A258-434D-A7CA-3F10E4148058}"/>
    <cellStyle name="Note 28 9" xfId="12915" xr:uid="{053EC8AE-16EA-4B83-849A-05B2EA545F61}"/>
    <cellStyle name="Note 28 9 2" xfId="35271" xr:uid="{C7215AF6-B7DB-4A7A-A264-25E8B349414D}"/>
    <cellStyle name="Note 29" xfId="2969" xr:uid="{8E1F2066-A8AA-44BA-B898-F1ABFA426914}"/>
    <cellStyle name="Note 29 10" xfId="7190" xr:uid="{12DE41BB-B8B4-467D-9DF3-96ED8734226C}"/>
    <cellStyle name="Note 29 10 2" xfId="31556" xr:uid="{1D72A8C3-B20C-4F4C-BA20-CF524F6F21B6}"/>
    <cellStyle name="Note 29 11" xfId="15495" xr:uid="{E14208CF-DA76-4E5F-B1BB-B8B89AAD2E2E}"/>
    <cellStyle name="Note 29 11 2" xfId="37160" xr:uid="{E9A0D060-28CE-4206-87DF-E59F3D0049F1}"/>
    <cellStyle name="Note 29 12" xfId="13478" xr:uid="{E5F8392C-55E1-46C2-8EED-71E428CF1ED3}"/>
    <cellStyle name="Note 29 12 2" xfId="35734" xr:uid="{EF2B7110-987C-42CF-B716-BBB907E64375}"/>
    <cellStyle name="Note 29 13" xfId="17488" xr:uid="{B2131BC5-064A-4AAB-A6DA-CDD1271E2ECA}"/>
    <cellStyle name="Note 29 13 2" xfId="38735" xr:uid="{DF9CD309-245E-4554-9627-CFA63F8BAD22}"/>
    <cellStyle name="Note 29 14" xfId="22492" xr:uid="{156563E5-7749-419B-99F2-D060876A8014}"/>
    <cellStyle name="Note 29 14 2" xfId="42291" xr:uid="{3178B710-9714-485F-94BE-A698CA40C562}"/>
    <cellStyle name="Note 29 15" xfId="19730" xr:uid="{B539E8FE-E603-449B-836A-451204CF9277}"/>
    <cellStyle name="Note 29 15 2" xfId="40347" xr:uid="{E4BBEE3A-CB61-4E26-99B2-763A3A827555}"/>
    <cellStyle name="Note 29 16" xfId="10116" xr:uid="{A01A3679-5C4B-43E0-9EBD-7D2DC0A4EBFB}"/>
    <cellStyle name="Note 29 16 2" xfId="33787" xr:uid="{A1F59ECD-D466-4D74-B8A9-2E3D307AF00C}"/>
    <cellStyle name="Note 29 17" xfId="21416" xr:uid="{3FE75434-178F-4744-8BC6-274FE8767E0A}"/>
    <cellStyle name="Note 29 17 2" xfId="41545" xr:uid="{F1F3FBCD-6300-4A31-99CB-F2F420DD8434}"/>
    <cellStyle name="Note 29 18" xfId="24109" xr:uid="{3D85ADF4-1A23-41A8-A789-F0B22FA5427A}"/>
    <cellStyle name="Note 29 18 2" xfId="43485" xr:uid="{87773C8F-0CD9-449F-92D8-6EEEAC487575}"/>
    <cellStyle name="Note 29 19" xfId="17093" xr:uid="{F579B367-8E5B-4985-9BD1-0EB06E98F50A}"/>
    <cellStyle name="Note 29 19 2" xfId="38432" xr:uid="{FBE2279B-8A84-4B08-A851-7A9490CFE2A0}"/>
    <cellStyle name="Note 29 2" xfId="2970" xr:uid="{C2946D67-EE07-4DE3-927F-D18AE212619F}"/>
    <cellStyle name="Note 29 2 10" xfId="14419" xr:uid="{E983C867-C52E-41BC-9D7E-8B50A5EA5C6B}"/>
    <cellStyle name="Note 29 2 10 2" xfId="36408" xr:uid="{84D607A9-DAB2-49FF-AD23-4A6D3B793C16}"/>
    <cellStyle name="Note 29 2 11" xfId="16523" xr:uid="{AF1263B8-87CD-4B53-8F8D-FCD4FDAFC7DC}"/>
    <cellStyle name="Note 29 2 11 2" xfId="38016" xr:uid="{F62455BE-5B44-499C-8646-784A0012C851}"/>
    <cellStyle name="Note 29 2 12" xfId="16035" xr:uid="{392D5497-600A-4C01-82E1-873D98A33286}"/>
    <cellStyle name="Note 29 2 12 2" xfId="37618" xr:uid="{FC2F763C-8474-493F-BF3D-E3A955A1AE51}"/>
    <cellStyle name="Note 29 2 13" xfId="20797" xr:uid="{BBD22DAA-6DF3-4870-85DA-3B72574E0EA5}"/>
    <cellStyle name="Note 29 2 13 2" xfId="41157" xr:uid="{B97F35B3-82E1-4A4D-AC3F-407696D84077}"/>
    <cellStyle name="Note 29 2 14" xfId="15713" xr:uid="{C7CB0764-991A-46E2-B68B-41F0FC790EE8}"/>
    <cellStyle name="Note 29 2 14 2" xfId="37344" xr:uid="{40CDA2FF-8537-4196-A282-59766814036C}"/>
    <cellStyle name="Note 29 2 15" xfId="16719" xr:uid="{F38592E8-36B2-4B5F-B266-FC1BC4DE2A0A}"/>
    <cellStyle name="Note 29 2 15 2" xfId="38209" xr:uid="{5D4C1B4C-2AAA-4F55-AD53-70416F7CEF79}"/>
    <cellStyle name="Note 29 2 16" xfId="17695" xr:uid="{A5F060EA-EDB2-4A51-AD12-FB2791C9F6FA}"/>
    <cellStyle name="Note 29 2 16 2" xfId="38880" xr:uid="{9AEF42B9-86F8-40F6-B6A7-0C606C4CA7E1}"/>
    <cellStyle name="Note 29 2 17" xfId="25713" xr:uid="{29A2283F-F4FD-4AE6-AE66-E9ED53AA7502}"/>
    <cellStyle name="Note 29 2 17 2" xfId="44550" xr:uid="{5AFA4B69-0A8A-4F43-9B2A-5B419BCCDB14}"/>
    <cellStyle name="Note 29 2 18" xfId="25931" xr:uid="{85630052-93C8-45F5-A12F-3F78241AEC24}"/>
    <cellStyle name="Note 29 2 18 2" xfId="44727" xr:uid="{3031E477-8A52-4AE3-9BE7-7A52D481C124}"/>
    <cellStyle name="Note 29 2 19" xfId="24728" xr:uid="{4A89EA05-B29D-47B5-A12A-F0A5033661C1}"/>
    <cellStyle name="Note 29 2 19 2" xfId="43873" xr:uid="{EA4A5A43-8805-426D-9672-D3F014467469}"/>
    <cellStyle name="Note 29 2 2" xfId="8043" xr:uid="{7E488A03-4E80-4856-9416-E5942180F694}"/>
    <cellStyle name="Note 29 2 2 2" xfId="32288" xr:uid="{430524F6-6BAA-4B10-AF23-1DFC99BDAC67}"/>
    <cellStyle name="Note 29 2 20" xfId="23322" xr:uid="{12BE3FC4-E662-4C97-AD15-82187012CDEA}"/>
    <cellStyle name="Note 29 2 20 2" xfId="42894" xr:uid="{8BB03898-D6A1-4E50-A322-5F1D3175B9D5}"/>
    <cellStyle name="Note 29 2 21" xfId="22265" xr:uid="{C48E0762-164F-47A9-9AE9-F88432E03933}"/>
    <cellStyle name="Note 29 2 21 2" xfId="42130" xr:uid="{7D00CAF7-42AE-4CD8-9B3C-A5A2B5B4C62C}"/>
    <cellStyle name="Note 29 2 22" xfId="25734" xr:uid="{D46710A0-67D9-4836-A00A-A89F53D514A7}"/>
    <cellStyle name="Note 29 2 22 2" xfId="44571" xr:uid="{A9D5485C-E26E-496B-83F1-B5B1EFF0783E}"/>
    <cellStyle name="Note 29 2 23" xfId="27159" xr:uid="{7DBBF3EE-AB61-4E13-9B9F-B0C56D74B8C7}"/>
    <cellStyle name="Note 29 2 23 2" xfId="45500" xr:uid="{8A42BF90-B735-4775-BBDF-193EB0900974}"/>
    <cellStyle name="Note 29 2 24" xfId="28889" xr:uid="{16C2565E-6337-4386-80E1-E1F3E4870065}"/>
    <cellStyle name="Note 29 2 24 2" xfId="46498" xr:uid="{A33FBDC4-9F0E-4E73-82C7-9C5877A1FCFB}"/>
    <cellStyle name="Note 29 2 25" xfId="25563" xr:uid="{B5760A68-BF97-4BC0-80F3-CFEF46EC9248}"/>
    <cellStyle name="Note 29 2 25 2" xfId="44431" xr:uid="{E3A602CA-0C4C-4EBD-94F6-921DDBD2EC81}"/>
    <cellStyle name="Note 29 2 26" xfId="28689" xr:uid="{96745434-0F48-4975-9BDB-295F79305967}"/>
    <cellStyle name="Note 29 2 26 2" xfId="46423" xr:uid="{D32CA559-151C-46BF-A87F-A58FCA2BCA01}"/>
    <cellStyle name="Note 29 2 27" xfId="29083" xr:uid="{BAC13610-CC26-47C9-88EF-8705FDEDA9C9}"/>
    <cellStyle name="Note 29 2 27 2" xfId="46656" xr:uid="{83EEEA7F-8B3D-48D1-AE04-D33CB8ABBBE2}"/>
    <cellStyle name="Note 29 2 28" xfId="6492" xr:uid="{6D74E0B1-4689-44C3-9910-BBBAC2615E36}"/>
    <cellStyle name="Note 29 2 3" xfId="9352" xr:uid="{263D4534-E80A-448E-8D91-53F9506C675C}"/>
    <cellStyle name="Note 29 2 3 2" xfId="33335" xr:uid="{2B952B1B-12DC-4084-A80F-19E469146131}"/>
    <cellStyle name="Note 29 2 4" xfId="7674" xr:uid="{1F1DB4C1-3DFB-49AE-B35B-DD9B67F4ABE6}"/>
    <cellStyle name="Note 29 2 4 2" xfId="31973" xr:uid="{B68132DC-C3C4-43D9-AFBE-7194E152DEDC}"/>
    <cellStyle name="Note 29 2 5" xfId="8793" xr:uid="{319898AC-4065-4D80-AF18-D2F8BE9B66E2}"/>
    <cellStyle name="Note 29 2 5 2" xfId="32916" xr:uid="{9A5EE863-2553-4EE7-9A65-DEA607347636}"/>
    <cellStyle name="Note 29 2 6" xfId="10445" xr:uid="{AFD8004C-F9CF-439F-A2D4-4ACFC39DD0A7}"/>
    <cellStyle name="Note 29 2 6 2" xfId="34080" xr:uid="{6055F1CD-A008-4BB1-BADE-66F2E35EE959}"/>
    <cellStyle name="Note 29 2 7" xfId="8484" xr:uid="{26B395CD-9929-4933-9331-33289576EFA5}"/>
    <cellStyle name="Note 29 2 7 2" xfId="32671" xr:uid="{574A49D8-D705-4B87-9BAB-535449073D9B}"/>
    <cellStyle name="Note 29 2 8" xfId="14874" xr:uid="{844F3919-2188-4412-9A9B-066E362A50C6}"/>
    <cellStyle name="Note 29 2 8 2" xfId="36749" xr:uid="{312093E5-8D4E-4F22-9A2F-52FD035D6182}"/>
    <cellStyle name="Note 29 2 9" xfId="11624" xr:uid="{390ACC34-7383-447F-8ADC-C6E7B1762F83}"/>
    <cellStyle name="Note 29 2 9 2" xfId="34237" xr:uid="{74F72FF3-B259-451A-840C-BCC42CBAA8C5}"/>
    <cellStyle name="Note 29 20" xfId="25741" xr:uid="{B656BCD0-6E46-4B08-9CEA-524E8E550A69}"/>
    <cellStyle name="Note 29 20 2" xfId="44578" xr:uid="{C3141A54-81E2-402D-8C7C-D37AC8C31688}"/>
    <cellStyle name="Note 29 21" xfId="15212" xr:uid="{75D6D950-0F21-4B49-B29E-D897E1B658E2}"/>
    <cellStyle name="Note 29 21 2" xfId="36982" xr:uid="{B05612A7-8DF6-4419-B55F-BF06B4683B44}"/>
    <cellStyle name="Note 29 22" xfId="20365" xr:uid="{0B396B27-6EDB-4044-B0FC-7B083EEFDC71}"/>
    <cellStyle name="Note 29 22 2" xfId="40792" xr:uid="{488DB9BA-B16F-44A2-BDD0-6AAF19C346C9}"/>
    <cellStyle name="Note 29 23" xfId="28954" xr:uid="{1A1BCAB4-6219-43AB-839A-59E4A0CB854E}"/>
    <cellStyle name="Note 29 23 2" xfId="46550" xr:uid="{FC66E073-67DE-49A9-84A2-841BC23B1D7E}"/>
    <cellStyle name="Note 29 24" xfId="29254" xr:uid="{9500A877-3323-48ED-B8F3-ED9C77A8F090}"/>
    <cellStyle name="Note 29 24 2" xfId="46770" xr:uid="{8E9EC46F-6DC9-41EE-888E-D673A9D93145}"/>
    <cellStyle name="Note 29 25" xfId="21016" xr:uid="{DBCED9CD-2AF3-4A1D-8C2F-18C078BABF8F}"/>
    <cellStyle name="Note 29 25 2" xfId="41274" xr:uid="{6C2039DF-1CB6-470E-A77E-A0DFBC61F1E4}"/>
    <cellStyle name="Note 29 26" xfId="25562" xr:uid="{67C17415-CD80-4E25-B763-772136CE55B6}"/>
    <cellStyle name="Note 29 26 2" xfId="44430" xr:uid="{38957D88-3D59-4BFF-AE69-D649519EFA20}"/>
    <cellStyle name="Note 29 27" xfId="30919" xr:uid="{73E396AE-4161-4DC6-9CCF-5081D2E108DC}"/>
    <cellStyle name="Note 29 27 2" xfId="47760" xr:uid="{2625537D-B3D0-4EDA-A55D-260163C497AF}"/>
    <cellStyle name="Note 29 28" xfId="26824" xr:uid="{49442AFF-B844-4440-913F-1AC2BC7F74B9}"/>
    <cellStyle name="Note 29 28 2" xfId="45295" xr:uid="{CEFAAEA0-92A1-42BB-A316-CBC6AB32851E}"/>
    <cellStyle name="Note 29 29" xfId="6491" xr:uid="{1093D716-2489-4ACB-AF64-FCEEF598C541}"/>
    <cellStyle name="Note 29 3" xfId="8044" xr:uid="{588B95DC-2AC0-4B87-9223-92C12E152059}"/>
    <cellStyle name="Note 29 3 2" xfId="32289" xr:uid="{8507BB4B-3C71-4C42-81C4-81C462D89526}"/>
    <cellStyle name="Note 29 4" xfId="9351" xr:uid="{443B48BE-1D52-4BE2-B3A7-DE3BBB800B27}"/>
    <cellStyle name="Note 29 4 2" xfId="33334" xr:uid="{433EA470-FAEA-40EC-817B-B416A10FA2A2}"/>
    <cellStyle name="Note 29 5" xfId="12081" xr:uid="{EAEF4F55-E063-4897-90C0-1928E78BE5E5}"/>
    <cellStyle name="Note 29 5 2" xfId="34639" xr:uid="{58454B11-5747-422F-8F2C-68C465E1CAB9}"/>
    <cellStyle name="Note 29 6" xfId="15944" xr:uid="{A630CCF6-FCC8-4694-9006-A5735C3DAE0F}"/>
    <cellStyle name="Note 29 6 2" xfId="37535" xr:uid="{AFCE431F-D89D-4937-999E-A3D9CD13CDF4}"/>
    <cellStyle name="Note 29 7" xfId="13023" xr:uid="{6F223280-A3CC-49A2-88AD-554B280DE9DC}"/>
    <cellStyle name="Note 29 7 2" xfId="35371" xr:uid="{735BAC0C-C34E-48EA-8EC6-448B2706E8A3}"/>
    <cellStyle name="Note 29 8" xfId="8485" xr:uid="{3B9B1CAB-4862-47B7-A0FC-84BDF98EA79C}"/>
    <cellStyle name="Note 29 8 2" xfId="32672" xr:uid="{5F681F8A-B857-427E-AE52-305015338E01}"/>
    <cellStyle name="Note 29 9" xfId="10567" xr:uid="{3CAC839A-8D0C-4ED1-9B2D-E36D4BD1F824}"/>
    <cellStyle name="Note 29 9 2" xfId="34193" xr:uid="{8B1570CF-1676-47AE-BFDC-7CA4B796D485}"/>
    <cellStyle name="Note 3" xfId="2971" xr:uid="{2565B49F-4F88-400F-A295-85AF4CA8E9C1}"/>
    <cellStyle name="Note 3 10" xfId="9353" xr:uid="{07CB5176-4C4E-43E0-9BCF-76724226C4A5}"/>
    <cellStyle name="Note 3 10 2" xfId="33336" xr:uid="{B5B478F3-466E-4B2E-9D02-FC1BC30502C1}"/>
    <cellStyle name="Note 3 11" xfId="12080" xr:uid="{85FA43AE-B455-46F1-B9E9-E06B38CDA125}"/>
    <cellStyle name="Note 3 11 2" xfId="34638" xr:uid="{A1E16AC7-8F1B-4C79-9EC4-7070FFBA98D3}"/>
    <cellStyle name="Note 3 12" xfId="15943" xr:uid="{D698A72A-4B6D-4D86-A3BB-211D3273A9D1}"/>
    <cellStyle name="Note 3 12 2" xfId="37534" xr:uid="{FB4B33AE-2142-4B83-927C-6B3BCF0D9612}"/>
    <cellStyle name="Note 3 13" xfId="13022" xr:uid="{88F00FA7-BFC3-4DC9-9BBA-8985D30F49E1}"/>
    <cellStyle name="Note 3 13 2" xfId="35370" xr:uid="{BE44BA7E-9C2E-4CB7-8647-3E8D750675C7}"/>
    <cellStyle name="Note 3 14" xfId="15323" xr:uid="{95C54A73-3722-46CB-9C3B-6DD347C7E5BB}"/>
    <cellStyle name="Note 3 14 2" xfId="37024" xr:uid="{6D52309C-B0D8-4C3A-BED6-DD053F5BEB32}"/>
    <cellStyle name="Note 3 15" xfId="12914" xr:uid="{865C84CD-8133-4748-8D6F-66F40C41DBA4}"/>
    <cellStyle name="Note 3 15 2" xfId="35270" xr:uid="{BA3AF345-8422-4047-B4DD-530D5B23CE34}"/>
    <cellStyle name="Note 3 16" xfId="7189" xr:uid="{02F17584-50CD-4EEA-B54B-49B36292AEBC}"/>
    <cellStyle name="Note 3 16 2" xfId="31555" xr:uid="{2773C34C-543B-4E66-BC33-A4C6149D79D3}"/>
    <cellStyle name="Note 3 17" xfId="12763" xr:uid="{DD8D1517-C202-40DD-B7AA-67AE2DF49FCC}"/>
    <cellStyle name="Note 3 17 2" xfId="35172" xr:uid="{E3A22B27-9803-49D8-927B-28D6A32944A9}"/>
    <cellStyle name="Note 3 18" xfId="12816" xr:uid="{19C6E899-5625-4901-B0F4-76AD32E935A4}"/>
    <cellStyle name="Note 3 18 2" xfId="35205" xr:uid="{618DED45-1338-48AA-8516-84B134A8B20C}"/>
    <cellStyle name="Note 3 19" xfId="17487" xr:uid="{DAF58CBF-B92C-4AC8-B170-AB7438AD29DB}"/>
    <cellStyle name="Note 3 19 2" xfId="38734" xr:uid="{F22BDB9D-C8A3-4312-881C-ACD87A64BEEF}"/>
    <cellStyle name="Note 3 2" xfId="2972" xr:uid="{AAFF7156-9044-4A04-9A71-DEB5130FA42D}"/>
    <cellStyle name="Note 3 2 10" xfId="14873" xr:uid="{E2B0245C-5D24-4DCD-867E-85E62BB69024}"/>
    <cellStyle name="Note 3 2 10 2" xfId="36748" xr:uid="{607EF803-F553-43BB-98C4-55317BBE5FDB}"/>
    <cellStyle name="Note 3 2 11" xfId="7188" xr:uid="{73DC6CCF-E017-48FC-922D-B67DA090302A}"/>
    <cellStyle name="Note 3 2 11 2" xfId="31554" xr:uid="{B9E55074-3FD8-4C5C-B9FB-A663850DE60C}"/>
    <cellStyle name="Note 3 2 12" xfId="14663" xr:uid="{A2261BEB-D3CB-49D6-A1CB-82CDC845F127}"/>
    <cellStyle name="Note 3 2 12 2" xfId="36575" xr:uid="{7CBE6031-A718-4B78-8AE7-C99B73BD476D}"/>
    <cellStyle name="Note 3 2 13" xfId="14019" xr:uid="{7041F609-A7F7-48D6-B332-FA0A0687C3E1}"/>
    <cellStyle name="Note 3 2 13 2" xfId="36113" xr:uid="{B72F0969-0827-4648-8043-7C980195B5E7}"/>
    <cellStyle name="Note 3 2 14" xfId="15618" xr:uid="{943E92FD-6856-459F-A785-8FE0AD0A5025}"/>
    <cellStyle name="Note 3 2 14 2" xfId="37276" xr:uid="{E37B3A23-8B36-4D1B-8DD5-866FA248E74D}"/>
    <cellStyle name="Note 3 2 15" xfId="9879" xr:uid="{02179F67-2821-4969-8C95-B40C7362A7CA}"/>
    <cellStyle name="Note 3 2 15 2" xfId="33625" xr:uid="{88E63B7E-EC6D-4F80-9F1E-9EBC5FA96339}"/>
    <cellStyle name="Note 3 2 16" xfId="19729" xr:uid="{C1F465D4-9813-4A30-9C2A-41FE790DADA3}"/>
    <cellStyle name="Note 3 2 16 2" xfId="40346" xr:uid="{8FC8D043-A720-4CE5-9129-12CAB395BFD7}"/>
    <cellStyle name="Note 3 2 17" xfId="16720" xr:uid="{77500E59-FDB4-446B-BEDA-096BB17F388F}"/>
    <cellStyle name="Note 3 2 17 2" xfId="38210" xr:uid="{8FF6B43E-337E-43C5-8A65-F7EB54DD00DA}"/>
    <cellStyle name="Note 3 2 18" xfId="19619" xr:uid="{502ED210-6DE3-404B-96CB-C934774F7181}"/>
    <cellStyle name="Note 3 2 18 2" xfId="40259" xr:uid="{10DF641B-99AD-4327-98EF-3F1F9EC0E837}"/>
    <cellStyle name="Note 3 2 19" xfId="25712" xr:uid="{6CDB986A-6CA9-4394-B9CD-9FC441879CEE}"/>
    <cellStyle name="Note 3 2 19 2" xfId="44549" xr:uid="{AF8E948E-ABAF-40A6-8315-32666AA0890C}"/>
    <cellStyle name="Note 3 2 2" xfId="2973" xr:uid="{EA262EED-4D41-45D7-B81C-1A3D29C95EED}"/>
    <cellStyle name="Note 3 2 2 10" xfId="7187" xr:uid="{381C42D0-8ED2-4FA9-BCBF-63A7DE10BEBE}"/>
    <cellStyle name="Note 3 2 2 10 2" xfId="31553" xr:uid="{16E09892-3EAA-41B3-A7C8-BCA448FEFB77}"/>
    <cellStyle name="Note 3 2 2 11" xfId="15496" xr:uid="{F0A1AD6D-3EFC-4798-8A2B-58D7853FDCC5}"/>
    <cellStyle name="Note 3 2 2 11 2" xfId="37161" xr:uid="{4BD3BF59-6A90-4A4C-8D14-FA0ACF8F89D0}"/>
    <cellStyle name="Note 3 2 2 12" xfId="14003" xr:uid="{E7A3D30E-208E-48A0-BEF5-27CE7881FD36}"/>
    <cellStyle name="Note 3 2 2 12 2" xfId="36097" xr:uid="{47256206-33D4-43EA-A59C-FB6F443DEBE0}"/>
    <cellStyle name="Note 3 2 2 13" xfId="17486" xr:uid="{F8B48894-0267-4F3A-8011-6526A7C2C56A}"/>
    <cellStyle name="Note 3 2 2 13 2" xfId="38733" xr:uid="{AE5787D5-3AD5-466B-BFDB-71483067482E}"/>
    <cellStyle name="Note 3 2 2 14" xfId="22490" xr:uid="{873E2B7C-8351-4954-AFE1-FFA2C3159AF0}"/>
    <cellStyle name="Note 3 2 2 14 2" xfId="42289" xr:uid="{D961136F-860E-4887-8092-82FBCF2629A6}"/>
    <cellStyle name="Note 3 2 2 15" xfId="17947" xr:uid="{D3F911A7-7F2B-471B-9FD3-488F7A5DFA7E}"/>
    <cellStyle name="Note 3 2 2 15 2" xfId="39045" xr:uid="{2E12B34F-CE82-493A-9646-1D6C8022E6CA}"/>
    <cellStyle name="Note 3 2 2 16" xfId="16717" xr:uid="{EBA419D4-596C-4037-BEA8-0036B30A6467}"/>
    <cellStyle name="Note 3 2 2 16 2" xfId="38207" xr:uid="{D8E20CA5-BFB9-4ED6-B89B-158EEA672032}"/>
    <cellStyle name="Note 3 2 2 17" xfId="21414" xr:uid="{B4A01383-C857-4C4F-8499-25C4E85E17E7}"/>
    <cellStyle name="Note 3 2 2 17 2" xfId="41543" xr:uid="{86419436-074B-4869-BB30-0D8BBDC62B0E}"/>
    <cellStyle name="Note 3 2 2 18" xfId="22013" xr:uid="{A0C635CC-3550-4DEC-B1D9-1F4987C02790}"/>
    <cellStyle name="Note 3 2 2 18 2" xfId="41908" xr:uid="{CF641EB6-B270-4ED8-9FCC-604323361160}"/>
    <cellStyle name="Note 3 2 2 19" xfId="23514" xr:uid="{45B0CDCC-08A9-4CBB-A963-922B3C2A1ECA}"/>
    <cellStyle name="Note 3 2 2 19 2" xfId="42974" xr:uid="{48CC790A-004E-4758-8C87-5C88E0839526}"/>
    <cellStyle name="Note 3 2 2 2" xfId="2974" xr:uid="{0463CE9D-92D5-495A-8EF4-44AE0D95AD6D}"/>
    <cellStyle name="Note 3 2 2 2 10" xfId="12297" xr:uid="{C977D8A7-0B57-4121-877F-8AE427DA0668}"/>
    <cellStyle name="Note 3 2 2 2 10 2" xfId="34803" xr:uid="{EB0E99C6-DB99-4035-BA70-E509FD183A10}"/>
    <cellStyle name="Note 3 2 2 2 11" xfId="16522" xr:uid="{4311647F-751B-4864-9179-1AA152EBC22B}"/>
    <cellStyle name="Note 3 2 2 2 11 2" xfId="38015" xr:uid="{679CCF0D-3791-4481-A534-6A8DB8E0BFEC}"/>
    <cellStyle name="Note 3 2 2 2 12" xfId="13704" xr:uid="{8430BFB4-6346-4836-92D1-3722CA46724A}"/>
    <cellStyle name="Note 3 2 2 2 12 2" xfId="35860" xr:uid="{4522ECAC-93D2-48E6-89ED-59A95E050A77}"/>
    <cellStyle name="Note 3 2 2 2 13" xfId="20796" xr:uid="{149E493C-0856-4E87-904B-849A1A1AA4D2}"/>
    <cellStyle name="Note 3 2 2 2 13 2" xfId="41156" xr:uid="{6B4AADD9-A571-414F-9C59-29FD0C83B1C4}"/>
    <cellStyle name="Note 3 2 2 2 14" xfId="19728" xr:uid="{A77803DE-8B3D-4DDD-9C67-D6F19C4F4381}"/>
    <cellStyle name="Note 3 2 2 2 14 2" xfId="40345" xr:uid="{242598E4-12BD-47ED-88DC-DF6A4688A7ED}"/>
    <cellStyle name="Note 3 2 2 2 15" xfId="10117" xr:uid="{A09ED453-0563-442B-91B9-F1F3F481B3F9}"/>
    <cellStyle name="Note 3 2 2 2 15 2" xfId="33788" xr:uid="{33B270FE-D174-4847-92DD-32F1B1ADF15C}"/>
    <cellStyle name="Note 3 2 2 2 16" xfId="22519" xr:uid="{3218EED5-C974-456A-9807-EC0B1A10F33A}"/>
    <cellStyle name="Note 3 2 2 2 16 2" xfId="42318" xr:uid="{159826DD-A9A4-40A4-81B4-5E682DB1C3AB}"/>
    <cellStyle name="Note 3 2 2 2 17" xfId="12608" xr:uid="{E58F113A-6DE5-4A8F-9CD9-8303CAF2D761}"/>
    <cellStyle name="Note 3 2 2 2 17 2" xfId="35040" xr:uid="{D1344AA0-81DE-49F2-9091-BDF2CE90024B}"/>
    <cellStyle name="Note 3 2 2 2 18" xfId="20736" xr:uid="{42B7D72F-C32F-4C64-B558-E59E46AB30F4}"/>
    <cellStyle name="Note 3 2 2 2 18 2" xfId="41096" xr:uid="{149A78C8-BE20-4AAB-AD6F-641F84D745AA}"/>
    <cellStyle name="Note 3 2 2 2 19" xfId="16928" xr:uid="{246B68BD-6AA4-40E4-9D52-29368E1FA7AD}"/>
    <cellStyle name="Note 3 2 2 2 19 2" xfId="38299" xr:uid="{10F39014-FB33-40EB-BCB8-0A15F0862F74}"/>
    <cellStyle name="Note 3 2 2 2 2" xfId="8039" xr:uid="{55352E25-8D2A-44B4-BC6B-71A4BAF8F313}"/>
    <cellStyle name="Note 3 2 2 2 2 2" xfId="32284" xr:uid="{BCA9707C-F7E2-4240-8E61-ABEB219DDE5E}"/>
    <cellStyle name="Note 3 2 2 2 20" xfId="19992" xr:uid="{0F484BCF-3382-456B-890E-DACB1825FC76}"/>
    <cellStyle name="Note 3 2 2 2 20 2" xfId="40562" xr:uid="{411C3FBF-C4BD-4360-AEA5-87BE8AE886AB}"/>
    <cellStyle name="Note 3 2 2 2 21" xfId="21942" xr:uid="{3B0C6650-C50B-4830-9D3C-768B3D6401B3}"/>
    <cellStyle name="Note 3 2 2 2 21 2" xfId="41856" xr:uid="{39B84364-867E-4661-91C3-E843F76F3B49}"/>
    <cellStyle name="Note 3 2 2 2 22" xfId="25733" xr:uid="{19A621E7-307D-4493-8327-E48EF9F2386E}"/>
    <cellStyle name="Note 3 2 2 2 22 2" xfId="44570" xr:uid="{AC4EA707-70CE-43A0-9F45-63B69414AB90}"/>
    <cellStyle name="Note 3 2 2 2 23" xfId="26107" xr:uid="{CDE91E83-37A3-4C7F-97CB-222A22868286}"/>
    <cellStyle name="Note 3 2 2 2 23 2" xfId="44850" xr:uid="{11C05124-6BAA-4169-9E70-DD7794B78550}"/>
    <cellStyle name="Note 3 2 2 2 24" xfId="28645" xr:uid="{9A4C37CA-449C-4A49-8CAD-7BFB10FFD9B7}"/>
    <cellStyle name="Note 3 2 2 2 24 2" xfId="46379" xr:uid="{826CBE81-E03F-4BD7-A74A-D5CE5DC08D9E}"/>
    <cellStyle name="Note 3 2 2 2 25" xfId="29135" xr:uid="{9D7CF035-FFAD-4A76-9038-1008FB93F729}"/>
    <cellStyle name="Note 3 2 2 2 25 2" xfId="46677" xr:uid="{E402940A-1FF7-477E-A96C-90D0D2B0DD88}"/>
    <cellStyle name="Note 3 2 2 2 26" xfId="30761" xr:uid="{C266FD31-B7CC-41A4-8BDB-550DB7C91E33}"/>
    <cellStyle name="Note 3 2 2 2 26 2" xfId="47702" xr:uid="{9B22FB7F-8304-4EE9-9A97-76FCB534C2EC}"/>
    <cellStyle name="Note 3 2 2 2 27" xfId="27685" xr:uid="{6BE0E921-2010-4124-B142-1A602210BB05}"/>
    <cellStyle name="Note 3 2 2 2 27 2" xfId="45799" xr:uid="{CDABF789-372E-4148-8512-8CAA8F3C8383}"/>
    <cellStyle name="Note 3 2 2 2 28" xfId="6496" xr:uid="{80A02881-F03A-457E-91F7-9B3B0D9431F6}"/>
    <cellStyle name="Note 3 2 2 2 3" xfId="13359" xr:uid="{1B43B625-4154-4A89-8526-BC05B7959B02}"/>
    <cellStyle name="Note 3 2 2 2 3 2" xfId="35666" xr:uid="{49A41247-4701-4F52-A356-D952C4B6BBE0}"/>
    <cellStyle name="Note 3 2 2 2 4" xfId="7672" xr:uid="{A2B836B5-45D1-4D08-A529-8C27172F8BD7}"/>
    <cellStyle name="Note 3 2 2 2 4 2" xfId="31971" xr:uid="{BA4A5DDD-1DAE-4D50-A4E9-3257AECB374B}"/>
    <cellStyle name="Note 3 2 2 2 5" xfId="8825" xr:uid="{51A6EC7A-0997-47FF-B8F8-1BB4D8B51FFE}"/>
    <cellStyle name="Note 3 2 2 2 5 2" xfId="32948" xr:uid="{BB753CC1-439C-4F57-A3F2-019167411482}"/>
    <cellStyle name="Note 3 2 2 2 6" xfId="10447" xr:uid="{71A01D87-8133-4621-B6F6-FD3B383833E5}"/>
    <cellStyle name="Note 3 2 2 2 6 2" xfId="34082" xr:uid="{CAEFFE1D-D1DF-4ED4-9CD8-1163F90A4A0C}"/>
    <cellStyle name="Note 3 2 2 2 7" xfId="8481" xr:uid="{CC242632-7E5E-45D8-A448-A383B1FCE224}"/>
    <cellStyle name="Note 3 2 2 2 7 2" xfId="32668" xr:uid="{DF77D499-9A4E-4840-B2C6-AC4D42131B3F}"/>
    <cellStyle name="Note 3 2 2 2 8" xfId="14872" xr:uid="{01CFE900-7E07-4647-84F1-721F96CD0A4E}"/>
    <cellStyle name="Note 3 2 2 2 8 2" xfId="36747" xr:uid="{E4CB11D9-879F-4BD0-8F01-CC55CCD2720F}"/>
    <cellStyle name="Note 3 2 2 2 9" xfId="7186" xr:uid="{FD93E320-155A-48D6-ADF0-604E2D4AAF98}"/>
    <cellStyle name="Note 3 2 2 2 9 2" xfId="31552" xr:uid="{F13F43D7-3117-44CF-B724-D83B54BB481D}"/>
    <cellStyle name="Note 3 2 2 20" xfId="22871" xr:uid="{736F25A1-0BAF-4EF4-8AF6-A04C72C23CB6}"/>
    <cellStyle name="Note 3 2 2 20 2" xfId="42589" xr:uid="{80289933-3B30-44CB-814E-61052D8A58FA}"/>
    <cellStyle name="Note 3 2 2 21" xfId="22507" xr:uid="{D2D24EE6-B488-4372-8ED8-DC667FCECA73}"/>
    <cellStyle name="Note 3 2 2 21 2" xfId="42306" xr:uid="{A1FB68AA-98F7-4E32-BB11-3F0AF35D51E4}"/>
    <cellStyle name="Note 3 2 2 22" xfId="24520" xr:uid="{77CBF9D2-D8C2-4374-BBCD-BE072A515F4D}"/>
    <cellStyle name="Note 3 2 2 22 2" xfId="43703" xr:uid="{2B7B7086-EF84-4054-B7B3-91157C9165C4}"/>
    <cellStyle name="Note 3 2 2 23" xfId="28953" xr:uid="{4B4E515B-F926-4A52-98A7-7A6B28D71047}"/>
    <cellStyle name="Note 3 2 2 23 2" xfId="46549" xr:uid="{DFD3E801-03CF-42A2-850C-E0F352D8EB6E}"/>
    <cellStyle name="Note 3 2 2 24" xfId="29389" xr:uid="{A3F84E50-14B1-495F-B29D-FF6C58FEE4E6}"/>
    <cellStyle name="Note 3 2 2 24 2" xfId="46856" xr:uid="{B6CFE3F9-ED7C-43A9-996A-C211F5A213A8}"/>
    <cellStyle name="Note 3 2 2 25" xfId="28655" xr:uid="{94E9E059-5BEC-46E4-89C7-3912E263D6F6}"/>
    <cellStyle name="Note 3 2 2 25 2" xfId="46389" xr:uid="{2BBE6073-C584-4330-BA5E-CAE09A450210}"/>
    <cellStyle name="Note 3 2 2 26" xfId="27657" xr:uid="{B148A40C-AA0F-4A29-AFB1-B6139442DD28}"/>
    <cellStyle name="Note 3 2 2 26 2" xfId="45781" xr:uid="{418F934F-4616-484F-96D4-7CEEB20565C0}"/>
    <cellStyle name="Note 3 2 2 27" xfId="20428" xr:uid="{A66F612F-9D52-4590-85E0-2F96B4A148CF}"/>
    <cellStyle name="Note 3 2 2 27 2" xfId="40830" xr:uid="{5ECEB6FC-27AF-429A-937E-617CE5D7B658}"/>
    <cellStyle name="Note 3 2 2 28" xfId="26477" xr:uid="{E8E329B7-1A1B-4CBA-99A5-1F84A4B8ABC9}"/>
    <cellStyle name="Note 3 2 2 28 2" xfId="45100" xr:uid="{B0E14F29-CA12-461B-BA67-8C0F0472168C}"/>
    <cellStyle name="Note 3 2 2 29" xfId="6495" xr:uid="{C706A98E-441D-4E82-B3BB-220C95EC2BFE}"/>
    <cellStyle name="Note 3 2 2 3" xfId="8040" xr:uid="{1C81DE21-CE3F-421A-BFB9-D553634FEF26}"/>
    <cellStyle name="Note 3 2 2 3 2" xfId="32285" xr:uid="{F365FF4E-ED3B-4949-8787-2BB880C37ED6}"/>
    <cellStyle name="Note 3 2 2 4" xfId="9355" xr:uid="{2DEDACA5-D306-4F7D-812D-D4A4277E9F60}"/>
    <cellStyle name="Note 3 2 2 4 2" xfId="33338" xr:uid="{FA966F10-D2D0-4E04-8D04-9430711540BD}"/>
    <cellStyle name="Note 3 2 2 5" xfId="12079" xr:uid="{2267B379-14B2-4025-B412-1B1547CBCA6C}"/>
    <cellStyle name="Note 3 2 2 5 2" xfId="34637" xr:uid="{A16F667B-00F9-4F92-A903-FD20993F1CCC}"/>
    <cellStyle name="Note 3 2 2 6" xfId="15942" xr:uid="{7B11E202-34BB-4535-B720-AC0720C91AC3}"/>
    <cellStyle name="Note 3 2 2 6 2" xfId="37533" xr:uid="{BEC165A9-85CB-4ECF-9088-8D0184A6EA16}"/>
    <cellStyle name="Note 3 2 2 7" xfId="13021" xr:uid="{8E0EFDEF-6AA5-4629-8293-5269E25B74BA}"/>
    <cellStyle name="Note 3 2 2 7 2" xfId="35369" xr:uid="{E429F21F-7CF8-46D5-A4B7-772AE0028490}"/>
    <cellStyle name="Note 3 2 2 8" xfId="8482" xr:uid="{E7E2F18D-5F24-4638-AEA8-656F5321A8BD}"/>
    <cellStyle name="Note 3 2 2 8 2" xfId="32669" xr:uid="{C548B106-962C-4DE3-A3B8-E25DBCDCFB8D}"/>
    <cellStyle name="Note 3 2 2 9" xfId="10568" xr:uid="{A8EF462C-222F-489F-807E-7D2FA2BECD93}"/>
    <cellStyle name="Note 3 2 2 9 2" xfId="34194" xr:uid="{B986325D-17F0-472D-B5C8-4280868B21C3}"/>
    <cellStyle name="Note 3 2 20" xfId="15346" xr:uid="{D48E229F-D84E-4DB6-A57B-8DA6A1545B95}"/>
    <cellStyle name="Note 3 2 20 2" xfId="37046" xr:uid="{E56EBFB4-975B-42FB-8601-2E8D8716605F}"/>
    <cellStyle name="Note 3 2 21" xfId="24727" xr:uid="{7BEBEBF1-005A-4A1D-91AE-D22FC1457FD3}"/>
    <cellStyle name="Note 3 2 21 2" xfId="43872" xr:uid="{147B6E6D-001C-41E4-B6E0-3A0628BA5D21}"/>
    <cellStyle name="Note 3 2 22" xfId="24957" xr:uid="{FFDFDE7C-9F7A-410F-B481-16E46DEF54D1}"/>
    <cellStyle name="Note 3 2 22 2" xfId="44039" xr:uid="{67263361-6B52-4E88-91E5-3D4AED047477}"/>
    <cellStyle name="Note 3 2 23" xfId="25340" xr:uid="{15A1C835-57F9-44E7-B0EF-CEFA62A1EB65}"/>
    <cellStyle name="Note 3 2 23 2" xfId="44256" xr:uid="{E28742EB-789B-4443-B981-C170D4197644}"/>
    <cellStyle name="Note 3 2 24" xfId="25897" xr:uid="{749E6FA2-612B-4FE4-B9B4-6CCB8875FCE6}"/>
    <cellStyle name="Note 3 2 24 2" xfId="44702" xr:uid="{CCB0FE25-F0EC-4109-AD55-54A99012AB90}"/>
    <cellStyle name="Note 3 2 25" xfId="28604" xr:uid="{63D2714B-9F70-455E-8A75-8870A703905B}"/>
    <cellStyle name="Note 3 2 25 2" xfId="46338" xr:uid="{F12D055E-92A0-49DA-924B-38907A4B7D3E}"/>
    <cellStyle name="Note 3 2 26" xfId="28643" xr:uid="{561A4126-D9D8-4F68-A69F-F10D62C420EA}"/>
    <cellStyle name="Note 3 2 26 2" xfId="46377" xr:uid="{A34729AD-7EC2-438A-9D02-C296077D8E84}"/>
    <cellStyle name="Note 3 2 27" xfId="23689" xr:uid="{1A33FE9C-D7EF-4A24-9A65-FFD7C133E5A4}"/>
    <cellStyle name="Note 3 2 27 2" xfId="43109" xr:uid="{994FE4B4-814B-4BB1-BBB6-17EC296D447E}"/>
    <cellStyle name="Note 3 2 28" xfId="30760" xr:uid="{9142A9E2-DD0B-4F5A-9623-A6911211C895}"/>
    <cellStyle name="Note 3 2 28 2" xfId="47701" xr:uid="{DEE869AF-9CC2-4789-9E9C-1DF0E1FF20D7}"/>
    <cellStyle name="Note 3 2 29" xfId="26965" xr:uid="{72FC4F84-F614-405A-9976-F7B831C1F53B}"/>
    <cellStyle name="Note 3 2 29 2" xfId="45372" xr:uid="{230F2850-FBF2-46A5-B49B-8BB9C65A6723}"/>
    <cellStyle name="Note 3 2 3" xfId="2975" xr:uid="{5E47D717-9951-4BC3-AF35-4439BE929253}"/>
    <cellStyle name="Note 3 2 3 10" xfId="12762" xr:uid="{FCC924AE-6E60-49C1-BAE2-BBDD2E313D35}"/>
    <cellStyle name="Note 3 2 3 10 2" xfId="35171" xr:uid="{3BC996F5-3EB8-434D-BBA3-794CDB461793}"/>
    <cellStyle name="Note 3 2 3 11" xfId="12544" xr:uid="{FA297A3A-9561-4FF8-A549-CB47CB3ED429}"/>
    <cellStyle name="Note 3 2 3 11 2" xfId="34988" xr:uid="{A1C1A316-7783-482F-B5CB-3EE82F3F00C5}"/>
    <cellStyle name="Note 3 2 3 12" xfId="17485" xr:uid="{7D78CB92-2728-451B-8C54-79257BD2FF82}"/>
    <cellStyle name="Note 3 2 3 12 2" xfId="38732" xr:uid="{9391C1CD-D120-415D-B089-A2B02F817361}"/>
    <cellStyle name="Note 3 2 3 13" xfId="9880" xr:uid="{1778C097-500D-4597-9588-9F40B3449CE7}"/>
    <cellStyle name="Note 3 2 3 13 2" xfId="33626" xr:uid="{743FD6A9-F55C-4BAC-8C6E-21EE899E64C5}"/>
    <cellStyle name="Note 3 2 3 14" xfId="12877" xr:uid="{676571A1-0877-47F5-8D2C-E0CDA1DD6534}"/>
    <cellStyle name="Note 3 2 3 14 2" xfId="35237" xr:uid="{742896E3-5331-4175-A08A-50BF885864F7}"/>
    <cellStyle name="Note 3 2 3 15" xfId="13330" xr:uid="{59524305-9AC6-4B7B-81DE-421F15845747}"/>
    <cellStyle name="Note 3 2 3 15 2" xfId="35640" xr:uid="{AA092998-FCB5-48AC-A8B6-CFACF3228B6D}"/>
    <cellStyle name="Note 3 2 3 16" xfId="20893" xr:uid="{1182FCE2-8475-4DC2-89B0-D51A1EE6B8B9}"/>
    <cellStyle name="Note 3 2 3 16 2" xfId="41201" xr:uid="{9622E78C-64C2-4E72-AA42-DBAD1EA87A9E}"/>
    <cellStyle name="Note 3 2 3 17" xfId="25910" xr:uid="{EB0E5C61-8C0B-447C-A84B-FCB8DA40E462}"/>
    <cellStyle name="Note 3 2 3 17 2" xfId="44714" xr:uid="{0F9BC550-D273-4F55-9B64-FAAFA9853F03}"/>
    <cellStyle name="Note 3 2 3 18" xfId="25263" xr:uid="{D24AA880-549B-40A4-BFAE-202D6013ACB5}"/>
    <cellStyle name="Note 3 2 3 18 2" xfId="44184" xr:uid="{D2B09B6D-DCCE-4801-BDEE-2A2FC2D3A433}"/>
    <cellStyle name="Note 3 2 3 19" xfId="24725" xr:uid="{D966D14D-4452-44BB-892E-60646820E83F}"/>
    <cellStyle name="Note 3 2 3 19 2" xfId="43870" xr:uid="{1E7D28C4-C197-4135-8705-DEC3B7D7B34A}"/>
    <cellStyle name="Note 3 2 3 2" xfId="8038" xr:uid="{D6E4D327-9683-4479-A352-559881828A61}"/>
    <cellStyle name="Note 3 2 3 2 2" xfId="32283" xr:uid="{F82FD450-05CA-49C5-81B8-15C1FC3348B6}"/>
    <cellStyle name="Note 3 2 3 20" xfId="22715" xr:uid="{8D4E53ED-EC48-4CC6-8E92-34E9836FF84C}"/>
    <cellStyle name="Note 3 2 3 20 2" xfId="42474" xr:uid="{3CAC69EF-8BD3-4411-A857-58F1331AEB19}"/>
    <cellStyle name="Note 3 2 3 21" xfId="26374" xr:uid="{30A674A8-9053-4A02-85C1-058E856336C7}"/>
    <cellStyle name="Note 3 2 3 21 2" xfId="45053" xr:uid="{30C65819-51CA-4509-B5AD-D9389C4346BC}"/>
    <cellStyle name="Note 3 2 3 22" xfId="20563" xr:uid="{1D9AB82C-EDC3-4CC9-8D06-7C86310F8E61}"/>
    <cellStyle name="Note 3 2 3 22 2" xfId="40943" xr:uid="{41045940-9C88-4499-82C8-B56587D6627C}"/>
    <cellStyle name="Note 3 2 3 23" xfId="28603" xr:uid="{2EBAFA9B-D3A0-4CD8-963F-5102083A099F}"/>
    <cellStyle name="Note 3 2 3 23 2" xfId="46337" xr:uid="{BEC14190-FF99-4525-941D-2C85B932C976}"/>
    <cellStyle name="Note 3 2 3 24" xfId="23875" xr:uid="{00B8DEF2-0F1B-47FA-B84E-3C0D87B801F5}"/>
    <cellStyle name="Note 3 2 3 24 2" xfId="43254" xr:uid="{770B0626-28AA-45DA-9074-775B980CC6E9}"/>
    <cellStyle name="Note 3 2 3 25" xfId="27903" xr:uid="{00942DA5-FD89-42B0-84BA-43E983550D7F}"/>
    <cellStyle name="Note 3 2 3 25 2" xfId="45975" xr:uid="{A94B0D93-29B1-4651-A3D0-39CD0F452D91}"/>
    <cellStyle name="Note 3 2 3 26" xfId="28686" xr:uid="{45EF4F36-E4B9-4B7E-B008-E9E8A3A34271}"/>
    <cellStyle name="Note 3 2 3 26 2" xfId="46420" xr:uid="{947D173D-16B8-4A53-833C-2902850BFF8C}"/>
    <cellStyle name="Note 3 2 3 27" xfId="26899" xr:uid="{B8F397F5-9CB4-47F6-93AB-25EE7F60CC71}"/>
    <cellStyle name="Note 3 2 3 27 2" xfId="45322" xr:uid="{DF5E9FFC-D46A-42EA-B804-E84C91F6FF57}"/>
    <cellStyle name="Note 3 2 3 28" xfId="6497" xr:uid="{AFD79A32-1F02-4A42-9831-43FF7CFD9A63}"/>
    <cellStyle name="Note 3 2 3 3" xfId="9356" xr:uid="{B4DB4A46-0EC5-4339-85E1-3E52E164F6CC}"/>
    <cellStyle name="Note 3 2 3 3 2" xfId="33339" xr:uid="{91324BB1-56A9-448E-A5CC-3BBA34859031}"/>
    <cellStyle name="Note 3 2 3 4" xfId="12078" xr:uid="{DD924036-6A5B-404D-BF0B-F14972A41A4C}"/>
    <cellStyle name="Note 3 2 3 4 2" xfId="34636" xr:uid="{F36DF57D-C417-4976-B383-F79D42C7BBC4}"/>
    <cellStyle name="Note 3 2 3 5" xfId="8791" xr:uid="{02731478-636C-4FCB-8AE3-3BB55C995E6E}"/>
    <cellStyle name="Note 3 2 3 5 2" xfId="32914" xr:uid="{5A9EEA46-DA32-4205-91FB-82E05C736B68}"/>
    <cellStyle name="Note 3 2 3 6" xfId="13020" xr:uid="{5B26DC8C-BDC5-478E-B18A-BA1FB2E13371}"/>
    <cellStyle name="Note 3 2 3 6 2" xfId="35368" xr:uid="{DAE11209-F93B-4AB0-83EA-79053B414995}"/>
    <cellStyle name="Note 3 2 3 7" xfId="8480" xr:uid="{75ECED31-A103-419D-880B-50571FBD514D}"/>
    <cellStyle name="Note 3 2 3 7 2" xfId="32667" xr:uid="{B1C6B9A8-AADE-44DB-ADF7-E8568A884E0D}"/>
    <cellStyle name="Note 3 2 3 8" xfId="14871" xr:uid="{052E0AB1-9014-4FFF-82FB-99D2A105E262}"/>
    <cellStyle name="Note 3 2 3 8 2" xfId="36746" xr:uid="{450A34CD-1C61-4A78-BCB8-A0434E70200F}"/>
    <cellStyle name="Note 3 2 3 9" xfId="7185" xr:uid="{C441C055-E2C0-4FAF-9A8B-6A9B07FBEE66}"/>
    <cellStyle name="Note 3 2 3 9 2" xfId="31551" xr:uid="{7CA6B096-B085-4349-9812-A8C73809472E}"/>
    <cellStyle name="Note 3 2 30" xfId="6494" xr:uid="{EC54BF05-0CBB-4F31-8F08-3BD673966891}"/>
    <cellStyle name="Note 3 2 4" xfId="8041" xr:uid="{ED560593-4A7E-45C2-9B63-EFE97B25CDB1}"/>
    <cellStyle name="Note 3 2 4 2" xfId="32286" xr:uid="{B2B0ABDD-A723-4623-82CE-5E12A9A8DE0F}"/>
    <cellStyle name="Note 3 2 5" xfId="9354" xr:uid="{597ACF8A-4999-45F8-85A1-8A5DD05E89F9}"/>
    <cellStyle name="Note 3 2 5 2" xfId="33337" xr:uid="{C52E5B3B-236A-498F-B78C-1FDC8A840C49}"/>
    <cellStyle name="Note 3 2 6" xfId="7673" xr:uid="{17A6D960-1189-476A-966E-D3AECD37859D}"/>
    <cellStyle name="Note 3 2 6 2" xfId="31972" xr:uid="{6BD39F4A-8780-470B-98F5-794D2579628D}"/>
    <cellStyle name="Note 3 2 7" xfId="8792" xr:uid="{9FF7CC0A-AB2A-4A8C-94D4-C87946D07423}"/>
    <cellStyle name="Note 3 2 7 2" xfId="32915" xr:uid="{33800C65-0833-471D-B9DA-9855D8B3AA7F}"/>
    <cellStyle name="Note 3 2 8" xfId="10446" xr:uid="{DC409823-25C5-44B4-91C5-7FD47B62FD94}"/>
    <cellStyle name="Note 3 2 8 2" xfId="34081" xr:uid="{4BD896F7-F724-42A3-A61D-9CEE512DD5C5}"/>
    <cellStyle name="Note 3 2 9" xfId="8483" xr:uid="{4833B5E0-FE7A-4308-BC5B-321D49ADBFE8}"/>
    <cellStyle name="Note 3 2 9 2" xfId="32670" xr:uid="{900EB90D-4779-474C-95B8-9F9A1978BFCB}"/>
    <cellStyle name="Note 3 2_Sheet2" xfId="2976" xr:uid="{3162F873-E0BD-464C-8341-3DE0F91AA712}"/>
    <cellStyle name="Note 3 20" xfId="22491" xr:uid="{951C41E5-E14F-42FF-84CC-6A1B1BA1AF56}"/>
    <cellStyle name="Note 3 20 2" xfId="42290" xr:uid="{CCF46A8E-DF6D-467D-81CF-494299EC5563}"/>
    <cellStyle name="Note 3 21" xfId="19712" xr:uid="{CAE2EBA4-D32D-47C6-941A-CD02BE72C024}"/>
    <cellStyle name="Note 3 21 2" xfId="40329" xr:uid="{3A8EE02E-818E-4466-8D97-0EFD6576F00A}"/>
    <cellStyle name="Note 3 22" xfId="13331" xr:uid="{37381333-697F-42D7-9880-879127A8B80A}"/>
    <cellStyle name="Note 3 22 2" xfId="35641" xr:uid="{F455A82E-DAEC-4A08-ACAC-63B4E0A02035}"/>
    <cellStyle name="Note 3 23" xfId="21415" xr:uid="{2FD9D597-5E90-4D32-B6B3-7FA6C51DCCAE}"/>
    <cellStyle name="Note 3 23 2" xfId="41544" xr:uid="{AC578F0B-DC0F-4DAC-8C58-A6460C4E96C0}"/>
    <cellStyle name="Note 3 24" xfId="23553" xr:uid="{B990F160-88E0-4FCD-8800-D438CAE202AF}"/>
    <cellStyle name="Note 3 24 2" xfId="42993" xr:uid="{B8D37D2D-98F1-4ABD-869E-B40E1F75E69D}"/>
    <cellStyle name="Note 3 25" xfId="18983" xr:uid="{62855F40-2CD1-430E-91B0-6100F83EFCBF}"/>
    <cellStyle name="Note 3 25 2" xfId="39815" xr:uid="{65A42987-FE90-44A1-A255-7097C2155F73}"/>
    <cellStyle name="Note 3 26" xfId="22336" xr:uid="{ABD97C90-F6BE-46E6-975B-170CB3DDC5F8}"/>
    <cellStyle name="Note 3 26 2" xfId="42191" xr:uid="{8FA598FA-A310-4FDC-81F5-6AF88D41E990}"/>
    <cellStyle name="Note 3 27" xfId="18080" xr:uid="{2088589D-2B2C-46B8-B890-214B8804D9BF}"/>
    <cellStyle name="Note 3 27 2" xfId="39154" xr:uid="{8DA7B166-BECB-4676-BC19-D7053096676D}"/>
    <cellStyle name="Note 3 28" xfId="16937" xr:uid="{5BDC63BF-C662-41B8-80A4-2E473414E35E}"/>
    <cellStyle name="Note 3 28 2" xfId="38308" xr:uid="{3BAF4F34-CEC2-4E6E-83AB-204C87F52A1B}"/>
    <cellStyle name="Note 3 29" xfId="29435" xr:uid="{B936FE17-95A0-4381-94ED-6009831200D7}"/>
    <cellStyle name="Note 3 29 2" xfId="46896" xr:uid="{41AEABE8-0C79-4927-A99E-71A4C9B00FAD}"/>
    <cellStyle name="Note 3 3" xfId="2977" xr:uid="{A2EDE571-C8FA-4657-B65A-BA8155615352}"/>
    <cellStyle name="Note 3 3 10" xfId="7184" xr:uid="{F4DACB0A-3894-4DDC-91A6-41FFDFF5CAEC}"/>
    <cellStyle name="Note 3 3 10 2" xfId="31550" xr:uid="{5D20DFBB-52AD-4E20-B892-016CD380E6C1}"/>
    <cellStyle name="Note 3 3 11" xfId="15497" xr:uid="{6317318B-1EB9-4128-B2B1-FEDC69693245}"/>
    <cellStyle name="Note 3 3 11 2" xfId="37162" xr:uid="{C63CABE7-E3CA-4EB8-A613-01597951D0AE}"/>
    <cellStyle name="Note 3 3 12" xfId="16520" xr:uid="{7BC7C6C1-CED3-44E9-8D8D-2CF25484DD60}"/>
    <cellStyle name="Note 3 3 12 2" xfId="38013" xr:uid="{30608718-5F2C-4C67-A4E7-F3E03745104D}"/>
    <cellStyle name="Note 3 3 13" xfId="17484" xr:uid="{A6A78DBE-CED2-45C6-A4FB-9030707BD0E2}"/>
    <cellStyle name="Note 3 3 13 2" xfId="38731" xr:uid="{DD6D5413-AC6C-4933-B82B-C58201DE9A0F}"/>
    <cellStyle name="Note 3 3 14" xfId="22488" xr:uid="{864F60DE-4AE4-48A8-BFE3-90A1E50D7840}"/>
    <cellStyle name="Note 3 3 14 2" xfId="42287" xr:uid="{417B7E1F-0B36-4690-9ECD-599D205BFDD6}"/>
    <cellStyle name="Note 3 3 15" xfId="19727" xr:uid="{B99163C1-3FDA-4952-8018-DC458A1BBC0A}"/>
    <cellStyle name="Note 3 3 15 2" xfId="40344" xr:uid="{B480FC09-195B-4307-AE12-232BCA71A840}"/>
    <cellStyle name="Note 3 3 16" xfId="20043" xr:uid="{94C877FD-EBBE-47C8-8E41-F6E2FE9A9CC2}"/>
    <cellStyle name="Note 3 3 16 2" xfId="40608" xr:uid="{E490DD4F-B172-4AB9-AD23-93BA87582B2F}"/>
    <cellStyle name="Note 3 3 17" xfId="12880" xr:uid="{72F5D77D-775E-4722-97A6-FAE5B8CEA3FD}"/>
    <cellStyle name="Note 3 3 17 2" xfId="35240" xr:uid="{DEBDBB73-0A71-48F0-AB27-98D635B4DBC9}"/>
    <cellStyle name="Note 3 3 18" xfId="24107" xr:uid="{6485C937-D33F-4F21-A1BD-F0A93B02718D}"/>
    <cellStyle name="Note 3 3 18 2" xfId="43483" xr:uid="{08ADAFF1-3672-4E19-98AD-DAADE28E4837}"/>
    <cellStyle name="Note 3 3 19" xfId="22782" xr:uid="{32873ADD-86C4-47A7-B938-C9528758DCB3}"/>
    <cellStyle name="Note 3 3 19 2" xfId="42535" xr:uid="{DFE40C2F-8F7A-47D2-B0B5-ECF87234F0A9}"/>
    <cellStyle name="Note 3 3 2" xfId="2978" xr:uid="{D0CABA2D-6B4C-4E07-9BDE-7276191EBC99}"/>
    <cellStyle name="Note 3 3 2 10" xfId="16012" xr:uid="{092EC59A-81CB-4763-BC23-14E89A5EFC66}"/>
    <cellStyle name="Note 3 3 2 10 2" xfId="37595" xr:uid="{1DB25A55-EFDC-439D-8D3B-91396FAD11DC}"/>
    <cellStyle name="Note 3 3 2 11" xfId="12545" xr:uid="{4B43699A-F815-4DE4-A3CD-89A8D892033D}"/>
    <cellStyle name="Note 3 3 2 11 2" xfId="34989" xr:uid="{96CD6015-8EC9-43AB-86B2-9656FDFD8EF9}"/>
    <cellStyle name="Note 3 3 2 12" xfId="14453" xr:uid="{A4DB024E-8249-4020-9BDB-A0809D15D969}"/>
    <cellStyle name="Note 3 3 2 12 2" xfId="36442" xr:uid="{580F9E75-F4DA-4D74-8959-5C3E0A72E187}"/>
    <cellStyle name="Note 3 3 2 13" xfId="9881" xr:uid="{338AD3F8-59DC-4238-BC6F-1A36B2B803A0}"/>
    <cellStyle name="Note 3 3 2 13 2" xfId="33627" xr:uid="{13222C3E-14F3-49D1-A3DD-66BFF0F8673A}"/>
    <cellStyle name="Note 3 3 2 14" xfId="13912" xr:uid="{522F496D-A24D-4251-A79A-863A214DA20E}"/>
    <cellStyle name="Note 3 3 2 14 2" xfId="36024" xr:uid="{27A3130E-5956-4E25-BE5F-E67DFD0FD714}"/>
    <cellStyle name="Note 3 3 2 15" xfId="16722" xr:uid="{8CE94F09-3BE7-409F-9A9B-0B26C8139189}"/>
    <cellStyle name="Note 3 3 2 15 2" xfId="38211" xr:uid="{DFBFF373-A50B-4B94-A655-6F2BA6506DE8}"/>
    <cellStyle name="Note 3 3 2 16" xfId="21413" xr:uid="{BCB27826-82C7-4FD3-8E62-7FE73AB1C77A}"/>
    <cellStyle name="Note 3 3 2 16 2" xfId="41542" xr:uid="{D9B04E88-4362-4F4C-A80E-DA6A1CFB2B70}"/>
    <cellStyle name="Note 3 3 2 17" xfId="24120" xr:uid="{4F86535B-D499-4A86-BD09-A3CFD143E29E}"/>
    <cellStyle name="Note 3 3 2 17 2" xfId="43496" xr:uid="{F820C26E-A4DA-4C7C-9CF4-58E8FC89AB8A}"/>
    <cellStyle name="Note 3 3 2 18" xfId="25264" xr:uid="{5E242306-9E4C-43A4-B1D3-7FBFE0F69C94}"/>
    <cellStyle name="Note 3 3 2 18 2" xfId="44185" xr:uid="{1B12E714-B97E-4CDE-A437-A41405EAE9F7}"/>
    <cellStyle name="Note 3 3 2 19" xfId="25742" xr:uid="{66481BE4-5323-49DD-8B6A-9E81DF2F5C8F}"/>
    <cellStyle name="Note 3 3 2 19 2" xfId="44579" xr:uid="{CE32E7DE-078B-472D-A8F0-F28715AC8B94}"/>
    <cellStyle name="Note 3 3 2 2" xfId="8036" xr:uid="{902B811D-7868-4516-976C-8F607A048413}"/>
    <cellStyle name="Note 3 3 2 2 2" xfId="32281" xr:uid="{2C2326FB-240A-4894-9BE0-0C908C9A9EF3}"/>
    <cellStyle name="Note 3 3 2 20" xfId="18079" xr:uid="{893C8B77-A1EC-47AD-B9AA-E9D98E91C2BA}"/>
    <cellStyle name="Note 3 3 2 20 2" xfId="39153" xr:uid="{6735C760-63F6-47FE-8E3B-6F8364F702B6}"/>
    <cellStyle name="Note 3 3 2 21" xfId="25799" xr:uid="{E362DBFD-193D-43C3-977F-D0998A30175D}"/>
    <cellStyle name="Note 3 3 2 21 2" xfId="44627" xr:uid="{E4068917-40D1-49A8-9179-439F95569FCA}"/>
    <cellStyle name="Note 3 3 2 22" xfId="25898" xr:uid="{A0FCCB8D-8202-42FC-ADB4-F425DA4DCE86}"/>
    <cellStyle name="Note 3 3 2 22 2" xfId="44703" xr:uid="{A5B12086-A083-472E-A06F-5DCA1D318767}"/>
    <cellStyle name="Note 3 3 2 23" xfId="25083" xr:uid="{3EDB6DDA-00FE-4964-8194-037339284E64}"/>
    <cellStyle name="Note 3 3 2 23 2" xfId="44089" xr:uid="{0BDB9993-AF09-4277-84DF-49AFE6E64E3A}"/>
    <cellStyle name="Note 3 3 2 24" xfId="22224" xr:uid="{2E22708F-4786-4634-8F89-5978DE6DD221}"/>
    <cellStyle name="Note 3 3 2 24 2" xfId="42103" xr:uid="{8CEA5740-5F0C-4B3C-B729-5DB6FA987616}"/>
    <cellStyle name="Note 3 3 2 25" xfId="24324" xr:uid="{22FF5999-8DF7-4C38-BF00-E00DE0738776}"/>
    <cellStyle name="Note 3 3 2 25 2" xfId="43589" xr:uid="{208C8ED3-60A3-499D-A1A8-CB717A855C36}"/>
    <cellStyle name="Note 3 3 2 26" xfId="23041" xr:uid="{93A26E76-4239-407F-B046-DDD9A93B2113}"/>
    <cellStyle name="Note 3 3 2 26 2" xfId="42675" xr:uid="{37190088-8A4E-41F8-9E89-8F07E5E320AE}"/>
    <cellStyle name="Note 3 3 2 27" xfId="29596" xr:uid="{95EA7DDC-6B77-467D-911B-E1801F5E1003}"/>
    <cellStyle name="Note 3 3 2 27 2" xfId="46991" xr:uid="{A0BB309A-E1E9-4EC5-AFA6-4F765F64578E}"/>
    <cellStyle name="Note 3 3 2 28" xfId="6499" xr:uid="{B1BE50F4-C0B0-4AFB-988C-7CA69A0F234B}"/>
    <cellStyle name="Note 3 3 2 3" xfId="12892" xr:uid="{CF3F9984-3023-4320-8DD1-9580EBD9F92C}"/>
    <cellStyle name="Note 3 3 2 3 2" xfId="35248" xr:uid="{7664AC13-BBAA-4A43-A7D4-D32B2A6948F2}"/>
    <cellStyle name="Note 3 3 2 4" xfId="7671" xr:uid="{935901EB-6390-4BE9-882D-54A1F43D180F}"/>
    <cellStyle name="Note 3 3 2 4 2" xfId="31970" xr:uid="{77B7A852-D069-4F99-B2DE-A7EBEC8CDA20}"/>
    <cellStyle name="Note 3 3 2 5" xfId="8790" xr:uid="{36ACECCD-3F34-4A9A-826F-AB7A23E68CF6}"/>
    <cellStyle name="Note 3 3 2 5 2" xfId="32913" xr:uid="{61BD53C5-31D9-425F-926A-19C30D85D7BF}"/>
    <cellStyle name="Note 3 3 2 6" xfId="10448" xr:uid="{0744F693-6094-4D1D-85DE-778BCD2B2914}"/>
    <cellStyle name="Note 3 3 2 6 2" xfId="34083" xr:uid="{4D544E4C-4E7C-466C-8AA5-78D87E7A42CE}"/>
    <cellStyle name="Note 3 3 2 7" xfId="8478" xr:uid="{58AC9DA5-8B06-4743-9A3A-E5FE22FAFFE5}"/>
    <cellStyle name="Note 3 3 2 7 2" xfId="32665" xr:uid="{02D013A7-D541-4287-8B35-37CD54A33D89}"/>
    <cellStyle name="Note 3 3 2 8" xfId="10569" xr:uid="{403DE656-607E-45DC-899E-E9D1849E9A67}"/>
    <cellStyle name="Note 3 3 2 8 2" xfId="34195" xr:uid="{EC229A1F-6499-4D7C-B01D-017CADBAE44A}"/>
    <cellStyle name="Note 3 3 2 9" xfId="11621" xr:uid="{3501B457-A2BA-4A07-B898-8E49CFD17742}"/>
    <cellStyle name="Note 3 3 2 9 2" xfId="34234" xr:uid="{91483C14-77D1-4E1C-AD83-362182846174}"/>
    <cellStyle name="Note 3 3 20" xfId="24724" xr:uid="{6104B02D-35F8-4DAF-AA9A-09B09BB86380}"/>
    <cellStyle name="Note 3 3 20 2" xfId="43869" xr:uid="{B35B00CF-19EB-47DF-83B6-FBB656BD9B82}"/>
    <cellStyle name="Note 3 3 21" xfId="15756" xr:uid="{2B2FA041-F303-4B20-B919-341A91C4EE95}"/>
    <cellStyle name="Note 3 3 21 2" xfId="37381" xr:uid="{E997CF88-8506-4937-BFBB-934E055BCAFC}"/>
    <cellStyle name="Note 3 3 22" xfId="25341" xr:uid="{B298DFD7-94BD-475B-8EE1-EA199264E79D}"/>
    <cellStyle name="Note 3 3 22 2" xfId="44257" xr:uid="{C682D64D-6DBF-40F9-8E5E-83F6CA589FF4}"/>
    <cellStyle name="Note 3 3 23" xfId="28952" xr:uid="{45F1ED31-2EB5-4E99-819D-F7ABEF9C9303}"/>
    <cellStyle name="Note 3 3 23 2" xfId="46548" xr:uid="{871F1D16-7AE7-4D72-A849-73B05C27DB4D}"/>
    <cellStyle name="Note 3 3 24" xfId="25209" xr:uid="{5E756152-7232-41DB-AB87-85319FCF5BDB}"/>
    <cellStyle name="Note 3 3 24 2" xfId="44148" xr:uid="{5E5F1A43-9A4F-4A1F-A5F8-1886D4627453}"/>
    <cellStyle name="Note 3 3 25" xfId="24981" xr:uid="{31FD6013-D7AB-4CDB-9B20-C4E50E5AC00F}"/>
    <cellStyle name="Note 3 3 25 2" xfId="44050" xr:uid="{986E7A2F-5033-4C5F-9961-504A495B2E58}"/>
    <cellStyle name="Note 3 3 26" xfId="27902" xr:uid="{FFD143EC-0BE1-4956-AB8C-78D24FA2DD2F}"/>
    <cellStyle name="Note 3 3 26 2" xfId="45974" xr:uid="{6CC28D30-2AE5-4F16-A942-E7DAFAE4CA0A}"/>
    <cellStyle name="Note 3 3 27" xfId="30759" xr:uid="{81BC3A72-A5B1-40AD-8E59-052611C4582B}"/>
    <cellStyle name="Note 3 3 27 2" xfId="47700" xr:uid="{22D1B14D-5F9E-4EC3-B924-94E0B11F1A20}"/>
    <cellStyle name="Note 3 3 28" xfId="29206" xr:uid="{2AA5ED4B-6837-4F20-AB40-E2F5CFC89D77}"/>
    <cellStyle name="Note 3 3 28 2" xfId="46732" xr:uid="{7612917D-4A54-4B3F-B175-BEA4CFABD269}"/>
    <cellStyle name="Note 3 3 29" xfId="6498" xr:uid="{B5D837CD-8447-4430-A2F8-CCD56CEC7630}"/>
    <cellStyle name="Note 3 3 3" xfId="8037" xr:uid="{03E5041A-8E4E-4B1B-A217-9D5B1C4590AF}"/>
    <cellStyle name="Note 3 3 3 2" xfId="32282" xr:uid="{F724C44A-9949-493D-B80C-BC719ED58141}"/>
    <cellStyle name="Note 3 3 4" xfId="9357" xr:uid="{2B6E39B4-AF16-4B0E-8016-04B675111B6E}"/>
    <cellStyle name="Note 3 3 4 2" xfId="33340" xr:uid="{CA027BD2-3F30-4FCF-BC94-6CB885C6403B}"/>
    <cellStyle name="Note 3 3 5" xfId="12077" xr:uid="{BE8AEDF8-8C1B-4321-9F43-29C677F688A8}"/>
    <cellStyle name="Note 3 3 5 2" xfId="34635" xr:uid="{AFA2D0A3-02A5-4863-A9E2-03DB317E5C1F}"/>
    <cellStyle name="Note 3 3 6" xfId="15940" xr:uid="{0463112F-A488-4523-97B1-8B4DE84A30B5}"/>
    <cellStyle name="Note 3 3 6 2" xfId="37531" xr:uid="{E8CD20CC-933D-4511-AF05-8C5E0C00C785}"/>
    <cellStyle name="Note 3 3 7" xfId="13019" xr:uid="{67F1AFD6-E0AD-46B0-B273-70156C2D5CA1}"/>
    <cellStyle name="Note 3 3 7 2" xfId="35367" xr:uid="{5FD75621-5118-4E0A-9F7F-6FE3A64AAA4F}"/>
    <cellStyle name="Note 3 3 8" xfId="8479" xr:uid="{E969CE48-7889-4CD4-B70C-0B4396E8A159}"/>
    <cellStyle name="Note 3 3 8 2" xfId="32666" xr:uid="{AF14D2B6-350F-4F47-962A-CCD74B638B01}"/>
    <cellStyle name="Note 3 3 9" xfId="14870" xr:uid="{52159422-1241-4666-8EFB-0F626A71F085}"/>
    <cellStyle name="Note 3 3 9 2" xfId="36745" xr:uid="{8C4AA2E2-1407-4A48-991F-CA5BAB86C92B}"/>
    <cellStyle name="Note 3 30" xfId="29760" xr:uid="{DBC6D76F-A317-4433-89F0-25DDA548DBD9}"/>
    <cellStyle name="Note 3 30 2" xfId="47079" xr:uid="{61818CA3-1BF0-46CA-AD94-277D6CC5DEAE}"/>
    <cellStyle name="Note 3 31" xfId="28656" xr:uid="{53E533A9-8942-4429-8B33-5A5ED3134D64}"/>
    <cellStyle name="Note 3 31 2" xfId="46390" xr:uid="{5C14CCAD-51E9-4B74-AE94-0B9D9024CF83}"/>
    <cellStyle name="Note 3 32" xfId="25950" xr:uid="{7FEF4E75-900D-40AF-BCB9-E6DF1FAF3029}"/>
    <cellStyle name="Note 3 32 2" xfId="44741" xr:uid="{4BB6A169-F059-4E1F-B3C8-4600233DD8BD}"/>
    <cellStyle name="Note 3 33" xfId="30037" xr:uid="{2903250B-9B46-47AF-9657-257E08A6FBA0}"/>
    <cellStyle name="Note 3 33 2" xfId="47264" xr:uid="{72B12456-3260-4D7A-A721-3F504F429BC2}"/>
    <cellStyle name="Note 3 34" xfId="26901" xr:uid="{B1BD6E23-5541-4B33-B69A-DE379358FC76}"/>
    <cellStyle name="Note 3 34 2" xfId="45324" xr:uid="{DC268B53-22E6-4584-B926-0547694BF473}"/>
    <cellStyle name="Note 3 35" xfId="6493" xr:uid="{742AEB22-CAB8-4D69-8875-7512B0DACAE4}"/>
    <cellStyle name="Note 3 4" xfId="2979" xr:uid="{AF4018C3-59CD-483C-9912-4C822D2BAFEB}"/>
    <cellStyle name="Note 3 4 10" xfId="7183" xr:uid="{E8A17205-5DE5-45B8-8F77-1723F1DCAB49}"/>
    <cellStyle name="Note 3 4 10 2" xfId="31549" xr:uid="{1B97399E-29E8-4D2D-AF6E-FCC3DB57FB37}"/>
    <cellStyle name="Note 3 4 11" xfId="12761" xr:uid="{B634BEF2-5E20-4E0E-87DE-3A6F841C17AF}"/>
    <cellStyle name="Note 3 4 11 2" xfId="35170" xr:uid="{75FCE39B-DED0-40AB-B8E8-583BF51283F3}"/>
    <cellStyle name="Note 3 4 12" xfId="16519" xr:uid="{5B11193A-88CA-43AD-A140-9E25AA8659D3}"/>
    <cellStyle name="Note 3 4 12 2" xfId="38012" xr:uid="{FE9206EB-FA27-4121-8716-614CA3BCC9EB}"/>
    <cellStyle name="Note 3 4 13" xfId="15619" xr:uid="{C1E7E39A-38AB-42C4-9E7B-4AEDDD77E3AF}"/>
    <cellStyle name="Note 3 4 13 2" xfId="37277" xr:uid="{9BE227B9-554B-44BB-819A-E051235562B9}"/>
    <cellStyle name="Note 3 4 14" xfId="22487" xr:uid="{F23B90E6-621C-4603-91F6-3E05B043B231}"/>
    <cellStyle name="Note 3 4 14 2" xfId="42286" xr:uid="{C9BA292E-0219-4273-9B02-9C50B5E82876}"/>
    <cellStyle name="Note 3 4 15" xfId="19726" xr:uid="{A8E72848-0370-4E50-8324-F688B4B34807}"/>
    <cellStyle name="Note 3 4 15 2" xfId="40343" xr:uid="{EFE01998-BDA4-4A83-BFC0-0144F5024971}"/>
    <cellStyle name="Note 3 4 16" xfId="20044" xr:uid="{B9777687-FA94-40EA-BAF7-CCC41F118D04}"/>
    <cellStyle name="Note 3 4 16 2" xfId="40609" xr:uid="{12C184E9-13C9-43AA-9E27-7DE23DB22F84}"/>
    <cellStyle name="Note 3 4 17" xfId="19618" xr:uid="{DC9CF367-7097-4292-98F9-E13442EFC3BC}"/>
    <cellStyle name="Note 3 4 17 2" xfId="40258" xr:uid="{211F07A8-D3ED-42D1-9CF0-B8BC25394034}"/>
    <cellStyle name="Note 3 4 18" xfId="18319" xr:uid="{6C553803-6549-49E9-95E0-E059EE8753D3}"/>
    <cellStyle name="Note 3 4 18 2" xfId="39350" xr:uid="{47B9FAE2-4B2E-4C2C-A8E3-4E80A8F1736B}"/>
    <cellStyle name="Note 3 4 19" xfId="17094" xr:uid="{E98A8868-A6BD-4FFB-B6D2-CF72094DFE6B}"/>
    <cellStyle name="Note 3 4 19 2" xfId="38433" xr:uid="{0ED6A1A5-059B-4447-AA13-0F4AB31EC323}"/>
    <cellStyle name="Note 3 4 2" xfId="2980" xr:uid="{6D61F29B-D5FC-4392-9358-F369D106EFF6}"/>
    <cellStyle name="Note 3 4 2 10" xfId="16019" xr:uid="{45BB5177-2BCD-4923-886D-A52685F8F8A4}"/>
    <cellStyle name="Note 3 4 2 10 2" xfId="37602" xr:uid="{962E2B1A-E97A-4217-9615-1EE11AD7E5DB}"/>
    <cellStyle name="Note 3 4 2 11" xfId="14018" xr:uid="{28932CA3-8B23-46EF-878B-E0958B2C71A6}"/>
    <cellStyle name="Note 3 4 2 11 2" xfId="36112" xr:uid="{32C2CE02-134B-46BA-9177-5D6BF2C320E2}"/>
    <cellStyle name="Note 3 4 2 12" xfId="17482" xr:uid="{6EF87881-A69E-44D0-97B7-B7E3863BABC9}"/>
    <cellStyle name="Note 3 4 2 12 2" xfId="38729" xr:uid="{560B6DDA-8D27-4450-A469-84C81D07DBA6}"/>
    <cellStyle name="Note 3 4 2 13" xfId="9882" xr:uid="{9CF993ED-3A90-4BA5-A737-20786230D439}"/>
    <cellStyle name="Note 3 4 2 13 2" xfId="33628" xr:uid="{4388CC9C-CD9D-4E2B-8D32-B1F60A4C4EEE}"/>
    <cellStyle name="Note 3 4 2 14" xfId="17946" xr:uid="{889144D7-B535-40E8-BFCB-EB1DC3972AD2}"/>
    <cellStyle name="Note 3 4 2 14 2" xfId="39044" xr:uid="{F338A7DD-D779-441B-BBA1-2DED091B3138}"/>
    <cellStyle name="Note 3 4 2 15" xfId="10118" xr:uid="{A89A43E2-71B7-46C6-B6F3-475EAA35752C}"/>
    <cellStyle name="Note 3 4 2 15 2" xfId="33789" xr:uid="{BE2C1F3B-F5C3-4D40-9213-63C7885E18D1}"/>
    <cellStyle name="Note 3 4 2 16" xfId="21412" xr:uid="{52A7F572-FF09-4EFC-B1E8-85ED0602521E}"/>
    <cellStyle name="Note 3 4 2 16 2" xfId="41541" xr:uid="{9E5333D0-94E5-48AE-9182-9C77507EE9EB}"/>
    <cellStyle name="Note 3 4 2 17" xfId="24106" xr:uid="{1145629E-CE9E-4DFF-9890-C805CC779B9D}"/>
    <cellStyle name="Note 3 4 2 17 2" xfId="43482" xr:uid="{3F8EAA3E-AD0C-4A37-89D4-1429A6B1B7B1}"/>
    <cellStyle name="Note 3 4 2 18" xfId="18984" xr:uid="{FC71A33A-2545-42FA-83A0-75C13823E6AB}"/>
    <cellStyle name="Note 3 4 2 18 2" xfId="39816" xr:uid="{3256858D-B9AC-4AAB-B194-82F9F718CCA9}"/>
    <cellStyle name="Note 3 4 2 19" xfId="22335" xr:uid="{843278C7-9650-45FA-910B-C5990A0B6A17}"/>
    <cellStyle name="Note 3 4 2 19 2" xfId="42190" xr:uid="{C5308CB4-48B0-42DF-9539-692093A7C3E9}"/>
    <cellStyle name="Note 3 4 2 2" xfId="8033" xr:uid="{FA3F770B-AB49-4DA4-8DFB-ED4F1F5DFAF9}"/>
    <cellStyle name="Note 3 4 2 2 2" xfId="32279" xr:uid="{46688210-8DBE-4AD7-985B-23F54BD9021A}"/>
    <cellStyle name="Note 3 4 2 20" xfId="15213" xr:uid="{60F8911F-7D2D-408F-B228-307A06314BC0}"/>
    <cellStyle name="Note 3 4 2 20 2" xfId="36983" xr:uid="{703AD04C-49EB-4DB6-9746-69B63C46C56E}"/>
    <cellStyle name="Note 3 4 2 21" xfId="25342" xr:uid="{3181AC87-68F2-4292-84FB-FED44714DD6F}"/>
    <cellStyle name="Note 3 4 2 21 2" xfId="44258" xr:uid="{C0FD4780-7C7D-43A1-B9BD-3DCDA2ECB0DA}"/>
    <cellStyle name="Note 3 4 2 22" xfId="25251" xr:uid="{EC1E0B6B-3979-4B2B-AD1E-0FCA823B3A84}"/>
    <cellStyle name="Note 3 4 2 22 2" xfId="44174" xr:uid="{1FCF10EE-EB05-4B2A-9FCF-1DB8CF35E6A0}"/>
    <cellStyle name="Note 3 4 2 23" xfId="28602" xr:uid="{D8B26BB7-3936-4A98-96B4-68AE404C1AE4}"/>
    <cellStyle name="Note 3 4 2 23 2" xfId="46336" xr:uid="{43E66BD5-06BF-4315-998E-CAAFD4E22A6D}"/>
    <cellStyle name="Note 3 4 2 24" xfId="30139" xr:uid="{B330992E-60F4-4159-9CFB-911F379FDA52}"/>
    <cellStyle name="Note 3 4 2 24 2" xfId="47307" xr:uid="{BA423311-95C0-4D08-8791-3350DDA3C0DC}"/>
    <cellStyle name="Note 3 4 2 25" xfId="23631" xr:uid="{3243074D-EA34-4B86-A96A-CBF4F54BBE78}"/>
    <cellStyle name="Note 3 4 2 25 2" xfId="43062" xr:uid="{C54D6548-4148-4B97-B53E-9FA9760D9506}"/>
    <cellStyle name="Note 3 4 2 26" xfId="30763" xr:uid="{FB7FC2DC-EACD-45CF-B944-6F6EA6459D9C}"/>
    <cellStyle name="Note 3 4 2 26 2" xfId="47704" xr:uid="{85D03D3B-575F-41EA-9778-16314C17117A}"/>
    <cellStyle name="Note 3 4 2 27" xfId="26029" xr:uid="{700CDDB9-7E66-4F12-9771-1FBF1E84402D}"/>
    <cellStyle name="Note 3 4 2 27 2" xfId="44800" xr:uid="{90C7772A-D0C5-4361-B280-4FB514D49FAA}"/>
    <cellStyle name="Note 3 4 2 28" xfId="6501" xr:uid="{08CDC5B3-1560-478D-8FE8-23C5B8CC7557}"/>
    <cellStyle name="Note 3 4 2 3" xfId="13626" xr:uid="{BC4384C4-AF84-433C-99EC-57162B46144D}"/>
    <cellStyle name="Note 3 4 2 3 2" xfId="35791" xr:uid="{67103A80-0AF0-47A6-A939-6B39180E0856}"/>
    <cellStyle name="Note 3 4 2 4" xfId="7670" xr:uid="{8CA93030-ED0D-4369-BF57-B857780653FC}"/>
    <cellStyle name="Note 3 4 2 4 2" xfId="31969" xr:uid="{173AFADB-068C-4CA1-9EE9-8F0D7C2B8E29}"/>
    <cellStyle name="Note 3 4 2 5" xfId="8782" xr:uid="{FF689E52-1A6B-49DA-AF33-925834893107}"/>
    <cellStyle name="Note 3 4 2 5 2" xfId="32911" xr:uid="{96FA49D8-2DF7-422D-B807-C273E19DD464}"/>
    <cellStyle name="Note 3 4 2 6" xfId="10449" xr:uid="{84EF199C-2E44-4687-AF80-793AE9652ABC}"/>
    <cellStyle name="Note 3 4 2 6 2" xfId="34084" xr:uid="{EB4FFCC5-77FE-452F-8EA6-303FB41E4775}"/>
    <cellStyle name="Note 3 4 2 7" xfId="8476" xr:uid="{A43DC008-6EEE-4437-9BF9-782FA66411DE}"/>
    <cellStyle name="Note 3 4 2 7 2" xfId="32663" xr:uid="{78CBF537-5617-420C-96DA-F578AC8F411E}"/>
    <cellStyle name="Note 3 4 2 8" xfId="14869" xr:uid="{74113847-0282-4F2D-9847-FD278FC8977C}"/>
    <cellStyle name="Note 3 4 2 8 2" xfId="36744" xr:uid="{0ED47C99-0BDC-46BF-A7A9-AEB39BDE0728}"/>
    <cellStyle name="Note 3 4 2 9" xfId="7182" xr:uid="{5DB90A91-0C03-47C7-8EEF-3CB835C0E0C6}"/>
    <cellStyle name="Note 3 4 2 9 2" xfId="31548" xr:uid="{825A1DA3-CBEF-41CE-87FE-7D11A02CCBE7}"/>
    <cellStyle name="Note 3 4 20" xfId="22322" xr:uid="{38EC3AEF-DC72-4860-864A-45C8FBB58B30}"/>
    <cellStyle name="Note 3 4 20 2" xfId="42177" xr:uid="{02BCC88A-94B9-4BFB-BB85-C0DCD89145B9}"/>
    <cellStyle name="Note 3 4 21" xfId="24958" xr:uid="{3CA9D544-DAA1-4B91-A828-53888370A312}"/>
    <cellStyle name="Note 3 4 21 2" xfId="44040" xr:uid="{67EC693E-6D52-4B3A-A8CF-A064B76B8CEC}"/>
    <cellStyle name="Note 3 4 22" xfId="23453" xr:uid="{618CA8B2-3D0A-4E4B-A2E2-273AB8530A11}"/>
    <cellStyle name="Note 3 4 22 2" xfId="42959" xr:uid="{11488C35-E64D-4FE8-BA13-3761895A244A}"/>
    <cellStyle name="Note 3 4 23" xfId="29433" xr:uid="{D2CC9A4E-2D4E-49D2-AD9C-C5EAE026B14E}"/>
    <cellStyle name="Note 3 4 23 2" xfId="46894" xr:uid="{191232A8-EBD4-4AB0-B157-70FB42CFF573}"/>
    <cellStyle name="Note 3 4 24" xfId="29762" xr:uid="{C62F345D-9F8F-4E80-9101-103F12D0AF15}"/>
    <cellStyle name="Note 3 4 24 2" xfId="47081" xr:uid="{55690605-C9D9-45B9-A008-9CE7CCDE43B9}"/>
    <cellStyle name="Note 3 4 25" xfId="21013" xr:uid="{2641E7ED-FF3A-4DDB-9B6B-F7E84ACCCC14}"/>
    <cellStyle name="Note 3 4 25 2" xfId="41271" xr:uid="{B710E9BC-D9B1-4936-BBDF-152D8DAE7573}"/>
    <cellStyle name="Note 3 4 26" xfId="28874" xr:uid="{97B73A55-9597-4D86-A9BF-C29B2E070FF1}"/>
    <cellStyle name="Note 3 4 26 2" xfId="46489" xr:uid="{BAAB2F96-8B51-4598-AF7B-1D8FAA0C29B6}"/>
    <cellStyle name="Note 3 4 27" xfId="30144" xr:uid="{5CA04D4B-CBDC-40D0-A330-C93D0323BAF1}"/>
    <cellStyle name="Note 3 4 27 2" xfId="47312" xr:uid="{BEEDA854-5FD3-47AD-BCE9-58E5D5B6A347}"/>
    <cellStyle name="Note 3 4 28" xfId="28768" xr:uid="{02E499E1-ACD2-4A13-871A-02AEF8A6DE11}"/>
    <cellStyle name="Note 3 4 28 2" xfId="46446" xr:uid="{F7366485-29F5-480F-8F35-392648DBFCEC}"/>
    <cellStyle name="Note 3 4 29" xfId="6500" xr:uid="{BCBE417D-4F39-46C8-B298-8106728CB49F}"/>
    <cellStyle name="Note 3 4 3" xfId="8034" xr:uid="{F9D27CD2-0BBB-4829-8B45-F54BA3D9645A}"/>
    <cellStyle name="Note 3 4 3 2" xfId="32280" xr:uid="{23187E0D-E3E1-4600-BE0A-3C78C9C29A92}"/>
    <cellStyle name="Note 3 4 4" xfId="13360" xr:uid="{9FAD7E22-897C-4B86-B4C4-92D5EE205F5E}"/>
    <cellStyle name="Note 3 4 4 2" xfId="35667" xr:uid="{727D0481-66D6-402E-890A-7A42AB35E25A}"/>
    <cellStyle name="Note 3 4 5" xfId="12076" xr:uid="{5FDB25B9-BB83-4F48-A2D1-F718E77B0DCB}"/>
    <cellStyle name="Note 3 4 5 2" xfId="34634" xr:uid="{1F1033B3-24E0-49D8-B936-B4AA746FABA1}"/>
    <cellStyle name="Note 3 4 6" xfId="15939" xr:uid="{8D28CD5F-A670-4293-933D-6A76D85D6713}"/>
    <cellStyle name="Note 3 4 6 2" xfId="37530" xr:uid="{CCC962E1-1E1A-4CD9-86D6-79DCA1B3E349}"/>
    <cellStyle name="Note 3 4 7" xfId="13018" xr:uid="{9D0345B7-3B9E-43C1-A4EB-029ABAB795AE}"/>
    <cellStyle name="Note 3 4 7 2" xfId="35366" xr:uid="{185D5109-30E9-4B48-8F07-6E0B96036504}"/>
    <cellStyle name="Note 3 4 8" xfId="8477" xr:uid="{05D874F4-1061-4B6A-88A8-94A439790057}"/>
    <cellStyle name="Note 3 4 8 2" xfId="32664" xr:uid="{D3C9F6CA-0F1D-445B-A9CE-59F057F01C50}"/>
    <cellStyle name="Note 3 4 9" xfId="15962" xr:uid="{6437E995-D569-4781-A72C-35404E34E974}"/>
    <cellStyle name="Note 3 4 9 2" xfId="37553" xr:uid="{68324BB0-7079-4039-866C-9E840B2240E1}"/>
    <cellStyle name="Note 3 5" xfId="2981" xr:uid="{D5643853-7667-4994-A097-89E856B808B4}"/>
    <cellStyle name="Note 3 5 10" xfId="11619" xr:uid="{25D0FAA8-C944-458C-A879-4E00DE9861F7}"/>
    <cellStyle name="Note 3 5 10 2" xfId="34232" xr:uid="{36B49377-2B5D-4FBC-A395-B4EB6FA47BCA}"/>
    <cellStyle name="Note 3 5 11" xfId="12750" xr:uid="{1D581662-51B0-41C9-AAF7-C6E24DF6D9CB}"/>
    <cellStyle name="Note 3 5 11 2" xfId="35159" xr:uid="{16EA6378-9661-4A97-A3CA-0FB9944D2208}"/>
    <cellStyle name="Note 3 5 12" xfId="14010" xr:uid="{F18EDD4D-FE6C-4AE0-9191-4B6A3803A030}"/>
    <cellStyle name="Note 3 5 12 2" xfId="36104" xr:uid="{B1AA32AE-071D-4297-BB41-36CE01355D8D}"/>
    <cellStyle name="Note 3 5 13" xfId="13705" xr:uid="{60DA9B45-7769-4F49-8EEC-43D4AC19D978}"/>
    <cellStyle name="Note 3 5 13 2" xfId="35861" xr:uid="{709C6B62-0FCD-49BB-85CE-172182765167}"/>
    <cellStyle name="Note 3 5 14" xfId="22486" xr:uid="{FE4D087C-92C5-4983-B69B-3906190579CE}"/>
    <cellStyle name="Note 3 5 14 2" xfId="42285" xr:uid="{8782B179-2CA4-4DDC-B49A-FB66CE83BBF8}"/>
    <cellStyle name="Note 3 5 15" xfId="19725" xr:uid="{0BC703ED-889B-4FCA-B621-05A46B7CBDAE}"/>
    <cellStyle name="Note 3 5 15 2" xfId="40342" xr:uid="{09DD979F-4BA1-4121-94FA-5317339095BB}"/>
    <cellStyle name="Note 3 5 16" xfId="18449" xr:uid="{926EDC48-8599-4FAC-A78D-7672C93706BE}"/>
    <cellStyle name="Note 3 5 16 2" xfId="39457" xr:uid="{598642AE-A781-44F2-9CBF-6EA20FF9E64E}"/>
    <cellStyle name="Note 3 5 17" xfId="16976" xr:uid="{7FCE48DE-51CC-4D63-97C4-8E6EB9795488}"/>
    <cellStyle name="Note 3 5 17 2" xfId="38337" xr:uid="{D43B8081-ED37-4815-AA20-F452A5B41DFD}"/>
    <cellStyle name="Note 3 5 18" xfId="16312" xr:uid="{8142F6B7-05F1-4DD5-ABB9-41F6AA2429AC}"/>
    <cellStyle name="Note 3 5 18 2" xfId="37849" xr:uid="{A998DFE6-F1B8-412F-8F85-8E3269670F0A}"/>
    <cellStyle name="Note 3 5 19" xfId="23515" xr:uid="{0E4FDE67-0A9E-444F-9F37-8F365AA667E5}"/>
    <cellStyle name="Note 3 5 19 2" xfId="42975" xr:uid="{D494594C-1D35-4578-9A97-4A194475D21D}"/>
    <cellStyle name="Note 3 5 2" xfId="2982" xr:uid="{E72C9844-E3F0-47B9-908B-C7C992B73EB3}"/>
    <cellStyle name="Note 3 5 2 10" xfId="13640" xr:uid="{9BDDD159-349F-455D-9024-D7EA8C859201}"/>
    <cellStyle name="Note 3 5 2 10 2" xfId="35804" xr:uid="{4CBD3CA8-9452-4710-B5BB-7C27EAF3B5DC}"/>
    <cellStyle name="Note 3 5 2 11" xfId="16518" xr:uid="{9EC424BB-CCDF-4006-B141-52A4D8CC4D26}"/>
    <cellStyle name="Note 3 5 2 11 2" xfId="38011" xr:uid="{AD25CD78-1548-4CD0-BB10-6AA19EEF62B3}"/>
    <cellStyle name="Note 3 5 2 12" xfId="17481" xr:uid="{229DA65C-F7A5-43A5-BE01-9C282CFDB179}"/>
    <cellStyle name="Note 3 5 2 12 2" xfId="38728" xr:uid="{E6D1FC2E-3BDF-4C32-A2AD-3D76BE1F5055}"/>
    <cellStyle name="Note 3 5 2 13" xfId="20791" xr:uid="{026A48C1-8A9C-4509-9615-5294DC2230C0}"/>
    <cellStyle name="Note 3 5 2 13 2" xfId="41151" xr:uid="{DEBF7763-DEBB-44DD-992B-664EBA72F41E}"/>
    <cellStyle name="Note 3 5 2 14" xfId="15282" xr:uid="{132416A5-C6FE-4F98-BCBB-11BD01CE7609}"/>
    <cellStyle name="Note 3 5 2 14 2" xfId="36999" xr:uid="{6AFC4589-6F41-4E84-8A14-09830EE4D9BD}"/>
    <cellStyle name="Note 3 5 2 15" xfId="13273" xr:uid="{0A4EA845-DBD2-44A0-842F-B9D4DB22440F}"/>
    <cellStyle name="Note 3 5 2 15 2" xfId="35597" xr:uid="{745EE22C-EFE5-4919-8FD9-6CF8D03726D7}"/>
    <cellStyle name="Note 3 5 2 16" xfId="21411" xr:uid="{F4AE1DCE-5E39-4C7A-9A47-64825B50CE5C}"/>
    <cellStyle name="Note 3 5 2 16 2" xfId="41540" xr:uid="{801F916E-BF85-43F7-94A4-DF32324ADE0A}"/>
    <cellStyle name="Note 3 5 2 17" xfId="24105" xr:uid="{605DE653-86B6-4847-BE62-D63EC809F854}"/>
    <cellStyle name="Note 3 5 2 17 2" xfId="43481" xr:uid="{3C5D3CC8-4AB5-4E10-B468-EBC6E39276B2}"/>
    <cellStyle name="Note 3 5 2 18" xfId="16094" xr:uid="{C0EB5795-CB47-4A94-8164-933ACBD215E3}"/>
    <cellStyle name="Note 3 5 2 18 2" xfId="37664" xr:uid="{73ACBD60-C5A9-4CFE-A7C6-77531A3351E1}"/>
    <cellStyle name="Note 3 5 2 19" xfId="22870" xr:uid="{595F7480-5247-4475-A052-C75542AAC7DE}"/>
    <cellStyle name="Note 3 5 2 19 2" xfId="42588" xr:uid="{7FF455F2-90B1-4018-8715-C9D9642784CB}"/>
    <cellStyle name="Note 3 5 2 2" xfId="8031" xr:uid="{3EC38BA0-6E87-48DB-AA45-88919C5CE011}"/>
    <cellStyle name="Note 3 5 2 2 2" xfId="32277" xr:uid="{6384F842-F789-4E56-8DDD-062B7C2A80B2}"/>
    <cellStyle name="Note 3 5 2 20" xfId="22506" xr:uid="{88D16137-F223-42E8-A934-4A54DDFB3AF9}"/>
    <cellStyle name="Note 3 5 2 20 2" xfId="42305" xr:uid="{B9C76D94-5661-4B6B-9EEE-53627C3BA463}"/>
    <cellStyle name="Note 3 5 2 21" xfId="22663" xr:uid="{2C998576-C29B-48B9-92AB-879CA7188CB8}"/>
    <cellStyle name="Note 3 5 2 21 2" xfId="42434" xr:uid="{EFDC9FE1-A8B4-439F-9290-375E79E0997D}"/>
    <cellStyle name="Note 3 5 2 22" xfId="25901" xr:uid="{2FBD95BE-587D-4984-A383-3920AE7161A4}"/>
    <cellStyle name="Note 3 5 2 22 2" xfId="44706" xr:uid="{7F3FA0DB-D1B0-4E41-8146-5224A796BA67}"/>
    <cellStyle name="Note 3 5 2 23" xfId="27157" xr:uid="{29CA203C-C327-46D2-AF86-E3AD9569B49A}"/>
    <cellStyle name="Note 3 5 2 23 2" xfId="45498" xr:uid="{BF1A2EAD-C790-4AEE-AA7A-499884112059}"/>
    <cellStyle name="Note 3 5 2 24" xfId="28892" xr:uid="{427ECD3F-4851-4301-9DEB-362F67CDD8F7}"/>
    <cellStyle name="Note 3 5 2 24 2" xfId="46500" xr:uid="{7EC36DBC-8452-4256-B367-9488778C041C}"/>
    <cellStyle name="Note 3 5 2 25" xfId="29248" xr:uid="{3EF25CAD-7DEC-4A30-BB54-7EFF27E8355F}"/>
    <cellStyle name="Note 3 5 2 25 2" xfId="46765" xr:uid="{F0462AF3-AD7E-44E9-9ED3-B8C5DB6ABFE4}"/>
    <cellStyle name="Note 3 5 2 26" xfId="30764" xr:uid="{F91C7A34-250F-4FAB-A93E-3489AA564132}"/>
    <cellStyle name="Note 3 5 2 26 2" xfId="47705" xr:uid="{86F5FD16-76AD-40FD-A4F5-684F551C34F1}"/>
    <cellStyle name="Note 3 5 2 27" xfId="26964" xr:uid="{F47E7FA2-DE1B-4EBB-8562-05C69A0B411A}"/>
    <cellStyle name="Note 3 5 2 27 2" xfId="45371" xr:uid="{77BAB113-22AB-4F83-824E-C319D64E0A6D}"/>
    <cellStyle name="Note 3 5 2 28" xfId="6503" xr:uid="{8513AB9B-C65E-477A-91F4-BF0103E99366}"/>
    <cellStyle name="Note 3 5 2 3" xfId="9359" xr:uid="{E01688B3-2267-4985-8C42-97AE1F7EA84B}"/>
    <cellStyle name="Note 3 5 2 3 2" xfId="33342" xr:uid="{4FFFF293-2D22-4617-B710-6A0E02FE51E2}"/>
    <cellStyle name="Note 3 5 2 4" xfId="7669" xr:uid="{EDF75887-3F2C-44FC-B78F-61CEA7EC9C63}"/>
    <cellStyle name="Note 3 5 2 4 2" xfId="31968" xr:uid="{3CF9CFA4-0B07-4F1E-9E2B-5D0BB667C4D7}"/>
    <cellStyle name="Note 3 5 2 5" xfId="14307" xr:uid="{E2E14AC0-2883-457E-AAC9-C5C27939FC73}"/>
    <cellStyle name="Note 3 5 2 5 2" xfId="36350" xr:uid="{0F23BFCF-6C9A-4184-8E62-20B742A118B3}"/>
    <cellStyle name="Note 3 5 2 6" xfId="10450" xr:uid="{FC28F3D4-F7AD-4554-8F46-D5AD16924919}"/>
    <cellStyle name="Note 3 5 2 6 2" xfId="34085" xr:uid="{B7312458-145D-4961-9415-665C60108AE1}"/>
    <cellStyle name="Note 3 5 2 7" xfId="8474" xr:uid="{DA6FCD67-2E42-4F27-A42E-F0374029DE5A}"/>
    <cellStyle name="Note 3 5 2 7 2" xfId="32661" xr:uid="{E592BBEC-41DD-4796-992B-7C7F6ED8D51F}"/>
    <cellStyle name="Note 3 5 2 8" xfId="14868" xr:uid="{4A4959A5-A38D-4949-856D-891F82D78691}"/>
    <cellStyle name="Note 3 5 2 8 2" xfId="36743" xr:uid="{CE0C8E98-7450-47AA-A54A-ECEE4F1A6033}"/>
    <cellStyle name="Note 3 5 2 9" xfId="7181" xr:uid="{7974EE96-9B0C-4C97-B048-D666FF4E0AE0}"/>
    <cellStyle name="Note 3 5 2 9 2" xfId="31547" xr:uid="{4921B118-B37A-420D-950E-7FDFDD81BDA2}"/>
    <cellStyle name="Note 3 5 20" xfId="25743" xr:uid="{1BD393AE-13C3-4453-97D3-B7F195FB2477}"/>
    <cellStyle name="Note 3 5 20 2" xfId="44580" xr:uid="{14CCACFA-47DD-4D14-AB1F-2C82192EE4D6}"/>
    <cellStyle name="Note 3 5 21" xfId="18078" xr:uid="{8EF89D1E-705A-4DDA-B573-FD3587374463}"/>
    <cellStyle name="Note 3 5 21 2" xfId="39152" xr:uid="{786E8F5B-0DA2-4F22-AA3E-F05373CE7769}"/>
    <cellStyle name="Note 3 5 22" xfId="16159" xr:uid="{A424C621-288E-4E33-A817-77E043A03257}"/>
    <cellStyle name="Note 3 5 22 2" xfId="37721" xr:uid="{C460E767-ED5E-4666-BACA-C9C2274F5634}"/>
    <cellStyle name="Note 3 5 23" xfId="28951" xr:uid="{E9EB976F-8F71-4FA1-95A3-0B2DE9B78829}"/>
    <cellStyle name="Note 3 5 23 2" xfId="46547" xr:uid="{3A21012D-4DE7-408F-B928-5839BF389DA6}"/>
    <cellStyle name="Note 3 5 24" xfId="28902" xr:uid="{AC97DF3A-2362-46A7-B360-A78CAE3FBC3A}"/>
    <cellStyle name="Note 3 5 24 2" xfId="46506" xr:uid="{69CE1C1A-6C5C-45BA-AB95-2E035C297DB9}"/>
    <cellStyle name="Note 3 5 25" xfId="23859" xr:uid="{934B679F-3D83-4E6E-8E9D-DF0A92EC360E}"/>
    <cellStyle name="Note 3 5 25 2" xfId="43238" xr:uid="{7B9D1ACF-501A-4B9A-B82F-D3A47A4F34A9}"/>
    <cellStyle name="Note 3 5 26" xfId="27901" xr:uid="{C539E635-B125-42AA-8C9E-8C11851C3EE4}"/>
    <cellStyle name="Note 3 5 26 2" xfId="45973" xr:uid="{19FC7F9F-1458-44C1-B5D4-5A189B013993}"/>
    <cellStyle name="Note 3 5 27" xfId="29657" xr:uid="{B8D51834-58EF-47BC-8C36-A16B613D1CB0}"/>
    <cellStyle name="Note 3 5 27 2" xfId="47027" xr:uid="{A7B381D6-6A85-4FDB-9381-D7EB9F92B7E0}"/>
    <cellStyle name="Note 3 5 28" xfId="28859" xr:uid="{864E5678-6180-4950-9E4F-73C417B17A6D}"/>
    <cellStyle name="Note 3 5 28 2" xfId="46480" xr:uid="{8CE51C92-3623-4E74-A9F9-427795B05AB3}"/>
    <cellStyle name="Note 3 5 29" xfId="6502" xr:uid="{BFC1CF5F-B156-40F4-9A3D-BF9EB2BD8242}"/>
    <cellStyle name="Note 3 5 3" xfId="8032" xr:uid="{AB703B74-6547-4562-8356-A6A5D24FB162}"/>
    <cellStyle name="Note 3 5 3 2" xfId="32278" xr:uid="{BCEF3E85-D047-4EA0-B950-CA4B8EB08F64}"/>
    <cellStyle name="Note 3 5 4" xfId="9358" xr:uid="{90F9D033-BD80-4C75-878F-D37E0B57E778}"/>
    <cellStyle name="Note 3 5 4 2" xfId="33341" xr:uid="{4744D9F7-852F-449B-BA69-07AC448453FE}"/>
    <cellStyle name="Note 3 5 5" xfId="12075" xr:uid="{C0EA2AC4-01D3-466C-913A-30C9B74F8F96}"/>
    <cellStyle name="Note 3 5 5 2" xfId="34633" xr:uid="{FE9E8095-C426-411D-B742-5B7AF899840F}"/>
    <cellStyle name="Note 3 5 6" xfId="15938" xr:uid="{C9F2ACA6-20F6-49AD-9E38-33024653118B}"/>
    <cellStyle name="Note 3 5 6 2" xfId="37529" xr:uid="{A3A52D79-5C06-4936-B7AF-34A94B23BF9C}"/>
    <cellStyle name="Note 3 5 7" xfId="13017" xr:uid="{8C1E077E-669E-4402-9CC9-07A179702689}"/>
    <cellStyle name="Note 3 5 7 2" xfId="35365" xr:uid="{984285F3-1E99-41BD-8755-35AB64257C1A}"/>
    <cellStyle name="Note 3 5 8" xfId="8475" xr:uid="{E9A429D0-70A1-4C8E-A481-3734F800DF6A}"/>
    <cellStyle name="Note 3 5 8 2" xfId="32662" xr:uid="{D26E7756-0BE1-45AB-84EA-F1345D1BB9F1}"/>
    <cellStyle name="Note 3 5 9" xfId="12913" xr:uid="{4EDCF818-55D0-4A17-BAC1-DD71BE72A3C7}"/>
    <cellStyle name="Note 3 5 9 2" xfId="35269" xr:uid="{D85568E6-685F-4E7C-BDE2-FD6BD7B78078}"/>
    <cellStyle name="Note 3 6" xfId="2983" xr:uid="{AEBE03AB-F326-48C0-A2A7-2C24389D62BE}"/>
    <cellStyle name="Note 3 6 10" xfId="7103" xr:uid="{DB41AD72-0F82-47B4-8E92-D469C9189CA6}"/>
    <cellStyle name="Note 3 6 10 2" xfId="31470" xr:uid="{30CBE1F8-7428-49CA-AF0C-EC9D64C6ECF4}"/>
    <cellStyle name="Note 3 6 11" xfId="13822" xr:uid="{DDCD80AC-CD68-4542-9323-60EB86CBF204}"/>
    <cellStyle name="Note 3 6 11 2" xfId="35947" xr:uid="{A2B484D1-A6BB-4213-888D-E1798820A0CB}"/>
    <cellStyle name="Note 3 6 12" xfId="15200" xr:uid="{2071CB8C-8C5E-4CC8-9BBA-68F000D2A1E1}"/>
    <cellStyle name="Note 3 6 12 2" xfId="36971" xr:uid="{253F6B03-F900-4E88-B061-A21FA38E5D7B}"/>
    <cellStyle name="Note 3 6 13" xfId="12718" xr:uid="{CF016596-BF6F-42D9-8E12-66E9586992A4}"/>
    <cellStyle name="Note 3 6 13 2" xfId="35131" xr:uid="{869A8095-2687-40F2-BC0B-0CCBB7CDCECB}"/>
    <cellStyle name="Note 3 6 14" xfId="20794" xr:uid="{96B51E8D-7228-4474-B1F1-BC2E7409C782}"/>
    <cellStyle name="Note 3 6 14 2" xfId="41154" xr:uid="{370AE840-CE95-4F5F-973A-8808FB7C5B88}"/>
    <cellStyle name="Note 3 6 15" xfId="19724" xr:uid="{529AF1EE-3E30-425D-8CB8-D684A1A762E5}"/>
    <cellStyle name="Note 3 6 15 2" xfId="40341" xr:uid="{0F428378-8056-4ECC-9D07-C0926A2A9CC9}"/>
    <cellStyle name="Note 3 6 16" xfId="21055" xr:uid="{C94FA006-940C-48D7-B2BB-6516D5AE3108}"/>
    <cellStyle name="Note 3 6 16 2" xfId="41301" xr:uid="{A2F78DC5-2382-4E0F-8005-B8B409024E65}"/>
    <cellStyle name="Note 3 6 17" xfId="22520" xr:uid="{0E6D90A6-B6F6-4D8A-95E2-62C18DD8FD5D}"/>
    <cellStyle name="Note 3 6 17 2" xfId="42319" xr:uid="{DA4F995E-DBD8-48E7-8956-804140F8EE14}"/>
    <cellStyle name="Note 3 6 18" xfId="25708" xr:uid="{D6BB27B2-4BE5-485F-BF30-492016DD90F2}"/>
    <cellStyle name="Note 3 6 18 2" xfId="44545" xr:uid="{6530FEFA-9482-42C0-B8D6-316310BEC604}"/>
    <cellStyle name="Note 3 6 19" xfId="25261" xr:uid="{8A323ACD-F6C8-4451-A7EE-B0BD21D6D67E}"/>
    <cellStyle name="Note 3 6 19 2" xfId="44182" xr:uid="{D1CEF473-746D-4A3B-B728-863F732DA762}"/>
    <cellStyle name="Note 3 6 2" xfId="2984" xr:uid="{6A34139E-3446-4716-8187-98622AC8CE07}"/>
    <cellStyle name="Note 3 6 2 10" xfId="15520" xr:uid="{948AD460-A5F0-47D8-B9FA-648E5FF72011}"/>
    <cellStyle name="Note 3 6 2 10 2" xfId="37185" xr:uid="{40977748-531E-49EB-9BCD-5595EC9175CD}"/>
    <cellStyle name="Note 3 6 2 11" xfId="16517" xr:uid="{31DB2E06-5281-4A78-9A0D-9B0114BC5B34}"/>
    <cellStyle name="Note 3 6 2 11 2" xfId="38010" xr:uid="{DF06F70F-B110-428A-87D0-FE76AA9F0F4D}"/>
    <cellStyle name="Note 3 6 2 12" xfId="17480" xr:uid="{6E89AA15-9719-4C2D-80D2-B37C44533E01}"/>
    <cellStyle name="Note 3 6 2 12 2" xfId="38727" xr:uid="{D92E78D7-3701-40D4-9053-736CECDF8443}"/>
    <cellStyle name="Note 3 6 2 13" xfId="22482" xr:uid="{05682B1B-56B9-4606-890E-E38F6B0808FF}"/>
    <cellStyle name="Note 3 6 2 13 2" xfId="42281" xr:uid="{D7F1E38E-2261-46D5-ABA8-91812F25AD25}"/>
    <cellStyle name="Note 3 6 2 14" xfId="17945" xr:uid="{2D7C5C23-562D-4917-BC42-327B3D78258A}"/>
    <cellStyle name="Note 3 6 2 14 2" xfId="39043" xr:uid="{D3A418CA-8C18-4C70-BDAC-8F80764818A3}"/>
    <cellStyle name="Note 3 6 2 15" xfId="15958" xr:uid="{E627D3DF-9649-4484-88D3-D9BBE8CACFD5}"/>
    <cellStyle name="Note 3 6 2 15 2" xfId="37549" xr:uid="{5EA2970E-FDC1-48C6-9B81-436F72823047}"/>
    <cellStyle name="Note 3 6 2 16" xfId="19617" xr:uid="{CFE968A7-7581-427A-BF92-51523E904D3B}"/>
    <cellStyle name="Note 3 6 2 16 2" xfId="40257" xr:uid="{B985CB22-ADF4-4015-8C4A-645A6CECE70F}"/>
    <cellStyle name="Note 3 6 2 17" xfId="25710" xr:uid="{A336051B-BCD0-4124-8843-D155BDA8AC80}"/>
    <cellStyle name="Note 3 6 2 17 2" xfId="44547" xr:uid="{2899CAC6-C595-4965-BC70-2DB97DFBE63C}"/>
    <cellStyle name="Note 3 6 2 18" xfId="18985" xr:uid="{28794712-3817-416F-AB27-689056D28F77}"/>
    <cellStyle name="Note 3 6 2 18 2" xfId="39817" xr:uid="{9EAA0BC2-DD36-4A07-BC0E-3AFEB4174ACD}"/>
    <cellStyle name="Note 3 6 2 19" xfId="24723" xr:uid="{346FFC9B-83C8-48FB-B3C4-56D9BCC65490}"/>
    <cellStyle name="Note 3 6 2 19 2" xfId="43868" xr:uid="{BA6B14F0-5E46-46DF-8F70-43A9C0068F66}"/>
    <cellStyle name="Note 3 6 2 2" xfId="8029" xr:uid="{604C27FB-A885-4B60-B832-06030CB79E32}"/>
    <cellStyle name="Note 3 6 2 2 2" xfId="32275" xr:uid="{CA83BABE-58D2-4376-80AD-4D077DF21BCF}"/>
    <cellStyle name="Note 3 6 2 20" xfId="22505" xr:uid="{5458DA56-594D-43E3-96F5-ABE0FE6571E9}"/>
    <cellStyle name="Note 3 6 2 20 2" xfId="42304" xr:uid="{A1A50C35-F251-4EBC-BCBE-9AD61804C9B6}"/>
    <cellStyle name="Note 3 6 2 21" xfId="25343" xr:uid="{C7EE74DD-BC52-42E8-A1C9-5A25CAA445FE}"/>
    <cellStyle name="Note 3 6 2 21 2" xfId="44259" xr:uid="{0042C94C-33C7-4AF4-9206-9E778D5FA5BE}"/>
    <cellStyle name="Note 3 6 2 22" xfId="29431" xr:uid="{0107D5A2-D2B0-4781-94CF-F3032D8A5819}"/>
    <cellStyle name="Note 3 6 2 22 2" xfId="46892" xr:uid="{1C712434-B154-413F-B39F-65C87E84C69C}"/>
    <cellStyle name="Note 3 6 2 23" xfId="30131" xr:uid="{EF2169BE-E003-4BC7-A9C2-60651D02DF67}"/>
    <cellStyle name="Note 3 6 2 23 2" xfId="47299" xr:uid="{DFCEF3BA-5A48-4629-ABCC-026CC59BE609}"/>
    <cellStyle name="Note 3 6 2 24" xfId="23874" xr:uid="{1FBA0500-2F81-4A1E-8BE7-2AA05D4E7DE7}"/>
    <cellStyle name="Note 3 6 2 24 2" xfId="43253" xr:uid="{F7090398-3354-4BAC-A550-DDCABADEBC6A}"/>
    <cellStyle name="Note 3 6 2 25" xfId="25032" xr:uid="{B076E72F-ADB0-48B8-9C5A-CCC4FEC95A9B}"/>
    <cellStyle name="Note 3 6 2 25 2" xfId="44065" xr:uid="{8841490B-2105-4BB5-BAFF-BF7DDCDD2068}"/>
    <cellStyle name="Note 3 6 2 26" xfId="30765" xr:uid="{BA36BCF9-6074-44F0-AA4C-A0F6E9620911}"/>
    <cellStyle name="Note 3 6 2 26 2" xfId="47706" xr:uid="{5D44C73C-4A02-4663-8617-CE0A904D4555}"/>
    <cellStyle name="Note 3 6 2 27" xfId="28275" xr:uid="{546FD7DD-260E-4B6D-8BDE-6C48071D623D}"/>
    <cellStyle name="Note 3 6 2 27 2" xfId="46142" xr:uid="{ED704D49-23F6-419A-B691-3DFC90974180}"/>
    <cellStyle name="Note 3 6 2 28" xfId="6505" xr:uid="{7B0DEED0-3B21-497C-AE23-D7DBE28E032C}"/>
    <cellStyle name="Note 3 6 2 3" xfId="9361" xr:uid="{F08A80E2-7215-4BFC-85FC-A94CDB54B0ED}"/>
    <cellStyle name="Note 3 6 2 3 2" xfId="33344" xr:uid="{50D3B195-2739-4CB0-83B4-54D52D011AA9}"/>
    <cellStyle name="Note 3 6 2 4" xfId="7668" xr:uid="{D6B7F8D7-58B5-4006-92D4-7E02F4A15800}"/>
    <cellStyle name="Note 3 6 2 4 2" xfId="31967" xr:uid="{11781B4D-7273-4646-BBE9-4358F7D856F8}"/>
    <cellStyle name="Note 3 6 2 5" xfId="15934" xr:uid="{1B01964D-F4D5-47FC-BEA7-51FAFA964234}"/>
    <cellStyle name="Note 3 6 2 5 2" xfId="37525" xr:uid="{67965516-E0C8-47DE-8018-96162B0C8B2F}"/>
    <cellStyle name="Note 3 6 2 6" xfId="13016" xr:uid="{70D8BB24-1E54-489E-99C9-2620AF13B4BC}"/>
    <cellStyle name="Note 3 6 2 6 2" xfId="35364" xr:uid="{7BFD4CF1-131A-47DC-B07A-190A6DA70F1B}"/>
    <cellStyle name="Note 3 6 2 7" xfId="8472" xr:uid="{45C418BC-8B0D-471A-B995-CAB4A73CB56A}"/>
    <cellStyle name="Note 3 6 2 7 2" xfId="32659" xr:uid="{459876B8-CC83-4766-8649-971DEDE426E1}"/>
    <cellStyle name="Note 3 6 2 8" xfId="14867" xr:uid="{0071BF39-E8E8-47D3-B271-272EE292DB7C}"/>
    <cellStyle name="Note 3 6 2 8 2" xfId="36742" xr:uid="{55AF9DE0-BE3C-448D-83DC-D78774340D5A}"/>
    <cellStyle name="Note 3 6 2 9" xfId="7102" xr:uid="{8800CAC8-A787-4720-B6FE-9CCB4010D20E}"/>
    <cellStyle name="Note 3 6 2 9 2" xfId="31469" xr:uid="{DCF87B00-0C67-4E4D-A596-FACEAA8D818C}"/>
    <cellStyle name="Note 3 6 20" xfId="20387" xr:uid="{FF1E65FE-E6F8-41C8-AFE5-B1CD8CE18496}"/>
    <cellStyle name="Note 3 6 20 2" xfId="40809" xr:uid="{7DC72040-12B3-4269-B588-54506DFF7003}"/>
    <cellStyle name="Note 3 6 21" xfId="22701" xr:uid="{1A45962C-4937-4E6D-8BCA-0D5FAE414BA4}"/>
    <cellStyle name="Note 3 6 21 2" xfId="42460" xr:uid="{1CDB61F9-F855-43D0-81A3-8788D312DA2A}"/>
    <cellStyle name="Note 3 6 22" xfId="24518" xr:uid="{F296C4F3-0484-456E-91CF-C48A50F7DE0F}"/>
    <cellStyle name="Note 3 6 22 2" xfId="43701" xr:uid="{089AA04E-1339-4613-85C9-2E7802C04AA0}"/>
    <cellStyle name="Note 3 6 23" xfId="23240" xr:uid="{23D1F87C-8A61-4F7D-B19C-DDC04009B6D9}"/>
    <cellStyle name="Note 3 6 23 2" xfId="42816" xr:uid="{975936CF-92FF-47CB-B4FF-6F3A245A0ADB}"/>
    <cellStyle name="Note 3 6 24" xfId="28601" xr:uid="{7CB1E12E-9390-4D19-BFF3-ABE2CFF7E838}"/>
    <cellStyle name="Note 3 6 24 2" xfId="46335" xr:uid="{CE39D5CF-B64A-496C-A280-CAC13977FF9F}"/>
    <cellStyle name="Note 3 6 25" xfId="23403" xr:uid="{0DB4A9FE-FD8B-4F60-B419-9D4C75ED03E3}"/>
    <cellStyle name="Note 3 6 25 2" xfId="42925" xr:uid="{10B8DC89-46E5-4430-B882-712C4AA6CBDB}"/>
    <cellStyle name="Note 3 6 26" xfId="25570" xr:uid="{8D8D33E3-9033-4D6C-8E3C-F5BC0E760F70}"/>
    <cellStyle name="Note 3 6 26 2" xfId="44438" xr:uid="{898A461B-AC3B-4649-89E0-79F0D3624A16}"/>
    <cellStyle name="Note 3 6 27" xfId="27408" xr:uid="{CD764F8D-B495-45EF-9288-460AF60B30A6}"/>
    <cellStyle name="Note 3 6 27 2" xfId="45663" xr:uid="{E222E407-2357-49CA-B59B-FCEA6C9C33E7}"/>
    <cellStyle name="Note 3 6 28" xfId="26001" xr:uid="{887D343A-FE51-49F8-8294-450A070E0002}"/>
    <cellStyle name="Note 3 6 28 2" xfId="44779" xr:uid="{A8A81B69-C869-4659-A91A-3D729C132D34}"/>
    <cellStyle name="Note 3 6 29" xfId="6504" xr:uid="{B4C18186-044F-4EBE-A9EB-3440E397AE81}"/>
    <cellStyle name="Note 3 6 3" xfId="8030" xr:uid="{381BF1DC-4E33-4370-84B2-763E26363DD0}"/>
    <cellStyle name="Note 3 6 3 2" xfId="32276" xr:uid="{BDB7A71A-C915-4B87-AB1D-5342DC517DC5}"/>
    <cellStyle name="Note 3 6 4" xfId="9360" xr:uid="{1BC7DE68-CCF9-46A2-AA46-BD4F68BA8CB1}"/>
    <cellStyle name="Note 3 6 4 2" xfId="33343" xr:uid="{B1A1AB39-EE82-4DF1-9A66-E7ADDE6DC7CD}"/>
    <cellStyle name="Note 3 6 5" xfId="12074" xr:uid="{86259D6E-F463-4FFF-92E5-CF21E2C03604}"/>
    <cellStyle name="Note 3 6 5 2" xfId="34632" xr:uid="{9FB89678-7093-4332-BBA9-5B39520B5D9A}"/>
    <cellStyle name="Note 3 6 6" xfId="14309" xr:uid="{02F530E4-9C3B-42E6-8507-6A6A4AC50C42}"/>
    <cellStyle name="Note 3 6 6 2" xfId="36352" xr:uid="{F71418A4-F9C9-49C2-A05A-425D1A02E97A}"/>
    <cellStyle name="Note 3 6 7" xfId="10470" xr:uid="{038C63D9-006B-4ADD-817F-393BECF1A720}"/>
    <cellStyle name="Note 3 6 7 2" xfId="34105" xr:uid="{5A24623C-7B0A-407E-BC10-2F32B998E42A}"/>
    <cellStyle name="Note 3 6 8" xfId="8473" xr:uid="{2E249CE8-F3D8-4F9F-9136-83633A0070F7}"/>
    <cellStyle name="Note 3 6 8 2" xfId="32660" xr:uid="{8512CA5F-2657-4DBE-A841-022A1CDCED00}"/>
    <cellStyle name="Note 3 6 9" xfId="10570" xr:uid="{63335B9C-0497-4723-B09A-4C34DF4E23A3}"/>
    <cellStyle name="Note 3 6 9 2" xfId="34196" xr:uid="{F8644E8E-1F6D-4586-A966-AD68C2002C1F}"/>
    <cellStyle name="Note 3 7" xfId="2985" xr:uid="{82719578-4657-449E-B3A8-7625153703AD}"/>
    <cellStyle name="Note 3 7 10" xfId="12796" xr:uid="{7D0BD386-DABE-4434-B042-15D70364A782}"/>
    <cellStyle name="Note 3 7 10 2" xfId="35198" xr:uid="{3D2EBEBD-266C-4174-9F84-34AC1D515C5C}"/>
    <cellStyle name="Note 3 7 11" xfId="14642" xr:uid="{86F1403B-AF39-4162-83B8-24B971BE952B}"/>
    <cellStyle name="Note 3 7 11 2" xfId="36554" xr:uid="{62D9DE0C-6542-4E87-B181-1C500CBF6986}"/>
    <cellStyle name="Note 3 7 12" xfId="12546" xr:uid="{649C6030-5C06-4FE1-BB6D-4C70401F48BC}"/>
    <cellStyle name="Note 3 7 12 2" xfId="34990" xr:uid="{9D73602E-6A3B-4B71-BBA8-5686D6A30F5C}"/>
    <cellStyle name="Note 3 7 13" xfId="13706" xr:uid="{2C317E5E-8408-4BCA-915D-986385A3FD70}"/>
    <cellStyle name="Note 3 7 13 2" xfId="35862" xr:uid="{5BF47576-61AD-42E2-A599-24902EF1C044}"/>
    <cellStyle name="Note 3 7 14" xfId="22485" xr:uid="{E551E28E-B298-494D-9D33-C19790D3C59B}"/>
    <cellStyle name="Note 3 7 14 2" xfId="42284" xr:uid="{D2F03BFC-044C-4FA7-9AC4-AA4793654CEA}"/>
    <cellStyle name="Note 3 7 15" xfId="19723" xr:uid="{6BA76217-41E3-44E5-9C88-49A60E3CAE22}"/>
    <cellStyle name="Note 3 7 15 2" xfId="40340" xr:uid="{0944FCC9-7670-49A4-B761-CB9A0E4942AB}"/>
    <cellStyle name="Note 3 7 16" xfId="18450" xr:uid="{6FE21475-43F3-43F0-A246-C920E53DF479}"/>
    <cellStyle name="Note 3 7 16 2" xfId="39458" xr:uid="{BD374BC5-96E5-4CCF-93B0-76DBC507F94B}"/>
    <cellStyle name="Note 3 7 17" xfId="21410" xr:uid="{8144522F-A32C-4D5A-8138-48BA12748A7D}"/>
    <cellStyle name="Note 3 7 17 2" xfId="41539" xr:uid="{94F2D723-37CE-4C3C-A20C-B234AEE500CD}"/>
    <cellStyle name="Note 3 7 18" xfId="18318" xr:uid="{0FA4E878-8220-4B27-8E40-EDEC9AEA64C3}"/>
    <cellStyle name="Note 3 7 18 2" xfId="39349" xr:uid="{138649CF-FAFA-45DB-8789-9307E77B7BD0}"/>
    <cellStyle name="Note 3 7 19" xfId="22783" xr:uid="{F09719AE-08B9-427F-83C0-46FCD111E805}"/>
    <cellStyle name="Note 3 7 19 2" xfId="42536" xr:uid="{7319C46E-23A1-4B9A-B1A5-21E0B38EB4F4}"/>
    <cellStyle name="Note 3 7 2" xfId="2986" xr:uid="{2C2AF8AA-F8E0-4657-A9A1-9B0D8D6BC288}"/>
    <cellStyle name="Note 3 7 2 10" xfId="12749" xr:uid="{B1ACB003-374C-4641-ABED-CAF7FADAFFC4}"/>
    <cellStyle name="Note 3 7 2 10 2" xfId="35158" xr:uid="{CAE4D0A5-330B-43C5-9F4B-F13235BBEC07}"/>
    <cellStyle name="Note 3 7 2 11" xfId="16516" xr:uid="{5E687988-B9A2-4912-B237-18AED2532EC7}"/>
    <cellStyle name="Note 3 7 2 11 2" xfId="38009" xr:uid="{BE31B151-B24A-40DD-89A3-38F252CB0919}"/>
    <cellStyle name="Note 3 7 2 12" xfId="17479" xr:uid="{7D1C0664-15C5-4FBC-A9F0-C6B7BB418ACD}"/>
    <cellStyle name="Note 3 7 2 12 2" xfId="38726" xr:uid="{7C1237BA-4A02-489C-9CEB-E7CD8CD46032}"/>
    <cellStyle name="Note 3 7 2 13" xfId="19239" xr:uid="{965B6B5A-1671-4F3E-9AF8-F2352DBFA3FB}"/>
    <cellStyle name="Note 3 7 2 13 2" xfId="40035" xr:uid="{850FE2C1-B866-4EB6-B525-5CE516787F13}"/>
    <cellStyle name="Note 3 7 2 14" xfId="15712" xr:uid="{E2604119-0D09-4598-B5B8-EAE3799A414B}"/>
    <cellStyle name="Note 3 7 2 14 2" xfId="37343" xr:uid="{DBF8B0F0-90B5-4E74-9A9D-ADDF28502011}"/>
    <cellStyle name="Note 3 7 2 15" xfId="15957" xr:uid="{C94FFB0E-DEAA-4ECF-9969-E8CC3AFA7769}"/>
    <cellStyle name="Note 3 7 2 15 2" xfId="37548" xr:uid="{8A5AAC3B-4859-424A-8EC6-B322D24A5D82}"/>
    <cellStyle name="Note 3 7 2 16" xfId="21409" xr:uid="{475FB5F1-88E2-4724-AB8D-A26BE8A9A6B2}"/>
    <cellStyle name="Note 3 7 2 16 2" xfId="41538" xr:uid="{5DF437B3-8DB8-4A6D-A207-2E95F48726F0}"/>
    <cellStyle name="Note 3 7 2 17" xfId="25709" xr:uid="{FAB416A7-C50A-4DF5-954A-ACB388EA57CB}"/>
    <cellStyle name="Note 3 7 2 17 2" xfId="44546" xr:uid="{9C4DD2AF-2683-415B-B5DC-E070F05E4C80}"/>
    <cellStyle name="Note 3 7 2 18" xfId="25262" xr:uid="{F916DF95-FC60-4414-9C95-1B74BDB174A3}"/>
    <cellStyle name="Note 3 7 2 18 2" xfId="44183" xr:uid="{F2BECA6F-2035-4326-B889-06BC0317F58D}"/>
    <cellStyle name="Note 3 7 2 19" xfId="24722" xr:uid="{F03177CA-B0AA-49CB-BF4A-064A169D4FD0}"/>
    <cellStyle name="Note 3 7 2 19 2" xfId="43867" xr:uid="{5BA0BA5B-48F0-49BA-92B4-21536110B859}"/>
    <cellStyle name="Note 3 7 2 2" xfId="8027" xr:uid="{E6283C5E-9DB5-4A5B-8838-C0A47655AB2C}"/>
    <cellStyle name="Note 3 7 2 2 2" xfId="32273" xr:uid="{65A33E79-ED2A-488F-8085-5C4B7F6B36D3}"/>
    <cellStyle name="Note 3 7 2 20" xfId="21982" xr:uid="{BF920008-0164-400D-A83B-443814003C26}"/>
    <cellStyle name="Note 3 7 2 20 2" xfId="41887" xr:uid="{725AA1AD-F3DD-47E2-8651-F87096FAD9E3}"/>
    <cellStyle name="Note 3 7 2 21" xfId="22280" xr:uid="{FCAEA240-F055-48D0-994B-D239636512BF}"/>
    <cellStyle name="Note 3 7 2 21 2" xfId="42145" xr:uid="{FF232445-18A9-4CCF-9966-934A3F1113C0}"/>
    <cellStyle name="Note 3 7 2 22" xfId="23239" xr:uid="{1F2E1A2F-B36B-4BA4-9C6F-650BA1599111}"/>
    <cellStyle name="Note 3 7 2 22 2" xfId="42815" xr:uid="{6E863533-457D-4172-A00C-FEE7ED684DE6}"/>
    <cellStyle name="Note 3 7 2 23" xfId="28600" xr:uid="{4C399CFE-407A-45E0-950E-1B49819CB9BD}"/>
    <cellStyle name="Note 3 7 2 23 2" xfId="46334" xr:uid="{5E192926-C11A-4DCF-9736-93558A7E2798}"/>
    <cellStyle name="Note 3 7 2 24" xfId="23873" xr:uid="{24511CA3-D79E-4DA5-8B80-E469D664B022}"/>
    <cellStyle name="Note 3 7 2 24 2" xfId="43252" xr:uid="{EA1239BD-8113-4F82-8AD8-E101FE6BEAFF}"/>
    <cellStyle name="Note 3 7 2 25" xfId="27900" xr:uid="{AAF996D8-0C2B-43BD-8764-CEDB8607EFEA}"/>
    <cellStyle name="Note 3 7 2 25 2" xfId="45972" xr:uid="{85FF295E-FF49-491B-97B5-9B15E938EC21}"/>
    <cellStyle name="Note 3 7 2 26" xfId="29865" xr:uid="{1BE6F367-42D9-4189-9DCB-066522A8B0AF}"/>
    <cellStyle name="Note 3 7 2 26 2" xfId="47160" xr:uid="{AE21BBE6-80A3-4A22-99EE-5F88486EA073}"/>
    <cellStyle name="Note 3 7 2 27" xfId="26963" xr:uid="{3C2756A4-BF89-4AA4-AD30-CAC5B2A58AF8}"/>
    <cellStyle name="Note 3 7 2 27 2" xfId="45370" xr:uid="{F0BD3C3B-8803-4129-A2FA-8F626A4C52C8}"/>
    <cellStyle name="Note 3 7 2 28" xfId="6507" xr:uid="{09DFF4A4-7DE0-4A28-8C0A-5D7AE650CEFF}"/>
    <cellStyle name="Note 3 7 2 3" xfId="9363" xr:uid="{127B1A04-31CE-4292-9792-0764F467C637}"/>
    <cellStyle name="Note 3 7 2 3 2" xfId="33346" xr:uid="{14EBFDA6-790D-4916-BF38-8D1C2DEEAEB6}"/>
    <cellStyle name="Note 3 7 2 4" xfId="7667" xr:uid="{A4C700F2-94BC-4C12-9EF6-05971746BDC1}"/>
    <cellStyle name="Note 3 7 2 4 2" xfId="31966" xr:uid="{53BDCB47-F44E-4241-96EA-2C35C8DAB5DC}"/>
    <cellStyle name="Note 3 7 2 5" xfId="8781" xr:uid="{2A22801A-284F-4792-B6BF-666F708065DB}"/>
    <cellStyle name="Note 3 7 2 5 2" xfId="32910" xr:uid="{077B810F-51C6-45B6-A61D-76F71C3EE237}"/>
    <cellStyle name="Note 3 7 2 6" xfId="13015" xr:uid="{AB153A4B-41EA-48A0-A381-F08838020E2F}"/>
    <cellStyle name="Note 3 7 2 6 2" xfId="35363" xr:uid="{F7523170-024B-4326-9024-FA2E07581014}"/>
    <cellStyle name="Note 3 7 2 7" xfId="13396" xr:uid="{C8D9388B-3EB6-46BB-828F-05B9866BA4E0}"/>
    <cellStyle name="Note 3 7 2 7 2" xfId="35703" xr:uid="{77BB6179-FFB2-4B51-8EC3-05D8C90DD286}"/>
    <cellStyle name="Note 3 7 2 8" xfId="14866" xr:uid="{307474C3-D6CB-417A-ADCA-A91E43EE063E}"/>
    <cellStyle name="Note 3 7 2 8 2" xfId="36741" xr:uid="{EA13636B-1C9F-4BCC-8B58-73CBABD0F087}"/>
    <cellStyle name="Note 3 7 2 9" xfId="7099" xr:uid="{4D8AC2BA-27BF-440A-925E-95816EC166B1}"/>
    <cellStyle name="Note 3 7 2 9 2" xfId="31466" xr:uid="{5535771F-499F-4DE2-BBB7-B941C34DF5E2}"/>
    <cellStyle name="Note 3 7 20" xfId="22869" xr:uid="{2A26130D-B752-44BC-84A3-BC4B9EE44352}"/>
    <cellStyle name="Note 3 7 20 2" xfId="42587" xr:uid="{CF9FE30C-CD4B-4CFE-BC9B-A8B958F3C9EC}"/>
    <cellStyle name="Note 3 7 21" xfId="22702" xr:uid="{19976571-E208-4138-98EB-B99B236D84FF}"/>
    <cellStyle name="Note 3 7 21 2" xfId="42461" xr:uid="{0094351C-C9DE-4200-9DF0-0FC27200DBFE}"/>
    <cellStyle name="Note 3 7 22" xfId="25800" xr:uid="{2B996605-C344-45C7-935C-3463AAEC7771}"/>
    <cellStyle name="Note 3 7 22 2" xfId="44628" xr:uid="{77E18FF7-E77D-4220-9046-A30D172D9ED3}"/>
    <cellStyle name="Note 3 7 23" xfId="28950" xr:uid="{C6AF408A-72D4-4058-940D-136A7D7661D4}"/>
    <cellStyle name="Note 3 7 23 2" xfId="46546" xr:uid="{442BBD5F-D0AF-4000-90B8-12E5914FA357}"/>
    <cellStyle name="Note 3 7 24" xfId="26106" xr:uid="{F74966EA-83E2-468D-8797-8D8872DF97A7}"/>
    <cellStyle name="Note 3 7 24 2" xfId="44849" xr:uid="{F07865BC-64EF-4DA8-86DB-46E7380EC1A3}"/>
    <cellStyle name="Note 3 7 25" xfId="20339" xr:uid="{F4A506B8-AFA4-47BC-91A3-6D286DE952F0}"/>
    <cellStyle name="Note 3 7 25 2" xfId="40772" xr:uid="{BBD6EEED-CF0C-4044-9D5F-6A850B60D7C4}"/>
    <cellStyle name="Note 3 7 26" xfId="23728" xr:uid="{090BB1BB-0EC3-4CE5-ACE9-78540A2EE4C8}"/>
    <cellStyle name="Note 3 7 26 2" xfId="43144" xr:uid="{7EDC57B4-617C-4A14-B39E-FCDEE58E602A}"/>
    <cellStyle name="Note 3 7 27" xfId="30762" xr:uid="{747D6C51-191D-4920-9DCA-E663D479EA2D}"/>
    <cellStyle name="Note 3 7 27 2" xfId="47703" xr:uid="{15AC5070-35FF-43F3-8FE4-0E8E0253D87B}"/>
    <cellStyle name="Note 3 7 28" xfId="28759" xr:uid="{498CAC59-AAC0-4E31-A4C4-8E033CE00C83}"/>
    <cellStyle name="Note 3 7 28 2" xfId="46439" xr:uid="{3E112984-10B6-45DD-89CE-81A8E6640CA9}"/>
    <cellStyle name="Note 3 7 29" xfId="6506" xr:uid="{8CD3663C-3339-4763-9619-5A339A236F0B}"/>
    <cellStyle name="Note 3 7 3" xfId="8028" xr:uid="{1760FC16-038A-440E-8472-FB3931619848}"/>
    <cellStyle name="Note 3 7 3 2" xfId="32274" xr:uid="{927FE33B-41E9-4DA6-B629-0D9A64D12AFD}"/>
    <cellStyle name="Note 3 7 4" xfId="9362" xr:uid="{DDD5AC35-A56A-4C09-A0AF-C8AB3B01A9CA}"/>
    <cellStyle name="Note 3 7 4 2" xfId="33345" xr:uid="{EB0C4F71-0A97-4356-9B6A-394BFBC26AA7}"/>
    <cellStyle name="Note 3 7 5" xfId="12073" xr:uid="{BFFCD7AB-19C1-434E-9EF0-19A6C7CB7872}"/>
    <cellStyle name="Note 3 7 5 2" xfId="34631" xr:uid="{4600763E-758D-4FB4-B7F6-A9969B8CFB0E}"/>
    <cellStyle name="Note 3 7 6" xfId="15937" xr:uid="{364AE136-0BBB-4508-B1F8-BA3357A08942}"/>
    <cellStyle name="Note 3 7 6 2" xfId="37528" xr:uid="{CAAB0998-B409-42EE-8CEB-1803E36E8A3F}"/>
    <cellStyle name="Note 3 7 7" xfId="10451" xr:uid="{511A1E2A-A1CB-4F6F-8A0B-009E3EA1E2E3}"/>
    <cellStyle name="Note 3 7 7 2" xfId="34086" xr:uid="{4166F7E1-780B-4DED-BD16-3F1DCF6E6551}"/>
    <cellStyle name="Note 3 7 8" xfId="8471" xr:uid="{F7C8AB0C-3CBE-46E4-9F4B-6E51219AA42B}"/>
    <cellStyle name="Note 3 7 8 2" xfId="32658" xr:uid="{B21979F0-1BF6-4286-BF06-7FA7E516F3E1}"/>
    <cellStyle name="Note 3 7 9" xfId="12912" xr:uid="{6FE3B442-B4C3-4221-8593-A84CBE02DABD}"/>
    <cellStyle name="Note 3 7 9 2" xfId="35268" xr:uid="{624FC1D4-3EE8-4E5D-80DD-4D9BB502CFF7}"/>
    <cellStyle name="Note 3 8" xfId="2987" xr:uid="{C44067F6-541B-4958-8F72-23F54C8EE515}"/>
    <cellStyle name="Note 3 8 10" xfId="12322" xr:uid="{2747B19D-E27E-40AE-8946-41DDC5BFABEE}"/>
    <cellStyle name="Note 3 8 10 2" xfId="34826" xr:uid="{09AA4464-0634-4BD2-A380-739EC3743A3C}"/>
    <cellStyle name="Note 3 8 11" xfId="14017" xr:uid="{C506A4C0-F5BB-44B1-B732-54B778C7EF7C}"/>
    <cellStyle name="Note 3 8 11 2" xfId="36111" xr:uid="{88201472-8A40-4D78-9C10-D51A4724609D}"/>
    <cellStyle name="Note 3 8 12" xfId="13490" xr:uid="{B0F9C6E8-9B30-466B-8B18-94A34AAFF1B3}"/>
    <cellStyle name="Note 3 8 12 2" xfId="35744" xr:uid="{73680DB6-FD44-4576-A6B3-68C0E5800428}"/>
    <cellStyle name="Note 3 8 13" xfId="22484" xr:uid="{C88BA334-C17A-4836-90C3-B5AE910F351E}"/>
    <cellStyle name="Note 3 8 13 2" xfId="42283" xr:uid="{F8930BBD-6D7B-4DF4-9E93-DD57087C3AF4}"/>
    <cellStyle name="Note 3 8 14" xfId="19722" xr:uid="{DDDABB6D-327D-46C1-911D-464A2E378339}"/>
    <cellStyle name="Note 3 8 14 2" xfId="40339" xr:uid="{F7C51461-4E95-4A28-BD89-2AC8A68CA3E5}"/>
    <cellStyle name="Note 3 8 15" xfId="13237" xr:uid="{207EAFC0-BF6F-417A-8E0A-F26FEABAF05F}"/>
    <cellStyle name="Note 3 8 15 2" xfId="35583" xr:uid="{EDFB9668-6B20-4FF3-8D18-975E59A9D5BD}"/>
    <cellStyle name="Note 3 8 16" xfId="19616" xr:uid="{6D49B2C0-BF78-448F-BEF2-8EB33DFB3480}"/>
    <cellStyle name="Note 3 8 16 2" xfId="40256" xr:uid="{F6FC3371-5524-4DB6-A1F4-ABEB705F1982}"/>
    <cellStyle name="Note 3 8 17" xfId="12610" xr:uid="{EBF08678-F795-4F18-8942-9C5C07AD6682}"/>
    <cellStyle name="Note 3 8 17 2" xfId="35042" xr:uid="{635CBFFB-BA87-4100-B4FD-AE0F32FB4A4F}"/>
    <cellStyle name="Note 3 8 18" xfId="18986" xr:uid="{DA325E9F-2795-43F6-8F0A-4A4F20F692B6}"/>
    <cellStyle name="Note 3 8 18 2" xfId="39818" xr:uid="{11F37AC1-277F-433E-B94D-04E4F7C4F2AE}"/>
    <cellStyle name="Note 3 8 19" xfId="22334" xr:uid="{9FB22634-0D9C-4583-9A67-EBEBBB51100E}"/>
    <cellStyle name="Note 3 8 19 2" xfId="42189" xr:uid="{127D8558-3931-49CB-8A69-293878093565}"/>
    <cellStyle name="Note 3 8 2" xfId="8026" xr:uid="{98CAD20B-4F71-4AB5-9629-0CDF68B34B2F}"/>
    <cellStyle name="Note 3 8 2 2" xfId="32272" xr:uid="{63017B77-EE25-4B45-9DC0-3A79F1D61780}"/>
    <cellStyle name="Note 3 8 20" xfId="22705" xr:uid="{5D2AAD78-60D0-4F2E-936B-89D1761C6074}"/>
    <cellStyle name="Note 3 8 20 2" xfId="42464" xr:uid="{18247920-5FDA-44AB-ADD8-9884E8F94E03}"/>
    <cellStyle name="Note 3 8 21" xfId="23452" xr:uid="{03A4C095-6D81-4CEF-B4BC-D1E064E7B196}"/>
    <cellStyle name="Note 3 8 21 2" xfId="42958" xr:uid="{B194DFD5-B82B-4AF3-852B-4629C2FC836E}"/>
    <cellStyle name="Note 3 8 22" xfId="29432" xr:uid="{B3539D5D-6A88-4D6A-86F3-C9592E9D67A7}"/>
    <cellStyle name="Note 3 8 22 2" xfId="46893" xr:uid="{0CE8A019-7A65-4633-94CC-621729ECD8A0}"/>
    <cellStyle name="Note 3 8 23" xfId="27156" xr:uid="{DC46C271-90F2-4CF4-95B4-8332277B37C5}"/>
    <cellStyle name="Note 3 8 23 2" xfId="45497" xr:uid="{29D5F7B7-FD4E-4CD6-963F-4FC9353ABEDF}"/>
    <cellStyle name="Note 3 8 24" xfId="29530" xr:uid="{448E13BD-56D6-4F3E-B52F-D143CBA022CC}"/>
    <cellStyle name="Note 3 8 24 2" xfId="46937" xr:uid="{8291ECA9-BDC4-4C3F-986A-EBB4C6BF1F2F}"/>
    <cellStyle name="Note 3 8 25" xfId="23629" xr:uid="{4B082559-D4D1-4797-BD13-29BBA6BAB039}"/>
    <cellStyle name="Note 3 8 25 2" xfId="43060" xr:uid="{532A36A2-6561-4362-9FB7-82BE7348EC9A}"/>
    <cellStyle name="Note 3 8 26" xfId="27405" xr:uid="{80B3AC6E-569D-4967-9F78-A91F5F593537}"/>
    <cellStyle name="Note 3 8 26 2" xfId="45660" xr:uid="{C0B5A375-C613-4CE4-B4DF-73CAE6F53F48}"/>
    <cellStyle name="Note 3 8 27" xfId="29084" xr:uid="{E0298BF8-9E7B-474E-9A22-F0AF59804FC3}"/>
    <cellStyle name="Note 3 8 27 2" xfId="46657" xr:uid="{AD0BBC5F-F791-4738-88A9-0E5FBDF9BD5E}"/>
    <cellStyle name="Note 3 8 28" xfId="6508" xr:uid="{3FF5EAEE-5C92-4CE3-B617-C339CCB380F6}"/>
    <cellStyle name="Note 3 8 3" xfId="9364" xr:uid="{1D07651C-C04E-4769-9186-A86132934043}"/>
    <cellStyle name="Note 3 8 3 2" xfId="33347" xr:uid="{21522371-1154-44C8-9D27-42DD42A65F6F}"/>
    <cellStyle name="Note 3 8 4" xfId="7647" xr:uid="{B6DC1DC2-0B4E-4D5D-A8BE-785D61CD693A}"/>
    <cellStyle name="Note 3 8 4 2" xfId="31946" xr:uid="{5DAFC85A-4B14-49E4-9810-49F3B131389A}"/>
    <cellStyle name="Note 3 8 5" xfId="15936" xr:uid="{16CE7EDA-4166-42D4-A183-5AF1CDD66A2C}"/>
    <cellStyle name="Note 3 8 5 2" xfId="37527" xr:uid="{CD419900-6625-409E-974A-EC5E2CA34B00}"/>
    <cellStyle name="Note 3 8 6" xfId="10452" xr:uid="{D4599FB1-12BE-4321-80DB-DC664C44B8CD}"/>
    <cellStyle name="Note 3 8 6 2" xfId="34087" xr:uid="{2D0D110C-ECE3-4B52-A326-550BBA15BB46}"/>
    <cellStyle name="Note 3 8 7" xfId="8470" xr:uid="{EFAE2BD5-6DCB-4910-A120-F47913211066}"/>
    <cellStyle name="Note 3 8 7 2" xfId="32657" xr:uid="{C862775E-B14F-4368-94C5-36719CB9D799}"/>
    <cellStyle name="Note 3 8 8" xfId="10571" xr:uid="{769C05B8-23DB-4B25-9038-13BBCA9CAB18}"/>
    <cellStyle name="Note 3 8 8 2" xfId="34197" xr:uid="{B3AB98A6-ACC0-4E25-9260-34B624D901CF}"/>
    <cellStyle name="Note 3 8 9" xfId="7098" xr:uid="{0BA79FE1-7167-4881-B10A-B5A8DDB7A417}"/>
    <cellStyle name="Note 3 8 9 2" xfId="31465" xr:uid="{489E4788-830D-4726-B2B1-9F8BCC6A44FB}"/>
    <cellStyle name="Note 3 9" xfId="8042" xr:uid="{5E1A8723-91D8-4D8D-9152-CBDAF3DEEDA2}"/>
    <cellStyle name="Note 3 9 2" xfId="32287" xr:uid="{FBD7BC9E-6C26-4CD2-980B-1A3FA163D182}"/>
    <cellStyle name="Note 3_Sheet2" xfId="2988" xr:uid="{069F51AB-EE51-42A0-BD9E-94C2908DB04B}"/>
    <cellStyle name="Note 30" xfId="2989" xr:uid="{DED5E020-49B3-460C-9C11-324A455301AA}"/>
    <cellStyle name="Note 30 10" xfId="7097" xr:uid="{DEA1531A-20C0-49C4-B225-D8448F2450B4}"/>
    <cellStyle name="Note 30 10 2" xfId="31464" xr:uid="{BA9F15EA-8821-475A-BEF4-C18F35F93C96}"/>
    <cellStyle name="Note 30 11" xfId="15521" xr:uid="{804E0328-A44A-4560-AE30-DC71E9C2C815}"/>
    <cellStyle name="Note 30 11 2" xfId="37186" xr:uid="{8042632E-CD7E-454C-A497-AF0DCFB7CBAE}"/>
    <cellStyle name="Note 30 12" xfId="12547" xr:uid="{69FE3EC3-1D85-4CA0-B12C-D14674941FE9}"/>
    <cellStyle name="Note 30 12 2" xfId="34991" xr:uid="{4C6A5B41-5A74-4246-8FAD-1BEEAE3F11B6}"/>
    <cellStyle name="Note 30 13" xfId="14455" xr:uid="{4C366DFC-49CF-4B93-8AF0-F890DD3E0C56}"/>
    <cellStyle name="Note 30 13 2" xfId="36444" xr:uid="{5807DE42-4915-4B96-B0DE-97A7364EF6C5}"/>
    <cellStyle name="Note 30 14" xfId="22483" xr:uid="{7FA3A98B-7F97-43E3-8C20-F6D9EF8283C1}"/>
    <cellStyle name="Note 30 14 2" xfId="42282" xr:uid="{A7DD7023-D217-4FAD-8BCA-0428848FE103}"/>
    <cellStyle name="Note 30 15" xfId="17694" xr:uid="{940D2069-33A4-438A-8FEC-2242ED388B70}"/>
    <cellStyle name="Note 30 15 2" xfId="38879" xr:uid="{A86DE914-A45B-4007-B5D2-B779907ACCC6}"/>
    <cellStyle name="Note 30 16" xfId="18451" xr:uid="{CFCC4807-48AE-4364-8557-64848527D568}"/>
    <cellStyle name="Note 30 16 2" xfId="39459" xr:uid="{70B00A7D-7E6A-46EB-A878-49070C812AB4}"/>
    <cellStyle name="Note 30 17" xfId="16977" xr:uid="{2F99EC4D-E148-415A-BBB5-BABC2AB20B00}"/>
    <cellStyle name="Note 30 17 2" xfId="38338" xr:uid="{8DF4EB2B-975B-4663-86A8-40423EB69A3E}"/>
    <cellStyle name="Note 30 18" xfId="18304" xr:uid="{3973FB17-BBD8-4792-A132-01EA6CDF3B86}"/>
    <cellStyle name="Note 30 18 2" xfId="39335" xr:uid="{9E4B03DD-D537-4289-8C12-20D12D39442B}"/>
    <cellStyle name="Note 30 19" xfId="18987" xr:uid="{E4E3D9B6-571E-4F60-98FA-5D7813CDD4D6}"/>
    <cellStyle name="Note 30 19 2" xfId="39819" xr:uid="{15159DDD-0AB2-4D74-89D9-E62EA5E0E826}"/>
    <cellStyle name="Note 30 2" xfId="2990" xr:uid="{EF7477B0-53A8-4ADC-A0DC-73DC3C8EFA3B}"/>
    <cellStyle name="Note 30 2 10" xfId="14641" xr:uid="{3F8AD6C5-B285-4274-BF4C-EC6AA8A4B7C1}"/>
    <cellStyle name="Note 30 2 10 2" xfId="36553" xr:uid="{F325C3EB-4E83-4065-A923-80D2C5F408B9}"/>
    <cellStyle name="Note 30 2 11" xfId="16515" xr:uid="{454B6DD6-D271-4B9F-A8D1-440E2AED45BB}"/>
    <cellStyle name="Note 30 2 11 2" xfId="38008" xr:uid="{EC45A4EF-6E3D-4251-93E4-32E381D600B3}"/>
    <cellStyle name="Note 30 2 12" xfId="17478" xr:uid="{2A58B6A7-2041-467F-8BB6-A174FEE5C20C}"/>
    <cellStyle name="Note 30 2 12 2" xfId="38725" xr:uid="{93994C0B-0B82-4C96-B466-AD6B3617D812}"/>
    <cellStyle name="Note 30 2 13" xfId="20793" xr:uid="{1BE98080-5632-44FB-BC3E-5CC27D9141C0}"/>
    <cellStyle name="Note 30 2 13 2" xfId="41153" xr:uid="{A8DA1D89-F8C3-4BBA-975A-61AEEEB05FB0}"/>
    <cellStyle name="Note 30 2 14" xfId="19721" xr:uid="{A261F444-72CD-4E4E-985B-7EECD5081C76}"/>
    <cellStyle name="Note 30 2 14 2" xfId="40338" xr:uid="{14FD1F80-DF82-491B-9FB1-73411FFFAF93}"/>
    <cellStyle name="Note 30 2 15" xfId="16174" xr:uid="{C9E78222-7145-4D3C-909E-6EED7DD93E39}"/>
    <cellStyle name="Note 30 2 15 2" xfId="37734" xr:uid="{C3B87FAB-41AB-4593-910F-88A3849474B8}"/>
    <cellStyle name="Note 30 2 16" xfId="21408" xr:uid="{6BD09CAA-F994-4288-8541-8902A0B3F548}"/>
    <cellStyle name="Note 30 2 16 2" xfId="41537" xr:uid="{D9D5FF5D-F49E-4AEC-9912-AECF9018BF33}"/>
    <cellStyle name="Note 30 2 17" xfId="16304" xr:uid="{9DD88BED-5D1D-4F7F-A818-AB3079595CC0}"/>
    <cellStyle name="Note 30 2 17 2" xfId="37841" xr:uid="{6A74B5DC-8B57-4B6B-9A34-E04DB649250E}"/>
    <cellStyle name="Note 30 2 18" xfId="22784" xr:uid="{70920FD2-48A0-4A15-9211-EEF3A1AE440C}"/>
    <cellStyle name="Note 30 2 18 2" xfId="42537" xr:uid="{DF99D576-7F08-4272-AAF9-60A996C060F9}"/>
    <cellStyle name="Note 30 2 19" xfId="24721" xr:uid="{B76B4EFE-2BDA-4010-9A03-B8A5804FB6E5}"/>
    <cellStyle name="Note 30 2 19 2" xfId="43866" xr:uid="{8B8A6919-2E06-4576-B926-7C961AA03435}"/>
    <cellStyle name="Note 30 2 2" xfId="8024" xr:uid="{563DA7BC-DBAC-4CA5-B3FB-C52EE0753885}"/>
    <cellStyle name="Note 30 2 2 2" xfId="32270" xr:uid="{4F4CE894-7254-481C-81CC-47F20DB3CCFB}"/>
    <cellStyle name="Note 30 2 20" xfId="18077" xr:uid="{B73C6CB0-9E86-46B6-8523-32B043756ED7}"/>
    <cellStyle name="Note 30 2 20 2" xfId="39151" xr:uid="{8F5C89FF-B2C5-4B4F-81D6-B3F94176CD89}"/>
    <cellStyle name="Note 30 2 21" xfId="24215" xr:uid="{7CA5D7FD-A941-4599-BCBF-E00A7DD704A1}"/>
    <cellStyle name="Note 30 2 21 2" xfId="43535" xr:uid="{49A45249-B1E8-4640-A42A-DD816BF0A079}"/>
    <cellStyle name="Note 30 2 22" xfId="25913" xr:uid="{B7852360-A804-41F3-88DA-60E38FDF63F1}"/>
    <cellStyle name="Note 30 2 22 2" xfId="44717" xr:uid="{EA7AF062-0E82-456E-9C06-3181CB0A1E77}"/>
    <cellStyle name="Note 30 2 23" xfId="23768" xr:uid="{81CB20C7-8C77-40C3-97BF-5C11C9A0EF94}"/>
    <cellStyle name="Note 30 2 23 2" xfId="43172" xr:uid="{666F21E2-A770-41A3-8A7F-8DCF7CB2F0D8}"/>
    <cellStyle name="Note 30 2 24" xfId="29675" xr:uid="{C3E7E66F-3939-435C-9D49-A1CA17BB2B76}"/>
    <cellStyle name="Note 30 2 24 2" xfId="47033" xr:uid="{B025A708-6C61-4701-AA8D-79555D3D0DC2}"/>
    <cellStyle name="Note 30 2 25" xfId="25491" xr:uid="{F46022AF-A21A-4758-911A-0A0C4D7DD715}"/>
    <cellStyle name="Note 30 2 25 2" xfId="44369" xr:uid="{8881058A-EBA6-4283-9D62-FF6122C0B3FB}"/>
    <cellStyle name="Note 30 2 26" xfId="16150" xr:uid="{FD397F20-825D-456D-96E4-DCF6D6849C32}"/>
    <cellStyle name="Note 30 2 26 2" xfId="37715" xr:uid="{D6EBC592-7644-4654-B6D0-F650FF543582}"/>
    <cellStyle name="Note 30 2 27" xfId="26962" xr:uid="{21FAED03-9391-48F5-B3C2-3AF56BB516A4}"/>
    <cellStyle name="Note 30 2 27 2" xfId="45369" xr:uid="{B7BDAC1F-9934-43CA-AD17-A3E39300487D}"/>
    <cellStyle name="Note 30 2 28" xfId="6510" xr:uid="{BA905C74-56ED-4BC5-BC3E-EA0ED5737195}"/>
    <cellStyle name="Note 30 2 3" xfId="9366" xr:uid="{EA13CC09-50D8-4606-9E48-3A8AB5B7A6A7}"/>
    <cellStyle name="Note 30 2 3 2" xfId="33349" xr:uid="{0272470E-5047-4DFA-8876-B8E562F7555E}"/>
    <cellStyle name="Note 30 2 4" xfId="12072" xr:uid="{052D684E-E6FB-4B1B-BC72-F5ECA1BD3219}"/>
    <cellStyle name="Note 30 2 4 2" xfId="34630" xr:uid="{E40BC009-2E70-459E-8786-9CF0758E4492}"/>
    <cellStyle name="Note 30 2 5" xfId="8780" xr:uid="{CD6848F4-C1D3-437C-BA9F-2C2C79FEF2E7}"/>
    <cellStyle name="Note 30 2 5 2" xfId="32909" xr:uid="{0A48E212-84CE-4A63-93B3-9229FD5D3F9B}"/>
    <cellStyle name="Note 30 2 6" xfId="13014" xr:uid="{B1E26EFC-94CB-481D-BB86-AE5ADEDBE3DD}"/>
    <cellStyle name="Note 30 2 6 2" xfId="35362" xr:uid="{7B7098F9-3EBB-429C-B54E-A6EE6A521E4A}"/>
    <cellStyle name="Note 30 2 7" xfId="8468" xr:uid="{9D3ECA65-B8F9-4CAD-85AC-949940D7061E}"/>
    <cellStyle name="Note 30 2 7 2" xfId="32655" xr:uid="{CEF4A5E1-F19D-4783-9582-62ACC9CC3BBA}"/>
    <cellStyle name="Note 30 2 8" xfId="14864" xr:uid="{D6CEBB05-AD84-42BA-8592-458D64588391}"/>
    <cellStyle name="Note 30 2 8 2" xfId="36739" xr:uid="{7719032E-60FD-4BD2-B27E-3E44F43B18E9}"/>
    <cellStyle name="Note 30 2 9" xfId="7061" xr:uid="{75079F90-D51A-41B5-9C17-4A9FB3EDE486}"/>
    <cellStyle name="Note 30 2 9 2" xfId="31428" xr:uid="{9F10E085-9E93-438F-ACAC-7FD1FAEF5899}"/>
    <cellStyle name="Note 30 20" xfId="22868" xr:uid="{BB1B0919-485B-4773-B7CC-4AD0B5EE4967}"/>
    <cellStyle name="Note 30 20 2" xfId="42586" xr:uid="{93847A03-6C50-47A5-831D-9CEB6AA311F5}"/>
    <cellStyle name="Note 30 21" xfId="13933" xr:uid="{B36A301B-FD21-40B8-BC8D-73A28DE6A660}"/>
    <cellStyle name="Note 30 21 2" xfId="36042" xr:uid="{CAAE3CE2-A551-403E-8283-76BE91757A38}"/>
    <cellStyle name="Note 30 22" xfId="25344" xr:uid="{C5962A03-FA6A-4C93-9872-14B7252BD1A9}"/>
    <cellStyle name="Note 30 22 2" xfId="44260" xr:uid="{49C9E904-C1B3-414C-8B90-41CE3164A82F}"/>
    <cellStyle name="Note 30 23" xfId="28949" xr:uid="{3B2791B2-E8DE-40CB-BFA2-79211E2A2D39}"/>
    <cellStyle name="Note 30 23 2" xfId="46545" xr:uid="{95181B04-B2FD-4FA9-9F12-99C4282E3770}"/>
    <cellStyle name="Note 30 24" xfId="27600" xr:uid="{8759A936-2BFA-43D0-B474-C28968373FC0}"/>
    <cellStyle name="Note 30 24 2" xfId="45749" xr:uid="{88D24322-FCDD-4E87-849C-E39705F14991}"/>
    <cellStyle name="Note 30 25" xfId="29422" xr:uid="{848DEC33-531F-4E5D-BE28-4208364A8C43}"/>
    <cellStyle name="Note 30 25 2" xfId="46883" xr:uid="{2DDEC5D5-5B11-4509-8F6A-1B2A52BBF190}"/>
    <cellStyle name="Note 30 26" xfId="27898" xr:uid="{3138881C-F1DD-4CD2-83D4-B55C414F291D}"/>
    <cellStyle name="Note 30 26 2" xfId="45970" xr:uid="{A26A28BF-DD4A-454E-9866-495FA55D0E04}"/>
    <cellStyle name="Note 30 27" xfId="30768" xr:uid="{8EFBB972-D484-49B0-B8D6-72F998DA60B4}"/>
    <cellStyle name="Note 30 27 2" xfId="47709" xr:uid="{12CBBC3E-62B6-4C9C-9E75-C5279A9A9644}"/>
    <cellStyle name="Note 30 28" xfId="29207" xr:uid="{4C6EFF16-8786-4C0D-B3A0-39F9CF8FAC02}"/>
    <cellStyle name="Note 30 28 2" xfId="46733" xr:uid="{46CABE26-8BDB-491B-90D5-E973786DB6A9}"/>
    <cellStyle name="Note 30 29" xfId="6509" xr:uid="{43A11AF5-A6B0-44DE-A1D0-F79ED5EEB2C0}"/>
    <cellStyle name="Note 30 3" xfId="8025" xr:uid="{ED794A7F-BB0D-4F69-A5EA-C437DB18072F}"/>
    <cellStyle name="Note 30 3 2" xfId="32271" xr:uid="{F159E262-DA38-445F-AE27-89F1C2E0B4A7}"/>
    <cellStyle name="Note 30 4" xfId="9365" xr:uid="{1AFB83D9-53EF-4BF0-9339-22B840789CCA}"/>
    <cellStyle name="Note 30 4 2" xfId="33348" xr:uid="{CAFC4444-1149-43CF-8149-7B16A81D8B50}"/>
    <cellStyle name="Note 30 5" xfId="7666" xr:uid="{B07584CE-7527-49CB-8865-8DFF9AEA3D79}"/>
    <cellStyle name="Note 30 5 2" xfId="31965" xr:uid="{496B7BB9-A01B-4998-AC61-988D4622137D}"/>
    <cellStyle name="Note 30 6" xfId="15935" xr:uid="{F4D72467-38BA-4CA7-8596-3DD29689D996}"/>
    <cellStyle name="Note 30 6 2" xfId="37526" xr:uid="{14AC40C0-8005-47C8-995A-B7D696E60994}"/>
    <cellStyle name="Note 30 7" xfId="10453" xr:uid="{D6723BDE-2CA9-480E-AD6D-4DC95F495685}"/>
    <cellStyle name="Note 30 7 2" xfId="34088" xr:uid="{5C3F2853-0EDE-4305-A981-E712146D8ADF}"/>
    <cellStyle name="Note 30 8" xfId="8469" xr:uid="{A89C8B8F-1327-4DE5-BAE2-CB9E8673FC93}"/>
    <cellStyle name="Note 30 8 2" xfId="32656" xr:uid="{51F6DBFB-B558-41D8-9275-FE2DD889A295}"/>
    <cellStyle name="Note 30 9" xfId="14404" xr:uid="{96D157EF-CA67-4193-9B11-077AF3029560}"/>
    <cellStyle name="Note 30 9 2" xfId="36397" xr:uid="{0356A794-1285-4678-AFC9-31FFCCC8D088}"/>
    <cellStyle name="Note 31" xfId="2991" xr:uid="{674C6B63-B2BB-453D-9680-D932E0D3A06C}"/>
    <cellStyle name="Note 31 10" xfId="7063" xr:uid="{485E762F-8403-4652-879D-5B7608D308F5}"/>
    <cellStyle name="Note 31 10 2" xfId="31430" xr:uid="{7FBFD70C-E8BA-4846-985A-05A2606E20C2}"/>
    <cellStyle name="Note 31 11" xfId="12748" xr:uid="{45CF61B9-7497-4F5D-AF39-1C9076582D7A}"/>
    <cellStyle name="Note 31 11 2" xfId="35157" xr:uid="{4AFE7ED6-AEA9-4614-8416-9A344D5E3CB5}"/>
    <cellStyle name="Note 31 12" xfId="14016" xr:uid="{DB6929FB-0291-47C1-BE95-526C99AC8E9E}"/>
    <cellStyle name="Note 31 12 2" xfId="36110" xr:uid="{1C703780-FB65-495D-A3A5-A08B5887B3D2}"/>
    <cellStyle name="Note 31 13" xfId="15620" xr:uid="{3A61A7BD-2F1C-4504-A18C-B0EF5C96D0E4}"/>
    <cellStyle name="Note 31 13 2" xfId="37278" xr:uid="{955C5A67-B0B7-4F79-91D4-C6661EE2FC81}"/>
    <cellStyle name="Note 31 14" xfId="19256" xr:uid="{F1B0C1A3-BCC8-457A-A36C-87D451794B73}"/>
    <cellStyle name="Note 31 14 2" xfId="40043" xr:uid="{05D51D3C-9B79-49AB-9DA7-9454B3760F9A}"/>
    <cellStyle name="Note 31 15" xfId="13602" xr:uid="{B767CCDF-184A-41D0-A2CC-E0D0599FFD89}"/>
    <cellStyle name="Note 31 15 2" xfId="35774" xr:uid="{06BEB530-2465-4EA1-9451-54B34509AE6C}"/>
    <cellStyle name="Note 31 16" xfId="21889" xr:uid="{B9BB2E45-DD4D-4AA1-BED3-45B9D315ED5D}"/>
    <cellStyle name="Note 31 16 2" xfId="41821" xr:uid="{3B14E9D0-CA07-4F28-99FA-858E51129612}"/>
    <cellStyle name="Note 31 17" xfId="21394" xr:uid="{E9251621-41A4-43BD-8F53-8B33EBFCC91B}"/>
    <cellStyle name="Note 31 17 2" xfId="41523" xr:uid="{41691BDC-989D-435C-8FD4-822CB763F530}"/>
    <cellStyle name="Note 31 18" xfId="24077" xr:uid="{4FC09010-A2A4-4FE0-957A-FB528F1CFBFC}"/>
    <cellStyle name="Note 31 18 2" xfId="43453" xr:uid="{3F114D88-40A6-4929-BDD6-767782AFEA7B}"/>
    <cellStyle name="Note 31 19" xfId="15345" xr:uid="{B05400A1-A6BF-4BA5-BA64-A28A8E0CA2E6}"/>
    <cellStyle name="Note 31 19 2" xfId="37045" xr:uid="{211A407D-92EF-4C8D-8C58-7E87E4799EF8}"/>
    <cellStyle name="Note 31 2" xfId="2992" xr:uid="{CF2904EF-DDD5-469E-A549-C95EF3432039}"/>
    <cellStyle name="Note 31 2 10" xfId="16020" xr:uid="{77A1C5B0-E830-4D9A-A5EC-EACB5A249A53}"/>
    <cellStyle name="Note 31 2 10 2" xfId="37603" xr:uid="{865BAD53-F63F-41D6-BDCC-3A4078C7A67A}"/>
    <cellStyle name="Note 31 2 11" xfId="16514" xr:uid="{3C92F1DF-EE9F-45DD-AA03-BD1C4F0E5D10}"/>
    <cellStyle name="Note 31 2 11 2" xfId="38007" xr:uid="{FDA6143D-E012-48FA-B6C0-32C8012A0C4B}"/>
    <cellStyle name="Note 31 2 12" xfId="16036" xr:uid="{8D95B4C5-B028-4641-9A48-A5C72CD334A0}"/>
    <cellStyle name="Note 31 2 12 2" xfId="37619" xr:uid="{07016B22-2B05-4D97-A9D4-55726189784A}"/>
    <cellStyle name="Note 31 2 13" xfId="22714" xr:uid="{0FB4DDAE-EFCF-40DF-BCFC-6853114FF889}"/>
    <cellStyle name="Note 31 2 13 2" xfId="42473" xr:uid="{EAEF4014-5235-4D3B-8848-384A2209B866}"/>
    <cellStyle name="Note 31 2 14" xfId="19720" xr:uid="{5701986A-5093-413A-AD00-0349590B52A8}"/>
    <cellStyle name="Note 31 2 14 2" xfId="40337" xr:uid="{5C8B73C4-E573-4A42-AD6B-D90B36543D6E}"/>
    <cellStyle name="Note 31 2 15" xfId="20297" xr:uid="{3E1E9A37-E39D-4E94-8C9F-B45CB4177535}"/>
    <cellStyle name="Note 31 2 15 2" xfId="40734" xr:uid="{B4B15BBB-7216-4449-9395-09D55441C406}"/>
    <cellStyle name="Note 31 2 16" xfId="19615" xr:uid="{DE0E04A5-6651-4F53-BAFE-3A8FAB9CCB66}"/>
    <cellStyle name="Note 31 2 16 2" xfId="40255" xr:uid="{4430112D-BE98-4676-B23F-7C88F69AEF1C}"/>
    <cellStyle name="Note 31 2 17" xfId="25704" xr:uid="{B44659A0-A87D-4675-823A-3C13510D2DB5}"/>
    <cellStyle name="Note 31 2 17 2" xfId="44541" xr:uid="{F9F1459A-7CFB-4097-8FFF-DD6256476C02}"/>
    <cellStyle name="Note 31 2 18" xfId="23516" xr:uid="{4A0C1FD0-F431-499F-A647-43D0DE2BD407}"/>
    <cellStyle name="Note 31 2 18 2" xfId="42976" xr:uid="{4941AC1B-3377-4AC7-B753-E2ADAF6E4022}"/>
    <cellStyle name="Note 31 2 19" xfId="15413" xr:uid="{4227839F-8C90-46C0-8B19-36D91BB56223}"/>
    <cellStyle name="Note 31 2 19 2" xfId="37104" xr:uid="{1C7C55A3-9431-4657-9721-9B76D34F9DD9}"/>
    <cellStyle name="Note 31 2 2" xfId="8022" xr:uid="{21BE8794-02EC-437A-88C7-8C29E471A12B}"/>
    <cellStyle name="Note 31 2 2 2" xfId="32268" xr:uid="{A90D8135-8874-4AD5-97BB-687A684663A6}"/>
    <cellStyle name="Note 31 2 20" xfId="22717" xr:uid="{369FCEB2-D0E1-40EE-B2A9-B2E5C5EFBBC4}"/>
    <cellStyle name="Note 31 2 20 2" xfId="42476" xr:uid="{98CDAE06-BA36-4387-B8EB-28A32DB0CF67}"/>
    <cellStyle name="Note 31 2 21" xfId="24517" xr:uid="{6B2FD00D-2350-49D0-812B-AA020D0BC982}"/>
    <cellStyle name="Note 31 2 21 2" xfId="43700" xr:uid="{043D5419-0038-4894-96A3-B31B15AC666D}"/>
    <cellStyle name="Note 31 2 22" xfId="29686" xr:uid="{94050D46-FF6B-445D-8DB4-A84224534DCF}"/>
    <cellStyle name="Note 31 2 22 2" xfId="47040" xr:uid="{8792CA3C-2285-475F-8781-713229E77629}"/>
    <cellStyle name="Note 31 2 23" xfId="29764" xr:uid="{C6A05E14-F972-4700-BE74-BADA358DFE54}"/>
    <cellStyle name="Note 31 2 23 2" xfId="47083" xr:uid="{4AEE7CDE-1597-419B-8D7B-DEAE2ACC5527}"/>
    <cellStyle name="Note 31 2 24" xfId="19509" xr:uid="{3C8CE3E3-17BA-4049-B7C7-2FB9CEB0E39C}"/>
    <cellStyle name="Note 31 2 24 2" xfId="40186" xr:uid="{C052BF00-1E60-4ACE-887B-1DDCE354A783}"/>
    <cellStyle name="Note 31 2 25" xfId="25571" xr:uid="{F7A5FEBB-40C4-4684-ABCC-DE09BBDBE435}"/>
    <cellStyle name="Note 31 2 25 2" xfId="44439" xr:uid="{D875AFA6-FE36-49CB-BC93-22B90B0687E3}"/>
    <cellStyle name="Note 31 2 26" xfId="30766" xr:uid="{DDC46785-52D6-4DD4-A481-0B9E44BC1C18}"/>
    <cellStyle name="Note 31 2 26 2" xfId="47707" xr:uid="{01BEF398-393D-4CBB-BD87-75BFCA5DE679}"/>
    <cellStyle name="Note 31 2 27" xfId="28274" xr:uid="{B5B44CBF-C07F-4102-BB31-23AF47DC8140}"/>
    <cellStyle name="Note 31 2 27 2" xfId="46141" xr:uid="{B290B163-221A-4135-A643-6CBF735D5C07}"/>
    <cellStyle name="Note 31 2 28" xfId="6512" xr:uid="{2B0DA5C2-BB08-4293-8D43-EEE620FDC7E8}"/>
    <cellStyle name="Note 31 2 3" xfId="9368" xr:uid="{7CAD10B9-4F24-4237-89A7-0034318F673B}"/>
    <cellStyle name="Note 31 2 3 2" xfId="33351" xr:uid="{FFE665A7-33FC-46A0-9D7D-85F852B7E2D2}"/>
    <cellStyle name="Note 31 2 4" xfId="12071" xr:uid="{BC8848F1-D51A-4F51-9125-23AC292DC397}"/>
    <cellStyle name="Note 31 2 4 2" xfId="34629" xr:uid="{122761F7-D19F-49E2-AABE-CFB8DEA01E72}"/>
    <cellStyle name="Note 31 2 5" xfId="16186" xr:uid="{2C23E0EE-E6C0-446B-8E88-A5D77B1C93F0}"/>
    <cellStyle name="Note 31 2 5 2" xfId="37745" xr:uid="{F142E275-D409-4BC5-90C6-461A2CF64866}"/>
    <cellStyle name="Note 31 2 6" xfId="13013" xr:uid="{FD6A72C8-5FE3-4EEF-B28F-D904CF3A19E2}"/>
    <cellStyle name="Note 31 2 6 2" xfId="35361" xr:uid="{5429A0FE-663D-40B1-A191-90A26544111C}"/>
    <cellStyle name="Note 31 2 7" xfId="16192" xr:uid="{0254BAC0-C761-43AA-9870-DEE80BEFDBCC}"/>
    <cellStyle name="Note 31 2 7 2" xfId="37751" xr:uid="{17B73F95-6AD4-4392-BEC0-542DA73F79E6}"/>
    <cellStyle name="Note 31 2 8" xfId="14863" xr:uid="{134CFB4A-FAF1-46CE-917C-9FCA564059FE}"/>
    <cellStyle name="Note 31 2 8 2" xfId="36738" xr:uid="{F348F32E-5447-4AF2-907C-B9586A4C11BD}"/>
    <cellStyle name="Note 31 2 9" xfId="7096" xr:uid="{FB3456DF-6858-4EF6-9684-5B04E6CC4D54}"/>
    <cellStyle name="Note 31 2 9 2" xfId="31463" xr:uid="{D533FB5B-B228-4F84-8EA8-A7297FC35189}"/>
    <cellStyle name="Note 31 20" xfId="25744" xr:uid="{DA85B1F8-7F53-40A1-9B03-248BFF8CCAC9}"/>
    <cellStyle name="Note 31 20 2" xfId="44581" xr:uid="{C2037777-7B99-47B5-8D25-DF2EEAD61C1D}"/>
    <cellStyle name="Note 31 21" xfId="15214" xr:uid="{2FC63F1E-5933-4FD9-901F-CC95EC8CFD8D}"/>
    <cellStyle name="Note 31 21 2" xfId="36984" xr:uid="{67257050-10A5-4C23-BEB8-FC74D2FF050F}"/>
    <cellStyle name="Note 31 22" xfId="22695" xr:uid="{9A571EA2-0E0C-4C25-B1F4-88B942CBD72B}"/>
    <cellStyle name="Note 31 22 2" xfId="42456" xr:uid="{60D4289C-261C-4152-8316-363D1D10B26F}"/>
    <cellStyle name="Note 31 23" xfId="26362" xr:uid="{2275FAD9-7FBC-4DE6-B22B-B55C65E08315}"/>
    <cellStyle name="Note 31 23 2" xfId="45044" xr:uid="{0D963301-A7AD-4366-8F75-2C0FE9E72C54}"/>
    <cellStyle name="Note 31 24" xfId="26096" xr:uid="{98DE39CC-0DE0-492A-9AB0-A15497127A47}"/>
    <cellStyle name="Note 31 24 2" xfId="44839" xr:uid="{8D146869-4304-4592-9262-A844CA1D7F55}"/>
    <cellStyle name="Note 31 25" xfId="17813" xr:uid="{EE4049BF-BF81-4CC6-B454-2BBE4B3B097B}"/>
    <cellStyle name="Note 31 25 2" xfId="38938" xr:uid="{51D48C1B-B89E-4179-A243-12BE6C47897B}"/>
    <cellStyle name="Note 31 26" xfId="27897" xr:uid="{7ECC9708-D799-4C05-81BF-4DE96692B25B}"/>
    <cellStyle name="Note 31 26 2" xfId="45969" xr:uid="{4CABF735-8711-4614-884F-CA1F4B69E1B6}"/>
    <cellStyle name="Note 31 27" xfId="30769" xr:uid="{47C3FB0F-3208-4C1D-B700-4E979874A8D5}"/>
    <cellStyle name="Note 31 27 2" xfId="47710" xr:uid="{0F8CE9E6-2826-480A-AD15-C974B742EB60}"/>
    <cellStyle name="Note 31 28" xfId="26900" xr:uid="{712904EB-5E6C-4424-92FA-985D6445E910}"/>
    <cellStyle name="Note 31 28 2" xfId="45323" xr:uid="{5CE34BAD-D522-4205-B32E-906850913D35}"/>
    <cellStyle name="Note 31 29" xfId="6511" xr:uid="{A175DB84-8695-4922-92B1-53F15D155758}"/>
    <cellStyle name="Note 31 3" xfId="8023" xr:uid="{D438C57B-A9A1-457B-B3E9-F30F132143A4}"/>
    <cellStyle name="Note 31 3 2" xfId="32269" xr:uid="{E04D1903-1A10-4274-A845-9259128AF3B7}"/>
    <cellStyle name="Note 31 4" xfId="9367" xr:uid="{877BEDB2-2182-4C1A-BF6B-279797041FE0}"/>
    <cellStyle name="Note 31 4 2" xfId="33350" xr:uid="{887546B2-E50A-4E04-8AF9-497D82707D33}"/>
    <cellStyle name="Note 31 5" xfId="7665" xr:uid="{553AB548-DBF4-4F8F-8904-BE24C8109CEB}"/>
    <cellStyle name="Note 31 5 2" xfId="31964" xr:uid="{67C37BBB-F837-4FBA-8DDA-D0CEEF187F7A}"/>
    <cellStyle name="Note 31 6" xfId="14308" xr:uid="{7AB8357B-3E5F-4991-8909-772616D3BFE8}"/>
    <cellStyle name="Note 31 6 2" xfId="36351" xr:uid="{E3ECAAF2-C399-4270-BCE7-818ECBB9C823}"/>
    <cellStyle name="Note 31 7" xfId="10454" xr:uid="{D26D99F0-EE23-40A3-95DB-2948F82C89D3}"/>
    <cellStyle name="Note 31 7 2" xfId="34089" xr:uid="{FE53F00C-0554-45BF-BD8C-6E464A1143C7}"/>
    <cellStyle name="Note 31 8" xfId="13395" xr:uid="{990974D7-AA4A-4547-A309-4876C867F825}"/>
    <cellStyle name="Note 31 8 2" xfId="35702" xr:uid="{E896FC8A-EFF0-4A2A-A31C-B1076E298E42}"/>
    <cellStyle name="Note 31 9" xfId="12911" xr:uid="{8E90EDFC-011B-4090-BCF7-3916C3632CA1}"/>
    <cellStyle name="Note 31 9 2" xfId="35267" xr:uid="{A191E184-8610-4C47-B3D0-94BEC84D53DB}"/>
    <cellStyle name="Note 32" xfId="2993" xr:uid="{73B4FD28-30EF-4AE4-907B-5D65EFA09F50}"/>
    <cellStyle name="Note 32 10" xfId="7095" xr:uid="{3AAFDB4A-6C98-4936-B90F-6969D27D65D3}"/>
    <cellStyle name="Note 32 10 2" xfId="31462" xr:uid="{59AC18F6-F164-458C-8E74-EBE7B6752091}"/>
    <cellStyle name="Note 32 11" xfId="15522" xr:uid="{50B89A34-D4AD-4EB3-BB62-9B47B74E07D9}"/>
    <cellStyle name="Note 32 11 2" xfId="37187" xr:uid="{1EB7C8A4-FF50-47FB-B4AB-809CE44AC3DC}"/>
    <cellStyle name="Note 32 12" xfId="12548" xr:uid="{E3DFC325-AC9D-4CC6-91DA-3B4111FE57BF}"/>
    <cellStyle name="Note 32 12 2" xfId="34992" xr:uid="{8CECEA1F-7A18-4A20-96D0-449E21A5D97B}"/>
    <cellStyle name="Note 32 13" xfId="15167" xr:uid="{F53384B0-E304-45BA-B08B-FA37A9687DC5}"/>
    <cellStyle name="Note 32 13 2" xfId="36955" xr:uid="{D6154A41-8CFA-4013-AD0E-E88BE2D075D0}"/>
    <cellStyle name="Note 32 14" xfId="20792" xr:uid="{1C83E670-6069-4C72-A329-CA8C9548DCC5}"/>
    <cellStyle name="Note 32 14 2" xfId="41152" xr:uid="{A16BA3DF-659F-4958-AE81-37A88545DC09}"/>
    <cellStyle name="Note 32 15" xfId="19374" xr:uid="{8E908A56-6F4E-4E98-A0E1-BCA4359C2177}"/>
    <cellStyle name="Note 32 15 2" xfId="40099" xr:uid="{CF10FC57-8829-4059-B815-5E85CBA886B5}"/>
    <cellStyle name="Note 32 16" xfId="21898" xr:uid="{3D8EA7C5-F7DE-4D1D-8EE5-70B226B85E58}"/>
    <cellStyle name="Note 32 16 2" xfId="41827" xr:uid="{2B9C483E-1D92-4F1D-B104-D15252017E7D}"/>
    <cellStyle name="Note 32 17" xfId="22521" xr:uid="{535AFB84-C9D7-4A5D-8DA3-9CD002D8AB2E}"/>
    <cellStyle name="Note 32 17 2" xfId="42320" xr:uid="{76D5AAEC-D4E1-47CC-A2D8-1BBE9E8B6809}"/>
    <cellStyle name="Note 32 18" xfId="25707" xr:uid="{A4857A27-AF8F-495C-8860-80F749E4A73C}"/>
    <cellStyle name="Note 32 18 2" xfId="44544" xr:uid="{5982D8C4-29B8-456B-BF40-4838E22B995E}"/>
    <cellStyle name="Note 32 19" xfId="22456" xr:uid="{CE222AE1-5E59-43D3-920E-1BBC33A5202D}"/>
    <cellStyle name="Note 32 19 2" xfId="42258" xr:uid="{0B7CD285-BEFB-4A49-ADCF-3B99187EBE5D}"/>
    <cellStyle name="Note 32 2" xfId="2994" xr:uid="{E79CC66A-BAD4-4C06-8B6F-960A6B1DD0EB}"/>
    <cellStyle name="Note 32 2 10" xfId="15530" xr:uid="{BD55A3E8-63E0-4D4E-9D78-37C573441810}"/>
    <cellStyle name="Note 32 2 10 2" xfId="37195" xr:uid="{ACDA7BB7-7445-429F-8396-49B0E4666195}"/>
    <cellStyle name="Note 32 2 11" xfId="16513" xr:uid="{D36294A4-FA89-415D-A9A8-964B4342CFEF}"/>
    <cellStyle name="Note 32 2 11 2" xfId="38006" xr:uid="{F8C59C46-DFA0-4CE1-B9B4-E3477EE319C6}"/>
    <cellStyle name="Note 32 2 12" xfId="17477" xr:uid="{8F1932EC-42B0-43BD-AAAF-7E6AAD09A4B2}"/>
    <cellStyle name="Note 32 2 12 2" xfId="38724" xr:uid="{A08B3CEF-6635-4DBF-A50A-5461E1F8049E}"/>
    <cellStyle name="Note 32 2 13" xfId="19240" xr:uid="{5EF79B51-A95A-4143-8EC1-2637942CA43A}"/>
    <cellStyle name="Note 32 2 13 2" xfId="40036" xr:uid="{864A1127-A589-4843-B1C1-C7A12523D5DB}"/>
    <cellStyle name="Note 32 2 14" xfId="19719" xr:uid="{7E69510B-0283-404E-B08E-6893CF531735}"/>
    <cellStyle name="Note 32 2 14 2" xfId="40336" xr:uid="{DEDA5626-47F3-4740-A3A0-B772782FF7A9}"/>
    <cellStyle name="Note 32 2 15" xfId="15428" xr:uid="{4EC0104A-1664-4702-86D1-217F3BDFC7B0}"/>
    <cellStyle name="Note 32 2 15 2" xfId="37114" xr:uid="{5DCB6B6A-AAFE-400B-8F59-DD91175F614E}"/>
    <cellStyle name="Note 32 2 16" xfId="21407" xr:uid="{DBD71AC8-259A-4F94-93D5-32284F16F410}"/>
    <cellStyle name="Note 32 2 16 2" xfId="41536" xr:uid="{9690891C-C060-4059-8885-BF7BB61C6F06}"/>
    <cellStyle name="Note 32 2 17" xfId="24095" xr:uid="{2F02E486-6423-4EA0-BC82-146FF0733E59}"/>
    <cellStyle name="Note 32 2 17 2" xfId="43471" xr:uid="{77E0611E-98C6-46F3-B8BF-5FE8615A249E}"/>
    <cellStyle name="Note 32 2 18" xfId="25260" xr:uid="{93379430-6872-4832-8BEA-A81655469680}"/>
    <cellStyle name="Note 32 2 18 2" xfId="44181" xr:uid="{7B184BFF-EA53-4321-80AD-10CCE136CBDC}"/>
    <cellStyle name="Note 32 2 19" xfId="22867" xr:uid="{156771EE-2BA3-4335-AD16-74B316A1C263}"/>
    <cellStyle name="Note 32 2 19 2" xfId="42585" xr:uid="{FD3FD5FA-5892-4DE1-88EC-EF710B047AE1}"/>
    <cellStyle name="Note 32 2 2" xfId="8020" xr:uid="{3E70A0EF-7D64-4698-BF31-608EB772959B}"/>
    <cellStyle name="Note 32 2 2 2" xfId="32266" xr:uid="{62346ACE-6927-4831-8EB1-8973D7057D9D}"/>
    <cellStyle name="Note 32 2 20" xfId="18076" xr:uid="{6D1CFA5D-FBAB-432D-B335-F2DE0E6949CA}"/>
    <cellStyle name="Note 32 2 20 2" xfId="39150" xr:uid="{8088C07E-7EAD-4AD6-A796-2B879B152285}"/>
    <cellStyle name="Note 32 2 21" xfId="20364" xr:uid="{B5BDCE89-BE01-4762-8DBC-F9F74F4007FB}"/>
    <cellStyle name="Note 32 2 21 2" xfId="40791" xr:uid="{79190D9F-63B8-4615-A6BC-B5D0C1AD4A1B}"/>
    <cellStyle name="Note 32 2 22" xfId="25909" xr:uid="{8687C2A8-CABA-4CFF-A9A7-14210DA14480}"/>
    <cellStyle name="Note 32 2 22 2" xfId="44713" xr:uid="{301A1C2E-DBA2-4F9B-9549-FE9767B421E1}"/>
    <cellStyle name="Note 32 2 23" xfId="28787" xr:uid="{AE66CF9C-5479-4E18-A213-7712CB4E13F6}"/>
    <cellStyle name="Note 32 2 23 2" xfId="46462" xr:uid="{1697A00A-FC94-43E4-88CB-14B74548DE20}"/>
    <cellStyle name="Note 32 2 24" xfId="23871" xr:uid="{53F25531-D249-492C-9D3C-80E9C8C3C6F6}"/>
    <cellStyle name="Note 32 2 24 2" xfId="43250" xr:uid="{084E698E-1610-4CFA-9EE8-1D313766FC2F}"/>
    <cellStyle name="Note 32 2 25" xfId="27896" xr:uid="{001AEC27-0819-4298-AF7C-C81D87395A2D}"/>
    <cellStyle name="Note 32 2 25 2" xfId="45968" xr:uid="{BE092490-E77C-4F58-9D0D-3A3B3D475553}"/>
    <cellStyle name="Note 32 2 26" xfId="23040" xr:uid="{9D7A33DC-E2D5-4F3C-8867-9F08F52553DD}"/>
    <cellStyle name="Note 32 2 26 2" xfId="42674" xr:uid="{4874A86F-6302-4EF8-AA5C-94F95FBBE5F6}"/>
    <cellStyle name="Note 32 2 27" xfId="29009" xr:uid="{7C5DEBFB-16A0-4486-B314-7422A7158303}"/>
    <cellStyle name="Note 32 2 27 2" xfId="46603" xr:uid="{1808B9A5-B7BC-4F92-B5B8-83F8AE006A64}"/>
    <cellStyle name="Note 32 2 28" xfId="6514" xr:uid="{C67C9A50-FD19-4B89-BB80-240D756D0CD2}"/>
    <cellStyle name="Note 32 2 3" xfId="9370" xr:uid="{B417B2E7-ABA2-4D34-9447-7C45C00F34B5}"/>
    <cellStyle name="Note 32 2 3 2" xfId="33353" xr:uid="{3B3EB9F4-1A27-4521-808D-80BCFC2D40A5}"/>
    <cellStyle name="Note 32 2 4" xfId="12070" xr:uid="{45F2C11C-2693-4ED6-9AA1-18F27B6CF59B}"/>
    <cellStyle name="Note 32 2 4 2" xfId="34628" xr:uid="{B1455F07-917A-4FB9-81CC-489AD96A083F}"/>
    <cellStyle name="Note 32 2 5" xfId="8778" xr:uid="{75F6F657-2093-4F6C-8BAD-7486976A4257}"/>
    <cellStyle name="Note 32 2 5 2" xfId="32907" xr:uid="{2966C074-253F-479C-96AE-566A786B8773}"/>
    <cellStyle name="Note 32 2 6" xfId="13012" xr:uid="{FF0144DA-9D4E-42E6-AFC9-E1F095FD6D4C}"/>
    <cellStyle name="Note 32 2 6 2" xfId="35360" xr:uid="{E79FDE09-CBF1-40A2-8298-3D7119F5025B}"/>
    <cellStyle name="Note 32 2 7" xfId="8466" xr:uid="{5131A00B-09CE-4CE7-B69C-8517BCF0DF1E}"/>
    <cellStyle name="Note 32 2 7 2" xfId="32653" xr:uid="{3FB920B0-80A3-47B5-9E5B-FC9A3142DE70}"/>
    <cellStyle name="Note 32 2 8" xfId="10572" xr:uid="{12E8232F-6259-4CD3-990E-CD465FFD931B}"/>
    <cellStyle name="Note 32 2 8 2" xfId="34198" xr:uid="{1DBA59E5-B628-4008-8A3C-D00E13985CCE}"/>
    <cellStyle name="Note 32 2 9" xfId="7094" xr:uid="{AA035B98-6FF9-4178-A062-ACA4ADE89EA0}"/>
    <cellStyle name="Note 32 2 9 2" xfId="31461" xr:uid="{FC4982F7-7B49-48F5-9605-41D42D88C0DF}"/>
    <cellStyle name="Note 32 20" xfId="24720" xr:uid="{355BE44A-08DC-4857-9B63-E6CAEB6DADDC}"/>
    <cellStyle name="Note 32 20 2" xfId="43865" xr:uid="{60AD5249-C8EB-4ED5-8092-64C5276B29C8}"/>
    <cellStyle name="Note 32 21" xfId="22713" xr:uid="{24A68FE1-EAE4-40D5-B8A8-6A6927D024E3}"/>
    <cellStyle name="Note 32 21 2" xfId="42472" xr:uid="{E2DDF25C-17D3-4BF6-8A87-56599213DFAA}"/>
    <cellStyle name="Note 32 22" xfId="25345" xr:uid="{8F86F15B-9F38-4837-80BE-74756639F716}"/>
    <cellStyle name="Note 32 22 2" xfId="44261" xr:uid="{608D07F3-7F89-4783-879D-C18309EF1635}"/>
    <cellStyle name="Note 32 23" xfId="26935" xr:uid="{C9BCEBBC-0491-4449-ADB6-5C566015E197}"/>
    <cellStyle name="Note 32 23 2" xfId="45350" xr:uid="{29657D0C-352A-4535-B90E-CAEF4B0A1E80}"/>
    <cellStyle name="Note 32 24" xfId="29138" xr:uid="{6A01CBC8-A1E5-4B97-BF2E-E9E1B966E72B}"/>
    <cellStyle name="Note 32 24 2" xfId="46680" xr:uid="{4B672EC5-62B3-4DE0-A611-0DE4D7DF2821}"/>
    <cellStyle name="Note 32 25" xfId="23872" xr:uid="{3126B4F2-0D15-4636-B1B3-CD9E6E64873F}"/>
    <cellStyle name="Note 32 25 2" xfId="43251" xr:uid="{4BCBC195-6BDF-4679-9904-E998184BEEC1}"/>
    <cellStyle name="Note 32 26" xfId="23632" xr:uid="{CBB77E70-4BBF-4602-BA69-91F79D136C8D}"/>
    <cellStyle name="Note 32 26 2" xfId="43063" xr:uid="{ED54A811-B7C3-4822-B6C3-A51CDFADF0F4}"/>
    <cellStyle name="Note 32 27" xfId="24873" xr:uid="{A2263C65-C928-4C20-AC31-F4E7247D3CBE}"/>
    <cellStyle name="Note 32 27 2" xfId="43981" xr:uid="{65B6B256-12D6-4777-9D91-5E7A8922B607}"/>
    <cellStyle name="Note 32 28" xfId="27692" xr:uid="{DD6F3AD4-BF68-4F32-A0DE-DF8689F6C6A7}"/>
    <cellStyle name="Note 32 28 2" xfId="45806" xr:uid="{0AF0C34C-969D-4F2B-B290-F75BFAA02C80}"/>
    <cellStyle name="Note 32 29" xfId="6513" xr:uid="{1825AFE4-D320-40E4-B53D-88F2D069A5C1}"/>
    <cellStyle name="Note 32 3" xfId="8021" xr:uid="{0A739BB4-AEBB-4439-B445-F24585A3A335}"/>
    <cellStyle name="Note 32 3 2" xfId="32267" xr:uid="{1CBB2B20-BA52-4745-91E1-7DDC8A8852CA}"/>
    <cellStyle name="Note 32 4" xfId="9369" xr:uid="{DFA554AB-DE41-4D4E-9CB3-56CE3A5902B1}"/>
    <cellStyle name="Note 32 4 2" xfId="33352" xr:uid="{FF230ED2-28FC-4ACE-BF42-5D1235283559}"/>
    <cellStyle name="Note 32 5" xfId="7664" xr:uid="{A6703B4F-9840-483E-99CB-8039A7C062D6}"/>
    <cellStyle name="Note 32 5 2" xfId="31963" xr:uid="{224D00AF-161D-48E6-9813-88F8CFC133A5}"/>
    <cellStyle name="Note 32 6" xfId="8779" xr:uid="{C87D485B-B4F9-4F4E-9417-DC4A73D7D6FC}"/>
    <cellStyle name="Note 32 6 2" xfId="32908" xr:uid="{EB0695AC-4341-432E-98A6-006C43BB9E00}"/>
    <cellStyle name="Note 32 7" xfId="10455" xr:uid="{F32AA81A-792B-4C2E-9F79-BEB4B6BC04E1}"/>
    <cellStyle name="Note 32 7 2" xfId="34090" xr:uid="{BEA447D0-C9DE-45DF-B466-F46EFE55A929}"/>
    <cellStyle name="Note 32 8" xfId="8467" xr:uid="{DBDA54CC-114E-464D-B7AD-14F9B7229618}"/>
    <cellStyle name="Note 32 8 2" xfId="32654" xr:uid="{B1C4E7CE-1728-44CD-B008-40D25EACE226}"/>
    <cellStyle name="Note 32 9" xfId="15967" xr:uid="{14660B3B-60FA-4DD3-B68F-EE6B6AA966AB}"/>
    <cellStyle name="Note 32 9 2" xfId="37558" xr:uid="{03DC2471-9055-47D4-BF7F-FFF5B0F9CA4B}"/>
    <cellStyle name="Note 33" xfId="2995" xr:uid="{38323A97-72EF-4F26-A686-F539F1473E75}"/>
    <cellStyle name="Note 33 10" xfId="7093" xr:uid="{58E01429-DB70-48A3-8C52-109023F0075B}"/>
    <cellStyle name="Note 33 10 2" xfId="31460" xr:uid="{44A6AE59-8288-4228-AF9B-B349F855EE30}"/>
    <cellStyle name="Note 33 11" xfId="12324" xr:uid="{699F9A08-B22D-439D-861B-475A3D64FE4D}"/>
    <cellStyle name="Note 33 11 2" xfId="34828" xr:uid="{B298EF23-6402-4F50-AB24-4769027A3FB5}"/>
    <cellStyle name="Note 33 12" xfId="12549" xr:uid="{9EA21216-AB79-4F5D-9577-C1290824C606}"/>
    <cellStyle name="Note 33 12 2" xfId="34993" xr:uid="{0E2067A0-9DE5-41D6-BC9B-0DB133B1149D}"/>
    <cellStyle name="Note 33 13" xfId="13707" xr:uid="{81F109C2-9FBF-4807-A22E-70B08A12F8B3}"/>
    <cellStyle name="Note 33 13 2" xfId="35863" xr:uid="{4C2C13D5-213B-4476-80EE-404BECD7211C}"/>
    <cellStyle name="Note 33 14" xfId="19258" xr:uid="{1F0ECE6C-8AD5-4257-94E6-BA721CE4B8BF}"/>
    <cellStyle name="Note 33 14 2" xfId="40045" xr:uid="{514664B9-9C7C-4A4F-94BE-F7D9E46B8644}"/>
    <cellStyle name="Note 33 15" xfId="17944" xr:uid="{1F01E781-BE8C-4AA0-BC0D-84AAC8E8AD21}"/>
    <cellStyle name="Note 33 15 2" xfId="39042" xr:uid="{CB38B31C-E815-400F-86BC-FFE4C9227296}"/>
    <cellStyle name="Note 33 16" xfId="16177" xr:uid="{1E608265-7246-4CF1-8AA1-E2A3E40792CA}"/>
    <cellStyle name="Note 33 16 2" xfId="37737" xr:uid="{2DD8C996-773D-4F3B-8738-A5255F5336EA}"/>
    <cellStyle name="Note 33 17" xfId="17733" xr:uid="{813ED587-4E0B-4F2D-8A90-12512B27211B}"/>
    <cellStyle name="Note 33 17 2" xfId="38909" xr:uid="{F33720F3-EC6E-4CEC-8982-F81E9E01592D}"/>
    <cellStyle name="Note 33 18" xfId="25706" xr:uid="{059D82F9-E937-4422-BBDE-72B81DE03B26}"/>
    <cellStyle name="Note 33 18 2" xfId="44543" xr:uid="{E9C8D8E5-A0CE-492E-AE00-4B97B72EAC7E}"/>
    <cellStyle name="Note 33 19" xfId="18988" xr:uid="{F5D7ABDB-BBCA-4ACC-9E71-A7C8388AF311}"/>
    <cellStyle name="Note 33 19 2" xfId="39820" xr:uid="{DA21BD69-FBAE-44EB-8D73-7EF338443921}"/>
    <cellStyle name="Note 33 2" xfId="2996" xr:uid="{10F0A9B0-5621-49B5-9D7D-3AC4A74E5903}"/>
    <cellStyle name="Note 33 2 10" xfId="13819" xr:uid="{E28BFD75-79BA-4174-93D1-213BEFDCE45D}"/>
    <cellStyle name="Note 33 2 10 2" xfId="35944" xr:uid="{72E70452-67A3-4286-8B2F-63B67085AAF4}"/>
    <cellStyle name="Note 33 2 11" xfId="16512" xr:uid="{8F428A07-4EB6-4B1E-AE3F-BB1FD8CB5B45}"/>
    <cellStyle name="Note 33 2 11 2" xfId="38005" xr:uid="{13DD6D93-3038-4D22-9A0C-D4C53E40C002}"/>
    <cellStyle name="Note 33 2 12" xfId="17476" xr:uid="{A50747E2-5A64-47C5-8B0D-2B79598972EA}"/>
    <cellStyle name="Note 33 2 12 2" xfId="38723" xr:uid="{9C5643ED-561D-42A8-B326-5B46BBA13C21}"/>
    <cellStyle name="Note 33 2 13" xfId="9883" xr:uid="{0AE7B083-BA08-47E4-BB66-3FC5D2B41627}"/>
    <cellStyle name="Note 33 2 13 2" xfId="33629" xr:uid="{9406FBA2-A7CA-4698-A268-D95B3A6EF121}"/>
    <cellStyle name="Note 33 2 14" xfId="19718" xr:uid="{C4809409-884F-4FFD-81FA-3CF89BE18A6B}"/>
    <cellStyle name="Note 33 2 14 2" xfId="40335" xr:uid="{DFD0729A-B619-4C8A-AC85-01FBF95472B0}"/>
    <cellStyle name="Note 33 2 15" xfId="10180" xr:uid="{91E26E95-B561-45A9-B2E9-B87DB0FEBC8B}"/>
    <cellStyle name="Note 33 2 15 2" xfId="33834" xr:uid="{85D4DCDF-C176-46C7-A5C6-F0FB7449F664}"/>
    <cellStyle name="Note 33 2 16" xfId="21406" xr:uid="{737AE19E-6B2C-46E9-9366-9B770A4CAFEE}"/>
    <cellStyle name="Note 33 2 16 2" xfId="41535" xr:uid="{01E46A87-D464-4C23-8763-23D911A1340F}"/>
    <cellStyle name="Note 33 2 17" xfId="24078" xr:uid="{3E695205-0AEA-4F3E-8ECC-F68203F4D7BE}"/>
    <cellStyle name="Note 33 2 17 2" xfId="43454" xr:uid="{AD5DC1E9-C28F-406A-A17C-934E84F56F5B}"/>
    <cellStyle name="Note 33 2 18" xfId="20741" xr:uid="{4B728DF9-4A40-4E22-A320-8A14FEAE6DED}"/>
    <cellStyle name="Note 33 2 18 2" xfId="41101" xr:uid="{A1A76F88-353B-4F48-BF4E-DE14A556C6A2}"/>
    <cellStyle name="Note 33 2 19" xfId="22333" xr:uid="{56D9F3C0-7195-4263-BCA9-E4234DFAD732}"/>
    <cellStyle name="Note 33 2 19 2" xfId="42188" xr:uid="{133A912E-F2E6-4AD6-A88C-B9F9EB4FCEBA}"/>
    <cellStyle name="Note 33 2 2" xfId="8018" xr:uid="{F71D60F3-8E20-48C6-A345-59C709513FF4}"/>
    <cellStyle name="Note 33 2 2 2" xfId="32264" xr:uid="{03E31140-776F-4C54-9BE1-896B516B9EFC}"/>
    <cellStyle name="Note 33 2 20" xfId="18075" xr:uid="{ABF2C8C9-D951-4EAA-9915-97C725DE49D1}"/>
    <cellStyle name="Note 33 2 20 2" xfId="39149" xr:uid="{1626D4AD-68B1-434B-B894-B4B43CB85676}"/>
    <cellStyle name="Note 33 2 21" xfId="24516" xr:uid="{73728B60-85CC-4A79-B924-71994B32AB53}"/>
    <cellStyle name="Note 33 2 21 2" xfId="43699" xr:uid="{FA22F7D1-3F98-484C-B8ED-4CB205968C1A}"/>
    <cellStyle name="Note 33 2 22" xfId="15387" xr:uid="{4E867A4E-72EC-408D-BEF0-ECB733DFB5F5}"/>
    <cellStyle name="Note 33 2 22 2" xfId="37085" xr:uid="{4099D55A-0302-40D6-8C7D-92A73F3125FF}"/>
    <cellStyle name="Note 33 2 23" xfId="28599" xr:uid="{91B32D8F-8242-4DA8-95DF-D5E746528A1F}"/>
    <cellStyle name="Note 33 2 23 2" xfId="46333" xr:uid="{ED333EBA-03F0-4B12-ABD5-D3753C101953}"/>
    <cellStyle name="Note 33 2 24" xfId="23870" xr:uid="{6F492CC1-E16F-4265-BDD5-73DE3411F673}"/>
    <cellStyle name="Note 33 2 24 2" xfId="43249" xr:uid="{1D72BA0A-F425-4EA2-B4C7-B7B913BA8A8E}"/>
    <cellStyle name="Note 33 2 25" xfId="27895" xr:uid="{DC98CFCE-C985-4D54-BAC4-A019E40A79F2}"/>
    <cellStyle name="Note 33 2 25 2" xfId="45967" xr:uid="{92725CAA-A1CD-4219-B40A-C10AB436F873}"/>
    <cellStyle name="Note 33 2 26" xfId="22418" xr:uid="{0817D841-E959-4D74-A2BD-717D52BCC3D6}"/>
    <cellStyle name="Note 33 2 26 2" xfId="42232" xr:uid="{8C4E1EF0-CB93-454F-ADCA-B790EF87F969}"/>
    <cellStyle name="Note 33 2 27" xfId="26825" xr:uid="{55536B6E-5EA2-47DE-AD17-306D4E821AE1}"/>
    <cellStyle name="Note 33 2 27 2" xfId="45296" xr:uid="{671D617C-0174-422B-B05B-FD07FEC83108}"/>
    <cellStyle name="Note 33 2 28" xfId="6516" xr:uid="{BBAFD6E9-A1C8-47B3-B729-AC332E8DD0C6}"/>
    <cellStyle name="Note 33 2 3" xfId="9372" xr:uid="{3B8277AE-3DC7-48A6-B14F-4383E16DCF4E}"/>
    <cellStyle name="Note 33 2 3 2" xfId="33355" xr:uid="{3727E3CB-7085-48C5-91BE-861FBEF39C74}"/>
    <cellStyle name="Note 33 2 4" xfId="12069" xr:uid="{5DEE2A9B-4199-425C-91BB-398672E130F8}"/>
    <cellStyle name="Note 33 2 4 2" xfId="34627" xr:uid="{89A930D8-299F-46F2-A4EF-3BB5D492B671}"/>
    <cellStyle name="Note 33 2 5" xfId="14303" xr:uid="{65CF6798-6864-4F4A-969A-5B1775F5AE3F}"/>
    <cellStyle name="Note 33 2 5 2" xfId="36346" xr:uid="{A25C7972-AEC2-4093-9F08-C2E4F4CD954C}"/>
    <cellStyle name="Note 33 2 6" xfId="13011" xr:uid="{DDC6F781-DEC3-4FD7-A92D-D80EC697F3FC}"/>
    <cellStyle name="Note 33 2 6 2" xfId="35359" xr:uid="{AF4DB66A-B7C8-4885-BBBB-50E7ED5EA805}"/>
    <cellStyle name="Note 33 2 7" xfId="8465" xr:uid="{CBB8FC26-07B0-4A1A-9AC9-61E8D3A90249}"/>
    <cellStyle name="Note 33 2 7 2" xfId="32652" xr:uid="{88D5AAD0-ABAA-4292-9C3B-F20A58A67937}"/>
    <cellStyle name="Note 33 2 8" xfId="12910" xr:uid="{6F52D0C3-8679-4F86-AD21-46027F9A0B21}"/>
    <cellStyle name="Note 33 2 8 2" xfId="35266" xr:uid="{91DB4D26-C342-4C3E-ABA5-A81805FD444B}"/>
    <cellStyle name="Note 33 2 9" xfId="7092" xr:uid="{CDBA5C03-2AA2-46C5-A58C-8212E5230CC4}"/>
    <cellStyle name="Note 33 2 9 2" xfId="31459" xr:uid="{E1AE8575-1B39-4D9E-B653-EBF64F2C925F}"/>
    <cellStyle name="Note 33 20" xfId="24719" xr:uid="{D8D03968-9483-4E55-836B-F5F0DFAE9CF3}"/>
    <cellStyle name="Note 33 20 2" xfId="43864" xr:uid="{7EE700E0-7138-4910-9319-F702798E0CD3}"/>
    <cellStyle name="Note 33 21" xfId="15754" xr:uid="{E2E9076A-067B-40A6-A455-7EC76AA399F1}"/>
    <cellStyle name="Note 33 21 2" xfId="37379" xr:uid="{E4BEFC31-D385-4305-8FDD-41679CB2E95B}"/>
    <cellStyle name="Note 33 22" xfId="23451" xr:uid="{D447E2D1-689D-437B-A7CF-AF3AFA178CC4}"/>
    <cellStyle name="Note 33 22 2" xfId="42957" xr:uid="{95FA3FC3-5F41-4842-8BA6-81BA85C52BBA}"/>
    <cellStyle name="Note 33 23" xfId="26363" xr:uid="{9091B89A-831D-4AD4-A7E4-C42E4F3F9394}"/>
    <cellStyle name="Note 33 23 2" xfId="45045" xr:uid="{B5756033-CE5B-4A6C-BAA9-B98FD7FF161A}"/>
    <cellStyle name="Note 33 24" xfId="29763" xr:uid="{E77A059C-A7B8-4444-BEE3-243211C29727}"/>
    <cellStyle name="Note 33 24 2" xfId="47082" xr:uid="{A6C9A62E-6E41-4830-92C5-D6FF01F8FCC7}"/>
    <cellStyle name="Note 33 25" xfId="21014" xr:uid="{E8360610-8636-48E3-BA70-EBE60053DFB1}"/>
    <cellStyle name="Note 33 25 2" xfId="41272" xr:uid="{537BDBF4-83F4-4B5C-A795-C42343059EB9}"/>
    <cellStyle name="Note 33 26" xfId="24325" xr:uid="{CE98E884-7087-462C-8788-82C8C3FC12E9}"/>
    <cellStyle name="Note 33 26 2" xfId="43590" xr:uid="{EC013980-27CB-48CF-AD6F-6BDB66FAF1EB}"/>
    <cellStyle name="Note 33 27" xfId="28218" xr:uid="{782CE2E1-4DAB-4AEA-8FE9-CCDE5070EA5F}"/>
    <cellStyle name="Note 33 27 2" xfId="46101" xr:uid="{A2316972-281D-4F46-B148-63A9A0633A68}"/>
    <cellStyle name="Note 33 28" xfId="26533" xr:uid="{1BAAF040-6B72-4CDE-9892-2B8EF1BDE325}"/>
    <cellStyle name="Note 33 28 2" xfId="45108" xr:uid="{9AEB1520-D4AB-4624-91E1-CCB559BC96F4}"/>
    <cellStyle name="Note 33 29" xfId="6515" xr:uid="{41C927A3-5101-4AC6-A07E-7B62F0FA352C}"/>
    <cellStyle name="Note 33 3" xfId="8019" xr:uid="{F6946A94-FB76-42F3-B0C9-2577B52F02E3}"/>
    <cellStyle name="Note 33 3 2" xfId="32265" xr:uid="{F6BDDD5F-03F7-4122-8F9E-542C0EDABC72}"/>
    <cellStyle name="Note 33 4" xfId="9371" xr:uid="{B2A47CE5-0A80-4E63-ABBF-23C1FFB660C0}"/>
    <cellStyle name="Note 33 4 2" xfId="33354" xr:uid="{38CC5351-8C81-4AF4-BEEF-7E80BA19EB86}"/>
    <cellStyle name="Note 33 5" xfId="7663" xr:uid="{C185A671-1352-4070-A707-BACD6E26558C}"/>
    <cellStyle name="Note 33 5 2" xfId="31962" xr:uid="{4964B24D-BDD8-4A32-AFBA-4FB81B460CF7}"/>
    <cellStyle name="Note 33 6" xfId="8777" xr:uid="{47541CB3-FE74-49F6-975A-73B8790E68DE}"/>
    <cellStyle name="Note 33 6 2" xfId="32906" xr:uid="{A40933A5-3D60-4606-BC1E-AE747A9A63C2}"/>
    <cellStyle name="Note 33 7" xfId="10456" xr:uid="{E86FA2C1-F1C4-4252-A5BB-BA476541450C}"/>
    <cellStyle name="Note 33 7 2" xfId="34091" xr:uid="{BF51618C-ED69-4722-A2AE-04AFFB0647A1}"/>
    <cellStyle name="Note 33 8" xfId="13398" xr:uid="{0BD3EC9B-68AB-4D4E-8B1D-0C45A27A49D5}"/>
    <cellStyle name="Note 33 8 2" xfId="35705" xr:uid="{3EF507C2-F4CB-49EF-8BA5-518B7BCB80B7}"/>
    <cellStyle name="Note 33 9" xfId="14862" xr:uid="{F60FF81F-7E8A-4E7F-A23B-1988F8600D02}"/>
    <cellStyle name="Note 33 9 2" xfId="36737" xr:uid="{18EA441C-207A-402D-976A-4A5C50FEAB90}"/>
    <cellStyle name="Note 34" xfId="2997" xr:uid="{5609760F-C5AA-457B-A110-A922CDCAF576}"/>
    <cellStyle name="Note 34 10" xfId="7091" xr:uid="{97946E88-9C8B-4C06-90A0-A610FA92BF58}"/>
    <cellStyle name="Note 34 10 2" xfId="31458" xr:uid="{D6EA3130-B67C-4AE1-B1B4-E3EBE4F8821D}"/>
    <cellStyle name="Note 34 11" xfId="14640" xr:uid="{73BCB798-A0EE-435F-BDD3-844CAC42F248}"/>
    <cellStyle name="Note 34 11 2" xfId="36552" xr:uid="{B78C0015-6EC3-4E8E-8F67-9A09EB65B2AB}"/>
    <cellStyle name="Note 34 12" xfId="14014" xr:uid="{E2CE27B4-6CCF-449B-A69F-92C9AC411744}"/>
    <cellStyle name="Note 34 12 2" xfId="36108" xr:uid="{0843339E-7C17-4755-9D61-70B1E7A80009}"/>
    <cellStyle name="Note 34 13" xfId="15621" xr:uid="{5D1F6CBC-84A6-4DCD-9424-F7ABD4FD660D}"/>
    <cellStyle name="Note 34 13 2" xfId="37279" xr:uid="{DA9EA5A6-5F81-4A8B-B156-4C6F15E2A8A6}"/>
    <cellStyle name="Note 34 14" xfId="9884" xr:uid="{1CE6F2BB-6264-4653-8C18-3FD6BF0C5CB0}"/>
    <cellStyle name="Note 34 14 2" xfId="33630" xr:uid="{F733A20F-CCBC-4F94-9FE3-D0F430F4864F}"/>
    <cellStyle name="Note 34 15" xfId="12658" xr:uid="{39B99ECB-1407-48D7-BAE8-50A6C16CE466}"/>
    <cellStyle name="Note 34 15 2" xfId="35084" xr:uid="{8BDD51F5-4000-4431-9D3D-CBC7F3786D8C}"/>
    <cellStyle name="Note 34 16" xfId="13272" xr:uid="{00892689-767F-4DA8-A116-C1912C2C165C}"/>
    <cellStyle name="Note 34 16 2" xfId="35596" xr:uid="{2BA6EAEF-ECC7-4A8B-8AE0-669CA3E07B34}"/>
    <cellStyle name="Note 34 17" xfId="19614" xr:uid="{50114340-547B-4E23-84D1-85506E14AABC}"/>
    <cellStyle name="Note 34 17 2" xfId="40254" xr:uid="{40399DC8-51DA-454E-9DF3-A1AB8FD7D26B}"/>
    <cellStyle name="Note 34 18" xfId="25705" xr:uid="{C89FA2E1-4AE9-4E9B-8DB4-3739DD8B4510}"/>
    <cellStyle name="Note 34 18 2" xfId="44542" xr:uid="{00F9B042-B55C-4F9C-B83B-14E5352C30A8}"/>
    <cellStyle name="Note 34 19" xfId="17096" xr:uid="{F9C97A1A-F20F-4136-B3EA-3F03927CCA2B}"/>
    <cellStyle name="Note 34 19 2" xfId="38435" xr:uid="{3866CAEC-FCF2-4F63-B5E3-D0AF74FC7DF2}"/>
    <cellStyle name="Note 34 2" xfId="2998" xr:uid="{E835487A-F2BC-40EB-8DF3-E10C97BD8EB8}"/>
    <cellStyle name="Note 34 2 10" xfId="15523" xr:uid="{2E1636B5-61FB-43CC-A26D-CE5A960C2C88}"/>
    <cellStyle name="Note 34 2 10 2" xfId="37188" xr:uid="{6D920CAD-660B-4639-80CE-16AED4974082}"/>
    <cellStyle name="Note 34 2 11" xfId="16511" xr:uid="{7DD5EEEE-F060-4FA8-B499-D563ECB606C6}"/>
    <cellStyle name="Note 34 2 11 2" xfId="38004" xr:uid="{32425A5C-D718-47F2-8BF4-7583847BB285}"/>
    <cellStyle name="Note 34 2 12" xfId="17475" xr:uid="{A4C67544-40BD-4955-A4C2-B9897DD10B00}"/>
    <cellStyle name="Note 34 2 12 2" xfId="38722" xr:uid="{36145273-04A7-4299-A50C-590E217E9953}"/>
    <cellStyle name="Note 34 2 13" xfId="20766" xr:uid="{988F1D58-288A-48DE-8BA6-F80976D73009}"/>
    <cellStyle name="Note 34 2 13 2" xfId="41126" xr:uid="{17E895FE-DD2B-4957-B3B3-72D3350CC3A7}"/>
    <cellStyle name="Note 34 2 14" xfId="19717" xr:uid="{92ED2D36-B312-41FA-A158-7FDBD3F8C475}"/>
    <cellStyle name="Note 34 2 14 2" xfId="40334" xr:uid="{FD566F1C-3AF7-4DCC-8E5B-6A7A02375EC9}"/>
    <cellStyle name="Note 34 2 15" xfId="10181" xr:uid="{64BE6301-D0D0-4A54-B3A4-12A766347E87}"/>
    <cellStyle name="Note 34 2 15 2" xfId="33835" xr:uid="{4D3A79DB-B11F-4D30-BAAD-7F48850CDBB5}"/>
    <cellStyle name="Note 34 2 16" xfId="21405" xr:uid="{109FD465-DBA0-4A20-8FDD-38CFDB94F18E}"/>
    <cellStyle name="Note 34 2 16 2" xfId="41534" xr:uid="{521982FD-4DA3-475C-BE6F-D53378DC0438}"/>
    <cellStyle name="Note 34 2 17" xfId="25184" xr:uid="{4551A1D2-05F1-4F5B-B806-1FC0A9DBF4F5}"/>
    <cellStyle name="Note 34 2 17 2" xfId="44126" xr:uid="{F4234C28-410B-4A68-9A70-8348FA88939E}"/>
    <cellStyle name="Note 34 2 18" xfId="18989" xr:uid="{BE046567-5756-41CC-ACD8-AF2D950DF5A5}"/>
    <cellStyle name="Note 34 2 18 2" xfId="39821" xr:uid="{44C3DFF4-8D55-43B1-889F-0C8E5479E513}"/>
    <cellStyle name="Note 34 2 19" xfId="22866" xr:uid="{379CF64F-85EA-43CE-8B4F-9172B2ADC178}"/>
    <cellStyle name="Note 34 2 19 2" xfId="42584" xr:uid="{AD6A950A-C5B5-4EB5-A6EC-A882A17B7677}"/>
    <cellStyle name="Note 34 2 2" xfId="8016" xr:uid="{E5381F99-4863-43A5-B452-F6AE71A969DF}"/>
    <cellStyle name="Note 34 2 2 2" xfId="32262" xr:uid="{B8CF25FC-6837-4D80-8BE4-DCE127BCAB87}"/>
    <cellStyle name="Note 34 2 20" xfId="25192" xr:uid="{DE1CF356-8376-4AED-8464-184CFA82FD0D}"/>
    <cellStyle name="Note 34 2 20 2" xfId="44134" xr:uid="{7A9681F5-57C1-438B-B7EA-757140B9BD8E}"/>
    <cellStyle name="Note 34 2 21" xfId="22279" xr:uid="{727B5E9E-D9F0-4102-96BF-D55F5F6F203B}"/>
    <cellStyle name="Note 34 2 21 2" xfId="42144" xr:uid="{07E1983D-3ACC-4769-9537-239F58DB87A6}"/>
    <cellStyle name="Note 34 2 22" xfId="23238" xr:uid="{24D15C27-EBC2-403D-B471-37DA0562B2ED}"/>
    <cellStyle name="Note 34 2 22 2" xfId="42814" xr:uid="{84616CD1-ED3D-4376-A0F8-59A586CFB4AC}"/>
    <cellStyle name="Note 34 2 23" xfId="27155" xr:uid="{3C47F22C-4A45-48E3-8C38-4818E3BD1C0F}"/>
    <cellStyle name="Note 34 2 23 2" xfId="45496" xr:uid="{B579F191-75DE-4BF1-A24D-267E765DC950}"/>
    <cellStyle name="Note 34 2 24" xfId="24986" xr:uid="{C4501E46-9C60-4B38-816F-674A915FA946}"/>
    <cellStyle name="Note 34 2 24 2" xfId="44054" xr:uid="{D59B58B1-BA21-478F-B9A4-42EAA0CDCE31}"/>
    <cellStyle name="Note 34 2 25" xfId="27894" xr:uid="{4FA131D3-9A23-4D11-B68A-C8FEBBF3EBDD}"/>
    <cellStyle name="Note 34 2 25 2" xfId="45966" xr:uid="{9EF222B9-973D-4311-B39D-116036796AB6}"/>
    <cellStyle name="Note 34 2 26" xfId="30771" xr:uid="{3BFAF8A1-0EE1-4841-9EAB-0CFCC3B398FB}"/>
    <cellStyle name="Note 34 2 26 2" xfId="47712" xr:uid="{6998D5BB-DC4C-46D0-8D81-A6748901E603}"/>
    <cellStyle name="Note 34 2 27" xfId="26961" xr:uid="{A1970A2C-5E69-4FFF-A915-FECEA67B0A6A}"/>
    <cellStyle name="Note 34 2 27 2" xfId="45368" xr:uid="{82E91FA8-D2E1-4731-A612-360E890EB64C}"/>
    <cellStyle name="Note 34 2 28" xfId="6518" xr:uid="{CA24DB5B-5AAF-4BD2-B32F-1963BBEC6944}"/>
    <cellStyle name="Note 34 2 3" xfId="9374" xr:uid="{BED371B6-0CC6-4A84-B65D-86CDA0B99FCB}"/>
    <cellStyle name="Note 34 2 3 2" xfId="33357" xr:uid="{E5F65BE9-56C3-429D-AE2C-538896C6CB26}"/>
    <cellStyle name="Note 34 2 4" xfId="12068" xr:uid="{C491F835-7601-43DA-A2E9-DE3D2AA1B036}"/>
    <cellStyle name="Note 34 2 4 2" xfId="34626" xr:uid="{920F11A3-C130-45C9-9086-7D16EE70D5AE}"/>
    <cellStyle name="Note 34 2 5" xfId="14319" xr:uid="{CD9D6B02-06A2-47BF-9B71-56D047177E1F}"/>
    <cellStyle name="Note 34 2 5 2" xfId="36362" xr:uid="{B1EA9477-1D2F-4B87-BBD4-02904B76A6EA}"/>
    <cellStyle name="Note 34 2 6" xfId="13010" xr:uid="{0AB0E8F3-9908-4D0E-83C6-26D82749C662}"/>
    <cellStyle name="Note 34 2 6 2" xfId="35358" xr:uid="{53B1FE3B-BDC9-419D-8A19-0A15D3C664A2}"/>
    <cellStyle name="Note 34 2 7" xfId="13399" xr:uid="{1C32F50D-5FDE-4F7E-966D-EE933768AD73}"/>
    <cellStyle name="Note 34 2 7 2" xfId="35706" xr:uid="{9FA1F0E2-130B-4EAF-ACE5-F7A1022C09DA}"/>
    <cellStyle name="Note 34 2 8" xfId="10573" xr:uid="{9F3F2AAD-AC93-44FF-ACED-4F5F88698546}"/>
    <cellStyle name="Note 34 2 8 2" xfId="34199" xr:uid="{71F70327-3093-4E4C-B67F-B57055DB6AAA}"/>
    <cellStyle name="Note 34 2 9" xfId="7090" xr:uid="{B544D01A-BA50-4582-8570-6EA0A8E6919F}"/>
    <cellStyle name="Note 34 2 9 2" xfId="31457" xr:uid="{C37E2225-1C2C-449C-AA0B-8974FB9CAB83}"/>
    <cellStyle name="Note 34 20" xfId="24718" xr:uid="{06563502-E8B7-498E-949C-597B7737E051}"/>
    <cellStyle name="Note 34 20 2" xfId="43863" xr:uid="{F5FDB2BA-75BB-4348-99BC-E456838382CF}"/>
    <cellStyle name="Note 34 21" xfId="12830" xr:uid="{6290995A-2132-4251-B9F3-587FBC009AA3}"/>
    <cellStyle name="Note 34 21 2" xfId="35216" xr:uid="{9F9A5475-9B96-43C7-8A85-FD186CBD8B81}"/>
    <cellStyle name="Note 34 22" xfId="25346" xr:uid="{D6C006E7-1357-4CA4-880C-6E3AA338A26B}"/>
    <cellStyle name="Note 34 22 2" xfId="44262" xr:uid="{087C8AED-F921-4216-BA89-852F31412945}"/>
    <cellStyle name="Note 34 23" xfId="26361" xr:uid="{B2EAB8BF-CBD6-4D05-8AB0-780126BC5AF5}"/>
    <cellStyle name="Note 34 23 2" xfId="45043" xr:uid="{FC23EE9F-2CA5-411B-9FFF-A89A5C62A84B}"/>
    <cellStyle name="Note 34 24" xfId="29255" xr:uid="{B2ADE850-0753-4BD9-9B67-554CC9B608BD}"/>
    <cellStyle name="Note 34 24 2" xfId="46771" xr:uid="{E89BBFAF-268F-4771-B688-FC89927F9D32}"/>
    <cellStyle name="Note 34 25" xfId="16943" xr:uid="{317F9626-49C4-4007-8B92-950FD20261FA}"/>
    <cellStyle name="Note 34 25 2" xfId="38313" xr:uid="{B8DDD432-5DAD-4C70-BEF8-C669A0B113A0}"/>
    <cellStyle name="Note 34 26" xfId="25951" xr:uid="{8A02C5A8-0E35-4636-8693-87B6C0AF06DE}"/>
    <cellStyle name="Note 34 26 2" xfId="44742" xr:uid="{10C91874-A6A4-4A58-98D1-20CF3272BAB0}"/>
    <cellStyle name="Note 34 27" xfId="23039" xr:uid="{DD5C58D2-CD51-4409-87B4-4155373CF025}"/>
    <cellStyle name="Note 34 27 2" xfId="42673" xr:uid="{88E8A6E9-10A0-40D5-8061-B38CF4D7F60A}"/>
    <cellStyle name="Note 34 28" xfId="29208" xr:uid="{DD38CB1D-C5CC-4622-A7B5-B034C195D2B7}"/>
    <cellStyle name="Note 34 28 2" xfId="46734" xr:uid="{A856DC8B-B26D-4568-A34A-09AF27CB76E0}"/>
    <cellStyle name="Note 34 29" xfId="6517" xr:uid="{EE106480-578F-44F0-8A23-BBECAD815BC9}"/>
    <cellStyle name="Note 34 3" xfId="8017" xr:uid="{4931A60D-2866-4A0C-B70B-435D1E0F75F5}"/>
    <cellStyle name="Note 34 3 2" xfId="32263" xr:uid="{8BD4D7CE-8B5F-4680-BA35-D832265EF500}"/>
    <cellStyle name="Note 34 4" xfId="9373" xr:uid="{704E6FD3-D64F-400C-B582-75BE122BD420}"/>
    <cellStyle name="Note 34 4 2" xfId="33356" xr:uid="{E1EFA630-1E91-45E5-8061-8360FECFA350}"/>
    <cellStyle name="Note 34 5" xfId="7662" xr:uid="{03B5B533-D023-4948-A52C-9A84B19C1622}"/>
    <cellStyle name="Note 34 5 2" xfId="31961" xr:uid="{82195194-0100-4641-96A3-B657F1A26C95}"/>
    <cellStyle name="Note 34 6" xfId="14306" xr:uid="{90609F5F-3C11-4214-B26B-0AC39981250C}"/>
    <cellStyle name="Note 34 6 2" xfId="36349" xr:uid="{1FF260F9-A10F-4486-AFE0-A5265C8DCAFD}"/>
    <cellStyle name="Note 34 7" xfId="10457" xr:uid="{546DB7DF-C565-4D84-853F-6D9342631AA6}"/>
    <cellStyle name="Note 34 7 2" xfId="34092" xr:uid="{C91590BF-6ACB-4F01-A55D-EE06BD1DB9D3}"/>
    <cellStyle name="Note 34 8" xfId="8464" xr:uid="{DBDF2C93-397A-40B7-A5F6-C922F1E242A4}"/>
    <cellStyle name="Note 34 8 2" xfId="32651" xr:uid="{2657E740-FE88-49AF-BE93-501F6398FD68}"/>
    <cellStyle name="Note 34 9" xfId="14861" xr:uid="{263875D8-83E9-40DF-BB49-89EB821768EA}"/>
    <cellStyle name="Note 34 9 2" xfId="36736" xr:uid="{44A7340F-6AA5-449D-B1C2-453E4A04E4D6}"/>
    <cellStyle name="Note 35" xfId="2999" xr:uid="{9531698B-9FCB-4B04-8ECA-496EB19FE8FD}"/>
    <cellStyle name="Note 35 10" xfId="7089" xr:uid="{023ABB1B-D011-412C-8757-39BCCF1BB6B4}"/>
    <cellStyle name="Note 35 10 2" xfId="31456" xr:uid="{E3AC13F7-ECCD-4754-99B4-471289B566C9}"/>
    <cellStyle name="Note 35 11" xfId="14421" xr:uid="{8AE5BA8F-AEA8-429B-8A0C-D6C2FF6B8988}"/>
    <cellStyle name="Note 35 11 2" xfId="36410" xr:uid="{07B66677-8B3B-470E-A284-144B1E7560F5}"/>
    <cellStyle name="Note 35 12" xfId="12550" xr:uid="{33797E49-FD03-45D8-8260-144A401AA4FE}"/>
    <cellStyle name="Note 35 12 2" xfId="34994" xr:uid="{1E035C6C-6922-4990-96E4-7117BFF3A877}"/>
    <cellStyle name="Note 35 13" xfId="14456" xr:uid="{F4879E13-F8CA-4B04-B592-EA37F14ABC0C}"/>
    <cellStyle name="Note 35 13 2" xfId="36445" xr:uid="{2184DE13-F2DA-4583-9E1F-6B03EF59BA89}"/>
    <cellStyle name="Note 35 14" xfId="20782" xr:uid="{1AF8FBB3-279F-4E6C-A904-47BD4C597102}"/>
    <cellStyle name="Note 35 14 2" xfId="41142" xr:uid="{EE3F3B45-A41C-4B08-A7A7-345A5B0A1DA5}"/>
    <cellStyle name="Note 35 15" xfId="17943" xr:uid="{238F8C10-D186-4A98-B06B-37551D1AE2AD}"/>
    <cellStyle name="Note 35 15 2" xfId="39041" xr:uid="{35C79DCC-9CA6-46A2-A3A3-956C8E15E722}"/>
    <cellStyle name="Note 35 16" xfId="20267" xr:uid="{42122A78-1923-410C-B891-4FCE43C90F0C}"/>
    <cellStyle name="Note 35 16 2" xfId="40708" xr:uid="{4870F1B3-65B1-4640-A433-1F2CBF3AEC81}"/>
    <cellStyle name="Note 35 17" xfId="16978" xr:uid="{0486DA35-DF34-46E9-8219-FDC2E25D8465}"/>
    <cellStyle name="Note 35 17 2" xfId="38339" xr:uid="{CBC8B90F-1FAC-4D1D-B6D1-FE88A7957F6A}"/>
    <cellStyle name="Note 35 18" xfId="24097" xr:uid="{3626C8E9-A7ED-42DB-B4D6-3230A5F44048}"/>
    <cellStyle name="Note 35 18 2" xfId="43473" xr:uid="{F03D8657-5ADC-428F-A59D-FA08B01AC155}"/>
    <cellStyle name="Note 35 19" xfId="22785" xr:uid="{D535B078-EE3C-44EC-874D-C7B86D90FCEC}"/>
    <cellStyle name="Note 35 19 2" xfId="42538" xr:uid="{9002EED2-B12F-4B0F-80DD-23B53470F8E1}"/>
    <cellStyle name="Note 35 2" xfId="3000" xr:uid="{08F4F587-6841-44ED-80DA-DE2BCA93EEB7}"/>
    <cellStyle name="Note 35 2 10" xfId="12747" xr:uid="{4DE96AB7-43F4-4987-9EB8-E4BA5B78405F}"/>
    <cellStyle name="Note 35 2 10 2" xfId="35156" xr:uid="{3843D40B-D0B1-45B9-85D0-94229FC72F0F}"/>
    <cellStyle name="Note 35 2 11" xfId="16510" xr:uid="{98F78C02-4798-413F-B830-76BE77B92820}"/>
    <cellStyle name="Note 35 2 11 2" xfId="38003" xr:uid="{646E56C3-7926-42BA-A3BC-963F9716B4EA}"/>
    <cellStyle name="Note 35 2 12" xfId="17474" xr:uid="{7FF2E9EC-F8A9-46E7-842B-F44D8E959878}"/>
    <cellStyle name="Note 35 2 12 2" xfId="38721" xr:uid="{22252848-B574-4A46-A50A-2FF67BD9BC18}"/>
    <cellStyle name="Note 35 2 13" xfId="22478" xr:uid="{D50BF8BB-E3F3-41D5-9356-8144970E1802}"/>
    <cellStyle name="Note 35 2 13 2" xfId="42277" xr:uid="{FDE68B62-8BC4-4488-89D2-AF3375C1DCE6}"/>
    <cellStyle name="Note 35 2 14" xfId="19716" xr:uid="{3904E12A-9713-46E5-84B9-F1B4C18D72EC}"/>
    <cellStyle name="Note 35 2 14 2" xfId="40333" xr:uid="{7DACFEBC-CFCE-43B3-8582-8C7B2A7E5CAA}"/>
    <cellStyle name="Note 35 2 15" xfId="18728" xr:uid="{3C0C3950-95E2-4317-BF43-F9911A868042}"/>
    <cellStyle name="Note 35 2 15 2" xfId="39603" xr:uid="{AF8462C5-0A28-49F5-A70E-A3135D85CA17}"/>
    <cellStyle name="Note 35 2 16" xfId="21404" xr:uid="{A2285BB2-49E6-444A-88F3-4E410F061FFB}"/>
    <cellStyle name="Note 35 2 16 2" xfId="41533" xr:uid="{8EA3661F-6CE2-4FE1-8E02-ECA121E91C30}"/>
    <cellStyle name="Note 35 2 17" xfId="18303" xr:uid="{4027D334-44C9-4A82-BB94-3FF7298BAFCB}"/>
    <cellStyle name="Note 35 2 17 2" xfId="39334" xr:uid="{9A87298B-3620-4633-A4CA-41448B21D371}"/>
    <cellStyle name="Note 35 2 18" xfId="16093" xr:uid="{73CED8A8-6D7F-4876-9B6F-4E41C363BAE6}"/>
    <cellStyle name="Note 35 2 18 2" xfId="37663" xr:uid="{80564D5C-9D40-477A-AC75-F6C594F21F8A}"/>
    <cellStyle name="Note 35 2 19" xfId="24201" xr:uid="{07FA4D90-4825-4A70-93E0-E5F4199D35B8}"/>
    <cellStyle name="Note 35 2 19 2" xfId="43524" xr:uid="{540E4DB4-1D71-411E-BA7B-1EB3692C6CA4}"/>
    <cellStyle name="Note 35 2 2" xfId="8014" xr:uid="{5422E873-D85A-435B-85FC-786DA4610BC9}"/>
    <cellStyle name="Note 35 2 2 2" xfId="32260" xr:uid="{82193DA8-FB79-4B82-91A9-3CF39B0015E4}"/>
    <cellStyle name="Note 35 2 20" xfId="18074" xr:uid="{96B9A1F4-B36C-4C4C-B99C-65681EC0ADBD}"/>
    <cellStyle name="Note 35 2 20 2" xfId="39148" xr:uid="{EDEB3054-96D7-44C1-BE83-48045A191DFD}"/>
    <cellStyle name="Note 35 2 21" xfId="24515" xr:uid="{81F0642E-9CFB-4E33-9332-299DA82B26D6}"/>
    <cellStyle name="Note 35 2 21 2" xfId="43698" xr:uid="{D35456B4-51E5-4E8C-888D-BB0AA24FEC16}"/>
    <cellStyle name="Note 35 2 22" xfId="29429" xr:uid="{CE08E299-ADF3-4425-B2B0-D9C0E3B2E0E0}"/>
    <cellStyle name="Note 35 2 22 2" xfId="46890" xr:uid="{0E46CD9E-E5F1-40F6-934B-DEE560F7B0C8}"/>
    <cellStyle name="Note 35 2 23" xfId="28598" xr:uid="{E709D5B9-F080-4438-9F60-BB9E2AF050C6}"/>
    <cellStyle name="Note 35 2 23 2" xfId="46332" xr:uid="{63486053-2ECD-440C-A376-2BA0772EDF9C}"/>
    <cellStyle name="Note 35 2 24" xfId="23869" xr:uid="{BAD133E9-7DA2-455C-96FF-FB49BA29E939}"/>
    <cellStyle name="Note 35 2 24 2" xfId="43248" xr:uid="{8E3E3890-9B35-4E64-A46B-9F1B26259621}"/>
    <cellStyle name="Note 35 2 25" xfId="27893" xr:uid="{F5D7F965-FFD6-4428-8707-E7565F46B948}"/>
    <cellStyle name="Note 35 2 25 2" xfId="45965" xr:uid="{596E7B5D-D646-4F57-B5EB-868FDA7B83CF}"/>
    <cellStyle name="Note 35 2 26" xfId="30772" xr:uid="{8CC24B9D-6229-41C5-BF55-A836C42087D5}"/>
    <cellStyle name="Note 35 2 26 2" xfId="47713" xr:uid="{C3488435-3416-4C17-B26E-9EC492AB876A}"/>
    <cellStyle name="Note 35 2 27" xfId="28273" xr:uid="{4DC05AA7-56ED-4D3B-A102-D80020E04798}"/>
    <cellStyle name="Note 35 2 27 2" xfId="46140" xr:uid="{2991264F-041B-4A56-BABF-33F3CA50781E}"/>
    <cellStyle name="Note 35 2 28" xfId="6520" xr:uid="{C97A5747-E3FD-4014-A673-52646F37569D}"/>
    <cellStyle name="Note 35 2 3" xfId="9376" xr:uid="{4DB30BCB-E64D-4893-8A55-F52F1A768D9F}"/>
    <cellStyle name="Note 35 2 3 2" xfId="33359" xr:uid="{814316F4-EB21-452B-B502-680A8400DF5B}"/>
    <cellStyle name="Note 35 2 4" xfId="12067" xr:uid="{3A7CEE8A-F604-4632-84C3-EB0E45022384}"/>
    <cellStyle name="Note 35 2 4 2" xfId="34625" xr:uid="{A4D7B613-E22F-4360-ACC5-ECED57229E45}"/>
    <cellStyle name="Note 35 2 5" xfId="15930" xr:uid="{E8A70073-477B-4385-869D-9BA4E83A9AC1}"/>
    <cellStyle name="Note 35 2 5 2" xfId="37521" xr:uid="{B2C06A1A-8D46-49AC-887A-1C101842F828}"/>
    <cellStyle name="Note 35 2 6" xfId="13009" xr:uid="{5A873275-A087-4F7C-8915-D2AA0F95D75A}"/>
    <cellStyle name="Note 35 2 6 2" xfId="35357" xr:uid="{F29DB103-A4B0-47EC-B745-92B14E9BB054}"/>
    <cellStyle name="Note 35 2 7" xfId="8463" xr:uid="{37017EBB-CA66-44E7-9D74-6662ECB70989}"/>
    <cellStyle name="Note 35 2 7 2" xfId="32650" xr:uid="{F9A527B3-2AFB-4A0A-9D7D-1C5770B8B614}"/>
    <cellStyle name="Note 35 2 8" xfId="14860" xr:uid="{4A825A11-7790-4F16-92F5-D36B14879D8F}"/>
    <cellStyle name="Note 35 2 8 2" xfId="36735" xr:uid="{22A33933-CDCB-4C1F-912B-A8532BD0E83C}"/>
    <cellStyle name="Note 35 2 9" xfId="7088" xr:uid="{BFF4DA03-8FE1-4ECA-8116-C1EC68EA7EA6}"/>
    <cellStyle name="Note 35 2 9 2" xfId="31455" xr:uid="{21CB5A17-6C60-4470-8B8D-AD5A10BAE671}"/>
    <cellStyle name="Note 35 20" xfId="24717" xr:uid="{633D6CE7-076F-4F4D-A8AF-7ECA283C0C9A}"/>
    <cellStyle name="Note 35 20 2" xfId="43862" xr:uid="{DBFDDAD5-6A50-43F5-AB8B-A45835422389}"/>
    <cellStyle name="Note 35 21" xfId="12838" xr:uid="{CF97A7F6-0BBD-4DC0-9785-1B18DA188AA2}"/>
    <cellStyle name="Note 35 21 2" xfId="35219" xr:uid="{7CA7AC63-2A00-405C-BE89-C7052464C069}"/>
    <cellStyle name="Note 35 22" xfId="21975" xr:uid="{B36F4090-971E-4D23-AD57-2A95A792ED6B}"/>
    <cellStyle name="Note 35 22 2" xfId="41882" xr:uid="{43EB0F7E-7D21-4BC7-A59F-B5E12FBFCF71}"/>
    <cellStyle name="Note 35 23" xfId="20513" xr:uid="{75B4A558-9019-42FA-AFA3-3CF162035B3A}"/>
    <cellStyle name="Note 35 23 2" xfId="40893" xr:uid="{89C73526-589F-4D70-9899-594BE0E7FE96}"/>
    <cellStyle name="Note 35 24" xfId="29511" xr:uid="{0ADDA923-449A-4A54-81F6-79F150D6AE7D}"/>
    <cellStyle name="Note 35 24 2" xfId="46920" xr:uid="{55BEE157-F36F-45AF-99C6-CBECDA6612F9}"/>
    <cellStyle name="Note 35 25" xfId="23858" xr:uid="{272D758D-DE32-419F-9698-F1FAD77289E2}"/>
    <cellStyle name="Note 35 25 2" xfId="43237" xr:uid="{88F5679C-18D3-4568-9EF2-040CF34537BB}"/>
    <cellStyle name="Note 35 26" xfId="22659" xr:uid="{7E6CD149-044C-4A12-80B7-77BE98338B59}"/>
    <cellStyle name="Note 35 26 2" xfId="42430" xr:uid="{4F70F4C7-1D12-4BE4-9086-A1CA5D0FF46E}"/>
    <cellStyle name="Note 35 27" xfId="23038" xr:uid="{F00CA769-A3F5-4C0D-99B2-BA41F2CABBC9}"/>
    <cellStyle name="Note 35 27 2" xfId="42672" xr:uid="{8E10353B-DDFF-419C-A92E-07846338F1A1}"/>
    <cellStyle name="Note 35 28" xfId="23739" xr:uid="{FD814C96-00E0-4F61-B9BC-5F051DB991E0}"/>
    <cellStyle name="Note 35 28 2" xfId="43153" xr:uid="{CDA32608-B38C-4009-A68F-62724FCB3FD2}"/>
    <cellStyle name="Note 35 29" xfId="6519" xr:uid="{D7B0F05D-882A-4506-9F59-BFEA359E8754}"/>
    <cellStyle name="Note 35 3" xfId="8015" xr:uid="{68191623-2EA7-4775-84A8-E28480A13866}"/>
    <cellStyle name="Note 35 3 2" xfId="32261" xr:uid="{A23B2721-8889-458C-820A-F6FD913D1D02}"/>
    <cellStyle name="Note 35 4" xfId="9375" xr:uid="{B67B75A0-E14A-4553-94AE-9B0DEBEB95A2}"/>
    <cellStyle name="Note 35 4 2" xfId="33358" xr:uid="{58262439-60F9-447F-8DB2-B6CE36E61F0E}"/>
    <cellStyle name="Note 35 5" xfId="7661" xr:uid="{FCC38C25-FB84-4A1E-8F91-08F30BFFF9AB}"/>
    <cellStyle name="Note 35 5 2" xfId="31960" xr:uid="{CFDF1FD4-4D04-46F5-AC8E-37D8BE9FF101}"/>
    <cellStyle name="Note 35 6" xfId="8776" xr:uid="{7777004E-34F0-499D-A623-361B70D96444}"/>
    <cellStyle name="Note 35 6 2" xfId="32905" xr:uid="{6D47A769-4566-4847-AE5C-14563E892685}"/>
    <cellStyle name="Note 35 7" xfId="10458" xr:uid="{FF6996A5-2CD2-41C6-A6F0-95FEC4397C24}"/>
    <cellStyle name="Note 35 7 2" xfId="34093" xr:uid="{E6BF183A-3C69-4D94-87F0-CA11E91C2830}"/>
    <cellStyle name="Note 35 8" xfId="8396" xr:uid="{52D2808D-54C8-4D45-8A71-9D11BC06004F}"/>
    <cellStyle name="Note 35 8 2" xfId="32611" xr:uid="{32E151F2-FAB2-4F7D-A939-AC70BCBEA5A0}"/>
    <cellStyle name="Note 35 9" xfId="15963" xr:uid="{8ABAD88C-3B32-429F-A1D2-BBD909B1522F}"/>
    <cellStyle name="Note 35 9 2" xfId="37554" xr:uid="{C90C602C-8A47-45DE-8740-ADF25E8BC2FB}"/>
    <cellStyle name="Note 36" xfId="3001" xr:uid="{ED18E720-87F1-4FC3-BEC0-BD34EFF3DB35}"/>
    <cellStyle name="Note 36 10" xfId="7087" xr:uid="{19912A31-D6A7-4848-BF39-A1526E91243B}"/>
    <cellStyle name="Note 36 10 2" xfId="31454" xr:uid="{2DD4E4E9-DF44-4DA1-8E30-0CE906C3CA44}"/>
    <cellStyle name="Note 36 11" xfId="14639" xr:uid="{0012D3AB-6DDC-48AF-8DF6-D3174F3128C8}"/>
    <cellStyle name="Note 36 11 2" xfId="36551" xr:uid="{252FFEA3-97CB-42FA-8DA1-0F1177DAA27B}"/>
    <cellStyle name="Note 36 12" xfId="12551" xr:uid="{5D495A97-8522-4ED5-902C-B35808A324E1}"/>
    <cellStyle name="Note 36 12 2" xfId="34995" xr:uid="{EAFFA2DB-788E-4CB9-B423-57567BEA0946}"/>
    <cellStyle name="Note 36 13" xfId="13729" xr:uid="{D60DD766-6CB6-4EE1-A0E9-1617DBF52574}"/>
    <cellStyle name="Note 36 13 2" xfId="35884" xr:uid="{419B5698-CF46-4C08-A1A6-38BB167495FB}"/>
    <cellStyle name="Note 36 14" xfId="22481" xr:uid="{36A8A654-DD6B-4D08-AC13-24EAC84699AC}"/>
    <cellStyle name="Note 36 14 2" xfId="42280" xr:uid="{561F670C-C240-4BA5-8048-10715287EF8A}"/>
    <cellStyle name="Note 36 15" xfId="15283" xr:uid="{B4013C92-5523-44F3-8A0B-3DE2E5B7E719}"/>
    <cellStyle name="Note 36 15 2" xfId="37000" xr:uid="{381444E4-C034-4AD0-9223-3139388C62DD}"/>
    <cellStyle name="Note 36 16" xfId="20276" xr:uid="{9BF8C7A3-0ACA-47D0-A42F-2256CDBCFB5D}"/>
    <cellStyle name="Note 36 16 2" xfId="40715" xr:uid="{3B489ADB-7FE6-4240-8BE5-F7221EB9B93A}"/>
    <cellStyle name="Note 36 17" xfId="19613" xr:uid="{B6BF8AC4-7E8A-4766-B59F-A9B84369D0ED}"/>
    <cellStyle name="Note 36 17 2" xfId="40253" xr:uid="{8CF9F555-F6A5-4081-BAAD-D5D819C197BC}"/>
    <cellStyle name="Note 36 18" xfId="15809" xr:uid="{DD1EECEE-6D67-4B09-A2EB-ACF60CE35A71}"/>
    <cellStyle name="Note 36 18 2" xfId="37424" xr:uid="{D7D6DD31-EA6C-4D1D-9E27-CAAAC9A42CF9}"/>
    <cellStyle name="Note 36 19" xfId="25258" xr:uid="{99D56018-E701-4CFF-9553-50285314F7A2}"/>
    <cellStyle name="Note 36 19 2" xfId="44179" xr:uid="{48967AD8-79DA-4E90-81D4-E5FF1D0CB9A9}"/>
    <cellStyle name="Note 36 2" xfId="3002" xr:uid="{7B0958EA-39E6-4CA7-BE97-1006686064CB}"/>
    <cellStyle name="Note 36 2 10" xfId="15524" xr:uid="{AB7D167E-524B-4DF1-9AE3-635A8BA60FF3}"/>
    <cellStyle name="Note 36 2 10 2" xfId="37189" xr:uid="{89C03EF6-CBB1-4636-9C2C-2F3A80AE7C12}"/>
    <cellStyle name="Note 36 2 11" xfId="16509" xr:uid="{8BE399C4-5C7B-403C-B8E3-73D66A068CB4}"/>
    <cellStyle name="Note 36 2 11 2" xfId="38002" xr:uid="{AEEFE313-E23C-41C3-A5AD-601EF15C5C51}"/>
    <cellStyle name="Note 36 2 12" xfId="13867" xr:uid="{EF9B5628-60DD-4FC4-B8D5-4A1F77ED6A66}"/>
    <cellStyle name="Note 36 2 12 2" xfId="35990" xr:uid="{269C93F0-6B60-4892-8B8C-4F3F73256537}"/>
    <cellStyle name="Note 36 2 13" xfId="20767" xr:uid="{FAAD6448-1BB9-46ED-904E-FF451615821B}"/>
    <cellStyle name="Note 36 2 13 2" xfId="41127" xr:uid="{142684B2-88EB-4785-9244-6574C83E5C02}"/>
    <cellStyle name="Note 36 2 14" xfId="19715" xr:uid="{60D2FE91-8E88-48A4-BBCD-6A713EB1339F}"/>
    <cellStyle name="Note 36 2 14 2" xfId="40332" xr:uid="{A06A0FFC-623A-45CD-9281-9725BF4B2F36}"/>
    <cellStyle name="Note 36 2 15" xfId="16189" xr:uid="{6A153B51-ACF0-4148-8D26-A8BBAE88AF65}"/>
    <cellStyle name="Note 36 2 15 2" xfId="37748" xr:uid="{517CA69E-4197-4A60-929B-AC28B1260F59}"/>
    <cellStyle name="Note 36 2 16" xfId="21403" xr:uid="{28F7F817-615C-472C-AD18-EA2F3FC4D939}"/>
    <cellStyle name="Note 36 2 16 2" xfId="41532" xr:uid="{E4D2793A-9895-4E07-9249-864A38872636}"/>
    <cellStyle name="Note 36 2 17" xfId="25675" xr:uid="{CF63A813-03A0-4BDD-BAD6-CFF18C1A5944}"/>
    <cellStyle name="Note 36 2 17 2" xfId="44512" xr:uid="{B1AB53FF-8F6E-4FC8-8FA9-F7A9CD3B8882}"/>
    <cellStyle name="Note 36 2 18" xfId="19034" xr:uid="{E5380BD3-38E6-43EC-B226-63059164093E}"/>
    <cellStyle name="Note 36 2 18 2" xfId="39866" xr:uid="{0AC6447D-894B-44FB-8A03-CADB13F23AF1}"/>
    <cellStyle name="Note 36 2 19" xfId="24716" xr:uid="{DBC2FCA2-2CC5-4B1B-8D3A-8E1116227342}"/>
    <cellStyle name="Note 36 2 19 2" xfId="43861" xr:uid="{3E966505-84FE-415C-8C5E-9D85B300EB3B}"/>
    <cellStyle name="Note 36 2 2" xfId="8012" xr:uid="{F17F2B6D-4A5B-4D6D-8440-29E0AF264EC2}"/>
    <cellStyle name="Note 36 2 2 2" xfId="32258" xr:uid="{793134F9-A28C-488A-B910-BA35F930E79E}"/>
    <cellStyle name="Note 36 2 20" xfId="18073" xr:uid="{7474B356-17E2-4341-9CE1-72B84A773063}"/>
    <cellStyle name="Note 36 2 20 2" xfId="39147" xr:uid="{AB70E652-F59B-4198-B184-F22C8F8F0B84}"/>
    <cellStyle name="Note 36 2 21" xfId="21734" xr:uid="{C0A11DD7-ECF3-49DB-8C73-73C28440CE34}"/>
    <cellStyle name="Note 36 2 21 2" xfId="41756" xr:uid="{70C81CFE-16DA-4E5E-B691-E46E51FAA911}"/>
    <cellStyle name="Note 36 2 22" xfId="26364" xr:uid="{663C99C5-20FA-4688-B6A8-6C19E7751D1D}"/>
    <cellStyle name="Note 36 2 22 2" xfId="45046" xr:uid="{EFE54CB9-4BD5-4054-929D-8577D81839F7}"/>
    <cellStyle name="Note 36 2 23" xfId="29390" xr:uid="{BFBFA943-2CDB-4D44-A5D4-A9EF1BD2EB34}"/>
    <cellStyle name="Note 36 2 23 2" xfId="46857" xr:uid="{36ADE937-17CD-40DC-A551-3C97931177F2}"/>
    <cellStyle name="Note 36 2 24" xfId="23868" xr:uid="{305664EF-3F4B-46D0-B025-8C4F6CE8022F}"/>
    <cellStyle name="Note 36 2 24 2" xfId="43247" xr:uid="{F9C39D4B-1CC5-44B8-B942-4CFABE3D3AA7}"/>
    <cellStyle name="Note 36 2 25" xfId="27892" xr:uid="{A2385FD1-F5B7-4E00-9950-118F27B1AF70}"/>
    <cellStyle name="Note 36 2 25 2" xfId="45964" xr:uid="{FEDC9E45-89D7-426B-B85E-3A25F9B7FA88}"/>
    <cellStyle name="Note 36 2 26" xfId="30773" xr:uid="{D800EAD8-DE41-4B06-942F-43E88E536855}"/>
    <cellStyle name="Note 36 2 26 2" xfId="47714" xr:uid="{47AFA277-1DD2-4624-B2CB-0496FC952883}"/>
    <cellStyle name="Note 36 2 27" xfId="28856" xr:uid="{672CBAC7-F606-4A32-8300-F08FA63735C7}"/>
    <cellStyle name="Note 36 2 27 2" xfId="46477" xr:uid="{B97C4EB4-7AE8-45EF-80E8-6C68480478A7}"/>
    <cellStyle name="Note 36 2 28" xfId="6522" xr:uid="{A530873E-FEE3-438A-8E77-5885BD4DA486}"/>
    <cellStyle name="Note 36 2 3" xfId="9378" xr:uid="{C18F783C-6B87-4A22-8664-20C3D67B704F}"/>
    <cellStyle name="Note 36 2 3 2" xfId="33361" xr:uid="{85457CA7-FBDF-40EE-A4E0-707504703C80}"/>
    <cellStyle name="Note 36 2 4" xfId="12066" xr:uid="{68064ABA-D3C7-4ED1-BBCD-425F71089B62}"/>
    <cellStyle name="Note 36 2 4 2" xfId="34624" xr:uid="{643E99E9-5740-4FF5-BE63-D7FF8E85F3E5}"/>
    <cellStyle name="Note 36 2 5" xfId="14305" xr:uid="{F47B9C3D-CC9D-471E-9112-5C540571CC8E}"/>
    <cellStyle name="Note 36 2 5 2" xfId="36348" xr:uid="{B68A11F6-C3C6-4860-A786-2337B4925756}"/>
    <cellStyle name="Note 36 2 6" xfId="13008" xr:uid="{57BE2A85-FD7D-4D7E-9560-13238205289A}"/>
    <cellStyle name="Note 36 2 6 2" xfId="35356" xr:uid="{56FA2D22-52B7-4A74-A359-A9908745C4B9}"/>
    <cellStyle name="Note 36 2 7" xfId="13400" xr:uid="{28055059-F94B-48D3-89EE-0335862E4F41}"/>
    <cellStyle name="Note 36 2 7 2" xfId="35707" xr:uid="{48333A74-6F03-4BD3-9511-61633F13227C}"/>
    <cellStyle name="Note 36 2 8" xfId="14859" xr:uid="{C0786C0E-509A-4B55-8DD7-08B3486C7A09}"/>
    <cellStyle name="Note 36 2 8 2" xfId="36734" xr:uid="{3EC0A4E2-6B5F-495B-BEAB-60B6022A0EC4}"/>
    <cellStyle name="Note 36 2 9" xfId="7086" xr:uid="{080B152D-7ED5-4674-B088-95524BCB42A9}"/>
    <cellStyle name="Note 36 2 9 2" xfId="31453" xr:uid="{332EDFA0-FCCB-4C4A-A5EF-82871AD2EA1F}"/>
    <cellStyle name="Note 36 20" xfId="25745" xr:uid="{A46573E1-E6C5-4EEB-81B4-115611C2C3DD}"/>
    <cellStyle name="Note 36 20 2" xfId="44582" xr:uid="{CCDC7F89-0DFD-4940-8D1D-BB1A35CC57D3}"/>
    <cellStyle name="Note 36 21" xfId="12638" xr:uid="{762AF2CA-F1EE-4E63-942E-D2D729C9C5BF}"/>
    <cellStyle name="Note 36 21 2" xfId="35066" xr:uid="{E92DB5BE-5CCF-40F9-B006-005A76994238}"/>
    <cellStyle name="Note 36 22" xfId="25347" xr:uid="{3B1090A0-9324-4637-B70B-E400B88D3B5E}"/>
    <cellStyle name="Note 36 22 2" xfId="44263" xr:uid="{0AFADD7F-2A4B-45E6-98B0-D4D179826361}"/>
    <cellStyle name="Note 36 23" xfId="28948" xr:uid="{DF3811FD-1372-4E28-9F59-9796B6CF24E5}"/>
    <cellStyle name="Note 36 23 2" xfId="46544" xr:uid="{CAFC39E1-B3D5-4D43-9F5E-644FD7B0929C}"/>
    <cellStyle name="Note 36 24" xfId="29766" xr:uid="{C66B7D93-396C-4E56-BDEB-9C67EA129187}"/>
    <cellStyle name="Note 36 24 2" xfId="47085" xr:uid="{F0E75C45-37AF-4921-BC41-DD80A36966F7}"/>
    <cellStyle name="Note 36 25" xfId="22594" xr:uid="{34FAB7D9-DE3A-4DDB-B810-F0E56BE9F657}"/>
    <cellStyle name="Note 36 25 2" xfId="42380" xr:uid="{C3E7A1D1-8519-46E0-95C0-C7853E10E1CD}"/>
    <cellStyle name="Note 36 26" xfId="22642" xr:uid="{165B04BD-9F93-48AD-8A6C-9082C0C32161}"/>
    <cellStyle name="Note 36 26 2" xfId="42414" xr:uid="{A4E2EC6E-2A63-49D2-A859-16268BE83971}"/>
    <cellStyle name="Note 36 27" xfId="30138" xr:uid="{C8B502BC-5D5B-478D-A7A5-AD209F469961}"/>
    <cellStyle name="Note 36 27 2" xfId="47306" xr:uid="{9D57570B-F966-4779-BEDD-C2964B4CA4FE}"/>
    <cellStyle name="Note 36 28" xfId="29010" xr:uid="{B2ED164B-9840-4EDB-8961-542C3664875D}"/>
    <cellStyle name="Note 36 28 2" xfId="46604" xr:uid="{DD8A8357-FBA9-47EB-A101-BEE4A4419600}"/>
    <cellStyle name="Note 36 29" xfId="6521" xr:uid="{A4950759-3458-498A-B83A-E42ED65E99DF}"/>
    <cellStyle name="Note 36 3" xfId="8013" xr:uid="{656CD2F3-4930-4FF9-A51D-A57BBD0328B2}"/>
    <cellStyle name="Note 36 3 2" xfId="32259" xr:uid="{66825DF5-C0EE-47F6-A924-19618E2480AB}"/>
    <cellStyle name="Note 36 4" xfId="9377" xr:uid="{0E1CD31E-B399-40A3-99EA-22EDA5C0628E}"/>
    <cellStyle name="Note 36 4 2" xfId="33360" xr:uid="{67CC2F9B-1D71-4BAB-991B-1B65518FB604}"/>
    <cellStyle name="Note 36 5" xfId="7660" xr:uid="{D9B566F0-A0E7-42C6-BC3B-F1BFB66686EE}"/>
    <cellStyle name="Note 36 5 2" xfId="31959" xr:uid="{564F72B7-BF82-4C1D-A093-D62B696B92C4}"/>
    <cellStyle name="Note 36 6" xfId="15933" xr:uid="{15A91F19-12F3-42D3-AFD3-CADCFAFBD5BD}"/>
    <cellStyle name="Note 36 6 2" xfId="37524" xr:uid="{1BF7207B-80C1-4EAB-8B1F-895B0DCA3072}"/>
    <cellStyle name="Note 36 7" xfId="10459" xr:uid="{11A11528-31C4-4905-9580-E371E5C3F05E}"/>
    <cellStyle name="Note 36 7 2" xfId="34094" xr:uid="{50311362-9CEE-4546-8368-3DFA3034AADA}"/>
    <cellStyle name="Note 36 8" xfId="8462" xr:uid="{2E178F18-7FD5-4D14-8651-A021F9B72AA6}"/>
    <cellStyle name="Note 36 8 2" xfId="32649" xr:uid="{C4BEE918-431B-4DEE-88A2-9CCB27C5113E}"/>
    <cellStyle name="Note 36 9" xfId="12909" xr:uid="{9D21C74D-83F4-458E-BD48-4A41A9B20ECB}"/>
    <cellStyle name="Note 36 9 2" xfId="35265" xr:uid="{EAE18D23-1795-44CC-9AA2-0624A3AA7B8F}"/>
    <cellStyle name="Note 37" xfId="3003" xr:uid="{7EEED173-019D-476F-8E15-5C705EAB7701}"/>
    <cellStyle name="Note 37 10" xfId="7085" xr:uid="{A1FA2565-F9B1-41FF-BF99-7E71D294FA6F}"/>
    <cellStyle name="Note 37 10 2" xfId="31452" xr:uid="{E2BE9071-CFFA-4A09-980F-97B8E860FF88}"/>
    <cellStyle name="Note 37 11" xfId="12325" xr:uid="{487A195D-E570-41CF-ABBE-175C88F73641}"/>
    <cellStyle name="Note 37 11 2" xfId="34829" xr:uid="{56379C37-FD85-434C-8578-5F2A3AFAB5D3}"/>
    <cellStyle name="Note 37 12" xfId="12552" xr:uid="{C28DA641-9712-4DEE-A59B-67949404355B}"/>
    <cellStyle name="Note 37 12 2" xfId="34996" xr:uid="{80AAC4C6-8BD9-4732-8386-50B57DFB76C2}"/>
    <cellStyle name="Note 37 13" xfId="17472" xr:uid="{3CA3514D-1E3D-470D-AF24-9C9F2096F6EF}"/>
    <cellStyle name="Note 37 13 2" xfId="38719" xr:uid="{2DBEBE6E-DAB2-4E14-844B-C8D909705D1B}"/>
    <cellStyle name="Note 37 14" xfId="22480" xr:uid="{F14D0A5A-BA18-4B93-8E18-B976313849A6}"/>
    <cellStyle name="Note 37 14 2" xfId="42279" xr:uid="{579972C0-5D7F-4D5F-8607-DBE5963F4C81}"/>
    <cellStyle name="Note 37 15" xfId="15711" xr:uid="{83773D5B-EB17-4547-93C0-85BF432C932B}"/>
    <cellStyle name="Note 37 15 2" xfId="37342" xr:uid="{677E264E-59F4-4367-8AB1-45E9A4C9C10E}"/>
    <cellStyle name="Note 37 16" xfId="16185" xr:uid="{43F7CE40-0F66-4DD7-9892-72A593207BA4}"/>
    <cellStyle name="Note 37 16 2" xfId="37744" xr:uid="{C627CDA3-FBE0-4F26-A08E-DF9570B27903}"/>
    <cellStyle name="Note 37 17" xfId="22522" xr:uid="{9A5B8EED-AAC2-476B-9401-A21FD28BCE19}"/>
    <cellStyle name="Note 37 17 2" xfId="42321" xr:uid="{6B07C063-6446-40A7-BFAA-29964D014B28}"/>
    <cellStyle name="Note 37 18" xfId="25693" xr:uid="{FCFBC4D0-2D53-42DC-90D2-DDB41A5E7B04}"/>
    <cellStyle name="Note 37 18 2" xfId="44530" xr:uid="{E9562AE0-4D00-42F5-A07B-D3D197ACF246}"/>
    <cellStyle name="Note 37 19" xfId="23517" xr:uid="{394CCA4A-1502-41EF-9A32-543B956AEB10}"/>
    <cellStyle name="Note 37 19 2" xfId="42977" xr:uid="{63EF5E9E-5A1B-4F96-AB05-3A8152800455}"/>
    <cellStyle name="Note 37 2" xfId="3004" xr:uid="{CCC3A3C3-0ADB-4A7F-825D-3F828FFA6B54}"/>
    <cellStyle name="Note 37 2 10" xfId="13820" xr:uid="{1A347A8A-EA0E-4820-9627-A3D08EB7E613}"/>
    <cellStyle name="Note 37 2 10 2" xfId="35945" xr:uid="{7F148610-C911-4BFF-B033-9FC247C10778}"/>
    <cellStyle name="Note 37 2 11" xfId="12567" xr:uid="{6C454CD4-B0AE-461D-A555-42512D7BD808}"/>
    <cellStyle name="Note 37 2 11 2" xfId="35011" xr:uid="{8B32F989-0B5F-4A7E-A5DA-E13431971811}"/>
    <cellStyle name="Note 37 2 12" xfId="13708" xr:uid="{8278C0E1-387F-4D2D-96FD-7FCF81E48A86}"/>
    <cellStyle name="Note 37 2 12 2" xfId="35864" xr:uid="{76628181-C138-4534-A547-C10FBEB2C560}"/>
    <cellStyle name="Note 37 2 13" xfId="20784" xr:uid="{5C3CEB41-4523-4D1C-B117-2274736C7F6C}"/>
    <cellStyle name="Note 37 2 13 2" xfId="41144" xr:uid="{D357A884-F8C5-4B71-8FFC-27B59937A0A2}"/>
    <cellStyle name="Note 37 2 14" xfId="19714" xr:uid="{E315BB08-EBFC-471B-95AB-9826BF00CCC9}"/>
    <cellStyle name="Note 37 2 14 2" xfId="40331" xr:uid="{61357893-DEE8-404C-B597-C9CE2C11EFD7}"/>
    <cellStyle name="Note 37 2 15" xfId="13271" xr:uid="{623F0F70-33F5-49B0-89F8-251F58931D17}"/>
    <cellStyle name="Note 37 2 15 2" xfId="35595" xr:uid="{A9315AA3-9D44-484A-A5C7-2272B0C718A6}"/>
    <cellStyle name="Note 37 2 16" xfId="16979" xr:uid="{1AC6B5F8-98A5-4542-B20E-41A203D8535C}"/>
    <cellStyle name="Note 37 2 16 2" xfId="38340" xr:uid="{BC0A1411-F175-43A2-B87A-CE84B96525E6}"/>
    <cellStyle name="Note 37 2 17" xfId="25676" xr:uid="{263C4A2D-35B0-458F-8575-B2938DCA2313}"/>
    <cellStyle name="Note 37 2 17 2" xfId="44513" xr:uid="{C562C579-9691-473C-B417-72E314A236EA}"/>
    <cellStyle name="Note 37 2 18" xfId="25259" xr:uid="{1C09C1A9-8036-4FE9-BCFD-E551656809E0}"/>
    <cellStyle name="Note 37 2 18 2" xfId="44180" xr:uid="{EEBF01D3-0F3D-48AE-82D1-28B4A5CC7105}"/>
    <cellStyle name="Note 37 2 19" xfId="24715" xr:uid="{BFD84E40-41D6-4BFB-BC69-344488C2EDE7}"/>
    <cellStyle name="Note 37 2 19 2" xfId="43860" xr:uid="{BA44C41D-330F-4FE2-B2F9-84E03BDD720B}"/>
    <cellStyle name="Note 37 2 2" xfId="8010" xr:uid="{723120EC-E0F1-493E-A49C-F20F68957BB3}"/>
    <cellStyle name="Note 37 2 2 2" xfId="32256" xr:uid="{AFCF444C-4703-4A07-9DC2-67458FBA2BC6}"/>
    <cellStyle name="Note 37 2 20" xfId="19997" xr:uid="{485014D0-DC6B-4C12-97A4-EF415E2484C5}"/>
    <cellStyle name="Note 37 2 20 2" xfId="40567" xr:uid="{33139BDC-74D2-4D60-8976-1DC1838DC3EF}"/>
    <cellStyle name="Note 37 2 21" xfId="24514" xr:uid="{2BEF3B36-9432-4D43-BB82-52DD7D5FA162}"/>
    <cellStyle name="Note 37 2 21 2" xfId="43697" xr:uid="{5AC5D432-45DE-4210-860D-6D55280AE119}"/>
    <cellStyle name="Note 37 2 22" xfId="29451" xr:uid="{EEF95B4E-E418-4D34-AB52-1118E4C543C9}"/>
    <cellStyle name="Note 37 2 22 2" xfId="46909" xr:uid="{21F4DE53-0276-43B6-A553-F608AB968D39}"/>
    <cellStyle name="Note 37 2 23" xfId="29765" xr:uid="{0730CE34-9085-4592-BDC0-7C0BB3D68E94}"/>
    <cellStyle name="Note 37 2 23 2" xfId="47084" xr:uid="{841C805C-045F-4CB7-A349-AC445BF552C9}"/>
    <cellStyle name="Note 37 2 24" xfId="23867" xr:uid="{E20A9239-BBD4-4C11-8CAB-58741211189E}"/>
    <cellStyle name="Note 37 2 24 2" xfId="43246" xr:uid="{2351A1FB-5472-4BFB-A729-A4EFDD3E9236}"/>
    <cellStyle name="Note 37 2 25" xfId="27713" xr:uid="{AA9B7DBC-DA1F-49A8-B196-BA7FF9B94277}"/>
    <cellStyle name="Note 37 2 25 2" xfId="45820" xr:uid="{49AA3398-6E5A-4625-9B99-61F5C0A68DDC}"/>
    <cellStyle name="Note 37 2 26" xfId="30040" xr:uid="{D2124A44-F721-46F4-8C2F-C7140AAC3CA9}"/>
    <cellStyle name="Note 37 2 26 2" xfId="47265" xr:uid="{48026C59-549D-49F9-9278-A51062BE65F0}"/>
    <cellStyle name="Note 37 2 27" xfId="25215" xr:uid="{4CCC5649-43DE-4149-913A-8B18315AD6B9}"/>
    <cellStyle name="Note 37 2 27 2" xfId="44153" xr:uid="{D217344F-453F-4EC3-89A5-83C9D7EBA630}"/>
    <cellStyle name="Note 37 2 28" xfId="6524" xr:uid="{B21D6AEB-583B-4B61-9198-EAF854C82F89}"/>
    <cellStyle name="Note 37 2 3" xfId="9380" xr:uid="{F1E7BD71-2816-4E6E-AB53-5E86C28521F4}"/>
    <cellStyle name="Note 37 2 3 2" xfId="33363" xr:uid="{F5CEFD2A-3D6A-4B09-9719-C93A8C7CD252}"/>
    <cellStyle name="Note 37 2 4" xfId="12065" xr:uid="{DC01942D-C883-42BB-A59B-6F2B4FB179F4}"/>
    <cellStyle name="Note 37 2 4 2" xfId="34623" xr:uid="{100D028D-4173-4434-92A2-BD2767C75AE5}"/>
    <cellStyle name="Note 37 2 5" xfId="8775" xr:uid="{3678C6CC-AF14-4C7A-B408-C1E154ACA250}"/>
    <cellStyle name="Note 37 2 5 2" xfId="32904" xr:uid="{C2E4E781-FBB2-439C-8A5C-5625482EEC10}"/>
    <cellStyle name="Note 37 2 6" xfId="10461" xr:uid="{6274CE61-117B-45B2-8387-E3B02A20E8AE}"/>
    <cellStyle name="Note 37 2 6 2" xfId="34096" xr:uid="{257193EF-2555-43B9-8C6C-91BED3DFA439}"/>
    <cellStyle name="Note 37 2 7" xfId="14551" xr:uid="{7CC35BCF-054B-427F-B935-96EB6F3838AB}"/>
    <cellStyle name="Note 37 2 7 2" xfId="36482" xr:uid="{0D19B809-3654-4964-BCFB-D5B8CA56303A}"/>
    <cellStyle name="Note 37 2 8" xfId="14858" xr:uid="{0481B896-DD04-4C2E-9F94-5648BB6E3C6A}"/>
    <cellStyle name="Note 37 2 8 2" xfId="36733" xr:uid="{8CC18252-3FE5-4DFF-B874-2003BA77323E}"/>
    <cellStyle name="Note 37 2 9" xfId="7084" xr:uid="{34214483-A2C2-40EB-AC25-3B0AB5F2C5DE}"/>
    <cellStyle name="Note 37 2 9 2" xfId="31451" xr:uid="{96E69E55-2756-4F4F-B4AF-20F26423091B}"/>
    <cellStyle name="Note 37 20" xfId="20386" xr:uid="{650186D0-8CDC-4F38-BC8D-F0EC242BA322}"/>
    <cellStyle name="Note 37 20 2" xfId="40808" xr:uid="{97C3E9AC-DF8F-466D-817C-2FA55203D3C9}"/>
    <cellStyle name="Note 37 21" xfId="15215" xr:uid="{5CE47375-AC3E-449D-BD6F-CDE8B0CE9EFE}"/>
    <cellStyle name="Note 37 21 2" xfId="36985" xr:uid="{1F93BC95-84EF-4F85-B1B7-86E5D91D8869}"/>
    <cellStyle name="Note 37 22" xfId="23450" xr:uid="{5273E59C-262B-436F-9265-00D6106EE8B3}"/>
    <cellStyle name="Note 37 22 2" xfId="42956" xr:uid="{2565FB7B-FE02-4570-B35A-92BA63914794}"/>
    <cellStyle name="Note 37 23" xfId="29430" xr:uid="{9CC49A2E-51A2-4A7C-A6F2-3A51D254845D}"/>
    <cellStyle name="Note 37 23 2" xfId="46891" xr:uid="{BB256EEA-2104-4BFA-AB06-A0F40229A309}"/>
    <cellStyle name="Note 37 24" xfId="27004" xr:uid="{CE2429EF-F8E6-49D7-BC3A-0FDF71AFCE26}"/>
    <cellStyle name="Note 37 24 2" xfId="45410" xr:uid="{15C2E297-D1B5-4F25-BFE3-B182C11B5411}"/>
    <cellStyle name="Note 37 25" xfId="22611" xr:uid="{7D77493B-48E7-4AB4-BF9D-802DD50D167A}"/>
    <cellStyle name="Note 37 25 2" xfId="42390" xr:uid="{B7E8BA6F-76D4-4161-8863-386031540B75}"/>
    <cellStyle name="Note 37 26" xfId="23630" xr:uid="{5D720039-3A5D-4769-895B-6B63A2680937}"/>
    <cellStyle name="Note 37 26 2" xfId="43061" xr:uid="{1A6E137F-42F6-4915-95D6-C76D49D2D272}"/>
    <cellStyle name="Note 37 27" xfId="30770" xr:uid="{9987E3D4-B344-47DA-8CDB-CB11CF5BBC6B}"/>
    <cellStyle name="Note 37 27 2" xfId="47711" xr:uid="{697DD95F-7F67-4926-BD01-04A43552525C}"/>
    <cellStyle name="Note 37 28" xfId="28272" xr:uid="{6A852D3B-58A6-4264-87DC-82BD1BB0317F}"/>
    <cellStyle name="Note 37 28 2" xfId="46139" xr:uid="{7AE986A5-B759-4A92-BE0E-9FCDF2A29C09}"/>
    <cellStyle name="Note 37 29" xfId="6523" xr:uid="{E71F2896-06E8-41FC-9BD9-767DA25EB603}"/>
    <cellStyle name="Note 37 3" xfId="8011" xr:uid="{B9FBE8D9-FCDF-406A-B5DE-594072F2004F}"/>
    <cellStyle name="Note 37 3 2" xfId="32257" xr:uid="{7CE82CF2-9EC3-463C-B3FA-74D574E80D4F}"/>
    <cellStyle name="Note 37 4" xfId="9379" xr:uid="{503B5102-6A0A-4F6B-9FFC-F408436C1959}"/>
    <cellStyle name="Note 37 4 2" xfId="33362" xr:uid="{5D1298B9-4FBA-4060-9B2F-78A3B96723F1}"/>
    <cellStyle name="Note 37 5" xfId="7659" xr:uid="{ECD4EDB0-49D5-4521-8054-580AD3C92CC7}"/>
    <cellStyle name="Note 37 5 2" xfId="31958" xr:uid="{B35A2264-C2CA-4B38-A076-59146EAD8962}"/>
    <cellStyle name="Note 37 6" xfId="15932" xr:uid="{16EC0A2E-F535-4644-910F-3272E9397D0A}"/>
    <cellStyle name="Note 37 6 2" xfId="37523" xr:uid="{8AAF8C6E-3B21-48E6-9FD4-754E321A7767}"/>
    <cellStyle name="Note 37 7" xfId="13007" xr:uid="{D3A33572-67B9-4292-BADD-52B4EF98E3A5}"/>
    <cellStyle name="Note 37 7 2" xfId="35355" xr:uid="{E1F17459-4343-4749-B4EB-0173D30B97F1}"/>
    <cellStyle name="Note 37 8" xfId="15310" xr:uid="{701BC19E-216B-4FB1-BEAA-94B066C6552A}"/>
    <cellStyle name="Note 37 8 2" xfId="37017" xr:uid="{81554034-4EE3-4B61-98A8-2CD1DB8808FF}"/>
    <cellStyle name="Note 37 9" xfId="10574" xr:uid="{CB072B18-D073-4819-9C2E-E0A34D1FFC86}"/>
    <cellStyle name="Note 37 9 2" xfId="34200" xr:uid="{BFFDE197-E815-4A74-A2C4-F9F81B1CF403}"/>
    <cellStyle name="Note 38" xfId="3005" xr:uid="{62088117-E125-465C-9E8A-03DED643C7CC}"/>
    <cellStyle name="Note 38 10" xfId="7083" xr:uid="{DA886385-7C98-4859-8E40-872B5D5EE6ED}"/>
    <cellStyle name="Note 38 10 2" xfId="31450" xr:uid="{1B134AD9-74C0-4FC4-A4E7-8596FDF834A4}"/>
    <cellStyle name="Note 38 11" xfId="14638" xr:uid="{DBD1AAC2-9121-48BF-9F06-E0275D50CFED}"/>
    <cellStyle name="Note 38 11 2" xfId="36550" xr:uid="{BB7C229F-E230-4E20-80D1-0657D67651EC}"/>
    <cellStyle name="Note 38 12" xfId="14013" xr:uid="{EB694291-675A-4E09-8B08-73070835D5B3}"/>
    <cellStyle name="Note 38 12 2" xfId="36107" xr:uid="{79DB8979-CD6C-4EA4-A056-3090FE6EB247}"/>
    <cellStyle name="Note 38 13" xfId="17471" xr:uid="{7B02C51F-8A22-42D6-B85F-4B9D0DB25089}"/>
    <cellStyle name="Note 38 13 2" xfId="38718" xr:uid="{26071E1B-E495-417D-80E1-7AEA9DE55AB8}"/>
    <cellStyle name="Note 38 14" xfId="22479" xr:uid="{21F44EC1-9F85-40B4-A0CE-7A79C160E424}"/>
    <cellStyle name="Note 38 14 2" xfId="42278" xr:uid="{A50FCAE0-7B9A-43BC-B0E6-EB4C5A4C6223}"/>
    <cellStyle name="Note 38 15" xfId="12878" xr:uid="{8C724401-16B8-4723-8E58-9BC88CE25B8D}"/>
    <cellStyle name="Note 38 15 2" xfId="35238" xr:uid="{DA4689EE-7C58-42A1-9958-40544957C759}"/>
    <cellStyle name="Note 38 16" xfId="10182" xr:uid="{56B5DE5B-7B21-4F50-B8F3-7684B3BF4FED}"/>
    <cellStyle name="Note 38 16 2" xfId="33836" xr:uid="{606FB7BB-22DE-4375-99BA-8114829039E6}"/>
    <cellStyle name="Note 38 17" xfId="21402" xr:uid="{79B54225-0A33-4729-948B-1C32EC6141D6}"/>
    <cellStyle name="Note 38 17 2" xfId="41531" xr:uid="{90CB1E77-9B88-47C8-96AA-5E40F23DAD32}"/>
    <cellStyle name="Note 38 18" xfId="25695" xr:uid="{605714C4-B27A-4430-BD04-5E2A9914C8C8}"/>
    <cellStyle name="Note 38 18 2" xfId="44532" xr:uid="{90F18928-0BE3-44A5-B1AD-826A094DFA66}"/>
    <cellStyle name="Note 38 19" xfId="20079" xr:uid="{509397C0-6476-4035-B123-024A507E6156}"/>
    <cellStyle name="Note 38 19 2" xfId="40625" xr:uid="{26FBA452-162E-45AD-9A44-940755FFA12E}"/>
    <cellStyle name="Note 38 2" xfId="3006" xr:uid="{CC999D20-91DB-49B3-B0C6-8F58426A4943}"/>
    <cellStyle name="Note 38 2 10" xfId="15525" xr:uid="{E2923217-E839-46EB-B44F-D698BECC7111}"/>
    <cellStyle name="Note 38 2 10 2" xfId="37190" xr:uid="{D89917C3-E66F-4D7D-9A73-F6CC41DEB1DD}"/>
    <cellStyle name="Note 38 2 11" xfId="16507" xr:uid="{C937AF82-B1D6-4DFB-83F6-3A0D18EF44D5}"/>
    <cellStyle name="Note 38 2 11 2" xfId="38000" xr:uid="{D7338DFB-7A0D-4EF4-B334-43BCF5314EBF}"/>
    <cellStyle name="Note 38 2 12" xfId="15622" xr:uid="{1B40BAEE-2545-4072-82A3-6534575E37F9}"/>
    <cellStyle name="Note 38 2 12 2" xfId="37280" xr:uid="{6E649EC4-7E1F-4589-BFC2-A24910B70226}"/>
    <cellStyle name="Note 38 2 13" xfId="21893" xr:uid="{1C98AD0F-54A6-47CF-871F-EEC1933B3EEB}"/>
    <cellStyle name="Note 38 2 13 2" xfId="41823" xr:uid="{9B6CF7D4-A341-4801-8F8A-265EF68E82A5}"/>
    <cellStyle name="Note 38 2 14" xfId="19713" xr:uid="{7B2593E1-D352-4D8F-856A-9532BECE6814}"/>
    <cellStyle name="Note 38 2 14 2" xfId="40330" xr:uid="{B0D19E7E-0430-4962-89FD-030BCD304BD2}"/>
    <cellStyle name="Note 38 2 15" xfId="13270" xr:uid="{A0265E9E-2465-4A43-8E3D-0807BB873BD4}"/>
    <cellStyle name="Note 38 2 15 2" xfId="35594" xr:uid="{B219142F-6EB3-48A9-9B78-0A335C9D25BA}"/>
    <cellStyle name="Note 38 2 16" xfId="19612" xr:uid="{44476178-B3D5-4C00-BCC0-622DC313C388}"/>
    <cellStyle name="Note 38 2 16 2" xfId="40252" xr:uid="{1094D12A-F5A8-44F9-9E24-812BAC25BBF1}"/>
    <cellStyle name="Note 38 2 17" xfId="18302" xr:uid="{D5884085-D280-494E-8CB1-5E8D522CC298}"/>
    <cellStyle name="Note 38 2 17 2" xfId="39333" xr:uid="{2E144CF4-B1B7-42F3-88A1-CC8913F69C0B}"/>
    <cellStyle name="Note 38 2 18" xfId="15333" xr:uid="{5BDBFC36-D69E-4621-9A78-66BD8E33FE3C}"/>
    <cellStyle name="Note 38 2 18 2" xfId="37033" xr:uid="{F9D815C2-3982-4C94-9202-599C8C0C11C8}"/>
    <cellStyle name="Note 38 2 19" xfId="24714" xr:uid="{EE52241F-B1B3-4490-99E1-63CBBFD17856}"/>
    <cellStyle name="Note 38 2 19 2" xfId="43859" xr:uid="{54910857-0DF0-48DD-825D-7A4E0B532A9D}"/>
    <cellStyle name="Note 38 2 2" xfId="8008" xr:uid="{1B75CFB3-DC49-4F20-93B8-B75F73D30066}"/>
    <cellStyle name="Note 38 2 2 2" xfId="32254" xr:uid="{B84F1574-60A4-424F-B397-88CAEBAA11D3}"/>
    <cellStyle name="Note 38 2 20" xfId="19996" xr:uid="{5A9FA432-0F35-4565-8FBF-72731C753FFA}"/>
    <cellStyle name="Note 38 2 20 2" xfId="40566" xr:uid="{984FBDD9-9E47-48A1-9156-46231B10817A}"/>
    <cellStyle name="Note 38 2 21" xfId="22278" xr:uid="{F5D48F59-EAA4-4ACF-87D9-CFD32E809269}"/>
    <cellStyle name="Note 38 2 21 2" xfId="42143" xr:uid="{65DF845A-D9CB-48E3-9F3C-004747CA09DD}"/>
    <cellStyle name="Note 38 2 22" xfId="28878" xr:uid="{83024940-1655-4286-A1E3-310C47AA082E}"/>
    <cellStyle name="Note 38 2 22 2" xfId="46492" xr:uid="{5C7B3561-D2BF-4817-A9DD-F991FE5C5969}"/>
    <cellStyle name="Note 38 2 23" xfId="27717" xr:uid="{AB4FA5A0-DD8A-4195-ACCC-6CF0EF1D0268}"/>
    <cellStyle name="Note 38 2 23 2" xfId="45824" xr:uid="{47CD9059-8055-4F66-858C-14BE1A25E8C1}"/>
    <cellStyle name="Note 38 2 24" xfId="23866" xr:uid="{54FDEEC7-79B8-44FF-A8DF-19AFF5089BB0}"/>
    <cellStyle name="Note 38 2 24 2" xfId="43245" xr:uid="{E8A46A23-31D6-4043-9BED-4087E0015335}"/>
    <cellStyle name="Note 38 2 25" xfId="24328" xr:uid="{C604CA25-29EC-4D7F-B500-3B1A859A89B2}"/>
    <cellStyle name="Note 38 2 25 2" xfId="43593" xr:uid="{0ACBA2DD-810C-45BE-A888-D4A78E71D406}"/>
    <cellStyle name="Note 38 2 26" xfId="29867" xr:uid="{64057DD7-F641-4402-B220-0A087BF5D543}"/>
    <cellStyle name="Note 38 2 26 2" xfId="47162" xr:uid="{02AEFE2C-E60D-4332-80F4-AA84C999254B}"/>
    <cellStyle name="Note 38 2 27" xfId="26826" xr:uid="{0B3279DF-8848-4899-B38F-6E61C1D15AC8}"/>
    <cellStyle name="Note 38 2 27 2" xfId="45297" xr:uid="{FF7E76E0-B00C-49A5-8713-A2711B5511EE}"/>
    <cellStyle name="Note 38 2 28" xfId="6526" xr:uid="{13DEACC4-B7FF-4C46-9D51-B81B1322B66E}"/>
    <cellStyle name="Note 38 2 3" xfId="9382" xr:uid="{F1B24D06-6E17-42EE-83FA-D47E3929E166}"/>
    <cellStyle name="Note 38 2 3 2" xfId="33365" xr:uid="{224340F6-E372-4178-94D2-7E1FF17B0709}"/>
    <cellStyle name="Note 38 2 4" xfId="12064" xr:uid="{E77D137B-A9D1-4F5A-8D3E-973B2777DC32}"/>
    <cellStyle name="Note 38 2 4 2" xfId="34622" xr:uid="{1A1C69F3-8A2B-4A06-9B98-91F45850859C}"/>
    <cellStyle name="Note 38 2 5" xfId="14304" xr:uid="{28D8F6BC-F045-4293-AC51-8049DCFE3A71}"/>
    <cellStyle name="Note 38 2 5 2" xfId="36347" xr:uid="{32D79DA4-AA00-475D-9F51-B63A2DBC47EC}"/>
    <cellStyle name="Note 38 2 6" xfId="10463" xr:uid="{C24259E5-8BC6-4146-B64D-66EF01668408}"/>
    <cellStyle name="Note 38 2 6 2" xfId="34098" xr:uid="{6D326679-B7BF-445C-8426-78D3616ACCE5}"/>
    <cellStyle name="Note 38 2 7" xfId="8461" xr:uid="{271FC3F9-3EAA-46C1-BFDE-B917FF95D169}"/>
    <cellStyle name="Note 38 2 7 2" xfId="32648" xr:uid="{EAC0BAF4-FD6A-4C7B-9B79-FDAAFC981829}"/>
    <cellStyle name="Note 38 2 8" xfId="14857" xr:uid="{7BE1FEA5-EEC4-40AD-AD95-DD9661096FA7}"/>
    <cellStyle name="Note 38 2 8 2" xfId="36732" xr:uid="{275CE89F-D5B7-4B41-B4F9-B6055B4DBB1D}"/>
    <cellStyle name="Note 38 2 9" xfId="7054" xr:uid="{1CED8E61-1596-44FF-9BF7-1DF7867B51B6}"/>
    <cellStyle name="Note 38 2 9 2" xfId="31421" xr:uid="{FA13DCFF-98A3-40E2-BCAE-D3F78AECB80F}"/>
    <cellStyle name="Note 38 20" xfId="22865" xr:uid="{0BA642B9-E3A9-4590-9A51-42077DEF0419}"/>
    <cellStyle name="Note 38 20 2" xfId="42583" xr:uid="{D4B5617E-8B2A-4793-81BC-EE7BF4BE4317}"/>
    <cellStyle name="Note 38 21" xfId="15753" xr:uid="{A98D66A0-0FBB-4269-8D34-4B96443F1020}"/>
    <cellStyle name="Note 38 21 2" xfId="37378" xr:uid="{F077EF84-4AC5-4B93-A0A1-11419E8CFD4A}"/>
    <cellStyle name="Note 38 22" xfId="25348" xr:uid="{7A0F279F-2DD6-4732-AC93-3600F21303C6}"/>
    <cellStyle name="Note 38 22 2" xfId="44264" xr:uid="{79655CDF-E1FA-477B-9D03-53C9DAF9A738}"/>
    <cellStyle name="Note 38 23" xfId="28947" xr:uid="{36967A02-16F5-482A-AE2F-1381D950F1A5}"/>
    <cellStyle name="Note 38 23 2" xfId="46543" xr:uid="{3A9E6091-67C5-49AB-A375-CF8BEC6DC269}"/>
    <cellStyle name="Note 38 24" xfId="26105" xr:uid="{C26F3857-3A4E-44CC-93EA-8494D676F2C3}"/>
    <cellStyle name="Note 38 24 2" xfId="44848" xr:uid="{E303F35D-9D09-47AE-811C-66626859D000}"/>
    <cellStyle name="Note 38 25" xfId="22226" xr:uid="{180A4371-34C8-4008-81ED-D37E875A7F41}"/>
    <cellStyle name="Note 38 25 2" xfId="42105" xr:uid="{1CF95CA5-4CFB-4583-B1DB-7C7B9BFADDDE}"/>
    <cellStyle name="Note 38 26" xfId="27891" xr:uid="{E2F55086-50E1-4AB2-9621-0AA73FF4CE2D}"/>
    <cellStyle name="Note 38 26 2" xfId="45963" xr:uid="{3FAA8728-8191-4427-9A2B-D9DA49F9CDAB}"/>
    <cellStyle name="Note 38 27" xfId="27740" xr:uid="{0EA9B602-B1F4-4CD1-B4B6-8BE56D20B396}"/>
    <cellStyle name="Note 38 27 2" xfId="45841" xr:uid="{182580AB-6F3E-4AF1-9647-A3E16B31EC07}"/>
    <cellStyle name="Note 38 28" xfId="29085" xr:uid="{8683FE14-18B4-4240-912E-7D969680E6AC}"/>
    <cellStyle name="Note 38 28 2" xfId="46658" xr:uid="{4DA1B211-E9BD-4A62-AD2D-82B19890C669}"/>
    <cellStyle name="Note 38 29" xfId="6525" xr:uid="{2A7D3291-1BB6-42BC-8FF1-ABD8BF8B0EA8}"/>
    <cellStyle name="Note 38 3" xfId="8009" xr:uid="{C2C39F94-E5D9-4420-8F0F-AB216667E52C}"/>
    <cellStyle name="Note 38 3 2" xfId="32255" xr:uid="{1B96359A-C299-4D0B-8F21-D621F195F853}"/>
    <cellStyle name="Note 38 4" xfId="9381" xr:uid="{81EDD952-186D-4EE2-9D8C-0345C94FAF8A}"/>
    <cellStyle name="Note 38 4 2" xfId="33364" xr:uid="{07EDE7E2-348E-469D-9EDD-D2A76F4D9B7E}"/>
    <cellStyle name="Note 38 5" xfId="7658" xr:uid="{06A8C52D-C7AF-4CEA-AC2B-F8D44ECA8F5C}"/>
    <cellStyle name="Note 38 5 2" xfId="31957" xr:uid="{3EC2435B-BAB2-4072-9ED7-A4B690941E54}"/>
    <cellStyle name="Note 38 6" xfId="15931" xr:uid="{0457D07C-3294-43A8-B70C-C931342866BF}"/>
    <cellStyle name="Note 38 6 2" xfId="37522" xr:uid="{E99ED835-49A1-4A62-B712-27790224E230}"/>
    <cellStyle name="Note 38 7" xfId="10462" xr:uid="{4E8516BC-BBDB-47AC-B472-BC8B5C64BD5B}"/>
    <cellStyle name="Note 38 7 2" xfId="34097" xr:uid="{5E3529F5-5A0A-4350-8513-84EE9682180A}"/>
    <cellStyle name="Note 38 8" xfId="15319" xr:uid="{054A59C7-7AC5-400E-8510-613A79EF75CE}"/>
    <cellStyle name="Note 38 8 2" xfId="37022" xr:uid="{B6038247-F38B-477B-A196-1049DCCD3311}"/>
    <cellStyle name="Note 38 9" xfId="12908" xr:uid="{B87EBB9D-3D67-4222-9084-CC3FA7E1E2CE}"/>
    <cellStyle name="Note 38 9 2" xfId="35264" xr:uid="{02B8BE3D-11D8-48A8-B24F-094FA40D1CB8}"/>
    <cellStyle name="Note 39" xfId="3007" xr:uid="{AF645CF7-8E4A-4F74-82A5-E75D609CB968}"/>
    <cellStyle name="Note 39 10" xfId="7082" xr:uid="{A71166A6-A789-4701-9C2E-10DDED902DB7}"/>
    <cellStyle name="Note 39 10 2" xfId="31449" xr:uid="{C9D724C3-CD0B-408D-9901-ADD5CB0CC8CE}"/>
    <cellStyle name="Note 39 11" xfId="12326" xr:uid="{DF284DCD-8740-46D2-BBB8-EB5436A7A151}"/>
    <cellStyle name="Note 39 11 2" xfId="34830" xr:uid="{5BE6F6B5-7947-49B0-98E3-DFFC2D445ECE}"/>
    <cellStyle name="Note 39 12" xfId="12553" xr:uid="{4738A411-A448-4AF0-BE4F-0FD2EA3649B7}"/>
    <cellStyle name="Note 39 12 2" xfId="34997" xr:uid="{9A048FC0-DD0D-4083-A90B-79FE1B60E58E}"/>
    <cellStyle name="Note 39 13" xfId="15166" xr:uid="{F967AFA5-B071-4D3A-BD9C-FEF9F9DDA27A}"/>
    <cellStyle name="Note 39 13 2" xfId="36954" xr:uid="{F1722C6E-3F68-4BEC-82D1-6B1F81D9ECCA}"/>
    <cellStyle name="Note 39 14" xfId="9885" xr:uid="{5F57B8A8-60DD-452D-AAC1-E0743CE4C690}"/>
    <cellStyle name="Note 39 14 2" xfId="33631" xr:uid="{34BE2388-BAEE-4989-BC30-91D51990757D}"/>
    <cellStyle name="Note 39 15" xfId="17942" xr:uid="{8FA49A23-DFAF-448B-93C4-F9722EA2DB49}"/>
    <cellStyle name="Note 39 15 2" xfId="39040" xr:uid="{8AE033B9-F3C5-4A69-9970-81037CD03169}"/>
    <cellStyle name="Note 39 16" xfId="10183" xr:uid="{3111640E-BAF1-4CD2-BD61-F62ED128200B}"/>
    <cellStyle name="Note 39 16 2" xfId="33837" xr:uid="{084EFE3F-C1F8-4A4C-989B-0D94ABC92179}"/>
    <cellStyle name="Note 39 17" xfId="21401" xr:uid="{50C08195-5A66-4B40-95A7-1E555EFE34D1}"/>
    <cellStyle name="Note 39 17 2" xfId="41530" xr:uid="{D8BBE497-9384-414B-B844-6D00A6BB5F46}"/>
    <cellStyle name="Note 39 18" xfId="16303" xr:uid="{E21A6000-FF1C-4623-8EBB-37623B7CCADD}"/>
    <cellStyle name="Note 39 18 2" xfId="37840" xr:uid="{4A7E1D64-1A5D-4F6B-B028-789568408AE9}"/>
    <cellStyle name="Note 39 19" xfId="19035" xr:uid="{34ED0424-77BE-4BDA-A020-B59293A1E165}"/>
    <cellStyle name="Note 39 19 2" xfId="39867" xr:uid="{DE990130-9B5E-4008-AFCA-8DCB8FE741B0}"/>
    <cellStyle name="Note 39 2" xfId="3008" xr:uid="{32021E24-7838-436F-8C8C-AD870A923B37}"/>
    <cellStyle name="Note 39 2 10" xfId="12746" xr:uid="{C58681C3-C425-491A-AC48-F3DEB7573A75}"/>
    <cellStyle name="Note 39 2 10 2" xfId="35155" xr:uid="{369992FA-A631-4F5E-AB3A-ED1B9EB1E344}"/>
    <cellStyle name="Note 39 2 11" xfId="16506" xr:uid="{72BDE696-32F7-40DE-AEB4-814BF482DCCC}"/>
    <cellStyle name="Note 39 2 11 2" xfId="37999" xr:uid="{356EAFA9-D8EE-496C-981D-3C3F64F498E0}"/>
    <cellStyle name="Note 39 2 12" xfId="17470" xr:uid="{B14777C6-5A12-44DE-B772-585EAF93827E}"/>
    <cellStyle name="Note 39 2 12 2" xfId="38717" xr:uid="{466EFC44-E8D8-402D-8B43-77507BE14DA6}"/>
    <cellStyle name="Note 39 2 13" xfId="20271" xr:uid="{F2C3180F-4FB1-4140-9582-E8833FD54623}"/>
    <cellStyle name="Note 39 2 13 2" xfId="40711" xr:uid="{D33FDC70-0B01-45B1-BC7A-1E338BA46840}"/>
    <cellStyle name="Note 39 2 14" xfId="21607" xr:uid="{A2EC0005-D0A6-4560-A00B-2A3D24C3FB22}"/>
    <cellStyle name="Note 39 2 14 2" xfId="41691" xr:uid="{80803E82-E92C-457E-96AA-28637EA80E4F}"/>
    <cellStyle name="Note 39 2 15" xfId="13269" xr:uid="{1A55A887-D0A5-4500-A0B7-9C31A890E764}"/>
    <cellStyle name="Note 39 2 15 2" xfId="35593" xr:uid="{8A1278D6-1B0F-4986-8C5F-B9D2A6179839}"/>
    <cellStyle name="Note 39 2 16" xfId="17734" xr:uid="{DE29392B-B881-4569-82E0-82926A805246}"/>
    <cellStyle name="Note 39 2 16 2" xfId="38910" xr:uid="{3C09261A-A0D3-4E15-9CE2-870CC8F6F572}"/>
    <cellStyle name="Note 39 2 17" xfId="18301" xr:uid="{1AB47119-5F5E-4C7E-A64C-7DCF4D64E7D4}"/>
    <cellStyle name="Note 39 2 17 2" xfId="39332" xr:uid="{5E4A1395-2E50-4E53-AC55-6FEA11D280A7}"/>
    <cellStyle name="Note 39 2 18" xfId="17118" xr:uid="{4256694C-3C77-40C7-8A9A-138E92EBBCD3}"/>
    <cellStyle name="Note 39 2 18 2" xfId="38457" xr:uid="{2A74338B-B7FA-429A-9E7F-06AF7A162EFB}"/>
    <cellStyle name="Note 39 2 19" xfId="24713" xr:uid="{4BB7275C-912E-4828-A26A-27389C766994}"/>
    <cellStyle name="Note 39 2 19 2" xfId="43858" xr:uid="{C1D5AA52-C275-40DC-9C52-1AE6650FC4E0}"/>
    <cellStyle name="Note 39 2 2" xfId="8006" xr:uid="{6F085C72-1F02-41FE-B060-EB5671EAE1C7}"/>
    <cellStyle name="Note 39 2 2 2" xfId="32252" xr:uid="{F9664D59-1557-4773-B802-71E761D433BA}"/>
    <cellStyle name="Note 39 2 20" xfId="19995" xr:uid="{3491C93D-DAF9-410A-97C1-CB605C4190AC}"/>
    <cellStyle name="Note 39 2 20 2" xfId="40565" xr:uid="{7A213F15-B791-41D7-A284-775652B0D9BD}"/>
    <cellStyle name="Note 39 2 21" xfId="24513" xr:uid="{D4316450-C674-4422-AC70-CC3601172EE8}"/>
    <cellStyle name="Note 39 2 21 2" xfId="43696" xr:uid="{D6CD4754-6C6B-4BA0-B55B-360AD6CA70C4}"/>
    <cellStyle name="Note 39 2 22" xfId="23237" xr:uid="{FDC09E90-250F-4A9B-832B-AC6028C4A52F}"/>
    <cellStyle name="Note 39 2 22 2" xfId="42813" xr:uid="{5C75EF2F-130E-42A8-BE1D-8672E4A05154}"/>
    <cellStyle name="Note 39 2 23" xfId="27003" xr:uid="{7D342C87-BE06-497F-AE6B-1A7C06B8DEEB}"/>
    <cellStyle name="Note 39 2 23 2" xfId="45409" xr:uid="{1112882E-D4D1-44A1-9D22-87CB3FE0B29F}"/>
    <cellStyle name="Note 39 2 24" xfId="23865" xr:uid="{4BAADE30-47C7-4A1D-94EE-3FE46B9731AA}"/>
    <cellStyle name="Note 39 2 24 2" xfId="43244" xr:uid="{F38F3CCD-792C-42E4-9A04-BA555AD91CD9}"/>
    <cellStyle name="Note 39 2 25" xfId="25952" xr:uid="{5A6AC15E-5490-4FDC-9EF5-772E2C8BF871}"/>
    <cellStyle name="Note 39 2 25 2" xfId="44743" xr:uid="{29D2769C-E551-46AA-B2AE-F19D8BB01CAD}"/>
    <cellStyle name="Note 39 2 26" xfId="22417" xr:uid="{334ADDE7-FEAB-4C90-9710-C01463C082C3}"/>
    <cellStyle name="Note 39 2 26 2" xfId="42231" xr:uid="{829E8433-DF93-43CD-A065-1C43547EAAE9}"/>
    <cellStyle name="Note 39 2 27" xfId="29011" xr:uid="{1EA9827E-6D70-45FF-A66D-7B3A0A49710F}"/>
    <cellStyle name="Note 39 2 27 2" xfId="46605" xr:uid="{994A3A73-FF37-42F9-863F-F1DD905D405C}"/>
    <cellStyle name="Note 39 2 28" xfId="6528" xr:uid="{12AE4A26-5C0B-4570-B27C-CFF13FFDA38C}"/>
    <cellStyle name="Note 39 2 3" xfId="9384" xr:uid="{E27EC1D9-5978-4F95-88D8-D8285245A4FE}"/>
    <cellStyle name="Note 39 2 3 2" xfId="33367" xr:uid="{D53C82BA-05FA-4FB6-BAE1-2941E93694FC}"/>
    <cellStyle name="Note 39 2 4" xfId="12063" xr:uid="{BF13C97C-5B25-4661-970F-E2200467CC14}"/>
    <cellStyle name="Note 39 2 4 2" xfId="34621" xr:uid="{E0848BB1-751E-4C61-AD21-10B1579F8D72}"/>
    <cellStyle name="Note 39 2 5" xfId="13625" xr:uid="{0D63FDA6-7AAF-44E3-9B66-9F600C991DC0}"/>
    <cellStyle name="Note 39 2 5 2" xfId="35790" xr:uid="{7A27120B-0C35-40E9-823C-B3ADFA16B9B3}"/>
    <cellStyle name="Note 39 2 6" xfId="10482" xr:uid="{13F918E7-002B-4641-BF75-9F66983397C0}"/>
    <cellStyle name="Note 39 2 6 2" xfId="34117" xr:uid="{2B7EA791-DFBD-4D4E-873D-3587F1BBA039}"/>
    <cellStyle name="Note 39 2 7" xfId="13401" xr:uid="{A5E19A7F-0677-44C6-BBC5-5C5C9E3150D1}"/>
    <cellStyle name="Note 39 2 7 2" xfId="35708" xr:uid="{5944708E-F945-4757-AFA5-FD2491D80E3B}"/>
    <cellStyle name="Note 39 2 8" xfId="14856" xr:uid="{86FD5BDC-A1C6-4D9F-88DF-E2110E9D8F23}"/>
    <cellStyle name="Note 39 2 8 2" xfId="36731" xr:uid="{1007A9E1-724D-4026-A8E9-D28E06A0C714}"/>
    <cellStyle name="Note 39 2 9" xfId="7081" xr:uid="{EC17B7EB-CF5F-435B-90FF-BEC72F5CD7AE}"/>
    <cellStyle name="Note 39 2 9 2" xfId="31448" xr:uid="{F426EB75-A5FB-4BF4-AA9E-8546AFF0F341}"/>
    <cellStyle name="Note 39 20" xfId="22864" xr:uid="{B5D539CA-4FF8-4472-AAC3-67F41A00D3BF}"/>
    <cellStyle name="Note 39 20 2" xfId="42582" xr:uid="{FA932268-0E13-4490-8B56-0BB79B835E35}"/>
    <cellStyle name="Note 39 21" xfId="18071" xr:uid="{E305E0A3-7FDB-44A7-9C3C-1FC4D20ED569}"/>
    <cellStyle name="Note 39 21 2" xfId="39145" xr:uid="{C1FB8B4B-7C06-4F08-AE68-94B6945816C9}"/>
    <cellStyle name="Note 39 22" xfId="22694" xr:uid="{7DFCE2A2-FE80-482B-896B-85271E1D09E8}"/>
    <cellStyle name="Note 39 22 2" xfId="42455" xr:uid="{61F261FD-7BCE-4A81-89C9-0B71BB73DB82}"/>
    <cellStyle name="Note 39 23" xfId="29444" xr:uid="{A8183955-81D9-45D5-A20C-8ADACC7E3641}"/>
    <cellStyle name="Note 39 23 2" xfId="46902" xr:uid="{EF03C8B7-2D86-4C54-9FE4-9C1579970EC1}"/>
    <cellStyle name="Note 39 24" xfId="28597" xr:uid="{BB82FF14-CC06-4816-B263-4B9ABDF73B76}"/>
    <cellStyle name="Note 39 24 2" xfId="46331" xr:uid="{8DE9738D-CF4C-4F58-8957-D0038AB87200}"/>
    <cellStyle name="Note 39 25" xfId="18762" xr:uid="{2EB10253-3F80-417E-8BE3-ADB85C2C325B}"/>
    <cellStyle name="Note 39 25 2" xfId="39636" xr:uid="{762F0715-6B2E-489D-8C93-F730D9D8587B}"/>
    <cellStyle name="Note 39 26" xfId="27519" xr:uid="{A68E3B4F-C5EC-4A16-8D7F-FDD7B59AA0DD}"/>
    <cellStyle name="Note 39 26 2" xfId="45713" xr:uid="{51EEC4E3-B2D7-43CC-AA3B-2C02D1637088}"/>
    <cellStyle name="Note 39 27" xfId="29864" xr:uid="{F4CAE844-F5CA-4A24-B515-88F22A8E6D42}"/>
    <cellStyle name="Note 39 27 2" xfId="47159" xr:uid="{25C1BDD0-36C8-49D1-810D-490561945EF3}"/>
    <cellStyle name="Note 39 28" xfId="29209" xr:uid="{1732932E-72D2-439E-87BF-24699CDF092D}"/>
    <cellStyle name="Note 39 28 2" xfId="46735" xr:uid="{92A790CC-B549-40F3-9E6D-11457104C9E2}"/>
    <cellStyle name="Note 39 29" xfId="6527" xr:uid="{5186352C-B404-4395-8AB6-C789B8CD0B97}"/>
    <cellStyle name="Note 39 3" xfId="8007" xr:uid="{2FD311C9-F9E8-437D-A99C-64541AC2D91A}"/>
    <cellStyle name="Note 39 3 2" xfId="32253" xr:uid="{8C2C53D5-D852-4F01-BDF0-DED6907B0B8A}"/>
    <cellStyle name="Note 39 4" xfId="9383" xr:uid="{9D7A00C6-BD4D-4791-97BD-BE25711A9119}"/>
    <cellStyle name="Note 39 4 2" xfId="33366" xr:uid="{54389EC0-C260-4929-9C15-DB1D283D791D}"/>
    <cellStyle name="Note 39 5" xfId="7657" xr:uid="{D07D3A03-411B-4572-89D5-20B2004171AE}"/>
    <cellStyle name="Note 39 5 2" xfId="31956" xr:uid="{D0C8F11F-3E39-49A3-81E7-F758A3AA7160}"/>
    <cellStyle name="Note 39 6" xfId="8774" xr:uid="{EF52DD50-61E8-4505-A3E9-1D3A6C8E1DAD}"/>
    <cellStyle name="Note 39 6 2" xfId="32903" xr:uid="{70F006E1-6E7A-4AD4-A22E-BFCC4AC5A574}"/>
    <cellStyle name="Note 39 7" xfId="13006" xr:uid="{3FC3F024-F723-4505-B86F-45DBB52DFFFA}"/>
    <cellStyle name="Note 39 7 2" xfId="35354" xr:uid="{B8C473B5-2FC4-4469-8728-EDC963AFE46A}"/>
    <cellStyle name="Note 39 8" xfId="8460" xr:uid="{7E097781-352D-449E-875B-ABE57CA4DB78}"/>
    <cellStyle name="Note 39 8 2" xfId="32647" xr:uid="{80272548-C35D-4A8D-BAE0-C1ADB7215B73}"/>
    <cellStyle name="Note 39 9" xfId="10575" xr:uid="{9081F666-4C23-44ED-B81A-004214DE2A92}"/>
    <cellStyle name="Note 39 9 2" xfId="34201" xr:uid="{0544E71E-2EFA-441A-AB84-F3DC1CD7521D}"/>
    <cellStyle name="Note 4" xfId="3009" xr:uid="{6508733F-0D63-4B62-A141-9003836F99B4}"/>
    <cellStyle name="Note 4 10" xfId="9385" xr:uid="{E9572E7C-0E53-4024-8245-1BB6FAF2A4C0}"/>
    <cellStyle name="Note 4 10 2" xfId="33368" xr:uid="{AAB44737-A742-41AD-8B50-A03412A33A4A}"/>
    <cellStyle name="Note 4 11" xfId="7656" xr:uid="{8F95F4F3-C0E4-45FF-A2DE-33ABE72FCB67}"/>
    <cellStyle name="Note 4 11 2" xfId="31955" xr:uid="{4971BBE8-F4AC-4790-BCC5-12BD466A803F}"/>
    <cellStyle name="Note 4 12" xfId="15927" xr:uid="{72F63FD9-AF37-4C00-B8A1-698CF269090E}"/>
    <cellStyle name="Note 4 12 2" xfId="37518" xr:uid="{BA06A984-7F3C-4A01-9021-B1DDE437046D}"/>
    <cellStyle name="Note 4 13" xfId="10464" xr:uid="{AD569703-313B-441E-AC37-F4C5B7F5A772}"/>
    <cellStyle name="Note 4 13 2" xfId="34099" xr:uid="{536286FC-1138-486E-B3F2-359E0066F56B}"/>
    <cellStyle name="Note 4 14" xfId="8459" xr:uid="{1BC53326-646A-4C6F-96C0-BE7097A2228A}"/>
    <cellStyle name="Note 4 14 2" xfId="32646" xr:uid="{77C3205B-6755-4CA6-B9F1-FBE01AB1430D}"/>
    <cellStyle name="Note 4 15" xfId="15964" xr:uid="{000C5925-00AA-42EC-85C9-FBBF2BC3D8B9}"/>
    <cellStyle name="Note 4 15 2" xfId="37555" xr:uid="{B93736F0-C684-4583-8A23-290E4E873DBE}"/>
    <cellStyle name="Note 4 16" xfId="7080" xr:uid="{2529AD71-1C43-4AA3-8791-06D039E3D978}"/>
    <cellStyle name="Note 4 16 2" xfId="31447" xr:uid="{3091F4EC-5443-465B-9296-F50773FCBB8F}"/>
    <cellStyle name="Note 4 17" xfId="14637" xr:uid="{4BBDBB07-13A2-49AE-B9E4-B47460642EE5}"/>
    <cellStyle name="Note 4 17 2" xfId="36549" xr:uid="{99BB0D70-78C4-47D0-A227-C224BA5C85A8}"/>
    <cellStyle name="Note 4 18" xfId="14012" xr:uid="{8313C81F-9939-4D66-82F4-04ADDFA579AC}"/>
    <cellStyle name="Note 4 18 2" xfId="36106" xr:uid="{48E73D69-F0C5-48AB-A270-AC864B9E8EA7}"/>
    <cellStyle name="Note 4 19" xfId="14457" xr:uid="{D55DF337-260B-451C-9ED4-A95465B23A42}"/>
    <cellStyle name="Note 4 19 2" xfId="36446" xr:uid="{254486F4-0514-408C-9D5A-05C80AF5DCEB}"/>
    <cellStyle name="Note 4 2" xfId="3010" xr:uid="{5E989775-829F-4633-AEF9-A417DF333BD8}"/>
    <cellStyle name="Note 4 2 10" xfId="12907" xr:uid="{DA19C118-7CE8-47B4-ADFF-C39F2EA7936D}"/>
    <cellStyle name="Note 4 2 10 2" xfId="35263" xr:uid="{556A261B-2DDE-47F2-AE7C-4EDA3D11A71F}"/>
    <cellStyle name="Note 4 2 11" xfId="7079" xr:uid="{D747B7DF-4838-4AFD-8837-07B13A0A3A8F}"/>
    <cellStyle name="Note 4 2 11 2" xfId="31446" xr:uid="{6DB2295B-19F6-4F62-81E1-6DE283D35C9C}"/>
    <cellStyle name="Note 4 2 12" xfId="15526" xr:uid="{F269FE50-01D8-454F-91AA-9EA8275A30F4}"/>
    <cellStyle name="Note 4 2 12 2" xfId="37191" xr:uid="{9B57D53E-EAD9-4D39-ABAA-510F802078F4}"/>
    <cellStyle name="Note 4 2 13" xfId="16505" xr:uid="{9835E082-2E3C-47A9-82AA-1709E3FC5322}"/>
    <cellStyle name="Note 4 2 13 2" xfId="37998" xr:uid="{4D90D5E4-BDD5-43D1-988C-489BE35D0767}"/>
    <cellStyle name="Note 4 2 14" xfId="17469" xr:uid="{DE5CB5E7-60F6-4984-8FFE-4CFAC84B3C85}"/>
    <cellStyle name="Note 4 2 14 2" xfId="38716" xr:uid="{7AA0BA42-7535-49EE-9C67-D8E8DC72B686}"/>
    <cellStyle name="Note 4 2 15" xfId="22477" xr:uid="{2A4B68FB-DAFE-403B-85C7-14701A3FD72B}"/>
    <cellStyle name="Note 4 2 15 2" xfId="42276" xr:uid="{7B0D0A38-6E14-4133-A816-31FBC94C9AC6}"/>
    <cellStyle name="Note 4 2 16" xfId="21606" xr:uid="{06EFC91D-738B-4695-A131-1E9360BBA541}"/>
    <cellStyle name="Note 4 2 16 2" xfId="41690" xr:uid="{FF14C0E9-31FF-4C35-800C-C37D65229086}"/>
    <cellStyle name="Note 4 2 17" xfId="10202" xr:uid="{05AE9F3C-3533-4975-A78F-8919DD52503D}"/>
    <cellStyle name="Note 4 2 17 2" xfId="33848" xr:uid="{C5BA4860-3C8C-4574-BDFE-78CB9A33E522}"/>
    <cellStyle name="Note 4 2 18" xfId="19611" xr:uid="{E73C6334-595F-4021-9A7E-F9994DCE1C1B}"/>
    <cellStyle name="Note 4 2 18 2" xfId="40251" xr:uid="{36B6545D-73A1-4930-A190-E8B158D9CD2B}"/>
    <cellStyle name="Note 4 2 19" xfId="18300" xr:uid="{9AA1B45D-216B-49C4-93BD-9422C5BC301F}"/>
    <cellStyle name="Note 4 2 19 2" xfId="39331" xr:uid="{C9B4643A-BD4A-45CC-A2EA-4CCCD720FAC9}"/>
    <cellStyle name="Note 4 2 2" xfId="3011" xr:uid="{B04F38E3-5ACB-4C78-BAE9-185E469BD7AE}"/>
    <cellStyle name="Note 4 2 2 10" xfId="7078" xr:uid="{0BC361B4-59C0-47A1-9660-B52000F7CB35}"/>
    <cellStyle name="Note 4 2 2 10 2" xfId="31445" xr:uid="{1BD44F20-30E4-4C87-8962-538CB1C5546C}"/>
    <cellStyle name="Note 4 2 2 11" xfId="14636" xr:uid="{878A7EA1-F964-4D3C-9206-A95DD9EEE372}"/>
    <cellStyle name="Note 4 2 2 11 2" xfId="36548" xr:uid="{4A1806EC-AD95-4AF0-AF26-162831D50F76}"/>
    <cellStyle name="Note 4 2 2 12" xfId="12554" xr:uid="{1A444489-A02B-4C3D-93B5-F99482B92F3B}"/>
    <cellStyle name="Note 4 2 2 12 2" xfId="34998" xr:uid="{2E93F3B3-F9DD-45B1-8431-132C024DAF01}"/>
    <cellStyle name="Note 4 2 2 13" xfId="15626" xr:uid="{739FF131-9401-429E-8954-3F03C8CFD699}"/>
    <cellStyle name="Note 4 2 2 13 2" xfId="37284" xr:uid="{10C969F7-A56A-43F2-A569-2E39F8FEC6C3}"/>
    <cellStyle name="Note 4 2 2 14" xfId="9886" xr:uid="{23036155-D0F7-4774-B8E0-83FE21E004FF}"/>
    <cellStyle name="Note 4 2 2 14 2" xfId="33632" xr:uid="{5B84B3AD-F4AE-4750-8CF2-0457A71F9693}"/>
    <cellStyle name="Note 4 2 2 15" xfId="19711" xr:uid="{1779E449-4A9D-479C-A888-ACB733C752AD}"/>
    <cellStyle name="Note 4 2 2 15 2" xfId="40328" xr:uid="{DC1B906F-1ED0-4D31-BB00-52D0451E09D2}"/>
    <cellStyle name="Note 4 2 2 16" xfId="13234" xr:uid="{A76F64E7-DBCB-48DE-9043-EBF1793E3F16}"/>
    <cellStyle name="Note 4 2 2 16 2" xfId="35581" xr:uid="{918285B3-0B74-4A22-97CB-CFA096EA5111}"/>
    <cellStyle name="Note 4 2 2 17" xfId="21399" xr:uid="{12D60FDC-A4B3-4E85-A2B9-17A29AE4ADBC}"/>
    <cellStyle name="Note 4 2 2 17 2" xfId="41528" xr:uid="{975F2281-4F70-4BA8-ACB7-3F3CA63D5E6D}"/>
    <cellStyle name="Note 4 2 2 18" xfId="16302" xr:uid="{40729438-ABEB-410E-A48E-37375978785F}"/>
    <cellStyle name="Note 4 2 2 18 2" xfId="37839" xr:uid="{FEDDF53F-0008-40A4-AB21-09FE0BF90268}"/>
    <cellStyle name="Note 4 2 2 19" xfId="17119" xr:uid="{DB4077C4-813D-4B56-A4CB-FD83CF1E3E16}"/>
    <cellStyle name="Note 4 2 2 19 2" xfId="38458" xr:uid="{B6E39101-A7FE-43B0-953E-7EC86DAEF8D4}"/>
    <cellStyle name="Note 4 2 2 2" xfId="3012" xr:uid="{AC6ED42A-2C84-435F-80F6-F2F7C06FF4EF}"/>
    <cellStyle name="Note 4 2 2 2 10" xfId="13821" xr:uid="{99447F8A-8577-4A11-AE2E-410D98CDB2DA}"/>
    <cellStyle name="Note 4 2 2 2 10 2" xfId="35946" xr:uid="{0FEB89B3-C2ED-4486-A83A-8F97F24C4154}"/>
    <cellStyle name="Note 4 2 2 2 11" xfId="16504" xr:uid="{56E26070-6551-4FB1-A4B9-3E956941AEBA}"/>
    <cellStyle name="Note 4 2 2 2 11 2" xfId="37997" xr:uid="{E96E0876-6600-4C08-9FBF-3B687562610D}"/>
    <cellStyle name="Note 4 2 2 2 12" xfId="17455" xr:uid="{6264FAC3-52AE-4F26-96CF-C4F77C192B59}"/>
    <cellStyle name="Note 4 2 2 2 12 2" xfId="38702" xr:uid="{D2ACDD35-74CC-4C0D-940E-CF8CA15F3F3C}"/>
    <cellStyle name="Note 4 2 2 2 13" xfId="22476" xr:uid="{0A4CC4D2-D320-4C46-9445-2CD354A3E032}"/>
    <cellStyle name="Note 4 2 2 2 13 2" xfId="42275" xr:uid="{800CAEE7-BA38-4C61-A9D3-9BE7DD1EB7AE}"/>
    <cellStyle name="Note 4 2 2 2 14" xfId="21605" xr:uid="{88662920-37AE-42DC-9231-5E4A5479DFCB}"/>
    <cellStyle name="Note 4 2 2 2 14 2" xfId="41689" xr:uid="{86BECCF2-1C04-4E38-B89C-68774C2ECF6A}"/>
    <cellStyle name="Note 4 2 2 2 15" xfId="10184" xr:uid="{2B8F5C3F-67B0-4FEB-8BF6-3F5542236331}"/>
    <cellStyle name="Note 4 2 2 2 15 2" xfId="33838" xr:uid="{BD678036-0DA2-40C8-A4AA-328CEF8E9614}"/>
    <cellStyle name="Note 4 2 2 2 16" xfId="16980" xr:uid="{5E6B88FC-FC69-46AA-94FC-37052524A5B0}"/>
    <cellStyle name="Note 4 2 2 2 16 2" xfId="38341" xr:uid="{0BBD6008-679C-4E21-BEAF-54224B4C5639}"/>
    <cellStyle name="Note 4 2 2 2 17" xfId="18299" xr:uid="{AE3B17ED-0598-4898-B999-F03FCB66D266}"/>
    <cellStyle name="Note 4 2 2 2 17 2" xfId="39330" xr:uid="{F89C11FD-6070-4585-B74F-67F8D03D4B8F}"/>
    <cellStyle name="Note 4 2 2 2 18" xfId="19038" xr:uid="{BDF3FD5B-FF27-4A63-8180-D602D8FE108C}"/>
    <cellStyle name="Note 4 2 2 2 18 2" xfId="39870" xr:uid="{F24CF6A8-4716-4822-A655-76CFE7D49CC7}"/>
    <cellStyle name="Note 4 2 2 2 19" xfId="22863" xr:uid="{A3397876-47DE-4276-831E-085D1B1F0CCA}"/>
    <cellStyle name="Note 4 2 2 2 19 2" xfId="42581" xr:uid="{E9C8B6CF-1768-4873-8D29-029A3AD944A0}"/>
    <cellStyle name="Note 4 2 2 2 2" xfId="8002" xr:uid="{AF581149-0DEC-496C-BDD1-64E99AF3E087}"/>
    <cellStyle name="Note 4 2 2 2 2 2" xfId="32248" xr:uid="{1285DCF5-4898-4F23-80FB-6F339A202D83}"/>
    <cellStyle name="Note 4 2 2 2 20" xfId="19994" xr:uid="{3ED045EA-87BC-4D1D-9327-DC99C9890157}"/>
    <cellStyle name="Note 4 2 2 2 20 2" xfId="40564" xr:uid="{8ADA54B3-3593-4A8B-A19E-E840BDE7D667}"/>
    <cellStyle name="Note 4 2 2 2 21" xfId="24512" xr:uid="{5C0F48B2-9F9D-44B0-A768-70AE1F3F4567}"/>
    <cellStyle name="Note 4 2 2 2 21 2" xfId="43695" xr:uid="{EF480B6A-F678-460D-923C-FCA312C92232}"/>
    <cellStyle name="Note 4 2 2 2 22" xfId="29428" xr:uid="{6A8C14D2-87A5-43B5-8714-3D7099D8F6C2}"/>
    <cellStyle name="Note 4 2 2 2 22 2" xfId="46889" xr:uid="{98B34043-F4AF-485C-B21B-A65610DEB699}"/>
    <cellStyle name="Note 4 2 2 2 23" xfId="29256" xr:uid="{68D4AF37-F6DF-475B-825A-4973F31BE7AC}"/>
    <cellStyle name="Note 4 2 2 2 23 2" xfId="46772" xr:uid="{68C3E943-380F-4545-A5CA-50108EE62DDD}"/>
    <cellStyle name="Note 4 2 2 2 24" xfId="22227" xr:uid="{E4EEF03B-C134-4437-80EB-4A32124E9EE1}"/>
    <cellStyle name="Note 4 2 2 2 24 2" xfId="42106" xr:uid="{00B00D56-825E-48D6-BCC1-DD55C6893CE4}"/>
    <cellStyle name="Note 4 2 2 2 25" xfId="24326" xr:uid="{8979AB13-5BC5-4799-B876-7C981B187793}"/>
    <cellStyle name="Note 4 2 2 2 25 2" xfId="43591" xr:uid="{DB3A954A-6B8F-4D03-ACE9-9E7E6974671B}"/>
    <cellStyle name="Note 4 2 2 2 26" xfId="22408" xr:uid="{E882B64B-45E1-4148-BAD6-AC475C6D4F27}"/>
    <cellStyle name="Note 4 2 2 2 26 2" xfId="42223" xr:uid="{6835DEED-9636-463B-A616-C7E7C6DC2D87}"/>
    <cellStyle name="Note 4 2 2 2 27" xfId="29993" xr:uid="{5D56D362-AB35-4F06-8F54-179CC2733FC9}"/>
    <cellStyle name="Note 4 2 2 2 27 2" xfId="47235" xr:uid="{5AE5C465-5504-4839-A5E8-3AEAA908DC48}"/>
    <cellStyle name="Note 4 2 2 2 28" xfId="6532" xr:uid="{151593F5-0735-48D5-B4FC-DAAFB6307961}"/>
    <cellStyle name="Note 4 2 2 2 3" xfId="9388" xr:uid="{3C6590F1-7A90-4672-8219-6BDE9E116563}"/>
    <cellStyle name="Note 4 2 2 2 3 2" xfId="33371" xr:uid="{6891C643-E292-41ED-9EC0-6C361B02B209}"/>
    <cellStyle name="Note 4 2 2 2 4" xfId="12061" xr:uid="{CBF7974E-7C78-42E0-ADDD-2EB9A13305CE}"/>
    <cellStyle name="Note 4 2 2 2 4 2" xfId="34619" xr:uid="{D2090FB1-2F13-4FE7-9039-53398802E91D}"/>
    <cellStyle name="Note 4 2 2 2 5" xfId="15928" xr:uid="{22A54994-0951-45E6-9557-1480D78E9050}"/>
    <cellStyle name="Note 4 2 2 2 5 2" xfId="37519" xr:uid="{46E36F14-D1A5-410A-838E-19E9A77EC738}"/>
    <cellStyle name="Note 4 2 2 2 6" xfId="13004" xr:uid="{12FED429-1770-49F2-8E21-96738377A280}"/>
    <cellStyle name="Note 4 2 2 2 6 2" xfId="35352" xr:uid="{7C66BEC3-D538-41F0-9C79-5DBF9609323A}"/>
    <cellStyle name="Note 4 2 2 2 7" xfId="8456" xr:uid="{B1DD92AB-E575-4394-B094-70D9C4894949}"/>
    <cellStyle name="Note 4 2 2 2 7 2" xfId="32643" xr:uid="{A2B55D9A-0A52-4D07-B9BF-ACFD2F6ACE2A}"/>
    <cellStyle name="Note 4 2 2 2 8" xfId="10576" xr:uid="{92A5643B-9DE0-4F15-9D44-82790D32664F}"/>
    <cellStyle name="Note 4 2 2 2 8 2" xfId="34202" xr:uid="{877C44FF-9F03-4914-B238-D58004855111}"/>
    <cellStyle name="Note 4 2 2 2 9" xfId="7077" xr:uid="{1126A86C-C074-4189-94FE-80C1140204AD}"/>
    <cellStyle name="Note 4 2 2 2 9 2" xfId="31444" xr:uid="{57900C4C-7AFC-45BE-8970-2B26FE31D8B0}"/>
    <cellStyle name="Note 4 2 2 20" xfId="25746" xr:uid="{C1C4F164-7D2A-4355-9A10-B80681B91D9A}"/>
    <cellStyle name="Note 4 2 2 20 2" xfId="44583" xr:uid="{861D7E5E-3A5D-4A16-A9B4-585AE5830557}"/>
    <cellStyle name="Note 4 2 2 21" xfId="23324" xr:uid="{E2019551-CB0D-46E3-AC5B-BCB91EF6D779}"/>
    <cellStyle name="Note 4 2 2 21 2" xfId="42896" xr:uid="{6C166FC5-8699-4395-9CDF-6358E3943291}"/>
    <cellStyle name="Note 4 2 2 22" xfId="23449" xr:uid="{A395AE18-5910-488E-9C03-9A74F4F9561F}"/>
    <cellStyle name="Note 4 2 2 22 2" xfId="42955" xr:uid="{808D353C-8913-4622-852C-8F23414A5774}"/>
    <cellStyle name="Note 4 2 2 23" xfId="28154" xr:uid="{F47C4D1C-1897-4D93-BDE2-0D59AF4720CC}"/>
    <cellStyle name="Note 4 2 2 23 2" xfId="46088" xr:uid="{913EBD33-0080-4BFC-BD7B-903FD42164CC}"/>
    <cellStyle name="Note 4 2 2 24" xfId="29779" xr:uid="{1A933E9E-8131-47DE-B6C0-0308D7272517}"/>
    <cellStyle name="Note 4 2 2 24 2" xfId="47098" xr:uid="{5307598B-67A8-4B66-81B2-BF062A52B60D}"/>
    <cellStyle name="Note 4 2 2 25" xfId="23864" xr:uid="{8AADFB01-8EA0-4D78-BE24-C8199D920F22}"/>
    <cellStyle name="Note 4 2 2 25 2" xfId="43243" xr:uid="{0EFE06AC-68F6-4F91-ACE6-B140665BA047}"/>
    <cellStyle name="Note 4 2 2 26" xfId="27890" xr:uid="{9388C70B-9823-4163-9587-48FC06F5AD81}"/>
    <cellStyle name="Note 4 2 2 26 2" xfId="45962" xr:uid="{86E14A46-8946-443B-908D-B1AF0BA00E63}"/>
    <cellStyle name="Note 4 2 2 27" xfId="23036" xr:uid="{3C41375A-53DF-4607-92A2-86E4BCC08AF2}"/>
    <cellStyle name="Note 4 2 2 27 2" xfId="42670" xr:uid="{12FDB3E6-7868-4073-8596-3CEF3353CDA2}"/>
    <cellStyle name="Note 4 2 2 28" xfId="26959" xr:uid="{7CE17E64-5AF3-40FE-879A-E1579EF47A3D}"/>
    <cellStyle name="Note 4 2 2 28 2" xfId="45366" xr:uid="{B923E2BA-B125-4F3D-9178-90CE7578EF6A}"/>
    <cellStyle name="Note 4 2 2 29" xfId="6531" xr:uid="{0EB00F72-F502-4B3F-9A24-5163E0A23465}"/>
    <cellStyle name="Note 4 2 2 3" xfId="8003" xr:uid="{AC286D40-26E7-49E2-8FF9-D24CBC612F6A}"/>
    <cellStyle name="Note 4 2 2 3 2" xfId="32249" xr:uid="{9033AA96-99B6-4684-980A-7B7D6A5688C7}"/>
    <cellStyle name="Note 4 2 2 4" xfId="9387" xr:uid="{2010054E-DEE8-43EA-AD76-92144BAE972E}"/>
    <cellStyle name="Note 4 2 2 4 2" xfId="33370" xr:uid="{C3E7A2CE-9B8D-4244-8A0B-87FC33755E31}"/>
    <cellStyle name="Note 4 2 2 5" xfId="7655" xr:uid="{DF554B1A-0809-4073-83B8-D67AF6FEAA1D}"/>
    <cellStyle name="Note 4 2 2 5 2" xfId="31954" xr:uid="{EED9C6B3-3947-4AA8-A016-6A357FD65371}"/>
    <cellStyle name="Note 4 2 2 6" xfId="8773" xr:uid="{19588A52-513D-46AE-B62C-8189ED7D90C5}"/>
    <cellStyle name="Note 4 2 2 6 2" xfId="32902" xr:uid="{9002A9BC-74B1-4B7F-AA31-1553AED814EE}"/>
    <cellStyle name="Note 4 2 2 7" xfId="10465" xr:uid="{B5D83030-0640-4CC5-A459-00E24C847BCC}"/>
    <cellStyle name="Note 4 2 2 7 2" xfId="34100" xr:uid="{82DFDE26-870E-470D-AC39-D83CD2F238A6}"/>
    <cellStyle name="Note 4 2 2 8" xfId="8457" xr:uid="{09166666-0EF4-4252-9E97-2BC8AF36A8AC}"/>
    <cellStyle name="Note 4 2 2 8 2" xfId="32644" xr:uid="{55699C98-251B-4331-94B7-C607A62D2531}"/>
    <cellStyle name="Note 4 2 2 9" xfId="14855" xr:uid="{45AF2CC4-0133-48F0-BD71-EA4C959A6F5C}"/>
    <cellStyle name="Note 4 2 2 9 2" xfId="36730" xr:uid="{48D104ED-2BF2-4A6B-82FC-556FDB622AD0}"/>
    <cellStyle name="Note 4 2 20" xfId="19037" xr:uid="{CDEA7B60-62B9-468A-ADCC-6175E06C12ED}"/>
    <cellStyle name="Note 4 2 20 2" xfId="39869" xr:uid="{05D785E6-2977-409B-99F6-12C81477B7F3}"/>
    <cellStyle name="Note 4 2 21" xfId="24712" xr:uid="{712DB759-A2F2-4BFE-9EBF-628866AC1F6A}"/>
    <cellStyle name="Note 4 2 21 2" xfId="43857" xr:uid="{FA452492-30F5-4BA1-B943-738C37A7FE1A}"/>
    <cellStyle name="Note 4 2 22" xfId="12831" xr:uid="{F829B6CD-3ED4-4115-8054-551AE3CB140F}"/>
    <cellStyle name="Note 4 2 22 2" xfId="35217" xr:uid="{4282C2E1-FF2A-433B-B58C-B125847566F2}"/>
    <cellStyle name="Note 4 2 23" xfId="16936" xr:uid="{67277815-0A41-4465-8E4E-F78D848BDB28}"/>
    <cellStyle name="Note 4 2 23 2" xfId="38307" xr:uid="{3D0AFA07-8636-4C5C-BBE5-F2789147AFA6}"/>
    <cellStyle name="Note 4 2 24" xfId="28946" xr:uid="{3323D901-7D3F-4542-A8A5-0AC5260EEBAE}"/>
    <cellStyle name="Note 4 2 24 2" xfId="46542" xr:uid="{C3313848-049B-4F8D-925D-843A3ABF1974}"/>
    <cellStyle name="Note 4 2 25" xfId="28786" xr:uid="{4884B68D-DA22-4543-A490-101EE3901DA2}"/>
    <cellStyle name="Note 4 2 25 2" xfId="46461" xr:uid="{BCC87D39-7C24-4355-A129-7214F6E50C62}"/>
    <cellStyle name="Note 4 2 26" xfId="21738" xr:uid="{7DC4635E-A18E-4F18-862C-623B0202B252}"/>
    <cellStyle name="Note 4 2 26 2" xfId="41760" xr:uid="{01B4E812-B278-4349-9CD4-6040E8283314}"/>
    <cellStyle name="Note 4 2 27" xfId="25225" xr:uid="{422AE74B-8E39-48BD-9868-006E1665502C}"/>
    <cellStyle name="Note 4 2 27 2" xfId="44162" xr:uid="{D1634D00-4845-48BD-8770-A655636880E3}"/>
    <cellStyle name="Note 4 2 28" xfId="27622" xr:uid="{DAEA9D32-E3F8-4CB5-83FA-481106C7EEDE}"/>
    <cellStyle name="Note 4 2 28 2" xfId="45762" xr:uid="{EC3FB5E8-2BB2-4BD5-B8F7-97CF1B605323}"/>
    <cellStyle name="Note 4 2 29" xfId="26903" xr:uid="{D21A61C0-164E-48FA-80B8-AAFE4D2374F1}"/>
    <cellStyle name="Note 4 2 29 2" xfId="45326" xr:uid="{86AF4B47-15B1-4755-8CC1-395014B1737C}"/>
    <cellStyle name="Note 4 2 3" xfId="3013" xr:uid="{C905C6ED-D171-4CFF-885F-4668A4A2F30F}"/>
    <cellStyle name="Note 4 2 3 10" xfId="12328" xr:uid="{F715A44A-9CAD-4057-9692-5E650D266D49}"/>
    <cellStyle name="Note 4 2 3 10 2" xfId="34832" xr:uid="{E4361DA4-B5FC-4BA6-AE85-7D000AE49E8E}"/>
    <cellStyle name="Note 4 2 3 11" xfId="14011" xr:uid="{17E9EF90-0DBC-4606-A936-09904EE262C3}"/>
    <cellStyle name="Note 4 2 3 11 2" xfId="36105" xr:uid="{CBED020E-5F0A-4BC5-A1D9-43E93007184C}"/>
    <cellStyle name="Note 4 2 3 12" xfId="14461" xr:uid="{1F88FCB6-EA4A-4FEC-AD7C-B8BF722A3D30}"/>
    <cellStyle name="Note 4 2 3 12 2" xfId="36450" xr:uid="{393CB05D-1596-4ABE-87F8-5F8500C42C21}"/>
    <cellStyle name="Note 4 2 3 13" xfId="9887" xr:uid="{E50E77A3-FA81-4A1C-BA94-5973C871CC1D}"/>
    <cellStyle name="Note 4 2 3 13 2" xfId="33633" xr:uid="{C4E73E18-D15F-4F1B-9381-4C4095C18E52}"/>
    <cellStyle name="Note 4 2 3 14" xfId="17941" xr:uid="{FD59F803-7878-47B6-9B02-CBD3C4D50041}"/>
    <cellStyle name="Note 4 2 3 14 2" xfId="39039" xr:uid="{066574B5-1F73-44BE-B042-A543BC0F1456}"/>
    <cellStyle name="Note 4 2 3 15" xfId="13268" xr:uid="{673C34F1-20D3-4223-B093-1545662FB152}"/>
    <cellStyle name="Note 4 2 3 15 2" xfId="35592" xr:uid="{ACD52F8D-A81C-46D3-95AE-5E889F1491B5}"/>
    <cellStyle name="Note 4 2 3 16" xfId="22523" xr:uid="{9820C547-B108-4C28-ABE7-53389D45A9D9}"/>
    <cellStyle name="Note 4 2 3 16 2" xfId="42322" xr:uid="{81F77E96-3977-424D-BE34-6878EAD29572}"/>
    <cellStyle name="Note 4 2 3 17" xfId="15808" xr:uid="{E384AB56-11C0-456D-A8E3-4997CF802120}"/>
    <cellStyle name="Note 4 2 3 17 2" xfId="37423" xr:uid="{7B535E75-45B4-4F5F-8827-37AE56971BCA}"/>
    <cellStyle name="Note 4 2 3 18" xfId="17120" xr:uid="{47D3BEA1-4B2F-4C5A-9828-286279965CBE}"/>
    <cellStyle name="Note 4 2 3 18 2" xfId="38459" xr:uid="{344A04F2-DBC3-497E-A32C-787516BB23D3}"/>
    <cellStyle name="Note 4 2 3 19" xfId="24711" xr:uid="{095FD295-7CF6-4F16-8A75-1CDE09DBE9FC}"/>
    <cellStyle name="Note 4 2 3 19 2" xfId="43856" xr:uid="{FF4B8C98-D7E0-4B27-879B-5D37F1FCB840}"/>
    <cellStyle name="Note 4 2 3 2" xfId="8001" xr:uid="{3211A5D1-0302-44BC-93BC-66FAEEC564CF}"/>
    <cellStyle name="Note 4 2 3 2 2" xfId="32247" xr:uid="{D266E832-A445-4AF0-9E19-9E01A22382A7}"/>
    <cellStyle name="Note 4 2 3 20" xfId="23321" xr:uid="{7B5C17AC-7225-4C81-971D-830C2AF26704}"/>
    <cellStyle name="Note 4 2 3 20 2" xfId="42893" xr:uid="{F1D3CEB3-A237-489C-A849-C0042D5AD1B2}"/>
    <cellStyle name="Note 4 2 3 21" xfId="26379" xr:uid="{8C5718E6-0D53-4E6F-85DE-EE0E7E52FA32}"/>
    <cellStyle name="Note 4 2 3 21 2" xfId="45054" xr:uid="{8F4D80FD-64E2-4DB3-B152-2DCF6CC76069}"/>
    <cellStyle name="Note 4 2 3 22" xfId="27012" xr:uid="{E9A6906A-B427-4C74-8959-9F78A3CCD9EC}"/>
    <cellStyle name="Note 4 2 3 22 2" xfId="45417" xr:uid="{3D6FA065-D02D-491C-BC23-A5D3F8695875}"/>
    <cellStyle name="Note 4 2 3 23" xfId="28905" xr:uid="{924EFD40-EE28-4785-A42B-8DF18C88DD22}"/>
    <cellStyle name="Note 4 2 3 23 2" xfId="46509" xr:uid="{348AD52B-88B4-4241-8D88-F3030302C728}"/>
    <cellStyle name="Note 4 2 3 24" xfId="24988" xr:uid="{BBCB3669-A5A9-4733-A59A-973769F17E28}"/>
    <cellStyle name="Note 4 2 3 24 2" xfId="44056" xr:uid="{62FB534C-873D-4F68-AFE4-3F3C69B8F810}"/>
    <cellStyle name="Note 4 2 3 25" xfId="27889" xr:uid="{54E2E4B8-0184-47C7-94DC-49F36A6FD7E9}"/>
    <cellStyle name="Note 4 2 3 25 2" xfId="45961" xr:uid="{58A4C675-65EF-40A9-8704-F9BD2BFC32B7}"/>
    <cellStyle name="Note 4 2 3 26" xfId="30141" xr:uid="{B71DD8AE-0CD8-4E8C-884E-F18A4C88CAC8}"/>
    <cellStyle name="Note 4 2 3 26 2" xfId="47309" xr:uid="{9689F7AD-3F53-41BC-9D1A-19290290739D}"/>
    <cellStyle name="Note 4 2 3 27" xfId="27693" xr:uid="{FCEC2847-B24E-4F3A-821F-E5A0398F9CD1}"/>
    <cellStyle name="Note 4 2 3 27 2" xfId="45807" xr:uid="{981E7526-4AC4-42C1-9719-6C3E60ABC01E}"/>
    <cellStyle name="Note 4 2 3 28" xfId="6533" xr:uid="{5BDD18A2-F3B2-4D40-89B8-1E9FAA16AA08}"/>
    <cellStyle name="Note 4 2 3 3" xfId="9389" xr:uid="{E5014447-5963-4430-84C9-D8D8A5C9633E}"/>
    <cellStyle name="Note 4 2 3 3 2" xfId="33372" xr:uid="{EEFCA609-E343-4F2B-BF05-EF253933291E}"/>
    <cellStyle name="Note 4 2 3 4" xfId="7654" xr:uid="{13C0D006-A3ED-4201-AC32-3170F4EDFDCE}"/>
    <cellStyle name="Note 4 2 3 4 2" xfId="31953" xr:uid="{CCA09D30-AE30-4A08-B6F4-FD4A95A620C4}"/>
    <cellStyle name="Note 4 2 3 5" xfId="8772" xr:uid="{645C3EE6-23DD-473F-BDA5-61DEC23961A9}"/>
    <cellStyle name="Note 4 2 3 5 2" xfId="32901" xr:uid="{20A11BB6-ACF0-4143-936E-E137A485CD10}"/>
    <cellStyle name="Note 4 2 3 6" xfId="10466" xr:uid="{6ABCCCED-EFB6-4E6B-9F9F-4871811C6DEF}"/>
    <cellStyle name="Note 4 2 3 6 2" xfId="34101" xr:uid="{C2556DEF-147F-4950-A2AB-C7015C75E44B}"/>
    <cellStyle name="Note 4 2 3 7" xfId="8455" xr:uid="{0BD97C89-A4A1-4AB9-8392-671E412CBC64}"/>
    <cellStyle name="Note 4 2 3 7 2" xfId="32642" xr:uid="{6C398B59-3867-4D3E-8D45-8C3CC209B73A}"/>
    <cellStyle name="Note 4 2 3 8" xfId="14854" xr:uid="{76080796-E46F-4FF1-BBCF-FD3304B85439}"/>
    <cellStyle name="Note 4 2 3 8 2" xfId="36729" xr:uid="{035371AB-2E51-41CB-8CF2-21B3DC6DB848}"/>
    <cellStyle name="Note 4 2 3 9" xfId="7076" xr:uid="{5A7D9D73-576C-4A06-9A43-1E6967F0CE7C}"/>
    <cellStyle name="Note 4 2 3 9 2" xfId="31443" xr:uid="{9E3EF7CB-798F-4CD5-A959-3584C63497DA}"/>
    <cellStyle name="Note 4 2 30" xfId="6530" xr:uid="{7B2E2E2E-AC45-415B-8610-DF038D44368E}"/>
    <cellStyle name="Note 4 2 4" xfId="8004" xr:uid="{D58E4A41-BC28-4E6B-945D-549322D0BA4F}"/>
    <cellStyle name="Note 4 2 4 2" xfId="32250" xr:uid="{936CF2BE-A878-4DC5-891F-EEEA8BD2FBFE}"/>
    <cellStyle name="Note 4 2 5" xfId="9386" xr:uid="{8A009A92-407B-4703-B811-73CD530FF2A2}"/>
    <cellStyle name="Note 4 2 5 2" xfId="33369" xr:uid="{DA3B987D-2AF6-46F3-A2A5-3FDAABD54620}"/>
    <cellStyle name="Note 4 2 6" xfId="12062" xr:uid="{31310368-C8B4-40E5-934B-79C78AE330D3}"/>
    <cellStyle name="Note 4 2 6 2" xfId="34620" xr:uid="{C9B873BC-8CA5-4EE3-B965-B0FBD1F2DF93}"/>
    <cellStyle name="Note 4 2 7" xfId="15929" xr:uid="{1E000BF9-986C-4B60-85B8-B46AB4011914}"/>
    <cellStyle name="Note 4 2 7 2" xfId="37520" xr:uid="{29660E36-50C6-4130-8111-AA45D1C1DCD9}"/>
    <cellStyle name="Note 4 2 8" xfId="13005" xr:uid="{88686C83-BBEE-4A8B-8210-B1C38CF433D6}"/>
    <cellStyle name="Note 4 2 8 2" xfId="35353" xr:uid="{7D47D21E-525B-4517-ADFA-90E01FFB8A96}"/>
    <cellStyle name="Note 4 2 9" xfId="8458" xr:uid="{5F156C20-E6AB-47D3-8EF1-071DB072B040}"/>
    <cellStyle name="Note 4 2 9 2" xfId="32645" xr:uid="{B6D02679-01FA-458E-8D66-EA3BA2FC164D}"/>
    <cellStyle name="Note 4 2_Sheet2" xfId="3014" xr:uid="{6C120945-F871-47E8-B32E-BE9408D5E69A}"/>
    <cellStyle name="Note 4 20" xfId="22475" xr:uid="{A5C68016-AAC9-4ADA-A9A6-B765EA749F40}"/>
    <cellStyle name="Note 4 20 2" xfId="42274" xr:uid="{AC09ED0B-7F11-4FA8-9DB6-6AB454D87E57}"/>
    <cellStyle name="Note 4 21" xfId="17691" xr:uid="{B1B11DA1-2945-40B2-A65C-79CCC4F94385}"/>
    <cellStyle name="Note 4 21 2" xfId="38876" xr:uid="{7B21ED2A-C6C2-4294-B63E-3E6D574B82E7}"/>
    <cellStyle name="Note 4 22" xfId="16968" xr:uid="{DBD2FA81-0462-4BE1-9612-10BBB361EC9E}"/>
    <cellStyle name="Note 4 22 2" xfId="38332" xr:uid="{4EFDF27A-4BA1-4AC5-9F37-D8933BC31260}"/>
    <cellStyle name="Note 4 23" xfId="21400" xr:uid="{70874706-1A61-4C6E-B5F4-4E906C269D8E}"/>
    <cellStyle name="Note 4 23 2" xfId="41529" xr:uid="{3D6FC6DA-B9C1-4266-98CE-FF7DD312A1C7}"/>
    <cellStyle name="Note 4 24" xfId="13959" xr:uid="{C54CBE87-8F3B-428F-AF36-2EB568ED9362}"/>
    <cellStyle name="Note 4 24 2" xfId="36065" xr:uid="{286A95AD-EF2E-43D7-B195-CEC73AD56F19}"/>
    <cellStyle name="Note 4 25" xfId="16081" xr:uid="{F0081E3C-81BA-45EB-A6E1-63DD75BED4A2}"/>
    <cellStyle name="Note 4 25 2" xfId="37652" xr:uid="{7973EC07-B948-42BA-B4A1-DA4F037DCFEB}"/>
    <cellStyle name="Note 4 26" xfId="18775" xr:uid="{9CB2E335-4AA6-4FBB-A315-E94F41B3998F}"/>
    <cellStyle name="Note 4 26 2" xfId="39642" xr:uid="{CA80B2E3-AB90-4645-A68C-3FB58501E2F2}"/>
    <cellStyle name="Note 4 27" xfId="23323" xr:uid="{CAAA4112-2CAA-456B-A200-FCB2950EE015}"/>
    <cellStyle name="Note 4 27 2" xfId="42895" xr:uid="{31ECECC7-DC2D-491C-8D3C-1619E484BF38}"/>
    <cellStyle name="Note 4 28" xfId="25349" xr:uid="{D3CE757B-DB59-4C00-B21D-716D42A3381F}"/>
    <cellStyle name="Note 4 28 2" xfId="44265" xr:uid="{CA0E9CC9-3F40-4D27-A123-CD5DE076E0BD}"/>
    <cellStyle name="Note 4 29" xfId="29427" xr:uid="{8745F0F5-E63C-4674-89D2-EF1CEA33348B}"/>
    <cellStyle name="Note 4 29 2" xfId="46888" xr:uid="{DA1E358F-4DF9-419F-941E-94203B05669B}"/>
    <cellStyle name="Note 4 3" xfId="3015" xr:uid="{3ED65BC5-B94B-4C57-8A0B-AC0BCE044D08}"/>
    <cellStyle name="Note 4 3 10" xfId="7075" xr:uid="{8A46C61D-1511-4EF2-8AC8-C1AB3DEF96D7}"/>
    <cellStyle name="Note 4 3 10 2" xfId="31442" xr:uid="{9506DD8A-73CC-4306-8673-862C973927F2}"/>
    <cellStyle name="Note 4 3 11" xfId="14635" xr:uid="{95577652-2632-477A-8592-D5D65212D50F}"/>
    <cellStyle name="Note 4 3 11 2" xfId="36547" xr:uid="{0553737C-7C1B-4A95-8BA6-E04B4AD7BBFE}"/>
    <cellStyle name="Note 4 3 12" xfId="16503" xr:uid="{026FF2CB-98EA-47A5-AA67-31DCCCE1BFFB}"/>
    <cellStyle name="Note 4 3 12 2" xfId="37996" xr:uid="{72872773-8018-46AB-8FA1-82B6431BCBB6}"/>
    <cellStyle name="Note 4 3 13" xfId="13870" xr:uid="{03E8CDF8-15FB-488C-AD33-C4CDF2BC6F02}"/>
    <cellStyle name="Note 4 3 13 2" xfId="35993" xr:uid="{F46185CE-5435-40A6-A9BF-78248B5C6487}"/>
    <cellStyle name="Note 4 3 14" xfId="15455" xr:uid="{DF0F87D3-B221-4904-BD5E-3E3BD798C559}"/>
    <cellStyle name="Note 4 3 14 2" xfId="37124" xr:uid="{4F0A480B-6A45-43F3-99F8-67A7B2CA7CEE}"/>
    <cellStyle name="Note 4 3 15" xfId="19710" xr:uid="{1C840ED5-2B02-46F4-88DD-2F6FD6D84B41}"/>
    <cellStyle name="Note 4 3 15 2" xfId="40327" xr:uid="{DDAD80A1-B4EF-42B5-9C6B-7D8F730DB146}"/>
    <cellStyle name="Note 4 3 16" xfId="18682" xr:uid="{FEC3C546-3634-4ABC-9277-62964C721702}"/>
    <cellStyle name="Note 4 3 16 2" xfId="39564" xr:uid="{37377085-B7E6-4E2D-B924-B50B6ABBAF8F}"/>
    <cellStyle name="Note 4 3 17" xfId="19610" xr:uid="{FA984AAA-3EA3-465D-9D8B-D28DB0EE5DA8}"/>
    <cellStyle name="Note 4 3 17 2" xfId="40250" xr:uid="{8AE94977-C0C6-40B0-B90B-63DA99A5375B}"/>
    <cellStyle name="Note 4 3 18" xfId="16301" xr:uid="{863DA6AC-C51B-4B65-A323-1A1122346055}"/>
    <cellStyle name="Note 4 3 18 2" xfId="37838" xr:uid="{4A8EC77D-733F-4E42-BBD4-4F8D45844CD6}"/>
    <cellStyle name="Note 4 3 19" xfId="19039" xr:uid="{E61BB03A-80CD-40BD-917B-56C6F9CD8048}"/>
    <cellStyle name="Note 4 3 19 2" xfId="39871" xr:uid="{60ADB5C0-3079-49F2-B3C0-31C9932475EB}"/>
    <cellStyle name="Note 4 3 2" xfId="3016" xr:uid="{E105705A-F849-43CA-A8AD-5D266ABA732C}"/>
    <cellStyle name="Note 4 3 2 10" xfId="12745" xr:uid="{0DCD251E-2725-4C76-ABFA-3321B2062609}"/>
    <cellStyle name="Note 4 3 2 10 2" xfId="35154" xr:uid="{6AE6CCA3-BF99-4B85-86F6-1CA3B5475885}"/>
    <cellStyle name="Note 4 3 2 11" xfId="12555" xr:uid="{5E8C9B62-2091-41F8-94AC-4A0FE3BC2CB4}"/>
    <cellStyle name="Note 4 3 2 11 2" xfId="34999" xr:uid="{B5233AC1-71D2-4D4F-9B1F-C06B303C2CD5}"/>
    <cellStyle name="Note 4 3 2 12" xfId="17454" xr:uid="{AB70571D-2A71-44B5-927A-B70861D8E070}"/>
    <cellStyle name="Note 4 3 2 12 2" xfId="38701" xr:uid="{A56D41D1-4633-4294-BFE4-17A82AB7FD37}"/>
    <cellStyle name="Note 4 3 2 13" xfId="9888" xr:uid="{7F012968-274E-4F78-A298-989310D6B940}"/>
    <cellStyle name="Note 4 3 2 13 2" xfId="33634" xr:uid="{247F813A-17AB-4F0F-A105-46B3E40C2C3D}"/>
    <cellStyle name="Note 4 3 2 14" xfId="21604" xr:uid="{437923C9-C93C-433A-A39E-940A142791D4}"/>
    <cellStyle name="Note 4 3 2 14 2" xfId="41688" xr:uid="{2568533B-68EC-4B81-8D81-9D0ED1229EAE}"/>
    <cellStyle name="Note 4 3 2 15" xfId="13267" xr:uid="{B2B83C24-0B3A-48E6-93CB-C2D578E630EE}"/>
    <cellStyle name="Note 4 3 2 15 2" xfId="35591" xr:uid="{E5EF01DB-6F01-450F-A2BA-6F7F30E07E1B}"/>
    <cellStyle name="Note 4 3 2 16" xfId="21398" xr:uid="{531E3042-F24A-4B64-BF41-02AF1B47412A}"/>
    <cellStyle name="Note 4 3 2 16 2" xfId="41527" xr:uid="{13B12B54-30D8-40B3-9F22-DB13945F6C8A}"/>
    <cellStyle name="Note 4 3 2 17" xfId="18298" xr:uid="{6B06CFD9-7806-47B2-B000-F3428093171E}"/>
    <cellStyle name="Note 4 3 2 17 2" xfId="39329" xr:uid="{5C88F366-CAE7-4000-BE62-DDFA10517A8B}"/>
    <cellStyle name="Note 4 3 2 18" xfId="18525" xr:uid="{F6D883E2-8F70-4C41-A158-68A7FD8EC970}"/>
    <cellStyle name="Note 4 3 2 18 2" xfId="39477" xr:uid="{DE35CB8F-EFDB-4C7B-8580-150E980F0D09}"/>
    <cellStyle name="Note 4 3 2 19" xfId="22331" xr:uid="{97C5F33B-C860-451E-B0E3-3A3C714E670B}"/>
    <cellStyle name="Note 4 3 2 19 2" xfId="42186" xr:uid="{2CB32CBC-769A-4A3E-BE4A-07CA8A946E0E}"/>
    <cellStyle name="Note 4 3 2 2" xfId="7999" xr:uid="{899C2B5C-7DC1-4F92-80EA-92E79E8CE694}"/>
    <cellStyle name="Note 4 3 2 2 2" xfId="32245" xr:uid="{9BC48721-23B5-4212-8C46-E34A5FE8E789}"/>
    <cellStyle name="Note 4 3 2 20" xfId="23325" xr:uid="{1B765F30-3634-4B11-9373-54798AB07A9C}"/>
    <cellStyle name="Note 4 3 2 20 2" xfId="42897" xr:uid="{55383E26-BACC-4E04-AF5B-26C953F18AAD}"/>
    <cellStyle name="Note 4 3 2 21" xfId="21974" xr:uid="{A1B4EC93-881D-47BB-BC33-2F93F460A5D1}"/>
    <cellStyle name="Note 4 3 2 21 2" xfId="41881" xr:uid="{18D34C53-9B17-47DD-8FB2-05C941CEC3E8}"/>
    <cellStyle name="Note 4 3 2 22" xfId="18834" xr:uid="{B4FEDE15-88BC-4D96-AED8-7E4D087918F4}"/>
    <cellStyle name="Note 4 3 2 22 2" xfId="39681" xr:uid="{8B492859-5422-4AF5-A31D-C3583272AAAE}"/>
    <cellStyle name="Note 4 3 2 23" xfId="27599" xr:uid="{52639807-336B-4215-962A-C5F82BAF120D}"/>
    <cellStyle name="Note 4 3 2 23 2" xfId="45748" xr:uid="{4BF88791-966C-4E8C-8A79-88FF7BB54AB1}"/>
    <cellStyle name="Note 4 3 2 24" xfId="23862" xr:uid="{D8D6D967-9B53-4BAA-8005-CD0583BCC1AA}"/>
    <cellStyle name="Note 4 3 2 24 2" xfId="43241" xr:uid="{F1556785-4296-48FF-9A1F-CBD929F1ECA5}"/>
    <cellStyle name="Note 4 3 2 25" xfId="23690" xr:uid="{60BED6E9-D989-4349-9CA8-8FA5D525553C}"/>
    <cellStyle name="Note 4 3 2 25 2" xfId="43110" xr:uid="{7C8E647D-4451-41F9-B054-57A98A4DE182}"/>
    <cellStyle name="Note 4 3 2 26" xfId="27410" xr:uid="{F7487EAA-A140-484B-B408-82A40259D2A8}"/>
    <cellStyle name="Note 4 3 2 26 2" xfId="45665" xr:uid="{B2C898DA-3BA8-4A89-93EC-2231267FA2B5}"/>
    <cellStyle name="Note 4 3 2 27" xfId="27695" xr:uid="{E598592F-4646-4056-90E8-7EFC5A0E365D}"/>
    <cellStyle name="Note 4 3 2 27 2" xfId="45808" xr:uid="{5E9F93BB-21B9-4266-A2D2-5703DEB8A391}"/>
    <cellStyle name="Note 4 3 2 28" xfId="6535" xr:uid="{A117B4E5-5F29-4A59-802E-DD38C8FFF937}"/>
    <cellStyle name="Note 4 3 2 3" xfId="9391" xr:uid="{49D567CB-92C1-40AA-AAC1-70566DBD3AF5}"/>
    <cellStyle name="Note 4 3 2 3 2" xfId="33374" xr:uid="{BE29D350-77E1-4C58-9728-3D6FA008E7A7}"/>
    <cellStyle name="Note 4 3 2 4" xfId="7652" xr:uid="{94611FC4-4128-4DF9-8CE0-2364EA35436D}"/>
    <cellStyle name="Note 4 3 2 4 2" xfId="31951" xr:uid="{99795BA5-3073-4D24-9F2E-ED10507FF496}"/>
    <cellStyle name="Note 4 3 2 5" xfId="14294" xr:uid="{C31AC82D-A2A7-4E82-898C-0A388208EA90}"/>
    <cellStyle name="Note 4 3 2 5 2" xfId="36337" xr:uid="{BAB9F1AD-9D97-4CB6-9925-69E040D40423}"/>
    <cellStyle name="Note 4 3 2 6" xfId="13003" xr:uid="{597B7098-EE11-4A96-92A4-C7C5B3309F16}"/>
    <cellStyle name="Note 4 3 2 6 2" xfId="35351" xr:uid="{911263C1-2262-4FF6-8B86-57A70C79551C}"/>
    <cellStyle name="Note 4 3 2 7" xfId="8454" xr:uid="{3A07FBB1-7F98-4FD9-8A46-9FC9E69916B1}"/>
    <cellStyle name="Note 4 3 2 7 2" xfId="32641" xr:uid="{206DB951-5018-404E-BE1B-AFCAC990C2D1}"/>
    <cellStyle name="Note 4 3 2 8" xfId="10577" xr:uid="{89892466-A9AF-452A-900D-50D64C89F9C1}"/>
    <cellStyle name="Note 4 3 2 8 2" xfId="34203" xr:uid="{CE38E7E9-6A7D-459B-B28C-584980A50B14}"/>
    <cellStyle name="Note 4 3 2 9" xfId="7074" xr:uid="{A3A9BBBF-96E6-44BA-89C2-386E210F8707}"/>
    <cellStyle name="Note 4 3 2 9 2" xfId="31441" xr:uid="{640E4854-F06F-416D-8C7C-8CBC889D0970}"/>
    <cellStyle name="Note 4 3 20" xfId="24710" xr:uid="{3912215A-7EC4-4BC3-9217-777FCF6654D4}"/>
    <cellStyle name="Note 4 3 20 2" xfId="43855" xr:uid="{2D07E3E3-2435-4E9F-B27C-56125DF7D30E}"/>
    <cellStyle name="Note 4 3 21" xfId="19993" xr:uid="{6DB07145-0EA7-40EF-AC3C-3786D902E986}"/>
    <cellStyle name="Note 4 3 21 2" xfId="40563" xr:uid="{1B58E829-B96E-479D-BB93-6642B18DBD88}"/>
    <cellStyle name="Note 4 3 22" xfId="22277" xr:uid="{FBEF3334-1FF4-46F6-9D50-73362B373343}"/>
    <cellStyle name="Note 4 3 22 2" xfId="42142" xr:uid="{58950B6A-F239-493A-A972-D753811382DF}"/>
    <cellStyle name="Note 4 3 23" xfId="28145" xr:uid="{DC867B23-1C69-4FCA-9B35-F8A27B0AE530}"/>
    <cellStyle name="Note 4 3 23 2" xfId="46081" xr:uid="{67B88EBB-3D61-4616-82F8-6203D5D68E7F}"/>
    <cellStyle name="Note 4 3 24" xfId="28596" xr:uid="{202A2D87-F4D9-4BD9-9007-9A0D3242A1B2}"/>
    <cellStyle name="Note 4 3 24 2" xfId="46330" xr:uid="{FDAA41E9-BBC4-4081-AC4E-699739001CA3}"/>
    <cellStyle name="Note 4 3 25" xfId="23863" xr:uid="{FC2810F5-9EB2-4418-B9D2-6D8E9491BB4D}"/>
    <cellStyle name="Note 4 3 25 2" xfId="43242" xr:uid="{C5B042AD-3B41-4FF2-AA4F-6C936C50BC24}"/>
    <cellStyle name="Note 4 3 26" xfId="29155" xr:uid="{05AB4D60-81DE-4F7B-95C5-ED5D85C4988B}"/>
    <cellStyle name="Note 4 3 26 2" xfId="46686" xr:uid="{92E72BE0-F5C1-4126-BA00-6DA3CD238EFD}"/>
    <cellStyle name="Note 4 3 27" xfId="23020" xr:uid="{D736963F-F0A7-4B69-A911-66ADC77C6B93}"/>
    <cellStyle name="Note 4 3 27 2" xfId="42655" xr:uid="{417AD20B-A29B-41A7-8827-6429A4AC8455}"/>
    <cellStyle name="Note 4 3 28" xfId="26028" xr:uid="{814268AA-DA58-4D4D-AADE-BF514AADCCE2}"/>
    <cellStyle name="Note 4 3 28 2" xfId="44799" xr:uid="{BF1F057D-83E6-45E0-AC4B-DED4210B08F8}"/>
    <cellStyle name="Note 4 3 29" xfId="6534" xr:uid="{B94B4C40-B578-4EF1-8B39-BC8AC01C8549}"/>
    <cellStyle name="Note 4 3 3" xfId="8000" xr:uid="{46BEE836-EE9F-4E33-9DAD-3204674911CF}"/>
    <cellStyle name="Note 4 3 3 2" xfId="32246" xr:uid="{C9737B55-ADCE-4552-AFC8-3B1BC53B394D}"/>
    <cellStyle name="Note 4 3 4" xfId="9390" xr:uid="{D8927E69-8F2D-4946-8477-4B8B1386E0E1}"/>
    <cellStyle name="Note 4 3 4 2" xfId="33373" xr:uid="{50423A58-41F1-46EB-A89B-47CB9FBB6526}"/>
    <cellStyle name="Note 4 3 5" xfId="7653" xr:uid="{37652160-7031-4B27-95D3-CEED49F0B64C}"/>
    <cellStyle name="Note 4 3 5 2" xfId="31952" xr:uid="{5C7EF885-68B7-42AA-A2D8-BF19FEAEDB88}"/>
    <cellStyle name="Note 4 3 6" xfId="14277" xr:uid="{4C058CC7-7AC8-4F0D-B6DE-83D60071ABC2}"/>
    <cellStyle name="Note 4 3 6 2" xfId="36330" xr:uid="{9A08C8CE-CF89-4926-AFD1-7C486C350F55}"/>
    <cellStyle name="Note 4 3 7" xfId="10467" xr:uid="{5C4654AA-F98C-4189-8007-27A02329B728}"/>
    <cellStyle name="Note 4 3 7 2" xfId="34102" xr:uid="{B7F1C092-7767-44DD-AF75-25775556FCF7}"/>
    <cellStyle name="Note 4 3 8" xfId="8387" xr:uid="{6F723FC7-0C46-49BC-9652-548514972C56}"/>
    <cellStyle name="Note 4 3 8 2" xfId="32602" xr:uid="{80BEB0A6-DAF0-489B-9954-E928643D1EDD}"/>
    <cellStyle name="Note 4 3 9" xfId="14853" xr:uid="{7D2EDCA2-C280-4512-B786-9C5C18D21A4A}"/>
    <cellStyle name="Note 4 3 9 2" xfId="36728" xr:uid="{D9BA6524-78DD-4AAF-9D03-468EA1388B1D}"/>
    <cellStyle name="Note 4 30" xfId="27154" xr:uid="{EE2B9893-97C8-44DC-A9EC-C5CC6A8567F4}"/>
    <cellStyle name="Note 4 30 2" xfId="45495" xr:uid="{9E8B4B8D-657D-41F7-82FE-C9B9FEDF8D04}"/>
    <cellStyle name="Note 4 31" xfId="24985" xr:uid="{2B20D64A-C2C7-464D-A22D-38D11396E628}"/>
    <cellStyle name="Note 4 31 2" xfId="44053" xr:uid="{7F94E715-A43B-48D8-9833-187F008CBAE3}"/>
    <cellStyle name="Note 4 32" xfId="27629" xr:uid="{002F9374-111A-49B7-B161-180795D99486}"/>
    <cellStyle name="Note 4 32 2" xfId="45767" xr:uid="{7C564214-345D-4003-B723-F3BD5A8FFB22}"/>
    <cellStyle name="Note 4 33" xfId="23037" xr:uid="{A4959242-3D4C-403A-B434-2823F9173231}"/>
    <cellStyle name="Note 4 33 2" xfId="42671" xr:uid="{C1B277FA-88D1-4E2B-845E-7A6D43C60AFC}"/>
    <cellStyle name="Note 4 34" xfId="28271" xr:uid="{F549A42A-3E6A-4809-A235-C225AB37F463}"/>
    <cellStyle name="Note 4 34 2" xfId="46138" xr:uid="{9D066FD7-52ED-4F75-854C-3284A929D2A7}"/>
    <cellStyle name="Note 4 35" xfId="6529" xr:uid="{7D18A217-6E30-4E51-93FC-89A61F98FD1D}"/>
    <cellStyle name="Note 4 4" xfId="3017" xr:uid="{FE3EA20B-FFFA-4877-9237-7FBA3E3C00BF}"/>
    <cellStyle name="Note 4 4 10" xfId="7073" xr:uid="{8683D536-7110-4E9B-803C-4A9319FEE100}"/>
    <cellStyle name="Note 4 4 10 2" xfId="31440" xr:uid="{200F9B28-9E7B-47E0-A4ED-5F6FB6CB6EB5}"/>
    <cellStyle name="Note 4 4 11" xfId="12329" xr:uid="{15C8034E-079F-495E-BDA5-5E5C870D52A5}"/>
    <cellStyle name="Note 4 4 11 2" xfId="34833" xr:uid="{06871C9F-1850-4F2F-8DB6-30A3C1CB962C}"/>
    <cellStyle name="Note 4 4 12" xfId="16502" xr:uid="{EA579FF8-7D7B-4A24-B2E5-A962458A2EF9}"/>
    <cellStyle name="Note 4 4 12 2" xfId="37995" xr:uid="{B30B3307-3DAE-4B1A-9282-9B02496ADD07}"/>
    <cellStyle name="Note 4 4 13" xfId="13713" xr:uid="{9F76AD3A-DA0F-44CC-AB65-FEAB246379E8}"/>
    <cellStyle name="Note 4 4 13 2" xfId="35869" xr:uid="{8C60040C-5205-4C76-A6FD-71CB7A5859F3}"/>
    <cellStyle name="Note 4 4 14" xfId="15179" xr:uid="{8CEC8A3C-6877-4948-8397-2B1B85024D11}"/>
    <cellStyle name="Note 4 4 14 2" xfId="36966" xr:uid="{126852FD-E23E-4396-9B0E-B0AB3C6E7CED}"/>
    <cellStyle name="Note 4 4 15" xfId="13911" xr:uid="{26F1A3F3-1082-42C8-BB5A-90D2645D1B97}"/>
    <cellStyle name="Note 4 4 15 2" xfId="36023" xr:uid="{6528E7CF-E8CE-4664-AF9F-9451847818B6}"/>
    <cellStyle name="Note 4 4 16" xfId="10185" xr:uid="{EE797CE0-7B23-40AF-B30A-8B979EF3D0D7}"/>
    <cellStyle name="Note 4 4 16 2" xfId="33839" xr:uid="{3CE58CA5-A25A-441E-9BBA-9B1578752BFB}"/>
    <cellStyle name="Note 4 4 17" xfId="17735" xr:uid="{2781D1D4-4701-4CA3-BF19-96693F88B5C3}"/>
    <cellStyle name="Note 4 4 17 2" xfId="38911" xr:uid="{97F136E0-CFC9-4A97-964B-55228C20CA89}"/>
    <cellStyle name="Note 4 4 18" xfId="12611" xr:uid="{B11461A0-2906-4DD9-9847-9F93D9F56EB0}"/>
    <cellStyle name="Note 4 4 18 2" xfId="35043" xr:uid="{FB15BBCB-45C8-47AD-A9F3-D43E49339856}"/>
    <cellStyle name="Note 4 4 19" xfId="19040" xr:uid="{5A5372F4-7C39-4264-A7E2-D17882EFFDA6}"/>
    <cellStyle name="Note 4 4 19 2" xfId="39872" xr:uid="{33001780-C7A0-4DD5-8C39-16E0AF54E701}"/>
    <cellStyle name="Note 4 4 2" xfId="3018" xr:uid="{8018EF2E-2308-49BC-BD89-036D1EAE2EA0}"/>
    <cellStyle name="Note 4 4 2 10" xfId="15527" xr:uid="{E7BC09D6-B58F-40D0-B5D2-826A0E0A1149}"/>
    <cellStyle name="Note 4 4 2 10 2" xfId="37192" xr:uid="{0BF1D0F7-58FA-428A-B0CE-B051613A6FAD}"/>
    <cellStyle name="Note 4 4 2 11" xfId="16501" xr:uid="{CA3FB6A3-AB96-442F-980E-1829CF2F0094}"/>
    <cellStyle name="Note 4 4 2 11 2" xfId="37994" xr:uid="{5688060F-B88E-4383-9BB6-5659CD397EB4}"/>
    <cellStyle name="Note 4 4 2 12" xfId="17453" xr:uid="{F335FADD-F7E0-4D4B-A782-A95F90D8DC2A}"/>
    <cellStyle name="Note 4 4 2 12 2" xfId="38700" xr:uid="{A61D5BCB-3949-4506-8E49-EB3B0ACF8440}"/>
    <cellStyle name="Note 4 4 2 13" xfId="9889" xr:uid="{5542AE1A-5217-48C0-B954-56A916FA5387}"/>
    <cellStyle name="Note 4 4 2 13 2" xfId="33635" xr:uid="{57076CC9-E257-45F0-91E4-59A10F320C55}"/>
    <cellStyle name="Note 4 4 2 14" xfId="19693" xr:uid="{8D0725E4-6F24-4D0A-A54C-C5FE55E6A990}"/>
    <cellStyle name="Note 4 4 2 14 2" xfId="40310" xr:uid="{649F0EF1-0D51-4EAF-8B5D-331EE0732B84}"/>
    <cellStyle name="Note 4 4 2 15" xfId="13266" xr:uid="{5606C995-A1E6-4CD2-A94D-AE0FCFBDC89C}"/>
    <cellStyle name="Note 4 4 2 15 2" xfId="35590" xr:uid="{68FBDA37-7993-4401-973F-02FAB08FA3A9}"/>
    <cellStyle name="Note 4 4 2 16" xfId="21397" xr:uid="{436F7F93-0417-4201-AE01-299163A2E479}"/>
    <cellStyle name="Note 4 4 2 16 2" xfId="41526" xr:uid="{786616DC-FF1D-4E66-AC5F-9C808E6DE376}"/>
    <cellStyle name="Note 4 4 2 17" xfId="18297" xr:uid="{4DE7773F-1E69-4382-817C-5E287B5986DE}"/>
    <cellStyle name="Note 4 4 2 17 2" xfId="39328" xr:uid="{20391065-577E-45D9-908F-49C40137475A}"/>
    <cellStyle name="Note 4 4 2 18" xfId="16080" xr:uid="{122FA987-985E-4E87-B043-E05E54C5D3B6}"/>
    <cellStyle name="Note 4 4 2 18 2" xfId="37651" xr:uid="{4BFC80B0-645D-4FD5-B4C5-10D7C91F28E9}"/>
    <cellStyle name="Note 4 4 2 19" xfId="20385" xr:uid="{BE581678-6F35-498F-965B-4915B3C4504E}"/>
    <cellStyle name="Note 4 4 2 19 2" xfId="40807" xr:uid="{7515C236-AE8A-465A-AC1C-58AD62554742}"/>
    <cellStyle name="Note 4 4 2 2" xfId="7997" xr:uid="{BF3C806A-99D2-48D9-A903-C3430F1B4081}"/>
    <cellStyle name="Note 4 4 2 2 2" xfId="32243" xr:uid="{1339E4FC-BC85-4D89-BF46-5954A0059886}"/>
    <cellStyle name="Note 4 4 2 20" xfId="18051" xr:uid="{FF307723-EC83-44E3-834C-817ADFD6F83C}"/>
    <cellStyle name="Note 4 4 2 20 2" xfId="39144" xr:uid="{43AF4F53-6474-4A66-B1E7-C8238649DFBA}"/>
    <cellStyle name="Note 4 4 2 21" xfId="25350" xr:uid="{D5F17F61-17B2-47E6-9B26-F2D0DE86410E}"/>
    <cellStyle name="Note 4 4 2 21 2" xfId="44266" xr:uid="{BC95B7C3-19D1-4DFC-A4AB-7C231CF4F68A}"/>
    <cellStyle name="Note 4 4 2 22" xfId="28901" xr:uid="{63612F4C-6878-40C0-8125-74AB8CF4F799}"/>
    <cellStyle name="Note 4 4 2 22 2" xfId="46505" xr:uid="{17B2E687-73BB-4223-9A37-D15A7B9D1AEB}"/>
    <cellStyle name="Note 4 4 2 23" xfId="28595" xr:uid="{A4A45EBB-F9AD-42DE-ADC9-10E8957F9163}"/>
    <cellStyle name="Note 4 4 2 23 2" xfId="46329" xr:uid="{DAF44844-83B9-4108-971B-B838AF5F51AB}"/>
    <cellStyle name="Note 4 4 2 24" xfId="23861" xr:uid="{CB6E5E78-1438-4713-A053-46CD62106BA7}"/>
    <cellStyle name="Note 4 4 2 24 2" xfId="43240" xr:uid="{4CED66F0-7920-4988-9A15-70CEB03B6C63}"/>
    <cellStyle name="Note 4 4 2 25" xfId="27888" xr:uid="{A28F3B49-0A92-4589-BC0C-29BEF5700F1D}"/>
    <cellStyle name="Note 4 4 2 25 2" xfId="45960" xr:uid="{583E0976-B120-4D34-895E-67BB5772AD0A}"/>
    <cellStyle name="Note 4 4 2 26" xfId="27411" xr:uid="{577BDC5C-19B0-4AE1-9480-B8C518B18861}"/>
    <cellStyle name="Note 4 4 2 26 2" xfId="45666" xr:uid="{D6D9F531-E6BC-4B26-B4A1-025EC59522A7}"/>
    <cellStyle name="Note 4 4 2 27" xfId="29012" xr:uid="{861AD756-32CD-4469-AD6A-B32141D83008}"/>
    <cellStyle name="Note 4 4 2 27 2" xfId="46606" xr:uid="{182450B3-56C8-4D8C-BA18-02E7686DDDA2}"/>
    <cellStyle name="Note 4 4 2 28" xfId="6537" xr:uid="{2144869E-82C8-4182-B181-4783CB2D9674}"/>
    <cellStyle name="Note 4 4 2 3" xfId="13357" xr:uid="{18750012-D102-49A2-9027-95B4F58A1ED9}"/>
    <cellStyle name="Note 4 4 2 3 2" xfId="35664" xr:uid="{0EEA3295-D436-48CB-9C7D-264F54EA2D7B}"/>
    <cellStyle name="Note 4 4 2 4" xfId="12060" xr:uid="{A8EBC724-F0E9-43F8-BE6B-2B43CE50435C}"/>
    <cellStyle name="Note 4 4 2 4 2" xfId="34618" xr:uid="{AD7E1A15-445E-4421-A051-082CF1025B0E}"/>
    <cellStyle name="Note 4 4 2 5" xfId="15314" xr:uid="{E711A7AC-2C2B-4BC2-B87C-3B94AFF99744}"/>
    <cellStyle name="Note 4 4 2 5 2" xfId="37018" xr:uid="{BF040A1B-9B39-40F6-9874-5F807BC09D3A}"/>
    <cellStyle name="Note 4 4 2 6" xfId="13002" xr:uid="{F5AB2B39-D346-4D18-891B-193F2E30130B}"/>
    <cellStyle name="Note 4 4 2 6 2" xfId="35350" xr:uid="{50FD3B1A-62C8-4080-AE90-D6345E5AC0ED}"/>
    <cellStyle name="Note 4 4 2 7" xfId="8452" xr:uid="{94764AC2-297F-4667-BF9B-22BCE8F80D97}"/>
    <cellStyle name="Note 4 4 2 7 2" xfId="32639" xr:uid="{46044ECE-4D71-4D9E-8C26-FD413D517E09}"/>
    <cellStyle name="Note 4 4 2 8" xfId="10578" xr:uid="{45387742-4CBA-44C0-B355-DACDCE75A315}"/>
    <cellStyle name="Note 4 4 2 8 2" xfId="34204" xr:uid="{0BDE2696-FA2A-4927-9784-B23AAC5FB261}"/>
    <cellStyle name="Note 4 4 2 9" xfId="7072" xr:uid="{DF3C071E-654D-445D-A2D9-C62A4EC9D381}"/>
    <cellStyle name="Note 4 4 2 9 2" xfId="31439" xr:uid="{CF3A605B-62D1-46C4-A7A3-0891EE230693}"/>
    <cellStyle name="Note 4 4 20" xfId="24709" xr:uid="{FF844AF9-6CBB-4594-967B-4632E3EE7A4C}"/>
    <cellStyle name="Note 4 4 20 2" xfId="43854" xr:uid="{DFF96F8D-D1C7-49C9-B3C5-A8C7D567ABC5}"/>
    <cellStyle name="Note 4 4 21" xfId="13932" xr:uid="{70C08D66-ACC6-4F43-B517-262795C57DDE}"/>
    <cellStyle name="Note 4 4 21 2" xfId="36041" xr:uid="{949C65D7-11AC-4E4A-B868-F77045C623E0}"/>
    <cellStyle name="Note 4 4 22" xfId="24511" xr:uid="{B1076696-29AA-4221-A609-0E7028634114}"/>
    <cellStyle name="Note 4 4 22 2" xfId="43694" xr:uid="{58DA919C-42A8-43EE-A696-02E289B8D3BC}"/>
    <cellStyle name="Note 4 4 23" xfId="26365" xr:uid="{9C396C00-0ABE-4C74-8707-93D99D9BDEAE}"/>
    <cellStyle name="Note 4 4 23 2" xfId="45047" xr:uid="{77EE14C7-E5EF-49DA-B4E5-40C270711885}"/>
    <cellStyle name="Note 4 4 24" xfId="25647" xr:uid="{1DA1D974-859D-4505-AA3D-5F2CF96689FA}"/>
    <cellStyle name="Note 4 4 24 2" xfId="44492" xr:uid="{2B9371E6-26B2-4CBA-A81E-017503445928}"/>
    <cellStyle name="Note 4 4 25" xfId="20340" xr:uid="{55FAB8F2-9DAC-4E20-A7CE-FBFCB5C42669}"/>
    <cellStyle name="Note 4 4 25 2" xfId="40773" xr:uid="{432796A7-EEAB-479C-8548-8E76D4874DBA}"/>
    <cellStyle name="Note 4 4 26" xfId="25956" xr:uid="{CBDB05EC-23ED-4E86-8483-3BE637D3C92F}"/>
    <cellStyle name="Note 4 4 26 2" xfId="44747" xr:uid="{41245045-DA19-4BCF-AB6A-DB18128ECFBE}"/>
    <cellStyle name="Note 4 4 27" xfId="20251" xr:uid="{A4491BF1-3A2E-46D6-8370-512B88BB8562}"/>
    <cellStyle name="Note 4 4 27 2" xfId="40696" xr:uid="{94FB67C7-8535-4D6B-809A-F1D92F898862}"/>
    <cellStyle name="Note 4 4 28" xfId="27636" xr:uid="{276D2182-2B96-4F8E-A117-4D633B199A46}"/>
    <cellStyle name="Note 4 4 28 2" xfId="45771" xr:uid="{90621161-242D-416D-8DFD-6BCE4A390953}"/>
    <cellStyle name="Note 4 4 29" xfId="6536" xr:uid="{D6B7EEA0-02A7-4D3D-9126-BF68727A5499}"/>
    <cellStyle name="Note 4 4 3" xfId="7998" xr:uid="{53EC931A-EE15-4982-85B4-768AD197E70C}"/>
    <cellStyle name="Note 4 4 3 2" xfId="32244" xr:uid="{12BB86E8-97D6-4FE7-A9A0-7BECC3F1521D}"/>
    <cellStyle name="Note 4 4 4" xfId="9392" xr:uid="{796D12E9-CD4B-4149-8F07-4BFD43B16D7D}"/>
    <cellStyle name="Note 4 4 4 2" xfId="33375" xr:uid="{88B2304A-48EE-4C62-A3C4-26BD1BD57F0E}"/>
    <cellStyle name="Note 4 4 5" xfId="7651" xr:uid="{E4FB6E5B-5BF3-4778-B319-E00E78056CA2}"/>
    <cellStyle name="Note 4 4 5 2" xfId="31950" xr:uid="{15AB4A9F-6606-44E3-8879-7E1994D746F0}"/>
    <cellStyle name="Note 4 4 6" xfId="14278" xr:uid="{5F3AFDED-5C0B-409F-9622-F7E5912192BE}"/>
    <cellStyle name="Note 4 4 6 2" xfId="36331" xr:uid="{949C5D97-744E-41E0-9DBD-3C6AD6E38851}"/>
    <cellStyle name="Note 4 4 7" xfId="10468" xr:uid="{CE705F6E-94FB-463E-BCFF-F9EBFCC1AC6B}"/>
    <cellStyle name="Note 4 4 7 2" xfId="34103" xr:uid="{7C98C0B4-387F-442A-8E4D-95736A444F8F}"/>
    <cellStyle name="Note 4 4 8" xfId="8453" xr:uid="{825DFE31-BB09-49AE-BD47-B3F75A57D8C4}"/>
    <cellStyle name="Note 4 4 8 2" xfId="32640" xr:uid="{382FA61F-7F42-4182-AF88-85FE45A35AC7}"/>
    <cellStyle name="Note 4 4 9" xfId="12906" xr:uid="{09D48FBF-A476-4ADE-94DE-9BD4FB1E2094}"/>
    <cellStyle name="Note 4 4 9 2" xfId="35262" xr:uid="{E1630879-E014-4B31-86E0-07605FB41048}"/>
    <cellStyle name="Note 4 5" xfId="3019" xr:uid="{17067A54-DB54-4871-BBEF-8D824A2958F5}"/>
    <cellStyle name="Note 4 5 10" xfId="7071" xr:uid="{1EDE2D74-06A8-4ADB-BC4A-913337DA81F5}"/>
    <cellStyle name="Note 4 5 10 2" xfId="31438" xr:uid="{3DB40214-B167-43AC-9FA1-15082C1F044C}"/>
    <cellStyle name="Note 4 5 11" xfId="14634" xr:uid="{BBEFA8D3-B982-4724-8DA7-6161FCB7139A}"/>
    <cellStyle name="Note 4 5 11 2" xfId="36546" xr:uid="{0F1C210D-3F66-42C0-A694-17145F878CEF}"/>
    <cellStyle name="Note 4 5 12" xfId="12556" xr:uid="{ACDC1DFC-2962-42C6-B5AD-D51E1972AFD8}"/>
    <cellStyle name="Note 4 5 12 2" xfId="35000" xr:uid="{86B3BE1F-242D-4D7F-BED1-8C4F0B5768E5}"/>
    <cellStyle name="Note 4 5 13" xfId="15627" xr:uid="{01C4F73C-B46C-4236-94AE-13159DB9F365}"/>
    <cellStyle name="Note 4 5 13 2" xfId="37285" xr:uid="{ECDE1897-B87F-4FE2-B5D4-4BFB0F454854}"/>
    <cellStyle name="Note 4 5 14" xfId="22446" xr:uid="{26FF2ED7-8D34-4EC7-89A1-AC55233B020F}"/>
    <cellStyle name="Note 4 5 14 2" xfId="42249" xr:uid="{9FBD009C-36EB-4312-ABE3-B9403BB32539}"/>
    <cellStyle name="Note 4 5 15" xfId="21603" xr:uid="{58C63BF8-0BE9-4ED1-B631-A14EDEFF1C6F}"/>
    <cellStyle name="Note 4 5 15 2" xfId="41687" xr:uid="{E2A569E7-E01E-4584-83ED-06C13026B882}"/>
    <cellStyle name="Note 4 5 16" xfId="10186" xr:uid="{0264E402-5FBA-457E-B680-88F92624E50F}"/>
    <cellStyle name="Note 4 5 16 2" xfId="33840" xr:uid="{87D45EF7-E098-4A5A-B4AF-7DCBF5655B7D}"/>
    <cellStyle name="Note 4 5 17" xfId="19609" xr:uid="{12D76AC0-5395-4B74-822A-08DF13EDC016}"/>
    <cellStyle name="Note 4 5 17 2" xfId="40249" xr:uid="{87F68D55-2CA2-4B6B-94E5-2B644C1CBC2A}"/>
    <cellStyle name="Note 4 5 18" xfId="16300" xr:uid="{D7D7CCCD-657E-4976-A585-69E9942C1EDA}"/>
    <cellStyle name="Note 4 5 18 2" xfId="37837" xr:uid="{9C6F2328-4084-4242-AB08-DD84EA68E8B7}"/>
    <cellStyle name="Note 4 5 19" xfId="20077" xr:uid="{7EF1D76F-651A-4129-8D12-6EF10EAFDE73}"/>
    <cellStyle name="Note 4 5 19 2" xfId="40623" xr:uid="{E6BF46B5-42A9-4675-ABA2-E83883EABB6F}"/>
    <cellStyle name="Note 4 5 2" xfId="3020" xr:uid="{01CB515A-4BC9-4BDB-831B-987B2BAAA925}"/>
    <cellStyle name="Note 4 5 2 10" xfId="14620" xr:uid="{8F9A5AB5-CEEF-4E3D-89E6-22A9A8A8799B}"/>
    <cellStyle name="Note 4 5 2 10 2" xfId="36532" xr:uid="{29126BB6-23AB-4A3B-B66E-83ADD2394833}"/>
    <cellStyle name="Note 4 5 2 11" xfId="16500" xr:uid="{AE75397B-CA3B-471D-A89D-A2124D57BF5A}"/>
    <cellStyle name="Note 4 5 2 11 2" xfId="37993" xr:uid="{31BA9456-52A6-4F7C-A157-6BB6705FFBF4}"/>
    <cellStyle name="Note 4 5 2 12" xfId="17452" xr:uid="{ADDE90DC-56F0-4729-A282-320B7862296C}"/>
    <cellStyle name="Note 4 5 2 12 2" xfId="38699" xr:uid="{CA4F6FA5-1D59-447A-A9A7-580206A55D5F}"/>
    <cellStyle name="Note 4 5 2 13" xfId="22464" xr:uid="{8EF0EE37-A455-4460-919C-6104C9CAE449}"/>
    <cellStyle name="Note 4 5 2 13 2" xfId="42263" xr:uid="{54DDBB88-69D6-4140-A04C-BF7B038604A1}"/>
    <cellStyle name="Note 4 5 2 14" xfId="19709" xr:uid="{67BBCC24-CC6A-4E1A-A40B-63E151962C58}"/>
    <cellStyle name="Note 4 5 2 14 2" xfId="40326" xr:uid="{A2195D20-5395-4154-B12A-5F946473AE4B}"/>
    <cellStyle name="Note 4 5 2 15" xfId="10188" xr:uid="{EBBAC528-1FE9-4BCE-916B-7BFB2974991B}"/>
    <cellStyle name="Note 4 5 2 15 2" xfId="33842" xr:uid="{5D260E1D-1070-414F-A212-93D92E208B0B}"/>
    <cellStyle name="Note 4 5 2 16" xfId="21396" xr:uid="{B90CEF68-83F8-49A1-86C4-E3868828BED5}"/>
    <cellStyle name="Note 4 5 2 16 2" xfId="41525" xr:uid="{AB01143D-79DF-407A-8531-B823B43EC55B}"/>
    <cellStyle name="Note 4 5 2 17" xfId="22009" xr:uid="{312D04D3-C019-478E-A34F-B488B019353E}"/>
    <cellStyle name="Note 4 5 2 17 2" xfId="41904" xr:uid="{3791C1B3-4FB9-4537-936A-C962E5BE9D48}"/>
    <cellStyle name="Note 4 5 2 18" xfId="19041" xr:uid="{600DAA2B-AE83-4B87-B3BF-9A0F38008E00}"/>
    <cellStyle name="Note 4 5 2 18 2" xfId="39873" xr:uid="{D904B7F6-3352-4EEC-8A24-186366B45B2D}"/>
    <cellStyle name="Note 4 5 2 19" xfId="25747" xr:uid="{48671ED2-B6C6-46DC-B821-C066ACD54C19}"/>
    <cellStyle name="Note 4 5 2 19 2" xfId="44584" xr:uid="{AA93690B-CA77-40C2-8A30-BABA2409D17B}"/>
    <cellStyle name="Note 4 5 2 2" xfId="7995" xr:uid="{533D24BE-71BF-44E3-90B4-AF4187757081}"/>
    <cellStyle name="Note 4 5 2 2 2" xfId="32241" xr:uid="{7988225E-1632-4519-A77A-84E46EB6F0D3}"/>
    <cellStyle name="Note 4 5 2 20" xfId="19971" xr:uid="{26E17F8C-D778-440C-ACBF-3B871F4C5052}"/>
    <cellStyle name="Note 4 5 2 20 2" xfId="40560" xr:uid="{0C9FC4C5-F692-4FDD-A5E5-77B34692EA44}"/>
    <cellStyle name="Note 4 5 2 21" xfId="23448" xr:uid="{3C051EB4-90B6-4675-B05D-D387F6E2300E}"/>
    <cellStyle name="Note 4 5 2 21 2" xfId="42954" xr:uid="{8738F038-150C-487F-95EF-AD12F1CED85D}"/>
    <cellStyle name="Note 4 5 2 22" xfId="28940" xr:uid="{0ACE4928-0CBD-4C1F-A71A-3B2869682833}"/>
    <cellStyle name="Note 4 5 2 22 2" xfId="46536" xr:uid="{733AD31C-4749-4453-80CE-CBFC7C847D51}"/>
    <cellStyle name="Note 4 5 2 23" xfId="27153" xr:uid="{41CA1433-3217-4207-88FA-0253F00A4A02}"/>
    <cellStyle name="Note 4 5 2 23 2" xfId="45494" xr:uid="{FD525AFE-4D69-47E9-BF49-14E94BD37D90}"/>
    <cellStyle name="Note 4 5 2 24" xfId="23860" xr:uid="{12CE4A18-0806-412A-B684-AFEE1AB7A2A4}"/>
    <cellStyle name="Note 4 5 2 24 2" xfId="43239" xr:uid="{1DCD1ECE-EF06-4912-837D-E806B2DC408A}"/>
    <cellStyle name="Note 4 5 2 25" xfId="26010" xr:uid="{E0CF460B-FF83-4490-B805-E5E430D379FD}"/>
    <cellStyle name="Note 4 5 2 25 2" xfId="44787" xr:uid="{552AAE76-4D91-4A74-A725-9F9E363073D8}"/>
    <cellStyle name="Note 4 5 2 26" xfId="29959" xr:uid="{4CF7CB44-ACC9-4F4F-B61A-79807A6717E0}"/>
    <cellStyle name="Note 4 5 2 26 2" xfId="47223" xr:uid="{E6A3B4D0-5808-49AA-999C-6B95C5775FEA}"/>
    <cellStyle name="Note 4 5 2 27" xfId="28270" xr:uid="{8F63B7A9-C561-45A6-ADC0-C5DABE7BA06A}"/>
    <cellStyle name="Note 4 5 2 27 2" xfId="46137" xr:uid="{B901DBB6-43D2-4B5B-BFA4-769834A505ED}"/>
    <cellStyle name="Note 4 5 2 28" xfId="6539" xr:uid="{0AFFD99D-A5E5-4961-967B-2D26FEED9530}"/>
    <cellStyle name="Note 4 5 2 3" xfId="9394" xr:uid="{5B10D226-20E7-43E7-8B19-3364C879C0CA}"/>
    <cellStyle name="Note 4 5 2 3 2" xfId="33377" xr:uid="{397A2963-4F85-42C1-97C6-24085030DF4D}"/>
    <cellStyle name="Note 4 5 2 4" xfId="12059" xr:uid="{43088237-7902-44F7-87A9-F041AA1AB3BA}"/>
    <cellStyle name="Note 4 5 2 4 2" xfId="34617" xr:uid="{4C75B4E4-D31D-448E-8EE8-0EF74D22FF24}"/>
    <cellStyle name="Note 4 5 2 5" xfId="15916" xr:uid="{62F004B8-57A2-4A48-AEA1-2572B60A784D}"/>
    <cellStyle name="Note 4 5 2 5 2" xfId="37507" xr:uid="{015D1B9A-B6C8-4D6C-9D57-076C6A1AF161}"/>
    <cellStyle name="Note 4 5 2 6" xfId="13001" xr:uid="{ED7C281D-5E55-42D6-82D9-6A2D59F88718}"/>
    <cellStyle name="Note 4 5 2 6 2" xfId="35349" xr:uid="{55E73F99-76E5-4815-A91E-8A4780814C60}"/>
    <cellStyle name="Note 4 5 2 7" xfId="8450" xr:uid="{06BCEB1F-0218-4189-B634-163F56DD1DE6}"/>
    <cellStyle name="Note 4 5 2 7 2" xfId="32637" xr:uid="{A5B80898-79C5-4A44-A965-FA256A3A7866}"/>
    <cellStyle name="Note 4 5 2 8" xfId="14852" xr:uid="{2E6362AC-B83F-4A68-94DF-5A7FE4428911}"/>
    <cellStyle name="Note 4 5 2 8 2" xfId="36727" xr:uid="{0043319D-ABD7-44E5-A45E-59269A8D7E0F}"/>
    <cellStyle name="Note 4 5 2 9" xfId="7070" xr:uid="{66EF823E-F534-41AB-A43A-5B62A4348149}"/>
    <cellStyle name="Note 4 5 2 9 2" xfId="31437" xr:uid="{2807DD2D-5C80-4A48-A9AE-3526DC090690}"/>
    <cellStyle name="Note 4 5 20" xfId="24708" xr:uid="{A0EA24E2-ACA6-475A-B213-C52861BDA085}"/>
    <cellStyle name="Note 4 5 20 2" xfId="43853" xr:uid="{530F53A8-536E-409A-B274-E1B1FD8DEC4E}"/>
    <cellStyle name="Note 4 5 21" xfId="23326" xr:uid="{3EBB9FC2-B2A3-443B-AD4B-897FB1DB74F9}"/>
    <cellStyle name="Note 4 5 21 2" xfId="42898" xr:uid="{664C2672-A0DC-4FB7-AEB5-7FB10ABC39B0}"/>
    <cellStyle name="Note 4 5 22" xfId="24216" xr:uid="{F11E195B-3AD3-4291-A5F1-9B99682E5112}"/>
    <cellStyle name="Note 4 5 22 2" xfId="43536" xr:uid="{2FDD1CDA-3D96-4649-9FDD-12B1D315FF31}"/>
    <cellStyle name="Note 4 5 23" xfId="28931" xr:uid="{8E2C9E1B-5017-449C-9141-3E639627AC43}"/>
    <cellStyle name="Note 4 5 23 2" xfId="46527" xr:uid="{67BA94B2-6E36-4DD1-87A0-C1214CE93631}"/>
    <cellStyle name="Note 4 5 24" xfId="28785" xr:uid="{FC3DE957-6FB1-40C6-9805-151C1E79B59D}"/>
    <cellStyle name="Note 4 5 24 2" xfId="46460" xr:uid="{14FCE5DE-66F5-450E-83E0-A20E213BD9DC}"/>
    <cellStyle name="Note 4 5 25" xfId="26312" xr:uid="{003494BF-523A-49C0-A9D0-8658B7A24EFA}"/>
    <cellStyle name="Note 4 5 25 2" xfId="45002" xr:uid="{AD402DB5-E06B-402E-983A-487F4C1DF79F}"/>
    <cellStyle name="Note 4 5 26" xfId="25572" xr:uid="{D36E13D3-4A5D-4B3B-AC05-005114F78814}"/>
    <cellStyle name="Note 4 5 26 2" xfId="44440" xr:uid="{8A48C326-05DA-4FD8-86AB-8E5AE4E0A33F}"/>
    <cellStyle name="Note 4 5 27" xfId="27409" xr:uid="{BCC6FB2B-4457-47A6-B04C-85F16E94587E}"/>
    <cellStyle name="Note 4 5 27 2" xfId="45664" xr:uid="{47F018D8-A5FD-4F73-BDA2-9317DEB32E78}"/>
    <cellStyle name="Note 4 5 28" xfId="29210" xr:uid="{41157599-B0A9-4813-94E7-BE113D929494}"/>
    <cellStyle name="Note 4 5 28 2" xfId="46736" xr:uid="{1DAC3E73-9277-4C56-AA73-AF1883AEADD9}"/>
    <cellStyle name="Note 4 5 29" xfId="6538" xr:uid="{D832FD37-AB34-4CDB-A91A-DFC0CA621000}"/>
    <cellStyle name="Note 4 5 3" xfId="7996" xr:uid="{EBE5CDEF-E19D-40EB-B79E-E68D45332205}"/>
    <cellStyle name="Note 4 5 3 2" xfId="32242" xr:uid="{F79D2B46-A98E-4DAF-BE92-8889DAAD9E18}"/>
    <cellStyle name="Note 4 5 4" xfId="9393" xr:uid="{F557D895-9609-4491-86BD-2377F768F419}"/>
    <cellStyle name="Note 4 5 4 2" xfId="33376" xr:uid="{40EC477A-B3FE-410C-BD47-A7EFF1E63534}"/>
    <cellStyle name="Note 4 5 5" xfId="7650" xr:uid="{AEE6EC3E-4FD4-46BD-AF91-1E595BD4AAE3}"/>
    <cellStyle name="Note 4 5 5 2" xfId="31949" xr:uid="{9D3A7D7D-9305-42AF-89A4-ED75E38F210B}"/>
    <cellStyle name="Note 4 5 6" xfId="15900" xr:uid="{B5D01256-5F46-43FC-BD9E-4284E1DA4AC3}"/>
    <cellStyle name="Note 4 5 6 2" xfId="37491" xr:uid="{DA741621-9D2F-46C6-BAE8-67CB0FD3FD7B}"/>
    <cellStyle name="Note 4 5 7" xfId="10469" xr:uid="{D0D4F3FE-DA1F-4D97-9CE5-A6915586C490}"/>
    <cellStyle name="Note 4 5 7 2" xfId="34104" xr:uid="{BD5D5F21-8095-482B-B888-408EEE26F77A}"/>
    <cellStyle name="Note 4 5 8" xfId="8451" xr:uid="{7C1AFF12-434F-4568-9473-C4D86EB8803D}"/>
    <cellStyle name="Note 4 5 8 2" xfId="32638" xr:uid="{4A65C5C7-6D1B-4A19-8F7C-384361B86943}"/>
    <cellStyle name="Note 4 5 9" xfId="15965" xr:uid="{A87C9746-EE98-4088-A728-16D9485F707D}"/>
    <cellStyle name="Note 4 5 9 2" xfId="37556" xr:uid="{9AB51831-E308-423A-9DA4-625465ED0F67}"/>
    <cellStyle name="Note 4 6" xfId="3021" xr:uid="{65983D66-8AE7-48D2-96AD-5DD3177575AF}"/>
    <cellStyle name="Note 4 6 10" xfId="7069" xr:uid="{CACEBCFF-2003-4649-B775-3C498844D5AE}"/>
    <cellStyle name="Note 4 6 10 2" xfId="31436" xr:uid="{C5209ADA-8143-43EB-9351-84B364296FBC}"/>
    <cellStyle name="Note 4 6 11" xfId="12330" xr:uid="{CE71F2B2-764C-4338-83B5-8829569C659D}"/>
    <cellStyle name="Note 4 6 11 2" xfId="34834" xr:uid="{EA7960B1-33DF-485B-AD98-0A5DACD7BC25}"/>
    <cellStyle name="Note 4 6 12" xfId="14009" xr:uid="{74AB8793-19F5-491E-890D-164EAB5F01A8}"/>
    <cellStyle name="Note 4 6 12 2" xfId="36103" xr:uid="{6423D3B0-36D6-4874-9CBA-5BD415348DB0}"/>
    <cellStyle name="Note 4 6 13" xfId="14462" xr:uid="{09815930-A957-46C8-84F2-515103937F6A}"/>
    <cellStyle name="Note 4 6 13 2" xfId="36451" xr:uid="{B18CD9C7-97AF-4BFB-8D5D-07E25F0D89E9}"/>
    <cellStyle name="Note 4 6 14" xfId="22447" xr:uid="{B291279D-9496-40F9-ACEA-47BA7406651E}"/>
    <cellStyle name="Note 4 6 14 2" xfId="42250" xr:uid="{034D25F6-8427-4CCC-BB27-C9A2BFCE9A77}"/>
    <cellStyle name="Note 4 6 15" xfId="21602" xr:uid="{58046D3F-A924-484A-AAD9-F147705C7431}"/>
    <cellStyle name="Note 4 6 15 2" xfId="41686" xr:uid="{1606AEE6-133A-4DD6-974F-133127A9DF75}"/>
    <cellStyle name="Note 4 6 16" xfId="13264" xr:uid="{4FCB68BF-5D1A-4174-9515-DDF39A995ADB}"/>
    <cellStyle name="Note 4 6 16 2" xfId="35589" xr:uid="{2D0B10D1-5955-49B0-8AB4-2472544429E3}"/>
    <cellStyle name="Note 4 6 17" xfId="16982" xr:uid="{1CD473AB-8416-46AB-9E5D-E19204AD5F60}"/>
    <cellStyle name="Note 4 6 17 2" xfId="38342" xr:uid="{41F10F5F-59C4-4BCB-9ED4-F207770109B3}"/>
    <cellStyle name="Note 4 6 18" xfId="18296" xr:uid="{914E8673-506D-4CE2-AE91-7AE05DB7F4AF}"/>
    <cellStyle name="Note 4 6 18 2" xfId="39327" xr:uid="{9EDE5C8A-BF32-4C28-81F3-6854225DE475}"/>
    <cellStyle name="Note 4 6 19" xfId="17121" xr:uid="{A4DBB0FD-BBCC-4376-A8C1-803F9D43D299}"/>
    <cellStyle name="Note 4 6 19 2" xfId="38460" xr:uid="{90AF90B9-AD94-44C8-A879-92BAFBF6C91C}"/>
    <cellStyle name="Note 4 6 2" xfId="3022" xr:uid="{918C08FE-AA75-4D56-B0F3-18B49CF206FC}"/>
    <cellStyle name="Note 4 6 2 10" xfId="15528" xr:uid="{1257345B-B1B1-4060-A565-5D62433AF496}"/>
    <cellStyle name="Note 4 6 2 10 2" xfId="37193" xr:uid="{8206AC98-F80D-4562-8E2E-EC91BFAADA48}"/>
    <cellStyle name="Note 4 6 2 11" xfId="16499" xr:uid="{BAC9D589-AD26-40AD-A893-038652CA9A41}"/>
    <cellStyle name="Note 4 6 2 11 2" xfId="37992" xr:uid="{E8DBD598-E383-43B6-A8F4-B8FF3E17A42E}"/>
    <cellStyle name="Note 4 6 2 12" xfId="17451" xr:uid="{2041107B-A768-4DEA-A5EB-661E25BAE264}"/>
    <cellStyle name="Note 4 6 2 12 2" xfId="38698" xr:uid="{093FE9BD-5CDF-40FB-AA81-7EB472C17CD3}"/>
    <cellStyle name="Note 4 6 2 13" xfId="22466" xr:uid="{4256D248-B6FE-404C-A413-C276A94817BB}"/>
    <cellStyle name="Note 4 6 2 13 2" xfId="42265" xr:uid="{F1EB6795-FC17-480C-9A52-EA7F97B77957}"/>
    <cellStyle name="Note 4 6 2 14" xfId="17940" xr:uid="{22AE52AF-A1C2-4965-BD48-AB15BF601B8A}"/>
    <cellStyle name="Note 4 6 2 14 2" xfId="39038" xr:uid="{1D1980BD-9FEC-4A03-A20A-1046D4FBFFAD}"/>
    <cellStyle name="Note 4 6 2 15" xfId="10189" xr:uid="{5BE30F6C-A081-4B8A-A47B-DD3557F35D54}"/>
    <cellStyle name="Note 4 6 2 15 2" xfId="33843" xr:uid="{9B3ECC11-136C-4440-AF88-4C456700FF0F}"/>
    <cellStyle name="Note 4 6 2 16" xfId="21395" xr:uid="{41370CB9-D04C-444D-AFD4-87F213E157B4}"/>
    <cellStyle name="Note 4 6 2 16 2" xfId="41524" xr:uid="{460C1E32-483F-4493-B0BF-A8188A121708}"/>
    <cellStyle name="Note 4 6 2 17" xfId="17846" xr:uid="{B97260C4-68DA-4518-9C30-F34C05F5B487}"/>
    <cellStyle name="Note 4 6 2 17 2" xfId="38962" xr:uid="{60B36398-EEF5-47C9-BA55-83790689EEF1}"/>
    <cellStyle name="Note 4 6 2 18" xfId="19042" xr:uid="{E57FF1B0-956F-44EB-AB0C-51FA0A554688}"/>
    <cellStyle name="Note 4 6 2 18 2" xfId="39874" xr:uid="{887FEDE4-BBCC-492D-AF86-CF1730EE5489}"/>
    <cellStyle name="Note 4 6 2 19" xfId="24690" xr:uid="{ED0D2833-EF02-4AAA-99DD-4F60D00283BF}"/>
    <cellStyle name="Note 4 6 2 19 2" xfId="43835" xr:uid="{EF9C4F81-C9BB-4234-9614-5CCD93174CA4}"/>
    <cellStyle name="Note 4 6 2 2" xfId="7992" xr:uid="{3390FEDE-BC6D-4A3C-AB5D-C0CFB63BDEF8}"/>
    <cellStyle name="Note 4 6 2 2 2" xfId="32239" xr:uid="{F0A629CB-1B4E-4E00-A9AD-433F61E96098}"/>
    <cellStyle name="Note 4 6 2 20" xfId="25916" xr:uid="{6A8D7608-62DC-416B-BE50-6612DAF6016B}"/>
    <cellStyle name="Note 4 6 2 20 2" xfId="44720" xr:uid="{2D453C65-F0A9-479E-9087-C0CDB84C15D2}"/>
    <cellStyle name="Note 4 6 2 21" xfId="25351" xr:uid="{1FE5DE92-6BB3-4B24-9355-4E0AFC4762C6}"/>
    <cellStyle name="Note 4 6 2 21 2" xfId="44267" xr:uid="{149C2E9D-0B05-42D6-9947-1D9CDB95ED92}"/>
    <cellStyle name="Note 4 6 2 22" xfId="28941" xr:uid="{9A98C222-1EDE-4D17-A1C9-A4526FD273A1}"/>
    <cellStyle name="Note 4 6 2 22 2" xfId="46537" xr:uid="{24A6FA64-CED0-44C8-A72D-A29B21827C5C}"/>
    <cellStyle name="Note 4 6 2 23" xfId="26104" xr:uid="{717CE206-4358-4651-8378-44A32E1BF5A2}"/>
    <cellStyle name="Note 4 6 2 23 2" xfId="44847" xr:uid="{1BD986DC-BF4C-4D37-99B6-0BB183BB2C52}"/>
    <cellStyle name="Note 4 6 2 24" xfId="22228" xr:uid="{174F3951-125B-4836-8A9F-7F584B240766}"/>
    <cellStyle name="Note 4 6 2 24 2" xfId="42107" xr:uid="{342FCD93-8EFE-4AA5-9F73-5F8B2AABBF9F}"/>
    <cellStyle name="Note 4 6 2 25" xfId="27886" xr:uid="{663CE6D3-9FA9-4009-ADB6-68ABDB5C0ED4}"/>
    <cellStyle name="Note 4 6 2 25 2" xfId="45958" xr:uid="{60366511-2DF8-4E70-B83D-EAFC4C1E448E}"/>
    <cellStyle name="Note 4 6 2 26" xfId="29968" xr:uid="{ACCD9E73-C317-4AC3-A0A6-A73B02B49D3A}"/>
    <cellStyle name="Note 4 6 2 26 2" xfId="47224" xr:uid="{E08A3C60-E36C-4E6D-A2F0-E98FFDECB0CB}"/>
    <cellStyle name="Note 4 6 2 27" xfId="26000" xr:uid="{10A7D63F-4AF0-4FAB-9648-57B191B36BEF}"/>
    <cellStyle name="Note 4 6 2 27 2" xfId="44778" xr:uid="{DE974C45-DD87-40D3-A90C-163BBF4738FD}"/>
    <cellStyle name="Note 4 6 2 28" xfId="6541" xr:uid="{3F1E8713-8A6D-41CF-B637-B26B5090F03F}"/>
    <cellStyle name="Note 4 6 2 3" xfId="9395" xr:uid="{477ED4BA-06C8-4F19-AA10-5B6DC842A1A2}"/>
    <cellStyle name="Note 4 6 2 3 2" xfId="33378" xr:uid="{63B13238-72C1-4263-B5FC-27AF008DBA37}"/>
    <cellStyle name="Note 4 6 2 4" xfId="12058" xr:uid="{039CAD11-0F79-42EF-B982-AD6C374B4B41}"/>
    <cellStyle name="Note 4 6 2 4 2" xfId="34616" xr:uid="{0166875D-19CF-4A28-BE84-2203DBB70F16}"/>
    <cellStyle name="Note 4 6 2 5" xfId="15918" xr:uid="{CD6C548A-984A-4D8B-A92F-ECB68A4CD6E3}"/>
    <cellStyle name="Note 4 6 2 5 2" xfId="37509" xr:uid="{418158C2-7F06-4208-8493-04EF2F5E7862}"/>
    <cellStyle name="Note 4 6 2 6" xfId="10471" xr:uid="{ECB744BB-E1BF-4205-BBBD-1B50FC828A75}"/>
    <cellStyle name="Note 4 6 2 6 2" xfId="34106" xr:uid="{B0D7943D-1AF5-4420-8AD9-2602445EBDF8}"/>
    <cellStyle name="Note 4 6 2 7" xfId="8448" xr:uid="{F0F100DA-9C39-46B5-B99D-F6246513E2AA}"/>
    <cellStyle name="Note 4 6 2 7 2" xfId="32635" xr:uid="{64BD8825-9217-46C3-A872-22215A2D2084}"/>
    <cellStyle name="Note 4 6 2 8" xfId="12905" xr:uid="{261C0044-68EF-4DDC-9ABA-103A3EE5DDBB}"/>
    <cellStyle name="Note 4 6 2 8 2" xfId="35261" xr:uid="{08DCB16B-9320-4338-B9A0-11C86E1F0D4E}"/>
    <cellStyle name="Note 4 6 2 9" xfId="7068" xr:uid="{87B2BBB6-8025-424C-B192-F6C7752708AE}"/>
    <cellStyle name="Note 4 6 2 9 2" xfId="31435" xr:uid="{8C42CB41-B753-42FF-A342-106E10A46376}"/>
    <cellStyle name="Note 4 6 20" xfId="22330" xr:uid="{8AD53A32-4B90-4BDB-8F1B-E59DAEBFA96A}"/>
    <cellStyle name="Note 4 6 20 2" xfId="42185" xr:uid="{0FB1DE2C-F92E-44AA-8611-570B5D223EDE}"/>
    <cellStyle name="Note 4 6 21" xfId="15218" xr:uid="{E94D0876-98D5-4534-9BA1-DB18AFDC5C6F}"/>
    <cellStyle name="Note 4 6 21 2" xfId="36986" xr:uid="{754E45BD-6E81-4CF7-A5D5-A644EB26ED79}"/>
    <cellStyle name="Note 4 6 22" xfId="24510" xr:uid="{BB3A6AC2-88D3-4A94-B35E-AEB1513F5C87}"/>
    <cellStyle name="Note 4 6 22 2" xfId="43693" xr:uid="{B275BD00-9D73-4BD3-8471-4B7399471705}"/>
    <cellStyle name="Note 4 6 23" xfId="29413" xr:uid="{882917D1-7A09-41DF-9089-7342A6174F46}"/>
    <cellStyle name="Note 4 6 23 2" xfId="46874" xr:uid="{0812735C-31A6-4542-91E2-753EE983407B}"/>
    <cellStyle name="Note 4 6 24" xfId="28594" xr:uid="{565FF8A7-543B-4DE3-B869-B2DC858B7F84}"/>
    <cellStyle name="Note 4 6 24 2" xfId="46328" xr:uid="{310E56E4-3940-4518-96BD-1E95CFE2412D}"/>
    <cellStyle name="Note 4 6 25" xfId="26311" xr:uid="{FBC2C0B9-DDB9-4122-98E8-FC96BCF4AD8A}"/>
    <cellStyle name="Note 4 6 25 2" xfId="45001" xr:uid="{4D4E39FF-54E2-40F8-A49D-54647805D9EA}"/>
    <cellStyle name="Note 4 6 26" xfId="27887" xr:uid="{6D1E10BF-962B-4B47-9C69-B79D3E16102D}"/>
    <cellStyle name="Note 4 6 26 2" xfId="45959" xr:uid="{047148FC-7B9A-4CEC-83E9-9A8A8774DF70}"/>
    <cellStyle name="Note 4 6 27" xfId="29971" xr:uid="{C7B19E7A-DF91-4D6F-82C9-5B34A96C4014}"/>
    <cellStyle name="Note 4 6 27 2" xfId="47227" xr:uid="{7A12C2FF-89E4-4840-B79C-DC93FD429A45}"/>
    <cellStyle name="Note 4 6 28" xfId="29994" xr:uid="{4CDC0604-35FC-4A83-BBE6-826FE5FA63B3}"/>
    <cellStyle name="Note 4 6 28 2" xfId="47236" xr:uid="{700888AF-E839-4AE1-9D6C-50CDEC3ACD67}"/>
    <cellStyle name="Note 4 6 29" xfId="6540" xr:uid="{7835BFA2-55BC-49E8-A920-726F219C4A84}"/>
    <cellStyle name="Note 4 6 3" xfId="7993" xr:uid="{06D08D0A-A50D-4CFA-B724-0554FB2B17F7}"/>
    <cellStyle name="Note 4 6 3 2" xfId="32240" xr:uid="{1BA7691B-6035-4321-AA1D-67D61959786D}"/>
    <cellStyle name="Note 4 6 4" xfId="13356" xr:uid="{1B67EC1E-7682-4675-BA4F-77B315E72C06}"/>
    <cellStyle name="Note 4 6 4 2" xfId="35663" xr:uid="{702C2399-325E-446D-B5CF-7A540CC99A90}"/>
    <cellStyle name="Note 4 6 5" xfId="7649" xr:uid="{1E67AB88-41E3-4983-AAE2-6D7317307DA8}"/>
    <cellStyle name="Note 4 6 5 2" xfId="31948" xr:uid="{290E5340-88BB-4FAE-B602-9183774D150B}"/>
    <cellStyle name="Note 4 6 6" xfId="15901" xr:uid="{40B64012-ADA2-4C45-8544-6E9B74A86046}"/>
    <cellStyle name="Note 4 6 6 2" xfId="37492" xr:uid="{26AA7216-CC32-4B06-A2FC-EAD86ACB9DAC}"/>
    <cellStyle name="Note 4 6 7" xfId="13000" xr:uid="{1E492118-CC17-4F10-920D-018108D41948}"/>
    <cellStyle name="Note 4 6 7 2" xfId="35348" xr:uid="{8C3A32B6-E9EB-49D2-92D4-5FE381BD61EA}"/>
    <cellStyle name="Note 4 6 8" xfId="8449" xr:uid="{779F29C6-ECC4-4492-954B-7F6162EBCC23}"/>
    <cellStyle name="Note 4 6 8 2" xfId="32636" xr:uid="{AA5F91DA-8A85-4450-A221-80BA9804E933}"/>
    <cellStyle name="Note 4 6 9" xfId="15966" xr:uid="{ECECE033-8CC0-4012-A2DC-1C6A2B1678F5}"/>
    <cellStyle name="Note 4 6 9 2" xfId="37557" xr:uid="{B20A947E-9131-4F8B-8338-5CAD9C659CCD}"/>
    <cellStyle name="Note 4 7" xfId="3023" xr:uid="{EEB21F7D-B79F-434D-A1D7-E93048C02098}"/>
    <cellStyle name="Note 4 7 10" xfId="15435" xr:uid="{3F1A491F-27D7-403B-8025-A39FD42FB194}"/>
    <cellStyle name="Note 4 7 10 2" xfId="37117" xr:uid="{78B5CB53-32FC-46F5-83F6-3BCF2F860D31}"/>
    <cellStyle name="Note 4 7 11" xfId="14633" xr:uid="{9261E693-74D4-4ABF-ADA5-EE31B43993EC}"/>
    <cellStyle name="Note 4 7 11 2" xfId="36545" xr:uid="{5FA4C4A6-F593-457B-8815-BE8CC8379066}"/>
    <cellStyle name="Note 4 7 12" xfId="15897" xr:uid="{5EAA775D-97A2-44AE-9F5F-27996A496F28}"/>
    <cellStyle name="Note 4 7 12 2" xfId="37488" xr:uid="{9DEE0A0C-CEAE-495D-95D5-804F74A7EECE}"/>
    <cellStyle name="Note 4 7 13" xfId="12697" xr:uid="{09CA2E8B-E05A-4905-B460-8B2061FF30CD}"/>
    <cellStyle name="Note 4 7 13 2" xfId="35111" xr:uid="{A339F1C2-C860-42A0-81EE-78C3DBA526B1}"/>
    <cellStyle name="Note 4 7 14" xfId="15456" xr:uid="{084A3A73-A537-4D2E-8A86-90A763436578}"/>
    <cellStyle name="Note 4 7 14 2" xfId="37125" xr:uid="{9D02D0F2-72FF-4AF3-AC72-67C1E22D49DD}"/>
    <cellStyle name="Note 4 7 15" xfId="21601" xr:uid="{FDF64AB2-7585-4813-B02E-9E7CAAB4E24B}"/>
    <cellStyle name="Note 4 7 15 2" xfId="41685" xr:uid="{25966AA5-9E7D-48D6-891D-DFEF49E701C4}"/>
    <cellStyle name="Note 4 7 16" xfId="13263" xr:uid="{ECE2853C-B120-4BB4-9D8D-1B23DA78000F}"/>
    <cellStyle name="Note 4 7 16 2" xfId="35588" xr:uid="{FD22F0A2-7EF6-4586-97C8-E812D41FDEC1}"/>
    <cellStyle name="Note 4 7 17" xfId="22524" xr:uid="{83BE07BF-DFA1-4E08-B57B-D4554314212F}"/>
    <cellStyle name="Note 4 7 17 2" xfId="42323" xr:uid="{F91D83ED-5BB2-4355-A9F7-FF0F1D903444}"/>
    <cellStyle name="Note 4 7 18" xfId="15807" xr:uid="{A4FA4393-58C2-4E56-9CAA-DF7D465D778F}"/>
    <cellStyle name="Note 4 7 18 2" xfId="37422" xr:uid="{114C94C9-57C6-4E49-B89D-AABC5E657733}"/>
    <cellStyle name="Note 4 7 19" xfId="15331" xr:uid="{5C00F06C-15D0-4DB5-A026-DD830521FC2B}"/>
    <cellStyle name="Note 4 7 19 2" xfId="37031" xr:uid="{3A2667AE-FA57-4783-A8FF-259938D2381C}"/>
    <cellStyle name="Note 4 7 2" xfId="3024" xr:uid="{E7488D72-DCB5-4328-85CB-2976A9981E49}"/>
    <cellStyle name="Note 4 7 2 10" xfId="12744" xr:uid="{21E4C66B-B486-4A23-9110-0F6359E6B7B3}"/>
    <cellStyle name="Note 4 7 2 10 2" xfId="35153" xr:uid="{81CE2AFB-4589-4BB2-8DA6-E25A8CAF7A96}"/>
    <cellStyle name="Note 4 7 2 11" xfId="12557" xr:uid="{320541E0-7796-4A43-897A-CDE4DB46C24C}"/>
    <cellStyle name="Note 4 7 2 11 2" xfId="35001" xr:uid="{8C895C0C-27F5-4523-8C6B-A1F848C1BBB8}"/>
    <cellStyle name="Note 4 7 2 12" xfId="17450" xr:uid="{683CA4A0-D405-44E8-A334-43D57918173B}"/>
    <cellStyle name="Note 4 7 2 12 2" xfId="38697" xr:uid="{D03A9132-8DCF-4157-98AB-7A0EC79F76F2}"/>
    <cellStyle name="Note 4 7 2 13" xfId="9890" xr:uid="{6211FACE-DDD1-403E-A539-70040D2F1441}"/>
    <cellStyle name="Note 4 7 2 13 2" xfId="33636" xr:uid="{86A38A7A-AED5-4E41-B3BA-523963B29542}"/>
    <cellStyle name="Note 4 7 2 14" xfId="19708" xr:uid="{96C93440-AD75-4465-B238-D118F6C6DE0F}"/>
    <cellStyle name="Note 4 7 2 14 2" xfId="40325" xr:uid="{C3DF62CF-E58A-429A-B864-7EAB4E8B4448}"/>
    <cellStyle name="Note 4 7 2 15" xfId="16726" xr:uid="{B9112232-39E0-4B3C-8F8A-475F9DB93669}"/>
    <cellStyle name="Note 4 7 2 15 2" xfId="38213" xr:uid="{C3FDF3D4-F8D2-4475-8CAB-0664FE1A0910}"/>
    <cellStyle name="Note 4 7 2 16" xfId="20894" xr:uid="{FD7029BF-7D1D-4526-ACC7-25EFE483D05F}"/>
    <cellStyle name="Note 4 7 2 16 2" xfId="41202" xr:uid="{EB416EA2-83F0-4EC2-ACFE-A9BC7A537EC7}"/>
    <cellStyle name="Note 4 7 2 17" xfId="22010" xr:uid="{57A9694D-268F-4E86-8A47-D9241861AD55}"/>
    <cellStyle name="Note 4 7 2 17 2" xfId="41905" xr:uid="{97C0AD19-78DE-4A42-9714-B0A4F441CE6C}"/>
    <cellStyle name="Note 4 7 2 18" xfId="19043" xr:uid="{9CF8CD89-5DE6-4576-9D2F-39ECA48B4934}"/>
    <cellStyle name="Note 4 7 2 18 2" xfId="39875" xr:uid="{0EC821A1-73DD-4B5B-BD02-8CB0A8F88ED7}"/>
    <cellStyle name="Note 4 7 2 19" xfId="22862" xr:uid="{10F0B1BD-B9BE-4AE2-BE56-4694C8FFBC8C}"/>
    <cellStyle name="Note 4 7 2 19 2" xfId="42580" xr:uid="{D0B7A329-E58E-42DA-BC92-510050E16878}"/>
    <cellStyle name="Note 4 7 2 2" xfId="7990" xr:uid="{FD016B0E-703F-4B4A-8B20-8C50A536F355}"/>
    <cellStyle name="Note 4 7 2 2 2" xfId="32237" xr:uid="{041B6D6D-3E60-46A2-9B34-425A6B42DC61}"/>
    <cellStyle name="Note 4 7 2 20" xfId="13929" xr:uid="{59BF5A13-E3FF-4FDA-BCD9-44FC950C40F2}"/>
    <cellStyle name="Note 4 7 2 20 2" xfId="36040" xr:uid="{32A63B11-1F2C-48C1-8401-92AE1E715E3E}"/>
    <cellStyle name="Note 4 7 2 21" xfId="20363" xr:uid="{5CE8404A-1339-4038-8B34-D6736C835298}"/>
    <cellStyle name="Note 4 7 2 21 2" xfId="40790" xr:uid="{5E9CA433-99E0-410B-B528-8AA0E16228D8}"/>
    <cellStyle name="Note 4 7 2 22" xfId="20512" xr:uid="{950421F9-6AF8-4986-894B-F7B7DF47FCFF}"/>
    <cellStyle name="Note 4 7 2 22 2" xfId="40892" xr:uid="{16E4E338-4FBB-4362-BE40-7AB01646B13C}"/>
    <cellStyle name="Note 4 7 2 23" xfId="27006" xr:uid="{516A70EA-E9F1-4B67-A2DC-F8DE0626DC49}"/>
    <cellStyle name="Note 4 7 2 23 2" xfId="45412" xr:uid="{A211912F-26BB-4A09-8A3B-01E473E3E14C}"/>
    <cellStyle name="Note 4 7 2 24" xfId="26750" xr:uid="{9E3FDA58-253F-404A-BE2D-9722D362C550}"/>
    <cellStyle name="Note 4 7 2 24 2" xfId="45265" xr:uid="{F95FBDA2-FC03-462B-A6B9-18AFD22161F4}"/>
    <cellStyle name="Note 4 7 2 25" xfId="23731" xr:uid="{22016379-880D-46FE-81C2-DF516A3054A2}"/>
    <cellStyle name="Note 4 7 2 25 2" xfId="43147" xr:uid="{646D9DB5-CAB8-47B6-93C8-C2A20A6537CA}"/>
    <cellStyle name="Note 4 7 2 26" xfId="27413" xr:uid="{74BF8D56-091C-44D5-917A-796717C8985D}"/>
    <cellStyle name="Note 4 7 2 26 2" xfId="45668" xr:uid="{A0CBF28D-02C5-4DE3-99AB-974C0ADBDF7D}"/>
    <cellStyle name="Note 4 7 2 27" xfId="27508" xr:uid="{288B4F19-0975-4CDE-AF46-FB11392783F5}"/>
    <cellStyle name="Note 4 7 2 27 2" xfId="45702" xr:uid="{E450E10A-9A08-4167-AC63-AFD28CA9F401}"/>
    <cellStyle name="Note 4 7 2 28" xfId="6543" xr:uid="{3B94EED8-407D-4CBA-AB8E-D202D5441E9B}"/>
    <cellStyle name="Note 4 7 2 3" xfId="13622" xr:uid="{4030DE59-569F-421F-92E6-B15DD2DBCFEA}"/>
    <cellStyle name="Note 4 7 2 3 2" xfId="35787" xr:uid="{1BC63EA4-1B4B-4459-870B-BD9DDB0D1DA4}"/>
    <cellStyle name="Note 4 7 2 4" xfId="12057" xr:uid="{97F8F9C0-AB56-4547-A59C-86D55EE66C0B}"/>
    <cellStyle name="Note 4 7 2 4 2" xfId="34615" xr:uid="{B95CC0D0-9A5C-474E-BD5F-C424C3643982}"/>
    <cellStyle name="Note 4 7 2 5" xfId="8771" xr:uid="{5B3268D4-5002-4DEB-9B8E-F45CAB4306F4}"/>
    <cellStyle name="Note 4 7 2 5 2" xfId="32900" xr:uid="{30237FC5-14DA-460A-8F8C-DCC65AD0B37A}"/>
    <cellStyle name="Note 4 7 2 6" xfId="10472" xr:uid="{27084D1D-1E10-4B3F-A20C-1FD93BE06780}"/>
    <cellStyle name="Note 4 7 2 6 2" xfId="34107" xr:uid="{68BAE65E-FC9F-406A-AEA1-D602D5AE44CD}"/>
    <cellStyle name="Note 4 7 2 7" xfId="8446" xr:uid="{10D9FFB3-29E3-4890-845A-2DE1E6F1658D}"/>
    <cellStyle name="Note 4 7 2 7 2" xfId="32633" xr:uid="{1DFA6DA4-34C8-4052-983B-4D69638F7ACA}"/>
    <cellStyle name="Note 4 7 2 8" xfId="10579" xr:uid="{18294849-BAC8-42A7-9C8C-636C6ABE4BC8}"/>
    <cellStyle name="Note 4 7 2 8 2" xfId="34205" xr:uid="{8B3D1E07-9F18-4CBC-B651-50BE7656FB31}"/>
    <cellStyle name="Note 4 7 2 9" xfId="7067" xr:uid="{F652FBE3-3AF8-44C8-BB7B-536259DD3D92}"/>
    <cellStyle name="Note 4 7 2 9 2" xfId="31434" xr:uid="{FA44A118-503A-4FCC-8D50-ECBCF5BB1B25}"/>
    <cellStyle name="Note 4 7 20" xfId="24707" xr:uid="{CF98AEC0-7C7E-403A-B057-E9570A724187}"/>
    <cellStyle name="Note 4 7 20 2" xfId="43852" xr:uid="{DB43182F-B2B4-494E-B478-776DE62CDF21}"/>
    <cellStyle name="Note 4 7 21" xfId="19936" xr:uid="{A69D8D15-6E7B-4430-B711-824B5D08E821}"/>
    <cellStyle name="Note 4 7 21 2" xfId="40546" xr:uid="{2C5B3D06-0A46-4AD4-8C05-09D342CDCB9E}"/>
    <cellStyle name="Note 4 7 22" xfId="22693" xr:uid="{C33AC9FE-F824-49EB-A254-7546657C4629}"/>
    <cellStyle name="Note 4 7 22 2" xfId="42454" xr:uid="{C4895DB8-7D9B-4A4F-970F-EE6CDA55A887}"/>
    <cellStyle name="Note 4 7 23" xfId="23236" xr:uid="{9858E51D-A254-4087-B21E-5AEF8E568FDE}"/>
    <cellStyle name="Note 4 7 23 2" xfId="42812" xr:uid="{3B3ADFE8-B7D0-4F5A-A9EA-7171FB6D5460}"/>
    <cellStyle name="Note 4 7 24" xfId="29513" xr:uid="{F427EC62-9BD4-43C7-90D3-3DE1BB6B7B28}"/>
    <cellStyle name="Note 4 7 24 2" xfId="46922" xr:uid="{AE4DA34B-C9DA-45B3-83FB-9E5A863E2904}"/>
    <cellStyle name="Note 4 7 25" xfId="26310" xr:uid="{5E7E9B91-5DF7-4131-9D4B-BAC6BD016D9E}"/>
    <cellStyle name="Note 4 7 25 2" xfId="45000" xr:uid="{3F93EF35-1BAF-4FE9-B9CC-34C0C00CEEDA}"/>
    <cellStyle name="Note 4 7 26" xfId="25953" xr:uid="{5657FA6A-6A6D-4FEB-AFBE-4019063E9A3D}"/>
    <cellStyle name="Note 4 7 26 2" xfId="44744" xr:uid="{AE253910-1196-46EA-BCA9-AE63A31BD32A}"/>
    <cellStyle name="Note 4 7 27" xfId="22416" xr:uid="{6CC04292-8997-4A0A-8611-6E60CCD91379}"/>
    <cellStyle name="Note 4 7 27 2" xfId="42230" xr:uid="{B091E430-2D35-4F73-83B3-54FFC7185B00}"/>
    <cellStyle name="Note 4 7 28" xfId="29597" xr:uid="{AAB21ECE-554F-483F-A368-93DF8782F72D}"/>
    <cellStyle name="Note 4 7 28 2" xfId="46992" xr:uid="{1248ABAE-F005-4D99-BC73-E672086B37C6}"/>
    <cellStyle name="Note 4 7 29" xfId="6542" xr:uid="{87DC413C-299D-4DC9-AF1E-4E61F5CB06D1}"/>
    <cellStyle name="Note 4 7 3" xfId="7991" xr:uid="{B384AD90-F1F3-4F8C-9FFF-660EECF876C8}"/>
    <cellStyle name="Note 4 7 3 2" xfId="32238" xr:uid="{100A16C0-CC07-4610-8301-B0ACA4CEED57}"/>
    <cellStyle name="Note 4 7 4" xfId="9396" xr:uid="{CFECD393-462E-4DE9-85D1-4A60EAE72EA1}"/>
    <cellStyle name="Note 4 7 4 2" xfId="33379" xr:uid="{8F628C13-6A3A-48F4-B5FF-9EDB12084124}"/>
    <cellStyle name="Note 4 7 5" xfId="7648" xr:uid="{890E4064-430C-4F37-B36D-890952125A96}"/>
    <cellStyle name="Note 4 7 5 2" xfId="31947" xr:uid="{84460EA8-DBE9-4E92-AB6A-739996DCB727}"/>
    <cellStyle name="Note 4 7 6" xfId="14296" xr:uid="{556A5CA4-6E3D-4576-96A3-DBDBACA33003}"/>
    <cellStyle name="Note 4 7 6 2" xfId="36339" xr:uid="{029DDD0A-C4D5-4EFE-B7E2-398883F0CA5B}"/>
    <cellStyle name="Note 4 7 7" xfId="12999" xr:uid="{D22C4A34-3187-4943-A567-A08865658BAC}"/>
    <cellStyle name="Note 4 7 7 2" xfId="35347" xr:uid="{D9AB86D4-AC1C-4A2C-B163-A4EE9576D7B5}"/>
    <cellStyle name="Note 4 7 8" xfId="8447" xr:uid="{FA8FC17D-4C2A-4F5C-9455-936E1D9A5EE8}"/>
    <cellStyle name="Note 4 7 8 2" xfId="32634" xr:uid="{0C75CEC0-EA3F-465A-9740-F84BA3A2B71C}"/>
    <cellStyle name="Note 4 7 9" xfId="14851" xr:uid="{CE585BD2-EDCE-4356-BEB7-FA47C9957251}"/>
    <cellStyle name="Note 4 7 9 2" xfId="36726" xr:uid="{B977710C-FFA5-4C16-80D6-7468BA1EF1C0}"/>
    <cellStyle name="Note 4 8" xfId="3025" xr:uid="{C327946E-E59A-4E55-BC86-E1012CE6E508}"/>
    <cellStyle name="Note 4 8 10" xfId="14422" xr:uid="{7B2DFA1F-A8B7-4E3A-8C06-671F7A8A685F}"/>
    <cellStyle name="Note 4 8 10 2" xfId="36411" xr:uid="{51363BDB-D059-4988-916E-0CA1D157BD58}"/>
    <cellStyle name="Note 4 8 11" xfId="16498" xr:uid="{D63C2D56-6ED9-4456-8E76-12E8742033ED}"/>
    <cellStyle name="Note 4 8 11 2" xfId="37991" xr:uid="{3D2B2846-ADE2-4994-8331-20D57300FDA9}"/>
    <cellStyle name="Note 4 8 12" xfId="13714" xr:uid="{AC9178DB-2207-4908-A7AC-1AE115D1FAE9}"/>
    <cellStyle name="Note 4 8 12 2" xfId="35870" xr:uid="{86104D98-7554-44D0-A9A2-9D4EFB7D0961}"/>
    <cellStyle name="Note 4 8 13" xfId="9891" xr:uid="{4C0B5948-EDC5-4DDE-B4E7-9AB34D8D8DEA}"/>
    <cellStyle name="Note 4 8 13 2" xfId="33637" xr:uid="{B5AB2B9D-14D8-43FD-AEAD-D4C8DAA58398}"/>
    <cellStyle name="Note 4 8 14" xfId="21600" xr:uid="{BB691490-9853-4DB6-B03F-3AF13E7DF9C1}"/>
    <cellStyle name="Note 4 8 14 2" xfId="41684" xr:uid="{B025FF12-4F31-426C-9292-3176CFA043F7}"/>
    <cellStyle name="Note 4 8 15" xfId="10190" xr:uid="{9A7A16EB-269E-4336-8D47-F21724115179}"/>
    <cellStyle name="Note 4 8 15 2" xfId="33844" xr:uid="{93ED5468-DAEA-4068-92CF-C36B03A2BB19}"/>
    <cellStyle name="Note 4 8 16" xfId="22525" xr:uid="{ECE51147-2E1C-4234-B1C3-F045C59FD81B}"/>
    <cellStyle name="Note 4 8 16 2" xfId="42324" xr:uid="{48399850-DD01-4448-96A0-44E4E641F927}"/>
    <cellStyle name="Note 4 8 17" xfId="18295" xr:uid="{508D7480-4EA2-4D45-8240-20E3DAB128AA}"/>
    <cellStyle name="Note 4 8 17 2" xfId="39326" xr:uid="{166B992F-7880-477B-A21B-402D0BC17C77}"/>
    <cellStyle name="Note 4 8 18" xfId="17122" xr:uid="{85568BFD-7662-4D95-A375-1D2F8510E22C}"/>
    <cellStyle name="Note 4 8 18 2" xfId="38461" xr:uid="{DD085893-3AB3-4200-A1BA-8807C8D798EC}"/>
    <cellStyle name="Note 4 8 19" xfId="24706" xr:uid="{9ECE8102-3117-45D3-8118-4523BF7638AF}"/>
    <cellStyle name="Note 4 8 19 2" xfId="43851" xr:uid="{1E912E17-5854-4973-827B-9ACB27264A86}"/>
    <cellStyle name="Note 4 8 2" xfId="7989" xr:uid="{27314914-F09D-47F1-8975-59BBDA5F94F7}"/>
    <cellStyle name="Note 4 8 2 2" xfId="32236" xr:uid="{0B38A0FF-C7B6-4D84-AE00-B9D428A7A088}"/>
    <cellStyle name="Note 4 8 20" xfId="18041" xr:uid="{958575EF-E7D0-4EAF-B741-55FC2D0F9A52}"/>
    <cellStyle name="Note 4 8 20 2" xfId="39137" xr:uid="{3C235060-21B4-4669-B540-DD372704BCCD}"/>
    <cellStyle name="Note 4 8 21" xfId="24509" xr:uid="{BEA657A1-EB49-43F9-87AF-98C7B35806F3}"/>
    <cellStyle name="Note 4 8 21 2" xfId="43692" xr:uid="{8643DD22-08EF-457D-A45F-C2B0D75D750C}"/>
    <cellStyle name="Note 4 8 22" xfId="23218" xr:uid="{D21ED85E-3F3B-4E6A-9E2F-CB565543195B}"/>
    <cellStyle name="Note 4 8 22 2" xfId="42811" xr:uid="{B5B4BF56-9E3B-43BD-A3FF-7A30C9882384}"/>
    <cellStyle name="Note 4 8 23" xfId="28783" xr:uid="{25E4D340-F0CF-48B1-B6F1-8F77CFF5ABC5}"/>
    <cellStyle name="Note 4 8 23 2" xfId="46458" xr:uid="{94C5C666-9470-4CD9-97D2-43BF288799CD}"/>
    <cellStyle name="Note 4 8 24" xfId="22236" xr:uid="{35936D48-B777-4517-8717-BBA83A46D310}"/>
    <cellStyle name="Note 4 8 24 2" xfId="42113" xr:uid="{B42ED7AB-5791-42DD-AED0-082B20707873}"/>
    <cellStyle name="Note 4 8 25" xfId="27885" xr:uid="{B8904B70-CDFE-40C2-964D-1B09709387E3}"/>
    <cellStyle name="Note 4 8 25 2" xfId="45957" xr:uid="{27732AAF-3942-4702-85C5-D4F5B2BE7BB1}"/>
    <cellStyle name="Note 4 8 26" xfId="27414" xr:uid="{2AE0E5C9-3552-477D-BBFC-7E4FCCE7D7F8}"/>
    <cellStyle name="Note 4 8 26 2" xfId="45669" xr:uid="{04099C81-4B53-4381-9B9A-3264551D9886}"/>
    <cellStyle name="Note 4 8 27" xfId="23747" xr:uid="{8CC874E1-1150-440E-85F2-0CF549D7E916}"/>
    <cellStyle name="Note 4 8 27 2" xfId="43159" xr:uid="{4E1F9828-6806-4F1E-BADB-DC1CF3757B14}"/>
    <cellStyle name="Note 4 8 28" xfId="6544" xr:uid="{77450D20-26B9-4F6F-8B05-BCAD25DB6F8E}"/>
    <cellStyle name="Note 4 8 3" xfId="9397" xr:uid="{7A3FD206-2937-472E-B683-6CDB8EDA83C9}"/>
    <cellStyle name="Note 4 8 3 2" xfId="33380" xr:uid="{78BD2C6D-F99B-4983-AF30-5C4EB7787CA6}"/>
    <cellStyle name="Note 4 8 4" xfId="12056" xr:uid="{35A0512F-A4B5-453D-BCF5-CC45067D66A5}"/>
    <cellStyle name="Note 4 8 4 2" xfId="34614" xr:uid="{81C72066-055A-46D6-9FC1-8517BA6564A3}"/>
    <cellStyle name="Note 4 8 5" xfId="8770" xr:uid="{167CDB61-CDD0-4928-BD1E-6C2845A7EA89}"/>
    <cellStyle name="Note 4 8 5 2" xfId="32899" xr:uid="{AFD884CD-0EB4-477B-86A8-BA300C9B1B01}"/>
    <cellStyle name="Note 4 8 6" xfId="12998" xr:uid="{93EE27C7-9E41-4570-A11E-3B42D46FAF10}"/>
    <cellStyle name="Note 4 8 6 2" xfId="35346" xr:uid="{993C6DB1-8F86-4459-983F-CF4AF1E49FB9}"/>
    <cellStyle name="Note 4 8 7" xfId="8445" xr:uid="{BB5A7527-8BB2-4C77-B36C-19641AF0A318}"/>
    <cellStyle name="Note 4 8 7 2" xfId="32632" xr:uid="{23D19443-9200-4148-838F-E4DA73518195}"/>
    <cellStyle name="Note 4 8 8" xfId="14850" xr:uid="{F767E09C-76A2-46FA-848D-A69264672EEC}"/>
    <cellStyle name="Note 4 8 8 2" xfId="36725" xr:uid="{E5FF6AEF-7AC7-4F34-B988-8DA70A360A01}"/>
    <cellStyle name="Note 4 8 9" xfId="7066" xr:uid="{87660F3B-9A66-4250-9668-0BAD20A554F5}"/>
    <cellStyle name="Note 4 8 9 2" xfId="31433" xr:uid="{BC3CB9AE-44D3-4816-B2FB-8D6132FDD524}"/>
    <cellStyle name="Note 4 9" xfId="8005" xr:uid="{2FB68296-BC3A-4B5B-B32D-07EB870D33AF}"/>
    <cellStyle name="Note 4 9 2" xfId="32251" xr:uid="{36DBB72B-7B2B-4DA0-B8AF-487FC85E3D91}"/>
    <cellStyle name="Note 4_Sheet2" xfId="3026" xr:uid="{404DCBE1-A270-4B32-954D-160657932B6C}"/>
    <cellStyle name="Note 40" xfId="3027" xr:uid="{AB1AA608-56C8-4FCE-93E6-A1CDC57CE16F}"/>
    <cellStyle name="Note 40 10" xfId="7065" xr:uid="{29C26956-8FFD-49D3-9618-F2DD8C79BE26}"/>
    <cellStyle name="Note 40 10 2" xfId="31432" xr:uid="{C8DDC23E-99CC-4F78-AC3B-8B7512A7C038}"/>
    <cellStyle name="Note 40 11" xfId="15529" xr:uid="{6030068E-FE11-4811-98D1-5235486E5FC1}"/>
    <cellStyle name="Note 40 11 2" xfId="37194" xr:uid="{AE1A66F1-692D-44C2-BA13-F561684995B2}"/>
    <cellStyle name="Note 40 12" xfId="16497" xr:uid="{E132D269-3DFB-41B6-A6BC-B1C235F85F6B}"/>
    <cellStyle name="Note 40 12 2" xfId="37990" xr:uid="{7A1E03DC-152E-455C-AA24-ABCADBE72999}"/>
    <cellStyle name="Note 40 13" xfId="15628" xr:uid="{07C2CD1D-CD61-4861-815D-B208091B6AFB}"/>
    <cellStyle name="Note 40 13 2" xfId="37286" xr:uid="{EDC29F8E-0203-43CA-9D9C-C1382C008D76}"/>
    <cellStyle name="Note 40 14" xfId="9892" xr:uid="{F9131053-05DB-44C1-AEAF-EE3AB1EA01C8}"/>
    <cellStyle name="Note 40 14 2" xfId="33638" xr:uid="{45B05795-A0F9-4FBA-BD99-8A071FEE2E83}"/>
    <cellStyle name="Note 40 15" xfId="21599" xr:uid="{EAF74996-3067-490E-8734-5D30C5D5F8A4}"/>
    <cellStyle name="Note 40 15 2" xfId="41683" xr:uid="{D2619264-D24D-4F38-B3EC-E4DE2183CBA8}"/>
    <cellStyle name="Note 40 16" xfId="13262" xr:uid="{B131E62E-3363-4C17-90C7-F57CF993C595}"/>
    <cellStyle name="Note 40 16 2" xfId="35587" xr:uid="{22E60AAC-1442-45B9-9504-1F1E5839D836}"/>
    <cellStyle name="Note 40 17" xfId="22526" xr:uid="{2AAB205F-5F9A-4F82-8E57-BE7218CDEFFB}"/>
    <cellStyle name="Note 40 17 2" xfId="42325" xr:uid="{8E048221-E8CE-4A83-83A7-3BC4169CD571}"/>
    <cellStyle name="Note 40 18" xfId="24104" xr:uid="{60C1AE8A-3E83-4B5E-A77B-7FC429854575}"/>
    <cellStyle name="Note 40 18 2" xfId="43480" xr:uid="{3FABA1A5-2AF6-41DA-A9C7-7DFE73D097A8}"/>
    <cellStyle name="Note 40 19" xfId="16079" xr:uid="{3B19CC2F-C82B-4685-8ADD-010888751FD0}"/>
    <cellStyle name="Note 40 19 2" xfId="37650" xr:uid="{B657B358-D5FB-43ED-9CDF-5E02764F29BB}"/>
    <cellStyle name="Note 40 2" xfId="3028" xr:uid="{11972CB7-6290-444B-877D-589FD6191BC0}"/>
    <cellStyle name="Note 40 2 10" xfId="14632" xr:uid="{DDC7A7CE-73AB-4A7C-A162-38FE6ECCFEAB}"/>
    <cellStyle name="Note 40 2 10 2" xfId="36544" xr:uid="{ED52E95E-3030-4713-A32A-2905CEE7648A}"/>
    <cellStyle name="Note 40 2 11" xfId="14008" xr:uid="{5537A400-1ED0-4335-9DAD-0CFA7B1E6E35}"/>
    <cellStyle name="Note 40 2 11 2" xfId="36102" xr:uid="{29B5345E-0D41-4DBE-81B8-589EF7DCD6AF}"/>
    <cellStyle name="Note 40 2 12" xfId="17449" xr:uid="{6FF73633-7BAA-423D-8FD0-3D3AF670E6A5}"/>
    <cellStyle name="Note 40 2 12 2" xfId="38696" xr:uid="{0F7AE338-33F6-4940-83DF-080E74B1599C}"/>
    <cellStyle name="Note 40 2 13" xfId="9893" xr:uid="{011D4B7F-31DC-42BE-BB02-A69B297BF8D7}"/>
    <cellStyle name="Note 40 2 13 2" xfId="33639" xr:uid="{DC4ED377-0FE4-436E-979C-7B37239D9AF1}"/>
    <cellStyle name="Note 40 2 14" xfId="19707" xr:uid="{55E96890-C20F-4F8C-B182-90C39E258610}"/>
    <cellStyle name="Note 40 2 14 2" xfId="40324" xr:uid="{EF578974-9FDD-4370-828C-DAC02D616DF0}"/>
    <cellStyle name="Note 40 2 15" xfId="16727" xr:uid="{C89B865C-68A4-4153-A773-B9B8A8804118}"/>
    <cellStyle name="Note 40 2 15 2" xfId="38214" xr:uid="{C4A5883D-88C2-4E0F-A1DF-5CA69B919E3C}"/>
    <cellStyle name="Note 40 2 16" xfId="17018" xr:uid="{043CE6A8-C02C-4E3C-AF2A-DFD46D4DA9D7}"/>
    <cellStyle name="Note 40 2 16 2" xfId="38369" xr:uid="{3C72C191-89EC-4DD9-B8BA-3D058AB5032A}"/>
    <cellStyle name="Note 40 2 17" xfId="18294" xr:uid="{83C95076-9CBA-4727-B68B-CC74387B3E3A}"/>
    <cellStyle name="Note 40 2 17 2" xfId="39325" xr:uid="{53E5CFD4-84E2-4F78-91CA-72A47A018EB2}"/>
    <cellStyle name="Note 40 2 18" xfId="22711" xr:uid="{65D7B164-823D-4348-AA39-16B1E838BA92}"/>
    <cellStyle name="Note 40 2 18 2" xfId="42470" xr:uid="{58C8D550-3034-4BB9-ABB6-E22A09E8F286}"/>
    <cellStyle name="Note 40 2 19" xfId="22861" xr:uid="{51212082-4105-4169-A988-7413CCF38279}"/>
    <cellStyle name="Note 40 2 19 2" xfId="42579" xr:uid="{D25AE093-2E60-458B-9DCF-3E5EE83A01E2}"/>
    <cellStyle name="Note 40 2 2" xfId="7987" xr:uid="{29CF2D83-62D5-46D9-A437-12810B435074}"/>
    <cellStyle name="Note 40 2 2 2" xfId="32234" xr:uid="{45B177C4-2B0B-4622-9D39-A503C40A85E8}"/>
    <cellStyle name="Note 40 2 20" xfId="24362" xr:uid="{FCFFC65F-13EC-4C6F-A64E-6AB28E059976}"/>
    <cellStyle name="Note 40 2 20 2" xfId="43615" xr:uid="{88238B26-1C9F-48CE-BD5C-0DF457E03926}"/>
    <cellStyle name="Note 40 2 21" xfId="24500" xr:uid="{5FCDD173-506B-45D5-80FA-47FC83C7D7D8}"/>
    <cellStyle name="Note 40 2 21 2" xfId="43683" xr:uid="{ADCB7D59-DC02-41A8-873F-DBF75D2B86BD}"/>
    <cellStyle name="Note 40 2 22" xfId="23217" xr:uid="{E9097855-D32D-4D59-A0DD-74F0C4294128}"/>
    <cellStyle name="Note 40 2 22 2" xfId="42810" xr:uid="{328E50D0-6255-42D4-B190-CAB413542114}"/>
    <cellStyle name="Note 40 2 23" xfId="28593" xr:uid="{EF79E0B2-E401-4786-9F58-845637E8E1FB}"/>
    <cellStyle name="Note 40 2 23 2" xfId="46327" xr:uid="{BAF4FABB-CC2E-4C50-AF9A-AC6A2029F128}"/>
    <cellStyle name="Note 40 2 24" xfId="24987" xr:uid="{F53799B2-A597-46CC-BC58-EA8A00249E2E}"/>
    <cellStyle name="Note 40 2 24 2" xfId="44055" xr:uid="{57D19B10-6449-43FB-ABBC-36E912A57798}"/>
    <cellStyle name="Note 40 2 25" xfId="27884" xr:uid="{F9DA5FB0-C757-4A7F-A069-72439192FB7D}"/>
    <cellStyle name="Note 40 2 25 2" xfId="45956" xr:uid="{4F4ABA73-3C77-424D-81EE-1D6ABB53A59F}"/>
    <cellStyle name="Note 40 2 26" xfId="27412" xr:uid="{6DB5A4F3-0895-4A57-A454-615565E8DD33}"/>
    <cellStyle name="Note 40 2 26 2" xfId="45667" xr:uid="{16661268-806E-4814-B790-EF7668026D00}"/>
    <cellStyle name="Note 40 2 27" xfId="29211" xr:uid="{EA594810-86C7-4902-B326-ACAC3C05347B}"/>
    <cellStyle name="Note 40 2 27 2" xfId="46737" xr:uid="{AAFB6F45-85EB-4954-AFF7-914149B7C407}"/>
    <cellStyle name="Note 40 2 28" xfId="6546" xr:uid="{82D5E73E-5245-43F8-B789-B9F52E27262C}"/>
    <cellStyle name="Note 40 2 3" xfId="9399" xr:uid="{AB88894C-0F1F-417A-B661-CCAD035E6446}"/>
    <cellStyle name="Note 40 2 3 2" xfId="33382" xr:uid="{46EB3580-105E-4D55-B990-AF4026631D8D}"/>
    <cellStyle name="Note 40 2 4" xfId="7646" xr:uid="{E403B12E-60E5-4238-8609-04DBFCC7A0C5}"/>
    <cellStyle name="Note 40 2 4 2" xfId="31945" xr:uid="{744C56C4-2D8E-4ACC-9944-63901640A26B}"/>
    <cellStyle name="Note 40 2 5" xfId="8768" xr:uid="{733CC8A2-F23F-4D48-A8EB-DFB63736B8B4}"/>
    <cellStyle name="Note 40 2 5 2" xfId="32897" xr:uid="{2246284A-FB4C-4FCA-9034-4E072E017612}"/>
    <cellStyle name="Note 40 2 6" xfId="10474" xr:uid="{63F82FCE-A03F-41AC-92FD-1F716E5EF5B4}"/>
    <cellStyle name="Note 40 2 6 2" xfId="34109" xr:uid="{8CCBBD2F-931F-4D73-ADDD-FF6DD0CF74FB}"/>
    <cellStyle name="Note 40 2 7" xfId="8444" xr:uid="{D77E3583-9DF7-44FB-8B19-76B797FE32A0}"/>
    <cellStyle name="Note 40 2 7 2" xfId="32631" xr:uid="{D3054019-196C-4AD5-821D-52F15DCB0FF7}"/>
    <cellStyle name="Note 40 2 8" xfId="10580" xr:uid="{BDECEB76-C96E-4757-8A26-5139F247619E}"/>
    <cellStyle name="Note 40 2 8 2" xfId="34206" xr:uid="{22B08D79-7255-4A16-8BD2-62AA1D907190}"/>
    <cellStyle name="Note 40 2 9" xfId="7064" xr:uid="{D5934131-2264-4DF9-9E81-90577E32DFDC}"/>
    <cellStyle name="Note 40 2 9 2" xfId="31431" xr:uid="{A438F14B-C226-4DDB-B6C0-D618E0890869}"/>
    <cellStyle name="Note 40 20" xfId="24705" xr:uid="{464145D4-EC64-4E7D-9E8B-097CC3792D61}"/>
    <cellStyle name="Note 40 20 2" xfId="43850" xr:uid="{28563F19-3A20-4A0C-ADFF-15C1CCF47836}"/>
    <cellStyle name="Note 40 21" xfId="18040" xr:uid="{FCF7F95C-45EE-480F-94F1-1D5957B00E01}"/>
    <cellStyle name="Note 40 21 2" xfId="39136" xr:uid="{EAE4BD22-B185-4FBB-AEFA-1C0E33B94B01}"/>
    <cellStyle name="Note 40 22" xfId="25352" xr:uid="{C66600AB-7A2C-4D4D-BB28-6416C63B03F8}"/>
    <cellStyle name="Note 40 22 2" xfId="44268" xr:uid="{188FB9CD-4900-48CE-8003-B7F31E775315}"/>
    <cellStyle name="Note 40 23" xfId="15389" xr:uid="{D209D906-3A0F-4700-9097-DCB32A743C64}"/>
    <cellStyle name="Note 40 23 2" xfId="37087" xr:uid="{ED089820-D401-4141-8F69-4F6DDBCB14C5}"/>
    <cellStyle name="Note 40 24" xfId="28784" xr:uid="{54411B2A-4386-406B-A6C2-9BAB828D49B7}"/>
    <cellStyle name="Note 40 24 2" xfId="46459" xr:uid="{277FF8AA-454D-46EE-AF2A-1744D6AA8AC0}"/>
    <cellStyle name="Note 40 25" xfId="26309" xr:uid="{C28F8D58-0746-4BA1-B902-C8946E65C5AE}"/>
    <cellStyle name="Note 40 25 2" xfId="44999" xr:uid="{10D38352-1C33-4C88-B986-579E934020A0}"/>
    <cellStyle name="Note 40 26" xfId="28163" xr:uid="{0D03DE2E-5B6B-4E88-87B6-3E009D006F46}"/>
    <cellStyle name="Note 40 26 2" xfId="46093" xr:uid="{E21FB64E-8761-46DA-9D4E-7A031D50E52B}"/>
    <cellStyle name="Note 40 27" xfId="23022" xr:uid="{EECD3212-89FB-4E95-AD6D-4DD692CD028A}"/>
    <cellStyle name="Note 40 27 2" xfId="42657" xr:uid="{C64BC7B4-310C-4D37-8A9B-C97EDA3F2E38}"/>
    <cellStyle name="Note 40 28" xfId="26827" xr:uid="{C3C6BF8A-41D6-403A-AC22-D667653C9806}"/>
    <cellStyle name="Note 40 28 2" xfId="45298" xr:uid="{2A4581E4-B191-422A-8C1B-962BE90DB2B0}"/>
    <cellStyle name="Note 40 29" xfId="6545" xr:uid="{B7FE3563-F3AB-42C7-8207-CDECCC584DFF}"/>
    <cellStyle name="Note 40 3" xfId="7988" xr:uid="{1FD09E78-4A9B-4D0E-90E9-33807AA20EAC}"/>
    <cellStyle name="Note 40 3 2" xfId="32235" xr:uid="{F9098052-B248-45DE-8169-045946DD5E1D}"/>
    <cellStyle name="Note 40 4" xfId="9398" xr:uid="{BA35F6B5-ABE1-4D65-9F12-0846422F45E6}"/>
    <cellStyle name="Note 40 4 2" xfId="33381" xr:uid="{6829C336-534C-4E85-A8B4-3191522F1B1F}"/>
    <cellStyle name="Note 40 5" xfId="12055" xr:uid="{E8780388-7DB8-4BA8-A4DF-2FBC7C1E41EA}"/>
    <cellStyle name="Note 40 5 2" xfId="34613" xr:uid="{3DA76A5A-FE95-4AB5-B016-022C06C7E5DA}"/>
    <cellStyle name="Note 40 6" xfId="8769" xr:uid="{A050A44D-32A6-4F89-8E4D-66A604A26017}"/>
    <cellStyle name="Note 40 6 2" xfId="32898" xr:uid="{D3C753DC-0EB1-40A3-A106-06975939FF35}"/>
    <cellStyle name="Note 40 7" xfId="12997" xr:uid="{62CC6787-781D-40E6-BA47-A20C8134FDEE}"/>
    <cellStyle name="Note 40 7 2" xfId="35345" xr:uid="{874E5816-386B-476F-A348-D91699368E0C}"/>
    <cellStyle name="Note 40 8" xfId="13634" xr:uid="{66663267-97D1-49AE-9B96-CA41F7B7F5A1}"/>
    <cellStyle name="Note 40 8 2" xfId="35799" xr:uid="{A5E635F9-4A36-47C5-9623-7D40C7BC15D7}"/>
    <cellStyle name="Note 40 9" xfId="14849" xr:uid="{57116991-068E-4CB8-AA48-2C291795CC97}"/>
    <cellStyle name="Note 40 9 2" xfId="36724" xr:uid="{F2884430-CBF6-47CC-AF36-32AF4E35AF2F}"/>
    <cellStyle name="Note 41" xfId="3029" xr:uid="{3E539D7C-AD5A-4691-A1B1-6D1CE57F916D}"/>
    <cellStyle name="Note 41 10" xfId="7062" xr:uid="{039706F4-51D4-444E-BC13-FBD8ABF87C60}"/>
    <cellStyle name="Note 41 10 2" xfId="31429" xr:uid="{5A2C71CB-E59E-4DCB-B283-492F17653B30}"/>
    <cellStyle name="Note 41 11" xfId="13823" xr:uid="{8392EBCB-D8C4-424D-8C1A-E1C893FDC2D2}"/>
    <cellStyle name="Note 41 11 2" xfId="35948" xr:uid="{633891A8-2AF3-4135-BA00-777C88407461}"/>
    <cellStyle name="Note 41 12" xfId="16496" xr:uid="{5B7B1CC8-0EBE-445A-B51D-6E5CCFE4886B}"/>
    <cellStyle name="Note 41 12 2" xfId="37989" xr:uid="{9207A4B3-611B-498A-92F6-63449DCBCB32}"/>
    <cellStyle name="Note 41 13" xfId="14463" xr:uid="{840ED241-1C7D-44B0-B01A-7021F5DA9BDE}"/>
    <cellStyle name="Note 41 13 2" xfId="36452" xr:uid="{0EA3A4E9-EEB6-480C-9EAD-4C908B48A856}"/>
    <cellStyle name="Note 41 14" xfId="9894" xr:uid="{16C30DBD-1B56-480B-A694-DAC2F4482E8B}"/>
    <cellStyle name="Note 41 14 2" xfId="33640" xr:uid="{7A9944B8-3BF2-4220-B508-792FCD195C5C}"/>
    <cellStyle name="Note 41 15" xfId="21598" xr:uid="{CCA5F6F3-01B4-4ACF-9DA7-00DC15FDBCBD}"/>
    <cellStyle name="Note 41 15 2" xfId="41682" xr:uid="{D18590E6-F526-4F1A-95DE-1BD9C9456DCE}"/>
    <cellStyle name="Note 41 16" xfId="10191" xr:uid="{C822579C-C261-47A2-B722-FE7F346B7881}"/>
    <cellStyle name="Note 41 16 2" xfId="33845" xr:uid="{D143C57D-DDA8-461A-A36B-28EBDD2E9077}"/>
    <cellStyle name="Note 41 17" xfId="19608" xr:uid="{6DA64C77-0D75-4B79-B4D8-394007294BD0}"/>
    <cellStyle name="Note 41 17 2" xfId="40248" xr:uid="{F4ADA381-B029-41A0-9BDD-74A347FD4AFE}"/>
    <cellStyle name="Note 41 18" xfId="25703" xr:uid="{6BC95357-C7FE-4807-B208-AEC3FB09B8BA}"/>
    <cellStyle name="Note 41 18 2" xfId="44540" xr:uid="{B7718D18-1340-40E9-A4FE-628D8ADEF579}"/>
    <cellStyle name="Note 41 19" xfId="19044" xr:uid="{C480FB51-BB37-4577-A796-D3B8ED625760}"/>
    <cellStyle name="Note 41 19 2" xfId="39876" xr:uid="{05CAA555-7337-4221-A22B-10D4959410FF}"/>
    <cellStyle name="Note 41 2" xfId="3030" xr:uid="{E97A26ED-1E06-483E-8964-7770C6D26445}"/>
    <cellStyle name="Note 41 2 10" xfId="12331" xr:uid="{EE5B6C95-FA47-497F-9074-B6BD65B80BE9}"/>
    <cellStyle name="Note 41 2 10 2" xfId="34835" xr:uid="{6F2771CC-9360-4544-A8C7-62B7B1289014}"/>
    <cellStyle name="Note 41 2 11" xfId="12558" xr:uid="{FB2B6A90-4029-475C-A36D-F98E51EFFC9C}"/>
    <cellStyle name="Note 41 2 11 2" xfId="35002" xr:uid="{5A38040E-85AA-4C1C-8639-5BD503F21952}"/>
    <cellStyle name="Note 41 2 12" xfId="17448" xr:uid="{D00E3BB2-6980-4A61-B6E7-29D4266629D9}"/>
    <cellStyle name="Note 41 2 12 2" xfId="38695" xr:uid="{0F424E95-4017-4952-82CC-36905297A867}"/>
    <cellStyle name="Note 41 2 13" xfId="17570" xr:uid="{955A9CD3-7CCC-4464-80BA-32602D550177}"/>
    <cellStyle name="Note 41 2 13 2" xfId="38816" xr:uid="{EC326188-A56C-486C-B319-EA163F6F03CF}"/>
    <cellStyle name="Note 41 2 14" xfId="17939" xr:uid="{16D377A1-812F-4530-82DE-590DE8EF24A4}"/>
    <cellStyle name="Note 41 2 14 2" xfId="39037" xr:uid="{0090DD4D-344D-47CA-ADDE-37499F45A8F6}"/>
    <cellStyle name="Note 41 2 15" xfId="16725" xr:uid="{B6AE9F6E-BCE1-41DB-B36E-71EC21AE4742}"/>
    <cellStyle name="Note 41 2 15 2" xfId="38212" xr:uid="{3253163E-6297-4F88-A4DE-EC67F7084A8F}"/>
    <cellStyle name="Note 41 2 16" xfId="22529" xr:uid="{BF4CEADD-B57C-4578-BD73-3FC6028140D0}"/>
    <cellStyle name="Note 41 2 16 2" xfId="42328" xr:uid="{B9B85F5D-7D25-40E4-A864-0C8DC9FAC600}"/>
    <cellStyle name="Note 41 2 17" xfId="24103" xr:uid="{A672649A-00A4-4E87-A6FA-C3B584FBC337}"/>
    <cellStyle name="Note 41 2 17 2" xfId="43479" xr:uid="{B3ADB557-E6CB-4698-9B46-59244CA75E6A}"/>
    <cellStyle name="Note 41 2 18" xfId="20078" xr:uid="{110EB138-3919-4069-80AC-CAD382580D21}"/>
    <cellStyle name="Note 41 2 18 2" xfId="40624" xr:uid="{D051DE32-39C6-4407-A3FF-DC882AD86949}"/>
    <cellStyle name="Note 41 2 19" xfId="22329" xr:uid="{2C2CD9C1-83F0-4060-BF12-F5324DCC51E3}"/>
    <cellStyle name="Note 41 2 19 2" xfId="42184" xr:uid="{3E9B1475-4C1C-47CD-A956-54257D7D41D1}"/>
    <cellStyle name="Note 41 2 2" xfId="7985" xr:uid="{F5A824D1-A9C4-4B8D-94D0-124F1EFE1D78}"/>
    <cellStyle name="Note 41 2 2 2" xfId="32232" xr:uid="{1F5F5673-08BC-4017-9C45-6578A769F6F7}"/>
    <cellStyle name="Note 41 2 20" xfId="24339" xr:uid="{85A2B58F-726C-4C20-B8E3-6503BB741F21}"/>
    <cellStyle name="Note 41 2 20 2" xfId="43600" xr:uid="{82A1A71F-F83B-4D6D-AC4D-EDBD0E20268C}"/>
    <cellStyle name="Note 41 2 21" xfId="23447" xr:uid="{B1974EC2-4D88-4731-ABBE-29EC81B2984B}"/>
    <cellStyle name="Note 41 2 21 2" xfId="42953" xr:uid="{AB07EE0F-D563-490C-94A8-C763E6E57DDA}"/>
    <cellStyle name="Note 41 2 22" xfId="23216" xr:uid="{AA121A5D-5965-44B5-ACAC-B580A9C5C0E5}"/>
    <cellStyle name="Note 41 2 22 2" xfId="42809" xr:uid="{9796DD5A-B6A7-44BD-9873-1BB40C56E303}"/>
    <cellStyle name="Note 41 2 23" xfId="28592" xr:uid="{BB62D5F5-F9D6-4454-BD70-CDA066050519}"/>
    <cellStyle name="Note 41 2 23 2" xfId="46326" xr:uid="{10D2AAC7-AD40-4F92-9FF6-3BAEA11DDB8B}"/>
    <cellStyle name="Note 41 2 24" xfId="26753" xr:uid="{AEE6B057-7CC1-4E9C-B5CF-A08AE94B6D09}"/>
    <cellStyle name="Note 41 2 24 2" xfId="45268" xr:uid="{F51D0C79-F43F-44F7-AA3F-624248B5E8C8}"/>
    <cellStyle name="Note 41 2 25" xfId="27883" xr:uid="{58B4E14A-D42E-4A87-8B81-FD2F7BDECDE8}"/>
    <cellStyle name="Note 41 2 25 2" xfId="45955" xr:uid="{64821495-B8B6-4B89-8EEC-30053B0E258A}"/>
    <cellStyle name="Note 41 2 26" xfId="23033" xr:uid="{21160223-F14C-4240-BFC4-B03110C9CA6E}"/>
    <cellStyle name="Note 41 2 26 2" xfId="42667" xr:uid="{E5823922-22DE-476B-9F4F-37665AEA951E}"/>
    <cellStyle name="Note 41 2 27" xfId="26902" xr:uid="{96D0F4D0-2E7D-4251-ADC6-C603F9E9E7CD}"/>
    <cellStyle name="Note 41 2 27 2" xfId="45325" xr:uid="{DC9D8EF5-0FBD-4A7E-8B2B-2C3992EB113C}"/>
    <cellStyle name="Note 41 2 28" xfId="6548" xr:uid="{02F1D54D-AE35-4525-9B2E-BB1816073A12}"/>
    <cellStyle name="Note 41 2 3" xfId="13352" xr:uid="{0E1B4EED-CF4F-4372-8200-62FB8DCAB745}"/>
    <cellStyle name="Note 41 2 3 2" xfId="35659" xr:uid="{841911F0-0E92-4FEF-8617-03F0E7347155}"/>
    <cellStyle name="Note 41 2 4" xfId="7645" xr:uid="{3195C7E6-1E61-4360-9E37-1A9A7AE0DD51}"/>
    <cellStyle name="Note 41 2 4 2" xfId="31944" xr:uid="{11DAE219-5C41-4A3D-A6AE-0E0E9129930F}"/>
    <cellStyle name="Note 41 2 5" xfId="8766" xr:uid="{CE86EE27-94E1-4891-ACEE-C633FED5217F}"/>
    <cellStyle name="Note 41 2 5 2" xfId="32895" xr:uid="{D868956B-F56B-4BC6-B18B-0B8951F1C2B0}"/>
    <cellStyle name="Note 41 2 6" xfId="10475" xr:uid="{1CD5FDD3-46D9-4A64-A46B-D4C4ABCC3269}"/>
    <cellStyle name="Note 41 2 6 2" xfId="34110" xr:uid="{98B7CF53-D7B6-4E36-8DD1-D977A052386D}"/>
    <cellStyle name="Note 41 2 7" xfId="8441" xr:uid="{2B8C476F-A300-4EEB-8156-F44176B66AF8}"/>
    <cellStyle name="Note 41 2 7 2" xfId="32629" xr:uid="{CAF74CB2-308D-48D8-81A1-DDE60DCD32B2}"/>
    <cellStyle name="Note 41 2 8" xfId="12904" xr:uid="{5EC8A54D-51DE-4D53-84A1-AB8422497820}"/>
    <cellStyle name="Note 41 2 8 2" xfId="35260" xr:uid="{5FCC4F31-1F8B-42FC-BE06-7593C54BE9D6}"/>
    <cellStyle name="Note 41 2 9" xfId="14276" xr:uid="{AAD83A7D-D74E-4406-8E20-73EA3A191E0C}"/>
    <cellStyle name="Note 41 2 9 2" xfId="36329" xr:uid="{EC6FDCBE-6D71-4299-A3CD-222E1F5FF2C8}"/>
    <cellStyle name="Note 41 20" xfId="24704" xr:uid="{706C4B2A-71AC-4A45-A98A-1F62F67F828B}"/>
    <cellStyle name="Note 41 20 2" xfId="43849" xr:uid="{4FA4EA80-2309-4EEE-8CAF-576A2FD7B214}"/>
    <cellStyle name="Note 41 21" xfId="25180" xr:uid="{4D9E78F0-13AE-412F-ABB5-46DE0AC823F5}"/>
    <cellStyle name="Note 41 21 2" xfId="44122" xr:uid="{AFE42611-3F32-47D5-A42D-332E1FE308D1}"/>
    <cellStyle name="Note 41 22" xfId="24508" xr:uid="{80763DA6-8F5C-40C4-9F74-2DCDD1473EBC}"/>
    <cellStyle name="Note 41 22 2" xfId="43691" xr:uid="{EB0E0849-F451-48A5-80A7-3D70431C6411}"/>
    <cellStyle name="Note 41 23" xfId="27970" xr:uid="{39E34C74-FEF2-4ABB-8697-8543AD36EA22}"/>
    <cellStyle name="Note 41 23 2" xfId="46029" xr:uid="{5A70C6DF-2B4E-44DC-9766-456A26B2ED8B}"/>
    <cellStyle name="Note 41 24" xfId="27152" xr:uid="{6AF92D6D-0E73-4994-B902-EA38A1FD2654}"/>
    <cellStyle name="Note 41 24 2" xfId="45493" xr:uid="{2FE9FF02-CFC8-477D-AE46-9D9A5F8BA897}"/>
    <cellStyle name="Note 41 25" xfId="26308" xr:uid="{9374A062-8338-43AF-90A2-2DD17799EDB2}"/>
    <cellStyle name="Note 41 25 2" xfId="44998" xr:uid="{EB2F6FF8-3C42-43DE-8EE3-3C267A0BE14D}"/>
    <cellStyle name="Note 41 26" xfId="23729" xr:uid="{4695FE7C-F139-4EA2-85D6-9F465AD5B81B}"/>
    <cellStyle name="Note 41 26 2" xfId="43145" xr:uid="{4A842C0B-0261-43EB-89C6-1F500E0C2C01}"/>
    <cellStyle name="Note 41 27" xfId="29969" xr:uid="{A68646E9-BE50-4D35-B91F-AC649E409507}"/>
    <cellStyle name="Note 41 27 2" xfId="47225" xr:uid="{8ECDDA09-4331-4536-AA93-5D7A8FD74E1D}"/>
    <cellStyle name="Note 41 28" xfId="29013" xr:uid="{F4A706C1-BA81-47C5-9EE0-DCAFEDA57469}"/>
    <cellStyle name="Note 41 28 2" xfId="46607" xr:uid="{B3E914BA-CDD2-426B-95CF-90F0A1424D9E}"/>
    <cellStyle name="Note 41 29" xfId="6547" xr:uid="{9472841A-2B5B-4B0A-B670-B6A0E6485FEE}"/>
    <cellStyle name="Note 41 3" xfId="7986" xr:uid="{3DCFA81F-EBF8-4B5F-9445-4A625274FCD2}"/>
    <cellStyle name="Note 41 3 2" xfId="32233" xr:uid="{EDB6A8A9-DA8C-405A-A669-5F6D080ECB39}"/>
    <cellStyle name="Note 41 4" xfId="13636" xr:uid="{63E86DB1-8BB1-4901-8E3E-0D5E8A31B2C2}"/>
    <cellStyle name="Note 41 4 2" xfId="35801" xr:uid="{1918E82F-130A-48A2-AC66-89A8187866AC}"/>
    <cellStyle name="Note 41 5" xfId="12054" xr:uid="{BC82D576-F3E6-42FF-8AB7-0F9234EDA54A}"/>
    <cellStyle name="Note 41 5 2" xfId="34612" xr:uid="{7129FFE6-1204-4872-A72C-69B640860403}"/>
    <cellStyle name="Note 41 6" xfId="8767" xr:uid="{6F8C873D-CF1B-4197-B1A8-56768B41F708}"/>
    <cellStyle name="Note 41 6 2" xfId="32896" xr:uid="{1ADB62EE-E9F3-45D9-B223-7001C8641DDD}"/>
    <cellStyle name="Note 41 7" xfId="12996" xr:uid="{94374252-3EDA-4721-9946-B0A212FD8C51}"/>
    <cellStyle name="Note 41 7 2" xfId="35344" xr:uid="{C650D361-C218-4084-A251-0B140A905F85}"/>
    <cellStyle name="Note 41 8" xfId="8443" xr:uid="{837C46A6-4804-47A2-B687-B8D2E06BE300}"/>
    <cellStyle name="Note 41 8 2" xfId="32630" xr:uid="{CAF2F1BF-8B3B-441E-A9FC-ACFA4D6DD608}"/>
    <cellStyle name="Note 41 9" xfId="14848" xr:uid="{9D94A426-CCA1-461D-A8A6-F84F146A251D}"/>
    <cellStyle name="Note 41 9 2" xfId="36723" xr:uid="{57701F3D-A775-440C-AFED-CD6BBF9C1924}"/>
    <cellStyle name="Note 42" xfId="3031" xr:uid="{1E9AD66F-502A-439E-91D7-FDBB202E481D}"/>
    <cellStyle name="Note 42 10" xfId="7060" xr:uid="{D428E44E-EE07-46E6-A627-D1799C32870D}"/>
    <cellStyle name="Note 42 10 2" xfId="31427" xr:uid="{E2311386-A44F-4FFD-822E-6B5C0FA9F976}"/>
    <cellStyle name="Note 42 11" xfId="14631" xr:uid="{A76B17A8-60BC-41A7-92D5-A27E2305B260}"/>
    <cellStyle name="Note 42 11 2" xfId="36543" xr:uid="{01E967F4-5BEF-420F-A774-6B38536A1B76}"/>
    <cellStyle name="Note 42 12" xfId="16495" xr:uid="{71A2B443-070A-4CE3-B7D9-F9FCD607B32C}"/>
    <cellStyle name="Note 42 12 2" xfId="37988" xr:uid="{CC4CBA97-0E35-41C0-9FE0-8158CE8CAE91}"/>
    <cellStyle name="Note 42 13" xfId="13871" xr:uid="{5EE7B710-6A81-41FE-89F4-47F3C866BF42}"/>
    <cellStyle name="Note 42 13 2" xfId="35994" xr:uid="{2E589294-FD8F-4B2D-8D61-F42B1235B3F5}"/>
    <cellStyle name="Note 42 14" xfId="9895" xr:uid="{B4D51371-565C-43A9-A5E4-4A0F82042D75}"/>
    <cellStyle name="Note 42 14 2" xfId="33641" xr:uid="{0710A8C3-4D95-423C-8F8B-944C9B7839F3}"/>
    <cellStyle name="Note 42 15" xfId="21597" xr:uid="{A04CFDBA-5B6E-4B99-AC32-97B6862AFFAC}"/>
    <cellStyle name="Note 42 15 2" xfId="41681" xr:uid="{0F3A7975-9B4E-472B-81ED-67B898DF2F5E}"/>
    <cellStyle name="Note 42 16" xfId="13261" xr:uid="{3EC1A8D3-FE7B-4F3A-9DC9-E11805DC1A73}"/>
    <cellStyle name="Note 42 16 2" xfId="35586" xr:uid="{E4676FF1-53D1-4354-AA4E-FD298F4BA47F}"/>
    <cellStyle name="Note 42 17" xfId="22528" xr:uid="{A23E5858-1868-420A-988F-4C5F20E3C967}"/>
    <cellStyle name="Note 42 17 2" xfId="42327" xr:uid="{AAB04FDE-72FC-41CF-B57F-AB36A5A33CF8}"/>
    <cellStyle name="Note 42 18" xfId="25702" xr:uid="{36161630-5265-4C1D-98EA-A4973F04172A}"/>
    <cellStyle name="Note 42 18 2" xfId="44539" xr:uid="{B2D070B6-35BF-43E5-BFAA-0F33121852EE}"/>
    <cellStyle name="Note 42 19" xfId="17127" xr:uid="{D55EF833-89A5-42B1-B208-0A6D3EB2793D}"/>
    <cellStyle name="Note 42 19 2" xfId="38466" xr:uid="{5A4DC832-C771-40E3-8ED9-5436946E6A62}"/>
    <cellStyle name="Note 42 2" xfId="3032" xr:uid="{DA02E83D-10CF-4DBE-AE28-0E06B4620BB0}"/>
    <cellStyle name="Note 42 2 10" xfId="12743" xr:uid="{47FA1783-E929-4054-AED3-A79B62A71AD6}"/>
    <cellStyle name="Note 42 2 10 2" xfId="35152" xr:uid="{408D2AAD-FAB9-412F-BE47-86AFA6ED9774}"/>
    <cellStyle name="Note 42 2 11" xfId="14007" xr:uid="{6E00B576-E6D4-4751-BCC4-3F95E83C222B}"/>
    <cellStyle name="Note 42 2 11 2" xfId="36101" xr:uid="{2B268C86-B5EB-4D1A-A2F5-60367518E1C0}"/>
    <cellStyle name="Note 42 2 12" xfId="17447" xr:uid="{E7E5CD42-C8EC-415A-8A34-7EB2C067EF0D}"/>
    <cellStyle name="Note 42 2 12 2" xfId="38694" xr:uid="{27DE2DC8-BAFE-490B-A9AC-C7F92C8E67AF}"/>
    <cellStyle name="Note 42 2 13" xfId="17569" xr:uid="{F58453BF-D629-4C66-BF63-BDFD9707C96C}"/>
    <cellStyle name="Note 42 2 13 2" xfId="38815" xr:uid="{449D6D05-1D94-4416-B666-0657D4CDDCBC}"/>
    <cellStyle name="Note 42 2 14" xfId="19706" xr:uid="{4F4985B5-E9EB-4A21-A9D5-78150DCB5D5F}"/>
    <cellStyle name="Note 42 2 14 2" xfId="40323" xr:uid="{92296C38-D958-4F83-93CD-4CB4138069C9}"/>
    <cellStyle name="Note 42 2 15" xfId="10192" xr:uid="{4BCE43BB-8A9D-4DE9-85A4-6002BFCAF5AA}"/>
    <cellStyle name="Note 42 2 15 2" xfId="33846" xr:uid="{0D67469D-6E9C-473C-BE91-362400DC0EB9}"/>
    <cellStyle name="Note 42 2 16" xfId="21393" xr:uid="{98EC575A-0115-4883-A506-3A69C5EA9BA0}"/>
    <cellStyle name="Note 42 2 16 2" xfId="41522" xr:uid="{997FDBA2-F7EB-4EE5-9B9C-3C5BC07A8D1B}"/>
    <cellStyle name="Note 42 2 17" xfId="13958" xr:uid="{3E3EB8AB-021C-4BB7-BD1D-F6BAB176518C}"/>
    <cellStyle name="Note 42 2 17 2" xfId="36064" xr:uid="{4A526E39-BBED-4C35-BD5C-72A62E00F73B}"/>
    <cellStyle name="Note 42 2 18" xfId="18529" xr:uid="{C0D52145-F919-4523-88EC-CCFE6242D211}"/>
    <cellStyle name="Note 42 2 18 2" xfId="39481" xr:uid="{B0C6E1B0-CCA4-4E60-BD75-16BF567100AE}"/>
    <cellStyle name="Note 42 2 19" xfId="24703" xr:uid="{BAB4351D-1C6E-4695-8A25-46EB84A6EDD9}"/>
    <cellStyle name="Note 42 2 19 2" xfId="43848" xr:uid="{FDA59972-ADC2-468F-BC7E-08972E9476A8}"/>
    <cellStyle name="Note 42 2 2" xfId="7983" xr:uid="{0EB22F55-ED4C-432D-B254-F89981152500}"/>
    <cellStyle name="Note 42 2 2 2" xfId="32230" xr:uid="{E57C2A53-F078-4D21-99ED-AB14D0F43FF1}"/>
    <cellStyle name="Note 42 2 20" xfId="19933" xr:uid="{2D4F85E3-4049-4F57-A026-373CF04A0058}"/>
    <cellStyle name="Note 42 2 20 2" xfId="40545" xr:uid="{7E7F4994-BE04-40FE-9353-51C9346911CD}"/>
    <cellStyle name="Note 42 2 21" xfId="25353" xr:uid="{B38F817E-440E-44E9-AFAC-6AB249E663D3}"/>
    <cellStyle name="Note 42 2 21 2" xfId="44269" xr:uid="{59657145-2528-4913-B415-68F67365FA80}"/>
    <cellStyle name="Note 42 2 22" xfId="27966" xr:uid="{65374484-8440-4180-9CD5-471C75CBA5C2}"/>
    <cellStyle name="Note 42 2 22 2" xfId="46025" xr:uid="{D983CC5A-FECC-4BA4-BC7A-9D3E5E9946A3}"/>
    <cellStyle name="Note 42 2 23" xfId="28591" xr:uid="{79EAC376-E2B6-4668-BF84-78BCE478CE0E}"/>
    <cellStyle name="Note 42 2 23 2" xfId="46325" xr:uid="{924C540D-EBB7-4EEE-A2BB-DF8D5EE89339}"/>
    <cellStyle name="Note 42 2 24" xfId="22597" xr:uid="{9B1ED2A8-86D7-4159-B228-80EF072DB1AD}"/>
    <cellStyle name="Note 42 2 24 2" xfId="42383" xr:uid="{FE7DB706-D5DD-4479-89C8-4F95C437D1A6}"/>
    <cellStyle name="Note 42 2 25" xfId="27882" xr:uid="{7D24FE42-E5A5-4949-9A51-B2E5392B6929}"/>
    <cellStyle name="Note 42 2 25 2" xfId="45954" xr:uid="{CBE51DC1-40C9-4206-B6F2-EE81C345781F}"/>
    <cellStyle name="Note 42 2 26" xfId="27416" xr:uid="{8429397F-2955-4E38-BEBD-475F1618AD44}"/>
    <cellStyle name="Note 42 2 26 2" xfId="45671" xr:uid="{FB2C2335-D85B-4827-9603-2017A0D099F5}"/>
    <cellStyle name="Note 42 2 27" xfId="27677" xr:uid="{05B87AB4-E651-4CED-8973-B1E3C45E375C}"/>
    <cellStyle name="Note 42 2 27 2" xfId="45791" xr:uid="{82D7290F-843B-4003-84EE-FEC99A01AFCC}"/>
    <cellStyle name="Note 42 2 28" xfId="6550" xr:uid="{0BAD9BBA-DA58-4F6C-B25C-98C040663C66}"/>
    <cellStyle name="Note 42 2 3" xfId="13355" xr:uid="{2F22C669-24D0-446F-8905-EC65B5DC69F7}"/>
    <cellStyle name="Note 42 2 3 2" xfId="35662" xr:uid="{A8F788EA-8048-4558-881F-E7BFF83D040E}"/>
    <cellStyle name="Note 42 2 4" xfId="7644" xr:uid="{73656026-FA92-468D-8F62-09419BCFD1DF}"/>
    <cellStyle name="Note 42 2 4 2" xfId="31943" xr:uid="{98C55536-7070-415A-9B8C-8D823D379530}"/>
    <cellStyle name="Note 42 2 5" xfId="8764" xr:uid="{707ABC9E-15F9-4843-BE9F-F534476A8067}"/>
    <cellStyle name="Note 42 2 5 2" xfId="32893" xr:uid="{AC956AF3-5C73-4B81-9427-6FBA40960DBD}"/>
    <cellStyle name="Note 42 2 6" xfId="10476" xr:uid="{94AAB7D7-FC62-4E11-ADAB-EE6DAF0A2EAC}"/>
    <cellStyle name="Note 42 2 6 2" xfId="34111" xr:uid="{6DFD41D0-558A-4805-8A6E-330FC8EFF8A8}"/>
    <cellStyle name="Note 42 2 7" xfId="8439" xr:uid="{F3CF4CB5-0D95-481E-A587-B36608E0B4E9}"/>
    <cellStyle name="Note 42 2 7 2" xfId="32627" xr:uid="{2F88947E-F580-4AE5-800C-87644E07DE2E}"/>
    <cellStyle name="Note 42 2 8" xfId="10581" xr:uid="{3560EAE5-2926-4EE2-80DC-A2E85A974A1B}"/>
    <cellStyle name="Note 42 2 8 2" xfId="34207" xr:uid="{E95DDA51-5FFF-4F23-8C8E-2BCFF1512008}"/>
    <cellStyle name="Note 42 2 9" xfId="14275" xr:uid="{B473DC41-EF58-481B-B890-E2828A2B6839}"/>
    <cellStyle name="Note 42 2 9 2" xfId="36328" xr:uid="{4F4F2977-8B6D-4C8E-977F-8CFD5134BE11}"/>
    <cellStyle name="Note 42 20" xfId="25748" xr:uid="{F4AE915A-59DD-41EE-B7D2-2669643A0AFF}"/>
    <cellStyle name="Note 42 20 2" xfId="44585" xr:uid="{CAC59444-4E92-4944-9B3C-5749036E5F19}"/>
    <cellStyle name="Note 42 21" xfId="25188" xr:uid="{0CD48C35-29CC-4EDD-A348-3E87C4F1840C}"/>
    <cellStyle name="Note 42 21 2" xfId="44130" xr:uid="{7DBE3D6C-B05C-4D24-AE03-D2D733E0894E}"/>
    <cellStyle name="Note 42 22" xfId="18547" xr:uid="{B536F4D6-37B1-4A68-9BFD-C5A0191BFC2E}"/>
    <cellStyle name="Note 42 22 2" xfId="39494" xr:uid="{31DDEAB1-AB19-4015-BA2B-526C464961D6}"/>
    <cellStyle name="Note 42 23" xfId="18829" xr:uid="{BF073ED2-C981-47D5-9017-10472BCDDF42}"/>
    <cellStyle name="Note 42 23 2" xfId="39680" xr:uid="{1ABB48F7-7F90-4D5A-B44B-29907AC0BCD0}"/>
    <cellStyle name="Note 42 24" xfId="19510" xr:uid="{E0541ADE-6B11-4BE1-9A67-37196044854B}"/>
    <cellStyle name="Note 42 24 2" xfId="40187" xr:uid="{862EDAB1-6E74-4683-8B20-5E56DFA82950}"/>
    <cellStyle name="Note 42 25" xfId="26752" xr:uid="{F8845FC2-1144-4CFD-A23E-849DF254513F}"/>
    <cellStyle name="Note 42 25 2" xfId="45267" xr:uid="{28CCC2E3-F597-4915-B476-D2F3C137A1B0}"/>
    <cellStyle name="Note 42 26" xfId="24327" xr:uid="{3AED0F38-1AE5-4346-B99C-237EBDF3FA39}"/>
    <cellStyle name="Note 42 26 2" xfId="43592" xr:uid="{8ADA1275-411D-4EA5-A79B-83F7FFFA979C}"/>
    <cellStyle name="Note 42 27" xfId="22415" xr:uid="{76CDE94C-A232-4E7B-A8B4-9B66CA1E3A12}"/>
    <cellStyle name="Note 42 27 2" xfId="42229" xr:uid="{042B12CC-9D4D-49A0-B41B-FFD510D9C0AF}"/>
    <cellStyle name="Note 42 28" xfId="28269" xr:uid="{96752A54-5623-4259-B860-43FAA34CD4B8}"/>
    <cellStyle name="Note 42 28 2" xfId="46136" xr:uid="{F2D505FB-967F-47A3-82DC-4D1562AAA653}"/>
    <cellStyle name="Note 42 29" xfId="6549" xr:uid="{02AE539B-0E03-4543-837D-615BC834D969}"/>
    <cellStyle name="Note 42 3" xfId="7984" xr:uid="{FDDFEA91-8E7A-4FD7-A727-41F5AF0EEB21}"/>
    <cellStyle name="Note 42 3 2" xfId="32231" xr:uid="{B025A219-F883-41AF-94BE-983067B0927C}"/>
    <cellStyle name="Note 42 4" xfId="9400" xr:uid="{8DE60C20-20DF-438B-AADC-F1C77D21F88A}"/>
    <cellStyle name="Note 42 4 2" xfId="33383" xr:uid="{2A4E1586-A5D7-44BA-AE91-AF6CAD9D12A8}"/>
    <cellStyle name="Note 42 5" xfId="12053" xr:uid="{4955B86F-294A-462D-A219-318741D02523}"/>
    <cellStyle name="Note 42 5 2" xfId="34611" xr:uid="{E0192B14-9B4E-4C87-92F3-977BE933E750}"/>
    <cellStyle name="Note 42 6" xfId="8765" xr:uid="{CF557272-A16B-43D1-9BDD-2411B9ADAF73}"/>
    <cellStyle name="Note 42 6 2" xfId="32894" xr:uid="{A5A3396C-82F1-4FEF-A171-DF02F642831D}"/>
    <cellStyle name="Note 42 7" xfId="12995" xr:uid="{6053752E-2407-44E0-B390-E03D1D743402}"/>
    <cellStyle name="Note 42 7 2" xfId="35343" xr:uid="{028D007B-E059-443C-A923-86DEB04D3BB1}"/>
    <cellStyle name="Note 42 8" xfId="8440" xr:uid="{6B628339-E7E2-451B-9DCA-D024CB815737}"/>
    <cellStyle name="Note 42 8 2" xfId="32628" xr:uid="{7DF73B2B-9474-4D8C-A995-E6DC581D6BD7}"/>
    <cellStyle name="Note 42 9" xfId="14847" xr:uid="{A4DFC353-81BD-4B72-AE85-DBEEC5A69783}"/>
    <cellStyle name="Note 42 9 2" xfId="36722" xr:uid="{D869460A-AE1D-434B-B9FE-99AA57FC0F9A}"/>
    <cellStyle name="Note 43" xfId="3033" xr:uid="{6D126907-1536-49DB-A59D-A2CD38DA9FC8}"/>
    <cellStyle name="Note 43 10" xfId="7059" xr:uid="{9E6199D1-4F0E-4DAB-82F6-1442C64D844C}"/>
    <cellStyle name="Note 43 10 2" xfId="31426" xr:uid="{27208BAF-8B84-4E15-B16A-28379B59BD66}"/>
    <cellStyle name="Note 43 11" xfId="12332" xr:uid="{D148D4E5-F615-401C-A003-41D7F0353901}"/>
    <cellStyle name="Note 43 11 2" xfId="34836" xr:uid="{C3BC5C6A-071F-4A22-B2D7-00367420922F}"/>
    <cellStyle name="Note 43 12" xfId="16494" xr:uid="{5A13D761-A24E-46FB-94B6-FC0AA9F26F7D}"/>
    <cellStyle name="Note 43 12 2" xfId="37987" xr:uid="{C029B653-CC22-469C-B2DD-424860243CDA}"/>
    <cellStyle name="Note 43 13" xfId="13715" xr:uid="{134D4C1E-F2C4-475E-83E7-CEBD4EA15CC6}"/>
    <cellStyle name="Note 43 13 2" xfId="35871" xr:uid="{A8D5DFB7-857E-4963-B968-5291A0036EC1}"/>
    <cellStyle name="Note 43 14" xfId="12787" xr:uid="{CA261866-0398-4CC0-AE89-B40EE6F4CB6A}"/>
    <cellStyle name="Note 43 14 2" xfId="35192" xr:uid="{D258CD55-09F2-48D4-8076-ABE902871B34}"/>
    <cellStyle name="Note 43 15" xfId="21596" xr:uid="{BBA6ED5E-391C-4B16-B0F4-089E5F82090E}"/>
    <cellStyle name="Note 43 15 2" xfId="41680" xr:uid="{CFBAF68F-829A-4F09-9F2F-055B53871C44}"/>
    <cellStyle name="Note 43 16" xfId="16728" xr:uid="{A5ED3AC0-0BDF-4A82-A61E-371BA1F8DA83}"/>
    <cellStyle name="Note 43 16 2" xfId="38215" xr:uid="{6E071A80-85F2-4FFE-BF9C-ABEDD9F2980F}"/>
    <cellStyle name="Note 43 17" xfId="16983" xr:uid="{792A911B-EB7F-4BA6-8EFF-B6215B704C72}"/>
    <cellStyle name="Note 43 17 2" xfId="38343" xr:uid="{9586C266-7AB5-441A-A339-9FDEE19CCF46}"/>
    <cellStyle name="Note 43 18" xfId="25701" xr:uid="{F148EF06-73C7-4BAA-9F73-0A45EAE62D8D}"/>
    <cellStyle name="Note 43 18 2" xfId="44538" xr:uid="{BC690654-71BF-4613-8FFB-266A70B0591B}"/>
    <cellStyle name="Note 43 19" xfId="19036" xr:uid="{A726D916-53A9-4771-812D-117D755E672A}"/>
    <cellStyle name="Note 43 19 2" xfId="39868" xr:uid="{4FB6CA65-4994-4361-8E8F-E3AFA841E60F}"/>
    <cellStyle name="Note 43 2" xfId="3034" xr:uid="{9300DEED-B396-463A-850D-312BEE5D8F2E}"/>
    <cellStyle name="Note 43 2 10" xfId="15531" xr:uid="{183AE5FA-1A1D-4BEF-957B-C43D4F2BE30C}"/>
    <cellStyle name="Note 43 2 10 2" xfId="37196" xr:uid="{904B45C0-A8F5-4E54-8B7F-ABD64C581FDF}"/>
    <cellStyle name="Note 43 2 11" xfId="12559" xr:uid="{8E8D5CD4-4F69-41A9-AA86-171ECD1D029B}"/>
    <cellStyle name="Note 43 2 11 2" xfId="35003" xr:uid="{5390FECA-3173-4B73-9FEE-0F65CB5FF128}"/>
    <cellStyle name="Note 43 2 12" xfId="17446" xr:uid="{B5631C52-74B2-4CAF-9BBF-63F67FE6DEA4}"/>
    <cellStyle name="Note 43 2 12 2" xfId="38693" xr:uid="{077F8338-32AC-4E5A-ACB5-3F0F26D53214}"/>
    <cellStyle name="Note 43 2 13" xfId="17568" xr:uid="{46BBF2C7-4852-4E4A-9890-3623EF0E4F21}"/>
    <cellStyle name="Note 43 2 13 2" xfId="38814" xr:uid="{66B6DAC5-BB1F-494D-92F1-20CB8040E8AB}"/>
    <cellStyle name="Note 43 2 14" xfId="15710" xr:uid="{CE982097-22D3-495E-9F10-5A67C6B6E62F}"/>
    <cellStyle name="Note 43 2 14 2" xfId="37341" xr:uid="{B2E379BB-C6C4-4F99-8221-8D12A6D13D13}"/>
    <cellStyle name="Note 43 2 15" xfId="10230" xr:uid="{BD621B6E-21EA-4EDB-A0F0-26B04DF1096B}"/>
    <cellStyle name="Note 43 2 15 2" xfId="33865" xr:uid="{C1C7D647-E174-4EE8-B60D-47A2AF27F3FA}"/>
    <cellStyle name="Note 43 2 16" xfId="19600" xr:uid="{A9FC1188-8D42-4AB8-B29E-FE27C991C225}"/>
    <cellStyle name="Note 43 2 16 2" xfId="40240" xr:uid="{E10AD84B-8AEE-4E1F-9942-4E10BC114785}"/>
    <cellStyle name="Note 43 2 17" xfId="24102" xr:uid="{30760FAF-6CEE-437C-9CA7-FE59F996D3D5}"/>
    <cellStyle name="Note 43 2 17 2" xfId="43478" xr:uid="{117BE9F6-0627-4CF7-9298-E15ADE9F3DF4}"/>
    <cellStyle name="Note 43 2 18" xfId="22457" xr:uid="{54E6CA5B-4073-42FE-9B90-B77EF242109D}"/>
    <cellStyle name="Note 43 2 18 2" xfId="42259" xr:uid="{8645662C-3609-415B-81A7-4D2D80390147}"/>
    <cellStyle name="Note 43 2 19" xfId="18773" xr:uid="{50FFF555-6CE0-47C6-9786-EB024946EFF8}"/>
    <cellStyle name="Note 43 2 19 2" xfId="39640" xr:uid="{E5FC5F9A-C278-4ECB-BFF8-A051C769C645}"/>
    <cellStyle name="Note 43 2 2" xfId="7981" xr:uid="{2710024E-FDC1-4684-BC85-D977D8BA2A22}"/>
    <cellStyle name="Note 43 2 2 2" xfId="32228" xr:uid="{D7D49E8F-C6FA-47F3-9520-892C6201160E}"/>
    <cellStyle name="Note 43 2 20" xfId="23550" xr:uid="{65C955FA-7D62-4AE5-ABA8-C69062ABEF2C}"/>
    <cellStyle name="Note 43 2 20 2" xfId="42991" xr:uid="{BD3560FF-95BE-4AC8-85CA-B971E8494E25}"/>
    <cellStyle name="Note 43 2 21" xfId="21973" xr:uid="{C38386E4-A5F2-4788-A6DF-DE4298767060}"/>
    <cellStyle name="Note 43 2 21 2" xfId="41880" xr:uid="{35F93E3B-6D4C-402C-AF51-DA251E328A1C}"/>
    <cellStyle name="Note 43 2 22" xfId="27969" xr:uid="{2E8E31D2-BCF5-4D98-AD96-F5E4D36DD69F}"/>
    <cellStyle name="Note 43 2 22 2" xfId="46028" xr:uid="{9A7DCAAE-1575-439D-8255-10C58CE1969A}"/>
    <cellStyle name="Note 43 2 23" xfId="27151" xr:uid="{A01D84E4-1BC7-4E3A-9CB1-0037BFE111F8}"/>
    <cellStyle name="Note 43 2 23 2" xfId="45492" xr:uid="{785D1CA7-D461-472C-BD35-F851D4F3C74A}"/>
    <cellStyle name="Note 43 2 24" xfId="26307" xr:uid="{77F26D31-9528-4164-8EBD-ED8DBAA92A34}"/>
    <cellStyle name="Note 43 2 24 2" xfId="44997" xr:uid="{1D057C48-9CFE-4D31-9FE5-02FE2561AACC}"/>
    <cellStyle name="Note 43 2 25" xfId="28226" xr:uid="{DB443720-F5E5-48E4-9AE5-AEA732DC3B03}"/>
    <cellStyle name="Note 43 2 25 2" xfId="46109" xr:uid="{6406B430-321B-4CC1-B4BC-202FB9C05C43}"/>
    <cellStyle name="Note 43 2 26" xfId="29970" xr:uid="{83BAB901-DA80-4F08-9F0C-0E7DDA34D3C7}"/>
    <cellStyle name="Note 43 2 26 2" xfId="47226" xr:uid="{3C4E7F0C-71E4-485A-A1DF-BC0B16B71B83}"/>
    <cellStyle name="Note 43 2 27" xfId="25237" xr:uid="{1C9237C6-740D-47AC-8405-D3AB7239BE9F}"/>
    <cellStyle name="Note 43 2 27 2" xfId="44167" xr:uid="{8112D318-C9E3-4723-B63B-989B4A81D4A9}"/>
    <cellStyle name="Note 43 2 28" xfId="6552" xr:uid="{41EF969C-7048-44E4-9783-8399B7037B71}"/>
    <cellStyle name="Note 43 2 3" xfId="13354" xr:uid="{A2196831-0A3A-412A-9F13-747CA63BF073}"/>
    <cellStyle name="Note 43 2 3 2" xfId="35661" xr:uid="{52C63333-C438-41E1-8040-EEF88857F710}"/>
    <cellStyle name="Note 43 2 4" xfId="7643" xr:uid="{90421057-1CD9-4F3E-B7FC-B73DF486376B}"/>
    <cellStyle name="Note 43 2 4 2" xfId="31942" xr:uid="{5C9ED681-711B-4ED4-99E5-79F7D4B407EA}"/>
    <cellStyle name="Note 43 2 5" xfId="8762" xr:uid="{2DA49C0B-E3BC-4B1F-81C7-7423621B4A60}"/>
    <cellStyle name="Note 43 2 5 2" xfId="32891" xr:uid="{ED72F9E5-69AE-4A73-9D1D-74E2CABD4D2F}"/>
    <cellStyle name="Note 43 2 6" xfId="10477" xr:uid="{9FFDCA91-845B-44F8-AAFF-2646D03C0E78}"/>
    <cellStyle name="Note 43 2 6 2" xfId="34112" xr:uid="{2315B48B-D63D-4954-9603-D0FE8B11121B}"/>
    <cellStyle name="Note 43 2 7" xfId="8437" xr:uid="{E3F355AC-E5A8-4C37-9C13-3CE7F514C6F3}"/>
    <cellStyle name="Note 43 2 7 2" xfId="32625" xr:uid="{DDE18D64-5256-4EA1-A632-DF667FE44F5A}"/>
    <cellStyle name="Note 43 2 8" xfId="12903" xr:uid="{5017275C-D2A5-44D3-A60D-216C0422DB1B}"/>
    <cellStyle name="Note 43 2 8 2" xfId="35259" xr:uid="{294E59A5-7328-47D2-AE44-89DAD07D6DCE}"/>
    <cellStyle name="Note 43 2 9" xfId="14258" xr:uid="{E1959BF9-C34F-413F-A817-D48D074613A7}"/>
    <cellStyle name="Note 43 2 9 2" xfId="36311" xr:uid="{A9986F40-529C-494A-8BCE-729063313F1E}"/>
    <cellStyle name="Note 43 20" xfId="22860" xr:uid="{AD063626-9920-4285-B9AF-03E2D62A37DC}"/>
    <cellStyle name="Note 43 20 2" xfId="42578" xr:uid="{F887F4CF-7CF6-41F5-B4EC-D61B2756B1D3}"/>
    <cellStyle name="Note 43 21" xfId="22722" xr:uid="{DE4F1135-B9B0-43AC-84EA-1AF8D1CDABE4}"/>
    <cellStyle name="Note 43 21 2" xfId="42479" xr:uid="{3D7330FF-579C-41DC-8F9E-E3DB666D3474}"/>
    <cellStyle name="Note 43 22" xfId="24507" xr:uid="{3B7E1518-C032-4C40-9E03-8ADA6BF55D0D}"/>
    <cellStyle name="Note 43 22 2" xfId="43690" xr:uid="{94710724-49AC-4DE0-AC7C-86CFBA7677BB}"/>
    <cellStyle name="Note 43 23" xfId="23215" xr:uid="{59D60382-7D22-40A0-AE73-72927BB31742}"/>
    <cellStyle name="Note 43 23 2" xfId="42808" xr:uid="{A590E201-722D-4FFA-ACDE-CA3D9909CF87}"/>
    <cellStyle name="Note 43 24" xfId="29517" xr:uid="{D414B508-4032-4EF6-8EED-58177BEFC8CF}"/>
    <cellStyle name="Note 43 24 2" xfId="46925" xr:uid="{97E2D8CB-874F-4561-A900-DBF78AD64DA5}"/>
    <cellStyle name="Note 43 25" xfId="18556" xr:uid="{78EF2513-DC91-4D85-B0EF-D2A34F483F5C}"/>
    <cellStyle name="Note 43 25 2" xfId="39500" xr:uid="{D7474CF0-675E-43F7-A696-7DF9450B095A}"/>
    <cellStyle name="Note 43 26" xfId="25954" xr:uid="{7916E41B-13A6-4384-9214-CC5F1EADD485}"/>
    <cellStyle name="Note 43 26 2" xfId="44745" xr:uid="{2C34716C-6285-466F-9445-2280F388561C}"/>
    <cellStyle name="Note 43 27" xfId="29743" xr:uid="{89F337E4-FE6B-4ED4-BF84-124EB6A2AF3A}"/>
    <cellStyle name="Note 43 27 2" xfId="47065" xr:uid="{B9815E85-53F7-46EE-8706-74D04F9F90C1}"/>
    <cellStyle name="Note 43 28" xfId="26957" xr:uid="{B2A06DC0-F54A-486B-891C-6A5CE66776F3}"/>
    <cellStyle name="Note 43 28 2" xfId="45364" xr:uid="{3E148E36-B249-4C05-8C36-C4DB341E80ED}"/>
    <cellStyle name="Note 43 29" xfId="6551" xr:uid="{991DC6A6-6E90-4498-A02E-AFC4FD7CB51F}"/>
    <cellStyle name="Note 43 3" xfId="7982" xr:uid="{5F065D48-02A5-44EA-B287-D3FD084CD351}"/>
    <cellStyle name="Note 43 3 2" xfId="32229" xr:uid="{ABC6E973-FEDB-41C3-A6B9-55C1C8202FAE}"/>
    <cellStyle name="Note 43 4" xfId="9401" xr:uid="{8CC59D5D-791B-4EC6-BF11-9136812DD369}"/>
    <cellStyle name="Note 43 4 2" xfId="33384" xr:uid="{07B4F4E4-EABB-4DE6-9098-AFBEAA6DFCAE}"/>
    <cellStyle name="Note 43 5" xfId="12052" xr:uid="{35186702-0119-4ED2-8D3C-AAB3DE9BE869}"/>
    <cellStyle name="Note 43 5 2" xfId="34610" xr:uid="{40827FC5-B6CD-428E-962C-92235335867B}"/>
    <cellStyle name="Note 43 6" xfId="8763" xr:uid="{B6D783E4-10F5-47DB-BD4D-CF753501F077}"/>
    <cellStyle name="Note 43 6 2" xfId="32892" xr:uid="{D974C508-2DC6-480E-A5F8-DA017629D8ED}"/>
    <cellStyle name="Note 43 7" xfId="12994" xr:uid="{F1182132-2C0D-423A-89A9-41839A6A5F34}"/>
    <cellStyle name="Note 43 7 2" xfId="35342" xr:uid="{244CF4E2-C1C9-4507-992B-6C84E78D3113}"/>
    <cellStyle name="Note 43 8" xfId="8438" xr:uid="{6E65CE09-224E-4C0B-AF74-111A3DBA35A1}"/>
    <cellStyle name="Note 43 8 2" xfId="32626" xr:uid="{71C9E4DD-AB2E-4DF6-844B-831BD06EEED9}"/>
    <cellStyle name="Note 43 9" xfId="14846" xr:uid="{90C22EAE-C133-49DC-8775-7171F4727430}"/>
    <cellStyle name="Note 43 9 2" xfId="36721" xr:uid="{03AD4C1A-7194-4BBF-A7FE-3739878B33A9}"/>
    <cellStyle name="Note 44" xfId="3035" xr:uid="{F8556635-E552-4C45-B2FD-DD417E96325D}"/>
    <cellStyle name="Note 44 10" xfId="14274" xr:uid="{F26C2A96-1409-4FD2-ACF9-C1F45AEDD31F}"/>
    <cellStyle name="Note 44 10 2" xfId="36327" xr:uid="{EB10D44C-AE21-4A3B-A756-7533951FF50E}"/>
    <cellStyle name="Note 44 11" xfId="16021" xr:uid="{AB93650C-8EDB-4E34-B5CE-1FABDC4E2459}"/>
    <cellStyle name="Note 44 11 2" xfId="37604" xr:uid="{1690B4DE-3097-4E98-882E-A96699D3E845}"/>
    <cellStyle name="Note 44 12" xfId="16493" xr:uid="{B03B13C9-E793-46E6-B7C3-7FB2F63AD2B7}"/>
    <cellStyle name="Note 44 12 2" xfId="37986" xr:uid="{90FFEC35-5EB7-4157-B7E2-B2B06BFB4A38}"/>
    <cellStyle name="Note 44 13" xfId="15629" xr:uid="{E27B2806-B408-46A8-B86F-F4AB4872E266}"/>
    <cellStyle name="Note 44 13 2" xfId="37287" xr:uid="{677C719E-EC0C-468F-82DD-DF7CB8BC8B26}"/>
    <cellStyle name="Note 44 14" xfId="9896" xr:uid="{0D22D619-AF30-47A7-89F6-05302592DD73}"/>
    <cellStyle name="Note 44 14 2" xfId="33642" xr:uid="{B0E6BD88-7C83-400D-9A7C-7D9DF4B2AE56}"/>
    <cellStyle name="Note 44 15" xfId="21595" xr:uid="{31CD3EF9-67F0-4718-A08D-93242ABB506D}"/>
    <cellStyle name="Note 44 15 2" xfId="41679" xr:uid="{A9AF22FB-CABF-4742-BAB3-40FD45F1F48B}"/>
    <cellStyle name="Note 44 16" xfId="13260" xr:uid="{CA903C38-3276-436D-BEFD-B9C5C54872F5}"/>
    <cellStyle name="Note 44 16 2" xfId="35585" xr:uid="{266D17C5-890C-47A4-A1DC-FCBC9AEFDCD3}"/>
    <cellStyle name="Note 44 17" xfId="21392" xr:uid="{C06CD86A-E82D-4C88-89E6-1479E0D2EB3A}"/>
    <cellStyle name="Note 44 17 2" xfId="41521" xr:uid="{647166BA-3A19-40B1-B939-6848ED8568F4}"/>
    <cellStyle name="Note 44 18" xfId="18293" xr:uid="{6EFE82E5-A5D8-4D4F-9579-664BF8EA8B6A}"/>
    <cellStyle name="Note 44 18 2" xfId="39324" xr:uid="{4780E72D-7BA4-467A-8358-0DE486FAF589}"/>
    <cellStyle name="Note 44 19" xfId="19051" xr:uid="{56C9D2B2-FE86-459A-BFDC-15CD8578D26E}"/>
    <cellStyle name="Note 44 19 2" xfId="39883" xr:uid="{09E8CD88-427A-436F-B5D3-B8DE9881B45B}"/>
    <cellStyle name="Note 44 2" xfId="3036" xr:uid="{28E33D32-0AAD-4F79-8308-A4D39D119858}"/>
    <cellStyle name="Note 44 2 10" xfId="12340" xr:uid="{778122A9-0E7C-429C-B794-F65B0CF40B51}"/>
    <cellStyle name="Note 44 2 10 2" xfId="34844" xr:uid="{8F5F0ADA-898D-4B2A-B292-373976CAF21B}"/>
    <cellStyle name="Note 44 2 11" xfId="14006" xr:uid="{A357515F-1258-4A75-BC7B-B06B6CF31C77}"/>
    <cellStyle name="Note 44 2 11 2" xfId="36100" xr:uid="{5BDDD5E2-9747-4C51-A564-826DA2CC01B3}"/>
    <cellStyle name="Note 44 2 12" xfId="17445" xr:uid="{5C44170D-133E-443B-9BD5-FFE79A7B941A}"/>
    <cellStyle name="Note 44 2 12 2" xfId="38692" xr:uid="{FDFA1E5E-FE8D-4127-86DC-3F579A14CA7C}"/>
    <cellStyle name="Note 44 2 13" xfId="9897" xr:uid="{A94F13AE-D172-4D78-953B-C5951CEFE852}"/>
    <cellStyle name="Note 44 2 13 2" xfId="33643" xr:uid="{2FCEAE4F-96FF-434C-8D9C-B8F30A44D0E2}"/>
    <cellStyle name="Note 44 2 14" xfId="19705" xr:uid="{B2237CC7-DAF9-41A3-914C-BDA204E40DE2}"/>
    <cellStyle name="Note 44 2 14 2" xfId="40322" xr:uid="{7D843392-57F1-4D45-8C23-1AF1618C2F1C}"/>
    <cellStyle name="Note 44 2 15" xfId="10216" xr:uid="{82EEA51A-BBBA-4EEF-8738-1A14EF40ABEE}"/>
    <cellStyle name="Note 44 2 15 2" xfId="33851" xr:uid="{A4685406-3BC3-413C-B5F2-55BC4A0B116F}"/>
    <cellStyle name="Note 44 2 16" xfId="22527" xr:uid="{476487D0-686F-4B41-A5EC-CCCADB58F620}"/>
    <cellStyle name="Note 44 2 16 2" xfId="42326" xr:uid="{B9937A10-4F47-44BF-AE2E-C3C2B9D3BD1D}"/>
    <cellStyle name="Note 44 2 17" xfId="16299" xr:uid="{A3B588DD-967F-49D3-B6A5-4061EC67A6E2}"/>
    <cellStyle name="Note 44 2 17 2" xfId="37836" xr:uid="{0C9AF140-85AB-461B-A3E1-33E421D6DCE9}"/>
    <cellStyle name="Note 44 2 18" xfId="17133" xr:uid="{1CE4942D-595D-4F38-9DE6-8D504E98C77F}"/>
    <cellStyle name="Note 44 2 18 2" xfId="38472" xr:uid="{DD70B3FE-A031-483B-807E-4C5C64048A60}"/>
    <cellStyle name="Note 44 2 19" xfId="24202" xr:uid="{954A8BA3-1712-45D8-8C72-7523853A00F0}"/>
    <cellStyle name="Note 44 2 19 2" xfId="43525" xr:uid="{31D802C2-8428-4B8F-AFDE-A5EC94F6697E}"/>
    <cellStyle name="Note 44 2 2" xfId="7979" xr:uid="{717F1311-E45D-43F7-AADE-FD0E7D650A62}"/>
    <cellStyle name="Note 44 2 2 2" xfId="32226" xr:uid="{CCF73E7B-4EBD-41CC-94D0-4681BBEA6CAF}"/>
    <cellStyle name="Note 44 2 20" xfId="23558" xr:uid="{267831E7-9C5E-4DA1-95F7-F91735C64E8D}"/>
    <cellStyle name="Note 44 2 20 2" xfId="42997" xr:uid="{C505005F-7CA4-4F9D-956E-560C16E0EC80}"/>
    <cellStyle name="Note 44 2 21" xfId="25354" xr:uid="{18E32969-76C2-46B4-A617-72AEC29273AC}"/>
    <cellStyle name="Note 44 2 21 2" xfId="44270" xr:uid="{89766FBB-8784-4558-A1CA-8EA96D1CD18C}"/>
    <cellStyle name="Note 44 2 22" xfId="27968" xr:uid="{66E93FAE-1141-482B-AC5A-D60DA79F74F7}"/>
    <cellStyle name="Note 44 2 22 2" xfId="46027" xr:uid="{913F145C-5781-4453-A22F-A5FA939E8208}"/>
    <cellStyle name="Note 44 2 23" xfId="21913" xr:uid="{89FE61BF-5500-4EDC-AE42-0DE35B644BA9}"/>
    <cellStyle name="Note 44 2 23 2" xfId="41834" xr:uid="{C48793B0-EF29-4228-9F38-2A656862C5BF}"/>
    <cellStyle name="Note 44 2 24" xfId="26306" xr:uid="{05BF12EE-3DA9-4C72-AB8B-581403EBFEA9}"/>
    <cellStyle name="Note 44 2 24 2" xfId="44996" xr:uid="{FFD9F042-D110-4704-8700-4F11613AD2E2}"/>
    <cellStyle name="Note 44 2 25" xfId="27881" xr:uid="{E3BB18F0-08D4-49AA-B1CC-3DA1652E8335}"/>
    <cellStyle name="Note 44 2 25 2" xfId="45953" xr:uid="{ACDB285A-D638-4F46-A62F-E6141C899784}"/>
    <cellStyle name="Note 44 2 26" xfId="23032" xr:uid="{1CED207B-D4E5-4D78-B926-B1EECD27B79A}"/>
    <cellStyle name="Note 44 2 26 2" xfId="42666" xr:uid="{99DE15A9-4A9A-4A6B-AAD8-504F0828CD0D}"/>
    <cellStyle name="Note 44 2 27" xfId="26831" xr:uid="{04BDE50C-63A4-4E38-8C64-782D6F035D13}"/>
    <cellStyle name="Note 44 2 27 2" xfId="45302" xr:uid="{C0C3A9C9-0287-4508-A7B9-400F3D06C807}"/>
    <cellStyle name="Note 44 2 28" xfId="6554" xr:uid="{CD3E8822-BEC6-4387-89A5-97AE1D106F4A}"/>
    <cellStyle name="Note 44 2 3" xfId="9403" xr:uid="{DBF00223-8FEC-4D0D-B30A-745A398AE9D4}"/>
    <cellStyle name="Note 44 2 3 2" xfId="33386" xr:uid="{E8F66A3D-08AC-43E9-8C6E-5F3A83B57164}"/>
    <cellStyle name="Note 44 2 4" xfId="7642" xr:uid="{C88CE3DA-50B3-4A9A-91E2-4844AC993A92}"/>
    <cellStyle name="Note 44 2 4 2" xfId="31941" xr:uid="{6ABA80C8-F32C-4FC6-B07B-7049D4718B16}"/>
    <cellStyle name="Note 44 2 5" xfId="8760" xr:uid="{F6AB7BD1-BAA0-453C-BB8B-F6A42601C521}"/>
    <cellStyle name="Note 44 2 5 2" xfId="32889" xr:uid="{9770BC25-7CA6-4C6A-BAC6-C35166FDA58D}"/>
    <cellStyle name="Note 44 2 6" xfId="10478" xr:uid="{FB3722A1-D579-4277-9C22-4D40F3131DC4}"/>
    <cellStyle name="Note 44 2 6 2" xfId="34113" xr:uid="{D5BCD5D5-355B-43B9-ACA0-8023BE77D369}"/>
    <cellStyle name="Note 44 2 7" xfId="8435" xr:uid="{EE34C45A-1A61-451B-88ED-13E3325C7A02}"/>
    <cellStyle name="Note 44 2 7 2" xfId="32623" xr:uid="{1EDDC847-BD13-411A-AAA2-F0AF075A5481}"/>
    <cellStyle name="Note 44 2 8" xfId="12898" xr:uid="{1C0BF2E7-79C9-4339-B771-56CE2ED2ED15}"/>
    <cellStyle name="Note 44 2 8 2" xfId="35254" xr:uid="{A8ABBD39-C729-4B0D-B488-181D79507344}"/>
    <cellStyle name="Note 44 2 9" xfId="7058" xr:uid="{82E8AD9E-9CDB-4D0B-A645-7431F8477052}"/>
    <cellStyle name="Note 44 2 9 2" xfId="31425" xr:uid="{B9C4CBCB-5DD9-4237-BB6D-018C8A17838D}"/>
    <cellStyle name="Note 44 20" xfId="24689" xr:uid="{4A0A6E01-1830-472C-A5FA-AB646FEDDC44}"/>
    <cellStyle name="Note 44 20 2" xfId="43834" xr:uid="{02BC1B3E-3D47-4AE8-B6F0-08DC5C308B25}"/>
    <cellStyle name="Note 44 21" xfId="21130" xr:uid="{1927F1D8-5959-4FCA-B659-0B1DA2BD9F5F}"/>
    <cellStyle name="Note 44 21 2" xfId="41336" xr:uid="{B8996BA0-3448-42B4-AADE-9316D8CBB829}"/>
    <cellStyle name="Note 44 22" xfId="25801" xr:uid="{960CBD9C-6209-4192-9319-1157E3851DBF}"/>
    <cellStyle name="Note 44 22 2" xfId="44629" xr:uid="{F58E7F20-0525-4B61-8C6D-970E38A340F2}"/>
    <cellStyle name="Note 44 23" xfId="20501" xr:uid="{48FE7BE5-F227-4EB8-8A20-90FD1F3BC185}"/>
    <cellStyle name="Note 44 23 2" xfId="40891" xr:uid="{179D476F-0BB5-44A7-8AE7-88AB0382EE78}"/>
    <cellStyle name="Note 44 24" xfId="28590" xr:uid="{D21049CD-4FAF-4CB4-A8CB-6557F20B25F7}"/>
    <cellStyle name="Note 44 24 2" xfId="46324" xr:uid="{57B7D607-F416-4F3F-A869-1662372DF4B9}"/>
    <cellStyle name="Note 44 25" xfId="26751" xr:uid="{C70D3A3C-F017-4EB3-9117-E80ED654DFAD}"/>
    <cellStyle name="Note 44 25 2" xfId="45266" xr:uid="{F44BA097-AA1A-46AE-AB57-0CAF4B7BB1E8}"/>
    <cellStyle name="Note 44 26" xfId="29153" xr:uid="{52232EAD-2E15-446A-95A6-3C1CE0CA435F}"/>
    <cellStyle name="Note 44 26 2" xfId="46685" xr:uid="{A74AEA82-11FC-49D5-8AE5-FD0B697A031D}"/>
    <cellStyle name="Note 44 27" xfId="30125" xr:uid="{C898FF91-80F9-4936-9C0E-70243BAA9BE0}"/>
    <cellStyle name="Note 44 27 2" xfId="47296" xr:uid="{B0636510-07FA-4A5D-94D6-9A9A3E8DEA61}"/>
    <cellStyle name="Note 44 28" xfId="29598" xr:uid="{0BA1CC04-F6E9-44CE-BBE5-DCD308F50EA0}"/>
    <cellStyle name="Note 44 28 2" xfId="46993" xr:uid="{171F27E3-3464-4BFF-A6F4-5E7B48B68653}"/>
    <cellStyle name="Note 44 29" xfId="6553" xr:uid="{10275023-E814-4EF8-94B9-73BA317B1474}"/>
    <cellStyle name="Note 44 3" xfId="7980" xr:uid="{66C7806F-D8DE-4440-B251-F1A35C960279}"/>
    <cellStyle name="Note 44 3 2" xfId="32227" xr:uid="{CB09FB62-507B-4889-ADEA-03876016814C}"/>
    <cellStyle name="Note 44 4" xfId="9402" xr:uid="{8240A5B3-7EFD-4ED9-B747-3FF88571A5F1}"/>
    <cellStyle name="Note 44 4 2" xfId="33385" xr:uid="{384A0A3C-87F8-4130-B0D0-26C921C3DC99}"/>
    <cellStyle name="Note 44 5" xfId="12051" xr:uid="{F949F064-32C6-4608-9B9E-33AB6FC1A6E3}"/>
    <cellStyle name="Note 44 5 2" xfId="34609" xr:uid="{060CC8F5-3208-4935-AE0F-16E3DD3BC8F4}"/>
    <cellStyle name="Note 44 6" xfId="8761" xr:uid="{CD7C3382-CB11-4689-9346-6B989DF58947}"/>
    <cellStyle name="Note 44 6 2" xfId="32890" xr:uid="{56684315-835F-40F8-93BD-EAC6126CAAB3}"/>
    <cellStyle name="Note 44 7" xfId="12993" xr:uid="{44C8CD93-E3BF-43EC-AC2E-5E1D63D51A31}"/>
    <cellStyle name="Note 44 7 2" xfId="35341" xr:uid="{D9530555-133C-4E52-AEAC-C6F2E3D86CB4}"/>
    <cellStyle name="Note 44 8" xfId="8436" xr:uid="{CA78B8CA-8375-41AC-9FE6-853EDA195D58}"/>
    <cellStyle name="Note 44 8 2" xfId="32624" xr:uid="{60F7224A-593F-4D0F-BB84-571D9BC994F0}"/>
    <cellStyle name="Note 44 9" xfId="14845" xr:uid="{AADA3FCD-6478-4649-912A-2FCE2D9659B1}"/>
    <cellStyle name="Note 44 9 2" xfId="36720" xr:uid="{43D43CCF-F6E6-46A0-B199-063011A01EEF}"/>
    <cellStyle name="Note 45" xfId="5676" xr:uid="{64C37C52-B05D-4867-A1D2-FEC4B892087C}"/>
    <cellStyle name="Note 45 10" xfId="20050" xr:uid="{6BF0D918-26EC-4F32-99DA-6F3D1D7F5B06}"/>
    <cellStyle name="Note 45 10 2" xfId="40610" xr:uid="{71FB7F6B-E044-474F-A74B-5239773D9682}"/>
    <cellStyle name="Note 45 11" xfId="20820" xr:uid="{F378049C-4C03-42F4-B5BF-4DC041654D30}"/>
    <cellStyle name="Note 45 11 2" xfId="41178" xr:uid="{77591D1B-7EFF-4F6C-9914-0CEED61A1A00}"/>
    <cellStyle name="Note 45 12" xfId="21665" xr:uid="{094046FA-73AA-47FA-9816-AA4EFCAB2D5A}"/>
    <cellStyle name="Note 45 12 2" xfId="41738" xr:uid="{E247230C-49C5-4323-BFFD-44E05D5A2623}"/>
    <cellStyle name="Note 45 13" xfId="18651" xr:uid="{DA6EBA72-8589-4A5A-A8F6-05D8D217FC6A}"/>
    <cellStyle name="Note 45 13 2" xfId="39545" xr:uid="{D2A53E4B-4E2D-4052-AEE5-D603EDE3F2EE}"/>
    <cellStyle name="Note 45 14" xfId="23329" xr:uid="{7AF42151-FA0D-4002-B40F-3A44F13AD9F3}"/>
    <cellStyle name="Note 45 14 2" xfId="42899" xr:uid="{89DA52BF-0912-4CA5-A7F0-674A03810EBA}"/>
    <cellStyle name="Note 45 15" xfId="24132" xr:uid="{B27C79D5-A1E0-41A8-BF92-7830BB0BE004}"/>
    <cellStyle name="Note 45 15 2" xfId="43506" xr:uid="{DDC75E08-15DB-4F94-9A0E-B00FD4297437}"/>
    <cellStyle name="Note 45 16" xfId="24959" xr:uid="{79A9754E-5FD7-4A38-954D-CE1386B8882A}"/>
    <cellStyle name="Note 45 16 2" xfId="44041" xr:uid="{AF9B4303-D2FB-4D07-A887-A864203936C4}"/>
    <cellStyle name="Note 45 17" xfId="25254" xr:uid="{A451E4E3-AAA9-44F6-B018-0C42D40E83BA}"/>
    <cellStyle name="Note 45 17 2" xfId="44176" xr:uid="{05F6DAF5-A613-49CE-8480-AE461C1E6B7B}"/>
    <cellStyle name="Note 45 18" xfId="26729" xr:uid="{A84F4C62-6F7F-4361-A46F-E487EE4FABC4}"/>
    <cellStyle name="Note 45 18 2" xfId="45259" xr:uid="{3A658C84-3299-48DB-A20B-F8F02737D03B}"/>
    <cellStyle name="Note 45 19" xfId="27431" xr:uid="{00900C6C-0308-48DB-AD01-D4DAFA928834}"/>
    <cellStyle name="Note 45 19 2" xfId="45679" xr:uid="{AC09B257-7162-48DE-AAFC-7ECADA0B39AB}"/>
    <cellStyle name="Note 45 2" xfId="13402" xr:uid="{4FFBD0D8-3E58-4318-AAEC-46AD7E7CB0AD}"/>
    <cellStyle name="Note 45 2 2" xfId="35709" xr:uid="{23B6B00D-AC42-4AAF-97DA-C26628A6E66B}"/>
    <cellStyle name="Note 45 20" xfId="27973" xr:uid="{6B3DF06D-44D5-422B-9D64-483563A96F4E}"/>
    <cellStyle name="Note 45 20 2" xfId="46030" xr:uid="{1D980146-F5D2-4AE2-866E-A23EE7BADB9B}"/>
    <cellStyle name="Note 45 21" xfId="28698" xr:uid="{84CA2D91-A269-4D74-B367-8E3BFC1F4E02}"/>
    <cellStyle name="Note 45 21 2" xfId="46429" xr:uid="{A67902C3-62D7-4F90-BB14-2D22CF224806}"/>
    <cellStyle name="Note 45 22" xfId="29160" xr:uid="{6175B564-D8F5-48D6-9505-EACDA0AA54EA}"/>
    <cellStyle name="Note 45 22 2" xfId="46688" xr:uid="{98B1F8BF-7A5E-45D5-8E3E-C5F7EBE84136}"/>
    <cellStyle name="Note 45 23" xfId="29662" xr:uid="{74B72287-CDA6-4662-AE60-7E1D42502424}"/>
    <cellStyle name="Note 45 23 2" xfId="47029" xr:uid="{FC80CE04-38A0-4F38-BA0B-48E33F4AF516}"/>
    <cellStyle name="Note 45 24" xfId="26458" xr:uid="{3A521DAF-52BD-4953-A529-4E6D1A9E734A}"/>
    <cellStyle name="Note 45 24 2" xfId="45084" xr:uid="{B8A50CC2-1B91-4885-9922-427E6FB5800D}"/>
    <cellStyle name="Note 45 25" xfId="30781" xr:uid="{D53A5D55-5057-42A9-99EA-CCB7CCA32532}"/>
    <cellStyle name="Note 45 25 2" xfId="47720" xr:uid="{B470ADAC-257D-41CD-B9D1-EF77E3B7F9FF}"/>
    <cellStyle name="Note 45 26" xfId="31116" xr:uid="{62923CF2-9BB8-443E-A503-02EAD14438D0}"/>
    <cellStyle name="Note 45 26 2" xfId="47844" xr:uid="{E0B2C04B-D582-41A1-B80D-92938F0D3ACD}"/>
    <cellStyle name="Note 45 27" xfId="31224" xr:uid="{0471228C-D011-41FC-9623-ADC81C58A3A7}"/>
    <cellStyle name="Note 45 27 2" xfId="47853" xr:uid="{B5E5DC00-3A21-4081-A282-9A98D37C16ED}"/>
    <cellStyle name="Note 45 28" xfId="6832" xr:uid="{14D1486A-CA3B-4A3B-9F96-8691427D2C37}"/>
    <cellStyle name="Note 45 3" xfId="14332" xr:uid="{93FB8640-A729-4463-8A24-BD4E8CBF7387}"/>
    <cellStyle name="Note 45 3 2" xfId="36373" xr:uid="{E553B7F9-D163-4CC6-B541-F2D3D6E6A86D}"/>
    <cellStyle name="Note 45 4" xfId="15088" xr:uid="{49B618CC-514B-4D46-A629-1FDF44E014BA}"/>
    <cellStyle name="Note 45 4 2" xfId="36933" xr:uid="{935A558B-D230-4EA6-A14C-828C1F5DE8CB}"/>
    <cellStyle name="Note 45 5" xfId="12794" xr:uid="{F590FED1-EC54-4066-8EAB-CC4E2E0E2ED2}"/>
    <cellStyle name="Note 45 5 2" xfId="35196" xr:uid="{AD3C9A93-383A-4309-86D2-46FF9D63CE68}"/>
    <cellStyle name="Note 45 6" xfId="16732" xr:uid="{6FB8FA93-D18A-4569-9E8E-CF9602EA9F36}"/>
    <cellStyle name="Note 45 6 2" xfId="38217" xr:uid="{A245EC53-2C3A-49A2-9EF1-CA1CD363E5E1}"/>
    <cellStyle name="Note 45 7" xfId="17601" xr:uid="{70F23FA5-2941-4C7B-A895-BD226B12DB16}"/>
    <cellStyle name="Note 45 7 2" xfId="38845" xr:uid="{34B67787-F905-4D48-93AE-B66EB66D5C47}"/>
    <cellStyle name="Note 45 8" xfId="18452" xr:uid="{BAE7C08E-427F-4F0B-BBCA-F3EA0284D0A6}"/>
    <cellStyle name="Note 45 8 2" xfId="39460" xr:uid="{1912199F-44D1-4A26-8701-2AF16432B1B1}"/>
    <cellStyle name="Note 45 9" xfId="19294" xr:uid="{A7F778E9-EE87-40F2-A9B1-5F2BF4013BFC}"/>
    <cellStyle name="Note 45 9 2" xfId="40073" xr:uid="{768EA6C0-85C4-494F-BDAD-A0D820038510}"/>
    <cellStyle name="Note 46" xfId="5903" xr:uid="{2E5D9A50-3AC2-481D-91A8-BEE5649B713E}"/>
    <cellStyle name="Note 46 10" xfId="20263" xr:uid="{EA776BA8-BF3C-4AE1-9D13-304657498D44}"/>
    <cellStyle name="Note 46 10 2" xfId="40704" xr:uid="{6EA62D52-E0C6-4447-9CFC-F6EDDF2D8598}"/>
    <cellStyle name="Note 46 11" xfId="21034" xr:uid="{157508EA-D836-421B-9E66-D6C87942E616}"/>
    <cellStyle name="Note 46 11 2" xfId="41285" xr:uid="{281108B4-55E5-44A2-870F-343DC983DA8D}"/>
    <cellStyle name="Note 46 12" xfId="21885" xr:uid="{D0FFD3D2-6203-433B-91C1-529B3C5DE7B5}"/>
    <cellStyle name="Note 46 12 2" xfId="41819" xr:uid="{E23D727E-C845-40B9-9393-B135044BFFAD}"/>
    <cellStyle name="Note 46 13" xfId="21132" xr:uid="{5A83C967-B253-45DA-B898-45F544FB5052}"/>
    <cellStyle name="Note 46 13 2" xfId="41337" xr:uid="{8C451FF7-FD2C-4592-87E1-C5EACA8C6BC2}"/>
    <cellStyle name="Note 46 14" xfId="23546" xr:uid="{C579B305-2A65-4DFE-B684-C829DBB5AC76}"/>
    <cellStyle name="Note 46 14 2" xfId="42989" xr:uid="{9BD7E284-5C82-44B4-8009-517384B10EC1}"/>
    <cellStyle name="Note 46 15" xfId="24343" xr:uid="{78717749-3DA2-4A35-81CE-51103DBCB765}"/>
    <cellStyle name="Note 46 15 2" xfId="43602" xr:uid="{2B92CB37-ADAE-44CD-8F04-803502CEFFCD}"/>
    <cellStyle name="Note 46 16" xfId="25176" xr:uid="{80E90236-631C-4A52-BBA6-1705E9B24102}"/>
    <cellStyle name="Note 46 16 2" xfId="44118" xr:uid="{9E1F6A07-0A4F-4370-9A19-289507F5F7E0}"/>
    <cellStyle name="Note 46 17" xfId="25917" xr:uid="{586E15F1-04A2-4E27-B749-C13BCB5F66B0}"/>
    <cellStyle name="Note 46 17 2" xfId="44721" xr:uid="{CD3605C3-123B-4AC5-BDCD-5EC6B2F8CDD1}"/>
    <cellStyle name="Note 46 18" xfId="26918" xr:uid="{7CF9F8CD-535E-49F6-B379-0C8CD7522589}"/>
    <cellStyle name="Note 46 18 2" xfId="45336" xr:uid="{0BE7BAC8-C25B-42BB-84DC-E9F3D76F9DA5}"/>
    <cellStyle name="Note 46 19" xfId="27608" xr:uid="{249A9489-B7CD-46D0-A2F3-3272C7177913}"/>
    <cellStyle name="Note 46 19 2" xfId="45754" xr:uid="{9BDE4FD8-2A7C-47AF-BBE8-08991D6937C8}"/>
    <cellStyle name="Note 46 2" xfId="13617" xr:uid="{6CF24F89-AB99-4DCE-A807-44BFC4EE517A}"/>
    <cellStyle name="Note 46 2 2" xfId="35782" xr:uid="{62AF4065-E57D-4368-A5FA-4AF3B4253DE7}"/>
    <cellStyle name="Note 46 20" xfId="28141" xr:uid="{380319C5-48B2-4F2C-AA26-01622914E54E}"/>
    <cellStyle name="Note 46 20 2" xfId="46079" xr:uid="{E64F9CD3-94C7-410B-948E-BD8C754E1220}"/>
    <cellStyle name="Note 46 21" xfId="28882" xr:uid="{DBC4B335-82BC-4632-B436-ABFDFEA15CD4}"/>
    <cellStyle name="Note 46 21 2" xfId="46494" xr:uid="{6133C57E-51C3-4074-BCE1-187AB6D66B7C}"/>
    <cellStyle name="Note 46 22" xfId="29502" xr:uid="{53E21998-103A-462E-A0D6-C9DDE9102823}"/>
    <cellStyle name="Note 46 22 2" xfId="46916" xr:uid="{F679FE0D-37AA-407A-92D3-F63DC05EF489}"/>
    <cellStyle name="Note 46 23" xfId="30116" xr:uid="{36821BA3-0183-4A09-8B76-113CC61BBDE5}"/>
    <cellStyle name="Note 46 23 2" xfId="47291" xr:uid="{5B397A4C-8728-45EE-93B9-F34E7F9A6071}"/>
    <cellStyle name="Note 46 24" xfId="30556" xr:uid="{2A6A6D7B-10CE-4881-A5B7-5EB739898964}"/>
    <cellStyle name="Note 46 24 2" xfId="47514" xr:uid="{B75AB318-5BC4-4861-939A-5B3835AF83D4}"/>
    <cellStyle name="Note 46 25" xfId="30910" xr:uid="{FD56842A-3AC3-4B8D-BDBF-5C2EEF3CB89F}"/>
    <cellStyle name="Note 46 25 2" xfId="47756" xr:uid="{4DAD2DAE-3F27-4FAF-8E38-2559A005F575}"/>
    <cellStyle name="Note 46 26" xfId="31213" xr:uid="{F06DE042-D77D-40D7-AFCB-BDFBFD9FC9C9}"/>
    <cellStyle name="Note 46 26 2" xfId="47847" xr:uid="{A68BFE69-7A9B-44A5-B13A-5C3721156AC5}"/>
    <cellStyle name="Note 46 27" xfId="31320" xr:uid="{56DF77AF-6381-4D47-B3A4-6E14B31C0A1B}"/>
    <cellStyle name="Note 46 27 2" xfId="47859" xr:uid="{74B52EE8-DE7F-4A7B-8233-65DECD5C9F5F}"/>
    <cellStyle name="Note 46 28" xfId="6928" xr:uid="{3AEFDCBC-C018-4F01-88FF-4CF897126A05}"/>
    <cellStyle name="Note 46 3" xfId="14555" xr:uid="{C53B5EA9-1214-49F6-BD99-4633160161CC}"/>
    <cellStyle name="Note 46 3 2" xfId="36484" xr:uid="{964AEC9B-C84B-4EA5-B762-93DE3C9B3E7C}"/>
    <cellStyle name="Note 46 4" xfId="15306" xr:uid="{6D0C3679-28B9-4E4F-99AA-AB0424A15DEE}"/>
    <cellStyle name="Note 46 4 2" xfId="37015" xr:uid="{BA0E26F7-4AE0-4294-85CB-7B60935CC232}"/>
    <cellStyle name="Note 46 5" xfId="12886" xr:uid="{CA70AC39-7D67-4A7C-8F88-50B06662E415}"/>
    <cellStyle name="Note 46 5 2" xfId="35245" xr:uid="{EADBA419-FA3F-42E2-BF23-8702E52C0477}"/>
    <cellStyle name="Note 46 6" xfId="16956" xr:uid="{B09E8CA9-96D8-448A-BE43-17AA33193FF3}"/>
    <cellStyle name="Note 46 6 2" xfId="38324" xr:uid="{3BC64B26-DF69-4F29-9442-48B5636CEFD2}"/>
    <cellStyle name="Note 46 7" xfId="17821" xr:uid="{F693963F-CFD3-4224-9FBD-5EEE586999B1}"/>
    <cellStyle name="Note 46 7 2" xfId="38944" xr:uid="{657AD7CC-3F8A-41A3-BD1B-7ED1597F2C80}"/>
    <cellStyle name="Note 46 8" xfId="18668" xr:uid="{9D7A143D-A0D6-47FB-BF99-E6731D4D9F1E}"/>
    <cellStyle name="Note 46 8 2" xfId="39551" xr:uid="{F628D782-36BA-48F3-A795-676AE86E53FE}"/>
    <cellStyle name="Note 46 9" xfId="19514" xr:uid="{BAC9733B-9357-41A1-8FB8-A013621B9441}"/>
    <cellStyle name="Note 46 9 2" xfId="40189" xr:uid="{4A8C6945-4785-4FAD-976F-18EB6E08DE75}"/>
    <cellStyle name="Note 47" xfId="5634" xr:uid="{30617B33-8202-4DD9-9EC4-8B2EDA820BC0}"/>
    <cellStyle name="Note 47 10" xfId="20014" xr:uid="{9E0271B7-5E93-4460-A703-4D192582F255}"/>
    <cellStyle name="Note 47 10 2" xfId="40580" xr:uid="{5C869486-AF96-4F8B-9A91-BFC7ED4DD162}"/>
    <cellStyle name="Note 47 11" xfId="20783" xr:uid="{7A6CB72F-2D80-446D-A5BD-FED7D9ECE3D7}"/>
    <cellStyle name="Note 47 11 2" xfId="41143" xr:uid="{ED8BD9DE-951F-4537-8D16-71595313EDCD}"/>
    <cellStyle name="Note 47 12" xfId="21625" xr:uid="{2E3721AC-5BAC-4BC6-9611-29FE7F86C81D}"/>
    <cellStyle name="Note 47 12 2" xfId="41701" xr:uid="{85CFBDC0-5CA0-4FF1-8228-9ADA0C4D358B}"/>
    <cellStyle name="Note 47 13" xfId="18644" xr:uid="{7C52C0C0-9F4E-43BC-9C32-83E0E901E20E}"/>
    <cellStyle name="Note 47 13 2" xfId="39541" xr:uid="{A9747C52-23E4-4258-9E81-8959C85830BB}"/>
    <cellStyle name="Note 47 14" xfId="23291" xr:uid="{0D3182B7-4B53-43BA-8018-988389A92D57}"/>
    <cellStyle name="Note 47 14 2" xfId="42865" xr:uid="{8D1B22CB-AF01-4337-837D-6640660BA73B}"/>
    <cellStyle name="Note 47 15" xfId="24096" xr:uid="{9C857564-C169-48B4-9708-8EE62E39D4F1}"/>
    <cellStyle name="Note 47 15 2" xfId="43472" xr:uid="{3C97D30E-572E-4F13-9A1B-09E766E70E1A}"/>
    <cellStyle name="Note 47 16" xfId="24921" xr:uid="{AD946C80-65EE-46B3-AAD6-DDD3EFD05929}"/>
    <cellStyle name="Note 47 16 2" xfId="44007" xr:uid="{7A9D2615-9571-4985-8A23-078736646F3E}"/>
    <cellStyle name="Note 47 17" xfId="25272" xr:uid="{AD78DAD6-2F34-4D25-A24C-30EEF9CB730F}"/>
    <cellStyle name="Note 47 17 2" xfId="44193" xr:uid="{B30A4B3E-7017-4653-AC37-88466C3BB36B}"/>
    <cellStyle name="Note 47 18" xfId="26697" xr:uid="{6822912F-287F-4F84-B96B-5240B9420D05}"/>
    <cellStyle name="Note 47 18 2" xfId="45243" xr:uid="{EB92ECEE-4A9E-450D-BDA6-2C61FF317DBC}"/>
    <cellStyle name="Note 47 19" xfId="27392" xr:uid="{8FF93490-A64C-4742-B960-10F2CCB9471A}"/>
    <cellStyle name="Note 47 19 2" xfId="45647" xr:uid="{F0B2925F-D948-49A1-B6B7-BDE36BE5974F}"/>
    <cellStyle name="Note 47 2" xfId="13364" xr:uid="{F833E0C7-B012-4A7D-B0E0-BE0CADF94DEE}"/>
    <cellStyle name="Note 47 2 2" xfId="35671" xr:uid="{38F82FC4-847C-45A4-A6FE-FF9388475EF1}"/>
    <cellStyle name="Note 47 20" xfId="27948" xr:uid="{81D43124-CA77-496A-B6B5-E0742C976096}"/>
    <cellStyle name="Note 47 20 2" xfId="46020" xr:uid="{142F775E-1D1C-4A43-8726-20C03DD8BB78}"/>
    <cellStyle name="Note 47 21" xfId="28658" xr:uid="{A6935E18-3162-4253-A1BE-BFEFB171C1E5}"/>
    <cellStyle name="Note 47 21 2" xfId="46392" xr:uid="{46683E9D-E392-4130-80B8-78C54595A73C}"/>
    <cellStyle name="Note 47 22" xfId="29169" xr:uid="{52FDB7A6-CB70-4576-B7FD-FF49A39210D9}"/>
    <cellStyle name="Note 47 22 2" xfId="46697" xr:uid="{9A8CB2C1-389D-4E76-B2AF-7B4200AC1612}"/>
    <cellStyle name="Note 47 23" xfId="29054" xr:uid="{E4EA2C3C-04AC-4FE1-9552-35DBA0AE8A0B}"/>
    <cellStyle name="Note 47 23 2" xfId="46636" xr:uid="{E63053C2-8B48-480D-8D4A-D41B89C6CCE3}"/>
    <cellStyle name="Note 47 24" xfId="29716" xr:uid="{91505008-52FF-4959-8012-25F70D2A238E}"/>
    <cellStyle name="Note 47 24 2" xfId="47061" xr:uid="{A09AACC2-933D-4F3D-9C38-E87937E70E7A}"/>
    <cellStyle name="Note 47 25" xfId="30742" xr:uid="{34FB32E5-C9CE-4D80-9EAB-631BAA840778}"/>
    <cellStyle name="Note 47 25 2" xfId="47683" xr:uid="{851E129A-D9C7-4B00-A719-A8F1085857A5}"/>
    <cellStyle name="Note 47 26" xfId="31113" xr:uid="{5249F1A2-6B44-4971-9374-3825C904413F}"/>
    <cellStyle name="Note 47 26 2" xfId="47843" xr:uid="{523683A9-DDA2-495A-B500-AE67CF4BD0FB}"/>
    <cellStyle name="Note 47 27" xfId="31223" xr:uid="{11C2CBA4-81F7-4F20-AB54-2E5101BE9DCE}"/>
    <cellStyle name="Note 47 27 2" xfId="47852" xr:uid="{48AAC7B4-6977-4CD6-BC71-17C77FD8FB31}"/>
    <cellStyle name="Note 47 28" xfId="6831" xr:uid="{4993237E-A9B1-4EDF-B40C-D42DBA48478E}"/>
    <cellStyle name="Note 47 3" xfId="14295" xr:uid="{16FA53D6-ABA1-4501-BBE3-CFF29037D50E}"/>
    <cellStyle name="Note 47 3 2" xfId="36338" xr:uid="{E1F592C4-DC84-41BB-9B99-0884C1D148DF}"/>
    <cellStyle name="Note 47 4" xfId="15049" xr:uid="{DA10B512-1D55-4DE5-BEBB-4B14BFFEF553}"/>
    <cellStyle name="Note 47 4 2" xfId="36895" xr:uid="{45187F01-CE0D-4CA4-8504-348D8F2B22CB}"/>
    <cellStyle name="Note 47 5" xfId="13511" xr:uid="{328BC889-B87A-4DF9-9C41-1DCA94A35F42}"/>
    <cellStyle name="Note 47 5 2" xfId="35763" xr:uid="{240DC61B-4A80-4127-BB5B-6E9F0C43E650}"/>
    <cellStyle name="Note 47 6" xfId="16693" xr:uid="{80068FE6-64E4-4E69-A3B1-E2844FFA4978}"/>
    <cellStyle name="Note 47 6 2" xfId="38184" xr:uid="{4B5A5965-4EC6-4A0F-A814-635A06F96E9E}"/>
    <cellStyle name="Note 47 7" xfId="17562" xr:uid="{4AA0D35D-918B-4CA7-BBD1-DF0E4CA04E44}"/>
    <cellStyle name="Note 47 7 2" xfId="38809" xr:uid="{C4901658-1F3D-4D96-85A0-6FEBC03889D4}"/>
    <cellStyle name="Note 47 8" xfId="18413" xr:uid="{4E2E70A6-AD0F-4956-B9F4-B58DC69A1171}"/>
    <cellStyle name="Note 47 8 2" xfId="39424" xr:uid="{98668D2B-B3F1-4029-A5F2-06510489C74F}"/>
    <cellStyle name="Note 47 9" xfId="19257" xr:uid="{EC5E90CD-6E84-4FAD-83F8-D68F20EAD37B}"/>
    <cellStyle name="Note 47 9 2" xfId="40044" xr:uid="{0AB43DCD-895B-4FFA-A90D-C6D373D0F2D8}"/>
    <cellStyle name="Note 48" xfId="5904" xr:uid="{50359B69-7644-47AF-8F66-EC90C85AB34D}"/>
    <cellStyle name="Note 48 10" xfId="20264" xr:uid="{D06975B0-8B76-4D29-83F2-65B022BDF312}"/>
    <cellStyle name="Note 48 10 2" xfId="40705" xr:uid="{0D155880-6D14-4243-8003-1715B1988DDD}"/>
    <cellStyle name="Note 48 11" xfId="21035" xr:uid="{629F2455-876C-454E-9D5D-B6F3C26D2E1F}"/>
    <cellStyle name="Note 48 11 2" xfId="41286" xr:uid="{991206A7-EBAA-409D-BB92-B00642745459}"/>
    <cellStyle name="Note 48 12" xfId="21886" xr:uid="{48926071-6E10-46A9-B54F-36AB043A1E52}"/>
    <cellStyle name="Note 48 12 2" xfId="41820" xr:uid="{7B8A2AB9-C027-45B8-9B7B-2A411EB5A21C}"/>
    <cellStyle name="Note 48 13" xfId="21875" xr:uid="{A7A49F0D-F4CE-458B-A474-DAA0862CCD5E}"/>
    <cellStyle name="Note 48 13 2" xfId="41812" xr:uid="{94D66CAC-D725-4D9A-9F45-2240E93E55D8}"/>
    <cellStyle name="Note 48 14" xfId="23547" xr:uid="{69C7E49B-AC57-46E9-BBBC-F2C4A21FB4A9}"/>
    <cellStyle name="Note 48 14 2" xfId="42990" xr:uid="{CC4E58F1-3D67-4F27-9451-D1266F76457F}"/>
    <cellStyle name="Note 48 15" xfId="24344" xr:uid="{FD1485BC-9DC0-4615-A39A-030A8C080A6D}"/>
    <cellStyle name="Note 48 15 2" xfId="43603" xr:uid="{916D76CC-D791-40F1-AA16-E743C3027BE0}"/>
    <cellStyle name="Note 48 16" xfId="25177" xr:uid="{22ABED1F-441B-43B3-80E0-F0A1D2B9A0D2}"/>
    <cellStyle name="Note 48 16 2" xfId="44119" xr:uid="{89FD3E91-9A66-4136-B519-1C80120B4052}"/>
    <cellStyle name="Note 48 17" xfId="25918" xr:uid="{D24CB6FE-6105-4EA9-BBAA-6B0008FE5613}"/>
    <cellStyle name="Note 48 17 2" xfId="44722" xr:uid="{0800C565-34A1-4E3E-95A6-AF8F499A34FC}"/>
    <cellStyle name="Note 48 18" xfId="26919" xr:uid="{1C3C6A82-2423-4A58-9933-E9F443EB8321}"/>
    <cellStyle name="Note 48 18 2" xfId="45337" xr:uid="{EC220E22-F24C-4513-8DC7-B37CF3945C67}"/>
    <cellStyle name="Note 48 19" xfId="27609" xr:uid="{694B6785-0D15-4C2D-826E-3535901A64A2}"/>
    <cellStyle name="Note 48 19 2" xfId="45755" xr:uid="{A2734543-9A86-4D27-BC8C-1BE74A9CB987}"/>
    <cellStyle name="Note 48 2" xfId="13618" xr:uid="{B1E2E090-26BB-4302-8A27-5CA939270DE3}"/>
    <cellStyle name="Note 48 2 2" xfId="35783" xr:uid="{D87C38A9-ECE9-4DFD-9D02-C94E562818D6}"/>
    <cellStyle name="Note 48 20" xfId="28142" xr:uid="{581DF71C-F9DE-4C26-8F06-6B1B9C71A5CA}"/>
    <cellStyle name="Note 48 20 2" xfId="46080" xr:uid="{368B24FE-35D9-492B-8EA4-8F0857A18468}"/>
    <cellStyle name="Note 48 21" xfId="28883" xr:uid="{F86D5BD1-7C77-402C-A44B-38FCBB02E904}"/>
    <cellStyle name="Note 48 21 2" xfId="46495" xr:uid="{D9C59E7A-E7BB-455E-A5D6-CC6F502D59FA}"/>
    <cellStyle name="Note 48 22" xfId="27641" xr:uid="{5DDF3326-C3D4-4614-A949-51CC250B18CE}"/>
    <cellStyle name="Note 48 22 2" xfId="45775" xr:uid="{FCD38710-2BF3-49BE-9D1B-5BAC2CDB52F5}"/>
    <cellStyle name="Note 48 23" xfId="30100" xr:uid="{18498683-AEBB-47A2-8A58-8B7F2D90E577}"/>
    <cellStyle name="Note 48 23 2" xfId="47290" xr:uid="{A3347B4C-F546-4782-A661-7B41F3252C41}"/>
    <cellStyle name="Note 48 24" xfId="30557" xr:uid="{1E0764FA-CF6D-44D4-8480-BF074F7B4E91}"/>
    <cellStyle name="Note 48 24 2" xfId="47515" xr:uid="{2C53E2C1-46CF-4FF5-8911-8283A433E060}"/>
    <cellStyle name="Note 48 25" xfId="30911" xr:uid="{CCB22842-A44C-4A45-968B-5A2F7C923081}"/>
    <cellStyle name="Note 48 25 2" xfId="47757" xr:uid="{AA4ACE8C-1A27-4317-B94D-BF852EA71CD0}"/>
    <cellStyle name="Note 48 26" xfId="31214" xr:uid="{328182A1-ADAE-4A9D-8449-4E54F8889039}"/>
    <cellStyle name="Note 48 26 2" xfId="47848" xr:uid="{3232E534-EA45-4FF7-AF48-A65C655A4576}"/>
    <cellStyle name="Note 48 27" xfId="31321" xr:uid="{A50CEC13-8974-4DCB-89E6-BCF3EAAA6092}"/>
    <cellStyle name="Note 48 27 2" xfId="47860" xr:uid="{E233EEA3-A25A-42AD-BFC0-5B6BF3A03764}"/>
    <cellStyle name="Note 48 28" xfId="6929" xr:uid="{AC11A717-C08D-40AB-9E70-202C89F66E7C}"/>
    <cellStyle name="Note 48 3" xfId="14556" xr:uid="{23EAC6A0-79FA-47D1-A81D-D04AF6CFDB92}"/>
    <cellStyle name="Note 48 3 2" xfId="36485" xr:uid="{3EE6DF97-FC8E-4419-8D87-6C41C72E6B2C}"/>
    <cellStyle name="Note 48 4" xfId="15307" xr:uid="{9130AAAD-B8DF-4463-8162-8A107F2BE038}"/>
    <cellStyle name="Note 48 4 2" xfId="37016" xr:uid="{B9808F9D-7241-4D1D-B392-B6F06E1AC0EA}"/>
    <cellStyle name="Note 48 5" xfId="15295" xr:uid="{9BBD0A71-5D38-44A0-9EC4-AD4A77705039}"/>
    <cellStyle name="Note 48 5 2" xfId="37009" xr:uid="{C137ECD8-70DB-4BD0-B072-A20149669BDB}"/>
    <cellStyle name="Note 48 6" xfId="16957" xr:uid="{882D4EDB-15FE-4D9E-BDE0-DF6C1A31FEAF}"/>
    <cellStyle name="Note 48 6 2" xfId="38325" xr:uid="{7ECDE887-1158-4164-8176-72805E8B5BB4}"/>
    <cellStyle name="Note 48 7" xfId="17822" xr:uid="{1812ED02-CC02-491E-8B93-0944F2899DE3}"/>
    <cellStyle name="Note 48 7 2" xfId="38945" xr:uid="{CD08CF5A-4596-4366-B534-AB2118DC98D4}"/>
    <cellStyle name="Note 48 8" xfId="18669" xr:uid="{E77C6DB2-6163-48F1-8410-C45E69CADCB0}"/>
    <cellStyle name="Note 48 8 2" xfId="39552" xr:uid="{EA4A01E3-6D7E-4FDB-8E70-7510EFC78CA7}"/>
    <cellStyle name="Note 48 9" xfId="19515" xr:uid="{D8650D2E-39DE-45A9-9134-9C7E2C7F1B9A}"/>
    <cellStyle name="Note 48 9 2" xfId="40190" xr:uid="{1ADCBE14-1617-42E8-9D31-D0168E49EB02}"/>
    <cellStyle name="Note 49" xfId="2704" xr:uid="{EFA8DA7B-BAFE-4D0D-86AB-391CD7E5613A}"/>
    <cellStyle name="Note 49 10" xfId="10309" xr:uid="{7C763782-BF9A-4108-8027-FBB91D839C42}"/>
    <cellStyle name="Note 49 10 2" xfId="33944" xr:uid="{331D4346-1129-4C1E-9FD6-784829A5605B}"/>
    <cellStyle name="Note 49 11" xfId="9601" xr:uid="{173E4C97-EA50-4ED9-A5DC-E3AFD527B55E}"/>
    <cellStyle name="Note 49 11 2" xfId="33497" xr:uid="{3E8DA459-2054-40A7-9099-23D23F25C468}"/>
    <cellStyle name="Note 49 12" xfId="10303" xr:uid="{24E9EC6A-C66C-48F8-AEE0-66B81064C778}"/>
    <cellStyle name="Note 49 12 2" xfId="33938" xr:uid="{ACFE39CE-9EEE-4DA5-8860-2300B9D47546}"/>
    <cellStyle name="Note 49 13" xfId="15203" xr:uid="{295AAFB1-A002-4525-ACB1-86A4B5BC94DF}"/>
    <cellStyle name="Note 49 13 2" xfId="36974" xr:uid="{ABAC00F4-5CC4-47D1-9EFB-7890C0E1B5D6}"/>
    <cellStyle name="Note 49 14" xfId="19847" xr:uid="{A2CB04F3-7083-4112-8D19-B338DB8D22AF}"/>
    <cellStyle name="Note 49 14 2" xfId="40460" xr:uid="{34756583-7663-4198-9034-DA904A886108}"/>
    <cellStyle name="Note 49 15" xfId="17628" xr:uid="{02A03776-4346-4EA0-87A1-9861D969EAC1}"/>
    <cellStyle name="Note 49 15 2" xfId="38855" xr:uid="{4FBE5FB1-F016-41A3-9564-030081A04B3C}"/>
    <cellStyle name="Note 49 16" xfId="19849" xr:uid="{9D29DC69-F94F-44C1-8C71-158195583DF4}"/>
    <cellStyle name="Note 49 16 2" xfId="40462" xr:uid="{C80FCCBA-C42A-4CCF-BBDF-571DA1E12487}"/>
    <cellStyle name="Note 49 17" xfId="21882" xr:uid="{745AD4BF-17CB-4A95-97B7-5E3C91D862E0}"/>
    <cellStyle name="Note 49 17 2" xfId="41818" xr:uid="{B5993ED1-A995-44A1-8B2A-C77F89F6D486}"/>
    <cellStyle name="Note 49 18" xfId="18871" xr:uid="{747F95F7-7C6C-43AF-9EC5-A775C6056AF1}"/>
    <cellStyle name="Note 49 18 2" xfId="39705" xr:uid="{54D03DA3-A943-4516-8B9E-044EF11274F5}"/>
    <cellStyle name="Note 49 19" xfId="24839" xr:uid="{EC7570AB-2EC1-451B-AFBD-B88145C51987}"/>
    <cellStyle name="Note 49 19 2" xfId="43978" xr:uid="{5F7493A0-3A01-48BE-B287-551CFBFF64CA}"/>
    <cellStyle name="Note 49 2" xfId="8286" xr:uid="{988A02AF-DCE4-4FCC-9582-CC05A892C079}"/>
    <cellStyle name="Note 49 2 2" xfId="32525" xr:uid="{F77FF0E6-4FC6-48DE-8266-353927196405}"/>
    <cellStyle name="Note 49 20" xfId="20584" xr:uid="{22DA18DC-BFC7-461A-9FAC-A40DA901901C}"/>
    <cellStyle name="Note 49 20 2" xfId="40944" xr:uid="{1E5F173F-B8DF-4A4C-9D28-9F2CF568217C}"/>
    <cellStyle name="Note 49 21" xfId="22927" xr:uid="{FB1D0F62-062C-4D7B-9D51-721CAF1D02BD}"/>
    <cellStyle name="Note 49 21 2" xfId="42641" xr:uid="{F0A9EBF4-E063-4506-85A5-0093E1DD7C3B}"/>
    <cellStyle name="Note 49 22" xfId="28162" xr:uid="{E188637D-D00D-435E-AC0F-E23F88AF8059}"/>
    <cellStyle name="Note 49 22 2" xfId="46092" xr:uid="{F6DA6B11-E694-46BC-B793-A3B08BCEE385}"/>
    <cellStyle name="Note 49 23" xfId="23781" xr:uid="{620B3308-240B-45C5-9957-509167AB0059}"/>
    <cellStyle name="Note 49 23 2" xfId="43182" xr:uid="{D8A61328-D474-4EF3-9D51-5358C35FE1BE}"/>
    <cellStyle name="Note 49 24" xfId="28797" xr:uid="{92CA2A74-EF62-43B9-B497-E43CC22E59B5}"/>
    <cellStyle name="Note 49 24 2" xfId="46472" xr:uid="{11D0DA59-FE0B-46AD-94CB-D3F4AF3F77FC}"/>
    <cellStyle name="Note 49 25" xfId="23660" xr:uid="{B1D68EBA-094B-4A0F-9263-AEB34F907732}"/>
    <cellStyle name="Note 49 25 2" xfId="43083" xr:uid="{C4297E7E-F15F-44E5-8F26-3426E0BFEF7D}"/>
    <cellStyle name="Note 49 26" xfId="26701" xr:uid="{781189B3-F895-433F-BAA2-63334126D3D5}"/>
    <cellStyle name="Note 49 26 2" xfId="45245" xr:uid="{330D76A8-5795-45BC-8360-85FC102950DB}"/>
    <cellStyle name="Note 49 27" xfId="29325" xr:uid="{ED4B7D29-F41D-4CFE-A0D6-57B144889D61}"/>
    <cellStyle name="Note 49 27 2" xfId="46803" xr:uid="{CA23DEC6-CBA4-4011-95DC-0F4645AECE67}"/>
    <cellStyle name="Note 49 28" xfId="9330" xr:uid="{78FC88CA-CD1C-4FFF-9720-0EA757B7B9A2}"/>
    <cellStyle name="Note 49 3" xfId="9123" xr:uid="{40185992-ED99-442B-9CC7-3DEA1A9F2EC5}"/>
    <cellStyle name="Note 49 3 2" xfId="33124" xr:uid="{6974F2A5-E722-4FE0-8C2E-4B3D3D4A18F9}"/>
    <cellStyle name="Note 49 4" xfId="8353" xr:uid="{D359B4D4-4E75-4B93-9B0F-0778AABFBE7A}"/>
    <cellStyle name="Note 49 4 2" xfId="32569" xr:uid="{60D78323-E1AB-442B-97A8-334DC800A4B4}"/>
    <cellStyle name="Note 49 5" xfId="9541" xr:uid="{32DF0E54-8E89-4572-B6C3-D968B2A302B0}"/>
    <cellStyle name="Note 49 5 2" xfId="33480" xr:uid="{92CAEE57-AEE3-4135-9A49-1861D85123C8}"/>
    <cellStyle name="Note 49 6" xfId="10330" xr:uid="{B4120075-EB9D-4FC5-A369-314502F33398}"/>
    <cellStyle name="Note 49 6 2" xfId="33965" xr:uid="{B364EB9A-97BD-497B-B286-6A24263A0E0E}"/>
    <cellStyle name="Note 49 7" xfId="9594" xr:uid="{2EA32658-57C5-4658-A697-4C6C56E1040B}"/>
    <cellStyle name="Note 49 7 2" xfId="33490" xr:uid="{07EA0094-1AE3-4865-8455-4E3A2F6D35AC}"/>
    <cellStyle name="Note 49 8" xfId="10327" xr:uid="{CBB22AB8-5AE6-4989-A2BB-B7822BFD5ED5}"/>
    <cellStyle name="Note 49 8 2" xfId="33962" xr:uid="{F5893942-03C4-4990-A213-E93A534117D8}"/>
    <cellStyle name="Note 49 9" xfId="9600" xr:uid="{F733F659-28FA-4462-813A-2EFC4D607DBC}"/>
    <cellStyle name="Note 49 9 2" xfId="33496" xr:uid="{6F726D27-5E0B-4D69-9DB0-B5FD5BAFC85D}"/>
    <cellStyle name="Note 5" xfId="3037" xr:uid="{11EBD633-A581-4F4A-B230-7883970A01C7}"/>
    <cellStyle name="Note 5 10" xfId="13353" xr:uid="{E43B8728-D1FD-4C00-9672-36BF62AFF245}"/>
    <cellStyle name="Note 5 10 2" xfId="35660" xr:uid="{2ED77A2A-4947-4956-BFE5-3DB3A5F3EFB1}"/>
    <cellStyle name="Note 5 11" xfId="12050" xr:uid="{75472AB2-1541-41CD-83E6-1230AE35403D}"/>
    <cellStyle name="Note 5 11 2" xfId="34608" xr:uid="{DB65D99D-46D2-42E0-B384-1DA303107608}"/>
    <cellStyle name="Note 5 12" xfId="8759" xr:uid="{E5A5F582-6FFF-4AC1-A9FF-2ACD21B6026E}"/>
    <cellStyle name="Note 5 12 2" xfId="32888" xr:uid="{9E1CB3E3-151F-4E47-9D33-F754D98AE8B4}"/>
    <cellStyle name="Note 5 13" xfId="10516" xr:uid="{B7FE7902-CF5B-463B-8371-63DABA9F27C4}"/>
    <cellStyle name="Note 5 13 2" xfId="34143" xr:uid="{C8634ACA-2BAF-45D0-9965-8091B9C49240}"/>
    <cellStyle name="Note 5 14" xfId="8434" xr:uid="{1C53CE5E-9DCB-41B6-B123-8B97DD8CA6B1}"/>
    <cellStyle name="Note 5 14 2" xfId="32622" xr:uid="{35B30BA4-F08F-452C-95BE-86138FF924C5}"/>
    <cellStyle name="Note 5 15" xfId="14405" xr:uid="{3E83C3B8-C0A5-4E69-AB9F-246380B695B8}"/>
    <cellStyle name="Note 5 15 2" xfId="36398" xr:uid="{D5646C8F-63A1-41A1-8D8F-C4331E9CAC19}"/>
    <cellStyle name="Note 5 16" xfId="14273" xr:uid="{AF18B5C4-A9E3-4D0C-91E5-FBE528FC9249}"/>
    <cellStyle name="Note 5 16 2" xfId="36326" xr:uid="{0573F2A6-8757-4895-8F72-165C49226224}"/>
    <cellStyle name="Note 5 17" xfId="13824" xr:uid="{AC71168E-0EE8-4BE8-A416-CDD25EDCA535}"/>
    <cellStyle name="Note 5 17 2" xfId="35949" xr:uid="{D0C607F0-AD6B-44C0-8D51-D27943F48AB1}"/>
    <cellStyle name="Note 5 18" xfId="16492" xr:uid="{B4A7D174-A6DC-46C1-9171-00B87E667FA7}"/>
    <cellStyle name="Note 5 18 2" xfId="37985" xr:uid="{A60DB5C4-6600-495D-9548-C6DB0257E367}"/>
    <cellStyle name="Note 5 19" xfId="14464" xr:uid="{824B991B-74AA-4314-8101-F4871BD5C944}"/>
    <cellStyle name="Note 5 19 2" xfId="36453" xr:uid="{3314712E-68CD-4B88-8546-B477C02E8859}"/>
    <cellStyle name="Note 5 2" xfId="3038" xr:uid="{95AC21FC-B766-446F-A926-E5B47CF54579}"/>
    <cellStyle name="Note 5 2 10" xfId="14844" xr:uid="{088D6BB1-0DDC-4DB7-AF37-C7E1F109CA20}"/>
    <cellStyle name="Note 5 2 10 2" xfId="36719" xr:uid="{88013439-D6F4-40FD-9E4F-78262590C29A}"/>
    <cellStyle name="Note 5 2 11" xfId="7057" xr:uid="{5DB216E9-667B-455B-A7D4-C01823C8DF37}"/>
    <cellStyle name="Note 5 2 11 2" xfId="31424" xr:uid="{FEF06DBC-D0E5-49FF-A02A-047E301E2A04}"/>
    <cellStyle name="Note 5 2 12" xfId="14630" xr:uid="{B283612E-117D-485B-B4AE-09FC8D67B6E8}"/>
    <cellStyle name="Note 5 2 12 2" xfId="36542" xr:uid="{DEFF7D21-8D43-4A21-B8C1-8B7C52C8CCA3}"/>
    <cellStyle name="Note 5 2 13" xfId="12560" xr:uid="{B380BAE6-85D5-4970-825E-1B7D4C1382FC}"/>
    <cellStyle name="Note 5 2 13 2" xfId="35004" xr:uid="{3D49216F-8F67-4F08-90C9-0715B8EC96C9}"/>
    <cellStyle name="Note 5 2 14" xfId="17398" xr:uid="{296C5EC4-1211-49B8-A11E-3928C1C5D5D5}"/>
    <cellStyle name="Note 5 2 14 2" xfId="38645" xr:uid="{70B4E37E-4278-4A94-AB7D-2DF73C51A689}"/>
    <cellStyle name="Note 5 2 15" xfId="20790" xr:uid="{258EC307-769F-4E9F-B69A-C449339919CC}"/>
    <cellStyle name="Note 5 2 15 2" xfId="41150" xr:uid="{1C155A33-9DA7-4680-BA81-92C4B8CA66A6}"/>
    <cellStyle name="Note 5 2 16" xfId="17938" xr:uid="{BE1EF7CD-5621-4A9C-B178-2DF6BA5EC63C}"/>
    <cellStyle name="Note 5 2 16 2" xfId="39036" xr:uid="{2FF58D32-A5FE-49C4-B84E-5CB0A37EED72}"/>
    <cellStyle name="Note 5 2 17" xfId="19534" xr:uid="{8205E5FA-24A5-45AB-89CB-18C2ADA47373}"/>
    <cellStyle name="Note 5 2 17 2" xfId="40202" xr:uid="{269AF137-4A81-4F81-ABD9-5D8391051713}"/>
    <cellStyle name="Note 5 2 18" xfId="16984" xr:uid="{3D38066D-77CE-469E-8711-DE9EB327A8EA}"/>
    <cellStyle name="Note 5 2 18 2" xfId="38344" xr:uid="{83D7D26D-69AE-4A82-8383-64A9D97C7C40}"/>
    <cellStyle name="Note 5 2 19" xfId="20222" xr:uid="{28DB2522-70C9-401E-9060-7D1722926CFA}"/>
    <cellStyle name="Note 5 2 19 2" xfId="40688" xr:uid="{0815A367-2DB0-4470-94C6-74BC84048524}"/>
    <cellStyle name="Note 5 2 2" xfId="3039" xr:uid="{A379D027-15F1-4D21-8CEE-ED1B7AF346C5}"/>
    <cellStyle name="Note 5 2 2 10" xfId="14272" xr:uid="{A2F3A641-91BA-428E-AF32-4E47AE8331C5}"/>
    <cellStyle name="Note 5 2 2 10 2" xfId="36325" xr:uid="{BFCE64F4-901F-4603-93F6-95E39E478246}"/>
    <cellStyle name="Note 5 2 2 11" xfId="15532" xr:uid="{341E3BBF-6E89-41E9-AA3F-29D223A35376}"/>
    <cellStyle name="Note 5 2 2 11 2" xfId="37197" xr:uid="{3DD49CA8-FACF-412C-ACFF-7B4D23D83066}"/>
    <cellStyle name="Note 5 2 2 12" xfId="16491" xr:uid="{7196ECA0-CE14-453D-ACD5-3BA9C8488D43}"/>
    <cellStyle name="Note 5 2 2 12 2" xfId="37984" xr:uid="{89CB2D2C-A4DA-435A-8C24-4D20B79BFAFE}"/>
    <cellStyle name="Note 5 2 2 13" xfId="13730" xr:uid="{82378103-8932-441F-B5F3-A937EE6F272A}"/>
    <cellStyle name="Note 5 2 2 13 2" xfId="35885" xr:uid="{E77DF104-BA7E-4E7B-AF4C-A0B96B21D9A5}"/>
    <cellStyle name="Note 5 2 2 14" xfId="12786" xr:uid="{62AF2068-6C13-4B51-9E50-D815407FE69B}"/>
    <cellStyle name="Note 5 2 2 14 2" xfId="35191" xr:uid="{9E43EB9E-EF47-4B70-BA1C-DB11F3661726}"/>
    <cellStyle name="Note 5 2 2 15" xfId="21593" xr:uid="{06B28606-0D23-41D2-9ED2-5AEDE60878CE}"/>
    <cellStyle name="Note 5 2 2 15 2" xfId="41677" xr:uid="{04BE45DC-FCCB-4EEE-99B4-3EB9A66ADFB8}"/>
    <cellStyle name="Note 5 2 2 16" xfId="13235" xr:uid="{BE716A66-E708-42E3-9002-6E443F2E7981}"/>
    <cellStyle name="Note 5 2 2 16 2" xfId="35582" xr:uid="{8C5C8B11-20C4-4075-9111-C8C3C6955D07}"/>
    <cellStyle name="Note 5 2 2 17" xfId="19606" xr:uid="{92F5D13F-9DC0-4C2A-9448-8B4B857FEFE0}"/>
    <cellStyle name="Note 5 2 2 17 2" xfId="40246" xr:uid="{403ABB70-F6A1-4686-964D-8465877C5831}"/>
    <cellStyle name="Note 5 2 2 18" xfId="16278" xr:uid="{2C49897F-F410-4472-9295-A67BDAFBE7E3}"/>
    <cellStyle name="Note 5 2 2 18 2" xfId="37815" xr:uid="{B84CEEDA-C02E-4372-975C-AC112F89191B}"/>
    <cellStyle name="Note 5 2 2 19" xfId="18523" xr:uid="{5995B8DD-D743-4516-A524-D2A3D0487EFB}"/>
    <cellStyle name="Note 5 2 2 19 2" xfId="39475" xr:uid="{EF78507C-A551-47BC-8417-53F7B5D86829}"/>
    <cellStyle name="Note 5 2 2 2" xfId="3040" xr:uid="{85D8D33D-F63B-4A79-AE94-9A86DAEA6DFD}"/>
    <cellStyle name="Note 5 2 2 2 10" xfId="12333" xr:uid="{69FDD279-8132-4AE4-A13B-011E32A33D6F}"/>
    <cellStyle name="Note 5 2 2 2 10 2" xfId="34837" xr:uid="{04BB8FFA-CDB1-4CE5-898F-28B53604E52E}"/>
    <cellStyle name="Note 5 2 2 2 11" xfId="15201" xr:uid="{E6699D63-F7FC-47F6-8ED5-340956BEC96A}"/>
    <cellStyle name="Note 5 2 2 2 11 2" xfId="36972" xr:uid="{7F1B5125-2254-46A1-8876-ABF7B3D62C8C}"/>
    <cellStyle name="Note 5 2 2 2 12" xfId="15639" xr:uid="{3D3D0991-3AA8-4CC5-9473-8AD39843EA42}"/>
    <cellStyle name="Note 5 2 2 2 12 2" xfId="37297" xr:uid="{28C795C2-BF20-4955-BD42-E0034B5467C9}"/>
    <cellStyle name="Note 5 2 2 2 13" xfId="20789" xr:uid="{017B53E5-C7B0-4B40-9F3E-7CE64FCA8286}"/>
    <cellStyle name="Note 5 2 2 2 13 2" xfId="41149" xr:uid="{A68817D5-352C-4CF1-B693-8715AC807B55}"/>
    <cellStyle name="Note 5 2 2 2 14" xfId="19704" xr:uid="{F7075797-437A-459F-8CAE-DE192361FABB}"/>
    <cellStyle name="Note 5 2 2 2 14 2" xfId="40321" xr:uid="{F0E35B64-244F-45B5-9288-24ED9E1F6B42}"/>
    <cellStyle name="Note 5 2 2 2 15" xfId="17839" xr:uid="{AC65DF2F-6043-4011-972B-6958D535EB23}"/>
    <cellStyle name="Note 5 2 2 2 15 2" xfId="38956" xr:uid="{CA2C335B-012F-4CAD-A085-7769F346755D}"/>
    <cellStyle name="Note 5 2 2 2 16" xfId="21391" xr:uid="{23CECAE9-9537-40E3-90FF-7EC65ED3AA41}"/>
    <cellStyle name="Note 5 2 2 2 16 2" xfId="41520" xr:uid="{D58B59CA-152A-4E78-8F19-8982440F9EC8}"/>
    <cellStyle name="Note 5 2 2 2 17" xfId="15795" xr:uid="{BC21B8C0-FB0A-41F0-9E6B-2FF71D32BE8E}"/>
    <cellStyle name="Note 5 2 2 2 17 2" xfId="37410" xr:uid="{158A76C3-C1DF-4166-91E5-0A6926C4CDDF}"/>
    <cellStyle name="Note 5 2 2 2 18" xfId="19066" xr:uid="{A5B70466-8EA4-4CE5-B430-B4A847F48663}"/>
    <cellStyle name="Note 5 2 2 2 18 2" xfId="39898" xr:uid="{04920C37-DB74-448B-B6E5-EE01070D7B9B}"/>
    <cellStyle name="Note 5 2 2 2 19" xfId="24687" xr:uid="{2FC21061-6E8A-41E0-82F7-079BC925CF87}"/>
    <cellStyle name="Note 5 2 2 2 19 2" xfId="43832" xr:uid="{1834BD5B-02FF-4D0D-B2E9-E771CD5E0966}"/>
    <cellStyle name="Note 5 2 2 2 2" xfId="7975" xr:uid="{D1A08436-5CFB-40F8-B904-9483DB220B3E}"/>
    <cellStyle name="Note 5 2 2 2 2 2" xfId="32222" xr:uid="{D148642F-599B-4FCB-9FDA-7DD709F375E6}"/>
    <cellStyle name="Note 5 2 2 2 20" xfId="19931" xr:uid="{26A9B663-B65C-4DAC-8E40-A99FED86109F}"/>
    <cellStyle name="Note 5 2 2 2 20 2" xfId="40543" xr:uid="{C89B0AAF-D168-4185-A7F9-747A6F8F9D7F}"/>
    <cellStyle name="Note 5 2 2 2 21" xfId="25355" xr:uid="{49C8362C-AA4B-4281-9EAF-5A8A73806D9D}"/>
    <cellStyle name="Note 5 2 2 2 21 2" xfId="44271" xr:uid="{0DB09766-09D6-4D76-A3F3-2FA8FE15FFAD}"/>
    <cellStyle name="Note 5 2 2 2 22" xfId="16132" xr:uid="{34D0642F-662F-4E01-B87D-A84ECAD0569B}"/>
    <cellStyle name="Note 5 2 2 2 22 2" xfId="37699" xr:uid="{D5884EFA-328A-4BFB-84B0-585D78057A6C}"/>
    <cellStyle name="Note 5 2 2 2 23" xfId="29767" xr:uid="{9251112E-D0F7-4384-9389-36348E0BEA03}"/>
    <cellStyle name="Note 5 2 2 2 23 2" xfId="47086" xr:uid="{F77E9C88-F881-4CBA-92A5-E9DE8FB21BBD}"/>
    <cellStyle name="Note 5 2 2 2 24" xfId="26304" xr:uid="{DACCD4B7-9C5C-4708-B1DE-E3C016F4E236}"/>
    <cellStyle name="Note 5 2 2 2 24 2" xfId="44994" xr:uid="{602AFB22-6FE2-4F3C-AA96-0F272341780A}"/>
    <cellStyle name="Note 5 2 2 2 25" xfId="25573" xr:uid="{4A7E16F8-1AB0-444E-B105-EE0BD2BE63D8}"/>
    <cellStyle name="Note 5 2 2 2 25 2" xfId="44441" xr:uid="{C6D5002F-9E3F-45AD-8E6B-FA41812F0EC3}"/>
    <cellStyle name="Note 5 2 2 2 26" xfId="27612" xr:uid="{FE7DD13D-69D0-4FFB-97B3-BDFF97D9AE27}"/>
    <cellStyle name="Note 5 2 2 2 26 2" xfId="45756" xr:uid="{F00E882B-BF64-46EB-8B8E-6F4CC1BA1EBD}"/>
    <cellStyle name="Note 5 2 2 2 27" xfId="29087" xr:uid="{88D8D141-24F7-41FA-B942-0F4F61043CA8}"/>
    <cellStyle name="Note 5 2 2 2 27 2" xfId="46660" xr:uid="{9EEA9EE1-F108-4BB7-A671-199C3509F469}"/>
    <cellStyle name="Note 5 2 2 2 28" xfId="6558" xr:uid="{6429B439-2FE1-4769-A2DF-F2C206023988}"/>
    <cellStyle name="Note 5 2 2 2 3" xfId="9406" xr:uid="{FCBCBEBB-F889-4F4B-B757-D33821FD14CD}"/>
    <cellStyle name="Note 5 2 2 2 3 2" xfId="33389" xr:uid="{AF65C0E6-2BB6-4A2B-8ADF-E69D09C23BF3}"/>
    <cellStyle name="Note 5 2 2 2 4" xfId="7639" xr:uid="{CD44C96F-84CC-4DE5-A5F5-90D235A7220E}"/>
    <cellStyle name="Note 5 2 2 2 4 2" xfId="31939" xr:uid="{594FADD2-2429-443C-9510-0075135BC5F0}"/>
    <cellStyle name="Note 5 2 2 2 5" xfId="8756" xr:uid="{AA94A1EA-11A9-4E70-A654-5085E5CAE8A0}"/>
    <cellStyle name="Note 5 2 2 2 5 2" xfId="32885" xr:uid="{ED6711E5-B5C3-436F-A39F-5FC434081309}"/>
    <cellStyle name="Note 5 2 2 2 6" xfId="12991" xr:uid="{01FA7F17-4675-422D-B365-DA537EDC4359}"/>
    <cellStyle name="Note 5 2 2 2 6 2" xfId="35339" xr:uid="{83ACB7E6-99E0-4D67-9887-EC65224060FC}"/>
    <cellStyle name="Note 5 2 2 2 7" xfId="8431" xr:uid="{FE500E17-EBAD-4634-B789-85A5864B4EE5}"/>
    <cellStyle name="Note 5 2 2 2 7 2" xfId="32619" xr:uid="{90DABB54-9BF1-438F-B532-09B430589489}"/>
    <cellStyle name="Note 5 2 2 2 8" xfId="14843" xr:uid="{22B3D5BE-6F02-417A-81FD-39389666099D}"/>
    <cellStyle name="Note 5 2 2 2 8 2" xfId="36718" xr:uid="{07097C01-8301-4598-BEBD-B03D713316A5}"/>
    <cellStyle name="Note 5 2 2 2 9" xfId="7056" xr:uid="{996CAF39-5AA4-4F5A-9CB8-72BD55EFC909}"/>
    <cellStyle name="Note 5 2 2 2 9 2" xfId="31423" xr:uid="{7F248BAF-448D-49E6-A447-24E5D35101F7}"/>
    <cellStyle name="Note 5 2 2 20" xfId="22853" xr:uid="{7AA00807-7054-4205-805C-8D0E1FF65687}"/>
    <cellStyle name="Note 5 2 2 20 2" xfId="42571" xr:uid="{782F3F13-FAF2-4D81-95E4-00CA47F4BC1E}"/>
    <cellStyle name="Note 5 2 2 21" xfId="18039" xr:uid="{F3C68F73-4D3E-42B1-BFC8-8E1E56A9AB75}"/>
    <cellStyle name="Note 5 2 2 21 2" xfId="39135" xr:uid="{969F4012-58CE-404B-AA8A-4C927FDA1A7F}"/>
    <cellStyle name="Note 5 2 2 22" xfId="24506" xr:uid="{2F05D4DD-41B3-4DE9-A86E-FBA4C0964F2E}"/>
    <cellStyle name="Note 5 2 2 22 2" xfId="43689" xr:uid="{684B9477-1443-4037-B931-49617636ADBF}"/>
    <cellStyle name="Note 5 2 2 23" xfId="23200" xr:uid="{9A329746-E4B6-494E-90CA-C7C51C9DB21E}"/>
    <cellStyle name="Note 5 2 2 23 2" xfId="42794" xr:uid="{3C4939E2-C96F-40AB-A91F-8002C21ED876}"/>
    <cellStyle name="Note 5 2 2 24" xfId="27150" xr:uid="{87049608-8FB1-4ED8-9EB1-DEA5F980B6D1}"/>
    <cellStyle name="Note 5 2 2 24 2" xfId="45491" xr:uid="{10C76299-2880-49BD-B789-69B2A2D4EE7D}"/>
    <cellStyle name="Note 5 2 2 25" xfId="23857" xr:uid="{D40B807E-5AFC-47FC-BC27-F1A796E779A3}"/>
    <cellStyle name="Note 5 2 2 25 2" xfId="43236" xr:uid="{06E6A0EC-D9C3-4404-A9CD-1A726AAFF1D8}"/>
    <cellStyle name="Note 5 2 2 26" xfId="25875" xr:uid="{803814BB-0469-4DF4-8885-7CBA86C4D81D}"/>
    <cellStyle name="Note 5 2 2 26 2" xfId="44687" xr:uid="{78EA4F53-DF0B-4901-8726-1CFAE1FFDA81}"/>
    <cellStyle name="Note 5 2 2 27" xfId="27418" xr:uid="{D22F9543-A55B-444A-BD2E-C1AC83A9AFEC}"/>
    <cellStyle name="Note 5 2 2 27 2" xfId="45673" xr:uid="{8CBFD035-9165-4EE6-817C-E621F7A551C0}"/>
    <cellStyle name="Note 5 2 2 28" xfId="25595" xr:uid="{99702F1F-E650-4628-B323-0469ACEB4544}"/>
    <cellStyle name="Note 5 2 2 28 2" xfId="44457" xr:uid="{4C01FF0B-771A-418D-8BA4-2E26BCCADCDA}"/>
    <cellStyle name="Note 5 2 2 29" xfId="6557" xr:uid="{B5E8540E-8374-48C5-9D43-4836004F95B7}"/>
    <cellStyle name="Note 5 2 2 3" xfId="7976" xr:uid="{74FF914E-4A45-434D-9C36-E4691D133EEA}"/>
    <cellStyle name="Note 5 2 2 3 2" xfId="32223" xr:uid="{890E23E9-0124-4338-B3B2-0200BD3BDF65}"/>
    <cellStyle name="Note 5 2 2 4" xfId="9405" xr:uid="{C380CDA9-0A6E-4974-8D3E-B6615B377BE7}"/>
    <cellStyle name="Note 5 2 2 4 2" xfId="33388" xr:uid="{46D11C0B-4E77-45FD-BCFE-30398C7BBA5C}"/>
    <cellStyle name="Note 5 2 2 5" xfId="12049" xr:uid="{43BDD49F-EA75-4F48-A26D-79AA16F5C56A}"/>
    <cellStyle name="Note 5 2 2 5 2" xfId="34607" xr:uid="{0A87EE01-BDCF-4B83-A7D8-0B74B89656D7}"/>
    <cellStyle name="Note 5 2 2 6" xfId="8757" xr:uid="{D37D7809-86C5-472B-B6F7-E634EA592E8F}"/>
    <cellStyle name="Note 5 2 2 6 2" xfId="32886" xr:uid="{63D75F83-E899-4CC9-AE35-13CE2A2BBB54}"/>
    <cellStyle name="Note 5 2 2 7" xfId="10479" xr:uid="{D31F87B7-2C39-4CB1-AC4D-5D2CA73C00C5}"/>
    <cellStyle name="Note 5 2 2 7 2" xfId="34114" xr:uid="{6FA0F3BE-EDA3-4318-9478-B2538084B167}"/>
    <cellStyle name="Note 5 2 2 8" xfId="8432" xr:uid="{D562FD28-A750-4198-B23D-74EFB1810C57}"/>
    <cellStyle name="Note 5 2 2 8 2" xfId="32620" xr:uid="{3260CAF5-3FAD-4FC3-93E5-D85BF3E366C4}"/>
    <cellStyle name="Note 5 2 2 9" xfId="10582" xr:uid="{7A6B4B58-187E-4E4E-BBCA-AC5630F05C0B}"/>
    <cellStyle name="Note 5 2 2 9 2" xfId="34208" xr:uid="{03EE8E99-782D-4F0C-80E6-B4A11F74B1E4}"/>
    <cellStyle name="Note 5 2 20" xfId="19065" xr:uid="{6077DAFF-87C9-4C12-B844-AED58EFD492C}"/>
    <cellStyle name="Note 5 2 20 2" xfId="39897" xr:uid="{5175B4CE-82B1-4F79-A89C-466C4E3B7B65}"/>
    <cellStyle name="Note 5 2 21" xfId="24675" xr:uid="{C6D5C97C-1705-4547-9E15-549E30AEEF00}"/>
    <cellStyle name="Note 5 2 21 2" xfId="43820" xr:uid="{65CB85CF-89CC-4290-8CD8-91CBE1A68F54}"/>
    <cellStyle name="Note 5 2 22" xfId="19932" xr:uid="{7828D052-5119-4594-9A58-F332D0DED2A4}"/>
    <cellStyle name="Note 5 2 22 2" xfId="40544" xr:uid="{50581513-6138-4D1C-ABE4-B7BEECBDAA48}"/>
    <cellStyle name="Note 5 2 23" xfId="23446" xr:uid="{462601F3-A3AE-4904-B642-B6524EE89B94}"/>
    <cellStyle name="Note 5 2 23 2" xfId="42952" xr:uid="{46B58C12-0785-46D8-8108-B0733AF6EA93}"/>
    <cellStyle name="Note 5 2 24" xfId="27967" xr:uid="{B2EFDEBC-9634-44E1-BFC0-13A950588B9A}"/>
    <cellStyle name="Note 5 2 24 2" xfId="46026" xr:uid="{906435FD-2E8D-4950-9D86-679FE45D28D0}"/>
    <cellStyle name="Note 5 2 25" xfId="28903" xr:uid="{8CE00F0C-E576-487D-A744-305FA7EC0A04}"/>
    <cellStyle name="Note 5 2 25 2" xfId="46507" xr:uid="{1BBDAF45-9E51-4E16-8C81-21BC82CFFF71}"/>
    <cellStyle name="Note 5 2 26" xfId="26305" xr:uid="{718F23D9-911D-4827-B6B8-F63A2F3528FC}"/>
    <cellStyle name="Note 5 2 26 2" xfId="44995" xr:uid="{5AC4E10A-1086-4FAA-A863-88E35750014E}"/>
    <cellStyle name="Note 5 2 27" xfId="27880" xr:uid="{318F56B0-7EF5-470D-B376-850B889B469D}"/>
    <cellStyle name="Note 5 2 27 2" xfId="45952" xr:uid="{94599F0D-41FB-4718-969C-311C290C6D67}"/>
    <cellStyle name="Note 5 2 28" xfId="16918" xr:uid="{3A3244A6-9CF6-4CAF-890D-4AE0E3DA2B6F}"/>
    <cellStyle name="Note 5 2 28 2" xfId="38295" xr:uid="{8D48A4D7-54ED-4506-A664-19DAC39E50BF}"/>
    <cellStyle name="Note 5 2 29" xfId="25609" xr:uid="{C75C8CB9-C93A-4C93-9D25-3797A25C8DE8}"/>
    <cellStyle name="Note 5 2 29 2" xfId="44468" xr:uid="{774285D1-5BB9-48E8-BC88-53F98D0BB473}"/>
    <cellStyle name="Note 5 2 3" xfId="3041" xr:uid="{13665F01-EB12-40E2-8F9A-11132844D797}"/>
    <cellStyle name="Note 5 2 3 10" xfId="13492" xr:uid="{08DD5354-99EB-4135-966A-53D6C9B5E2BD}"/>
    <cellStyle name="Note 5 2 3 10 2" xfId="35746" xr:uid="{5F55F955-A79C-4EFC-9D48-22EBC326464C}"/>
    <cellStyle name="Note 5 2 3 11" xfId="16490" xr:uid="{BE5AE49E-17E9-4402-9640-203FFE5D4813}"/>
    <cellStyle name="Note 5 2 3 11 2" xfId="37983" xr:uid="{77E2E779-4BE8-4BA4-AF33-D400A7AB71EF}"/>
    <cellStyle name="Note 5 2 3 12" xfId="13731" xr:uid="{2B568EB4-C393-4150-A5AA-A5058CF24949}"/>
    <cellStyle name="Note 5 2 3 12 2" xfId="35886" xr:uid="{92842829-B58B-4E3A-9A5F-02D9F69F5732}"/>
    <cellStyle name="Note 5 2 3 13" xfId="19265" xr:uid="{A510353F-D936-43C8-8D02-8D07445FE776}"/>
    <cellStyle name="Note 5 2 3 13 2" xfId="40051" xr:uid="{6CB9FA2F-4AE3-4659-98A5-2182ED1A2F39}"/>
    <cellStyle name="Note 5 2 3 14" xfId="21592" xr:uid="{7CEF55B2-BED3-4166-B2A9-84C73EB5F722}"/>
    <cellStyle name="Note 5 2 3 14 2" xfId="41676" xr:uid="{587B3DE1-3A53-4D66-876B-DEF4AA102758}"/>
    <cellStyle name="Note 5 2 3 15" xfId="10218" xr:uid="{F9C62BE1-3746-4BF1-9CC5-06A6CB1BD4D9}"/>
    <cellStyle name="Note 5 2 3 15 2" xfId="33853" xr:uid="{202B5CDF-DDE1-4419-BFCD-7A0DFF519B3F}"/>
    <cellStyle name="Note 5 2 3 16" xfId="20895" xr:uid="{547181A5-1FD8-4BD4-83C9-527DCB16562C}"/>
    <cellStyle name="Note 5 2 3 16 2" xfId="41203" xr:uid="{D57A1068-74A0-40FB-97CF-AFB3A340302C}"/>
    <cellStyle name="Note 5 2 3 17" xfId="25700" xr:uid="{339602FE-03CA-4DEE-A35E-7DFBBCF25D37}"/>
    <cellStyle name="Note 5 2 3 17 2" xfId="44537" xr:uid="{07171DC8-C5F0-4929-BC51-4BCC9160EBA9}"/>
    <cellStyle name="Note 5 2 3 18" xfId="17134" xr:uid="{B8A57D16-4651-4760-984D-DD35BB1906EA}"/>
    <cellStyle name="Note 5 2 3 18 2" xfId="38473" xr:uid="{E7CCF38C-51F3-46AB-B5AC-4A01B9EFB0DF}"/>
    <cellStyle name="Note 5 2 3 19" xfId="22325" xr:uid="{E3A2171B-6AB8-4FEB-80A1-0AF95494CF30}"/>
    <cellStyle name="Note 5 2 3 19 2" xfId="42180" xr:uid="{8024A5D2-AA71-47FC-BA2A-181D276216B8}"/>
    <cellStyle name="Note 5 2 3 2" xfId="7974" xr:uid="{0AAB0B12-62AD-4A45-9081-06918CF19664}"/>
    <cellStyle name="Note 5 2 3 2 2" xfId="32221" xr:uid="{62B86770-D47C-42A9-BF89-9B6BED6FE8E6}"/>
    <cellStyle name="Note 5 2 3 20" xfId="12642" xr:uid="{50505884-6D55-4E8F-A3A6-D109B1D5AE05}"/>
    <cellStyle name="Note 5 2 3 20 2" xfId="35068" xr:uid="{A781822C-C8E2-4E12-BB18-0D3FC4942951}"/>
    <cellStyle name="Note 5 2 3 21" xfId="20362" xr:uid="{068367E1-5652-473B-BD72-E686140E44DF}"/>
    <cellStyle name="Note 5 2 3 21 2" xfId="40789" xr:uid="{906729BB-8D0B-42BF-857F-5C5EE4693A3E}"/>
    <cellStyle name="Note 5 2 3 22" xfId="15394" xr:uid="{8B142FC5-01E2-45DF-9DE9-4F56224C7FB4}"/>
    <cellStyle name="Note 5 2 3 22 2" xfId="37092" xr:uid="{6499483A-0AFB-4663-80E2-3F1A2A66EA0E}"/>
    <cellStyle name="Note 5 2 3 23" xfId="28588" xr:uid="{C4F16E43-EDE0-4D76-B235-C75A962D1C1C}"/>
    <cellStyle name="Note 5 2 3 23 2" xfId="46322" xr:uid="{EDB82D79-F74C-43DA-9951-BD3C70CA5A7B}"/>
    <cellStyle name="Note 5 2 3 24" xfId="26287" xr:uid="{5ADDCC89-0D33-4A29-AA79-5D532A170A5D}"/>
    <cellStyle name="Note 5 2 3 24 2" xfId="44989" xr:uid="{C714DD22-2AA3-4F33-B306-C9A6CFB68A47}"/>
    <cellStyle name="Note 5 2 3 25" xfId="27879" xr:uid="{CCFD676C-1910-4D9C-A132-054DA83C3470}"/>
    <cellStyle name="Note 5 2 3 25 2" xfId="45951" xr:uid="{6111D6F4-AF53-4952-8B7F-33470CE9E604}"/>
    <cellStyle name="Note 5 2 3 26" xfId="27415" xr:uid="{4A25F402-E35E-4628-8DD9-06F6FC22C237}"/>
    <cellStyle name="Note 5 2 3 26 2" xfId="45670" xr:uid="{1FA87F56-3AAE-4A63-BB30-897F21FA423D}"/>
    <cellStyle name="Note 5 2 3 27" xfId="26955" xr:uid="{3ABDF013-A394-46E2-AB71-99356108D57B}"/>
    <cellStyle name="Note 5 2 3 27 2" xfId="45362" xr:uid="{50DFE115-EAF7-4B82-9D89-A667E6E8847C}"/>
    <cellStyle name="Note 5 2 3 28" xfId="6559" xr:uid="{F1AEE684-F178-4A13-BB96-EC5D2D744C45}"/>
    <cellStyle name="Note 5 2 3 3" xfId="13624" xr:uid="{DB6CF152-4AD7-4D25-84BE-4BD2C58B944B}"/>
    <cellStyle name="Note 5 2 3 3 2" xfId="35789" xr:uid="{E0BE1AEE-CA9E-4A72-B363-9736D0A700CA}"/>
    <cellStyle name="Note 5 2 3 4" xfId="12048" xr:uid="{D2AEC4A7-9D6A-4A4E-838F-CD9C2BE48952}"/>
    <cellStyle name="Note 5 2 3 4 2" xfId="34606" xr:uid="{A5EB4E0D-6928-4213-BA83-8756992E5EF7}"/>
    <cellStyle name="Note 5 2 3 5" xfId="8755" xr:uid="{BD4B7731-32E3-4703-AA2C-4F046CFEDF89}"/>
    <cellStyle name="Note 5 2 3 5 2" xfId="32884" xr:uid="{4374E6D4-7C43-4D20-947D-D399DD55E602}"/>
    <cellStyle name="Note 5 2 3 6" xfId="10480" xr:uid="{0D0641A9-3B27-4BEC-B0F5-388E2617E38E}"/>
    <cellStyle name="Note 5 2 3 6 2" xfId="34115" xr:uid="{76CDF6E1-4B72-4FB3-A5F7-A82AA1AA2319}"/>
    <cellStyle name="Note 5 2 3 7" xfId="8430" xr:uid="{FD00943E-255A-46BB-B972-8D4BBAE833FC}"/>
    <cellStyle name="Note 5 2 3 7 2" xfId="32618" xr:uid="{7DBF1143-7D5C-4713-8722-2205E5721041}"/>
    <cellStyle name="Note 5 2 3 8" xfId="15968" xr:uid="{48680CCC-7E9C-48BF-9056-98BC16FA3DD4}"/>
    <cellStyle name="Note 5 2 3 8 2" xfId="37559" xr:uid="{3B064EC8-3A7D-49D6-A329-579AC920C0C5}"/>
    <cellStyle name="Note 5 2 3 9" xfId="7021" xr:uid="{230AA9A4-7E0D-4DAA-873D-2A988BAF82C7}"/>
    <cellStyle name="Note 5 2 3 9 2" xfId="31388" xr:uid="{095C01C7-02B9-466F-B3A3-A370A2C3ECD4}"/>
    <cellStyle name="Note 5 2 30" xfId="6556" xr:uid="{130B9E86-D7EA-45F3-9ABC-CD0698AC2695}"/>
    <cellStyle name="Note 5 2 4" xfId="7977" xr:uid="{06F1224E-0375-4814-96DA-D03AC5651490}"/>
    <cellStyle name="Note 5 2 4 2" xfId="32224" xr:uid="{D808CCB9-1EDF-4B79-8453-E4287CE37BE2}"/>
    <cellStyle name="Note 5 2 5" xfId="9404" xr:uid="{F7064B0E-76A9-4E75-A5ED-45DF6C12585B}"/>
    <cellStyle name="Note 5 2 5 2" xfId="33387" xr:uid="{2A7E777E-07FF-441A-9C73-173AF17D0708}"/>
    <cellStyle name="Note 5 2 6" xfId="7640" xr:uid="{B8AE586B-5764-4A63-BC17-73757D22669D}"/>
    <cellStyle name="Note 5 2 6 2" xfId="31940" xr:uid="{A2D1D631-3FFC-41CA-B972-1EBF8D59E233}"/>
    <cellStyle name="Note 5 2 7" xfId="8758" xr:uid="{5A8F9A37-658F-438C-803D-5E2CAB925FFE}"/>
    <cellStyle name="Note 5 2 7 2" xfId="32887" xr:uid="{837B4D48-6224-4841-9C5B-E4116B68D3F8}"/>
    <cellStyle name="Note 5 2 8" xfId="12992" xr:uid="{B3E45792-397C-4519-B5A1-B34A069AEA50}"/>
    <cellStyle name="Note 5 2 8 2" xfId="35340" xr:uid="{EC60FB4C-4A02-418C-9199-2018CD73D6C2}"/>
    <cellStyle name="Note 5 2 9" xfId="8433" xr:uid="{86F1F1CF-31DE-4D2C-86FE-DA09EDEB58CE}"/>
    <cellStyle name="Note 5 2 9 2" xfId="32621" xr:uid="{D75E6575-5B99-4935-BEBF-D7A747B6B804}"/>
    <cellStyle name="Note 5 2_Sheet2" xfId="3042" xr:uid="{C731483E-1F99-439A-BC2B-E5493665E2AA}"/>
    <cellStyle name="Note 5 20" xfId="19266" xr:uid="{7341AFAF-3C9B-4D4B-9790-23F3E35C6343}"/>
    <cellStyle name="Note 5 20 2" xfId="40052" xr:uid="{A70F2119-8358-4498-8D8E-1854D9EADB5B}"/>
    <cellStyle name="Note 5 21" xfId="21594" xr:uid="{5BF81E5A-09A5-414E-9492-81727CDD59A0}"/>
    <cellStyle name="Note 5 21 2" xfId="41678" xr:uid="{B8009403-3816-4744-AD4B-AD301B538BB2}"/>
    <cellStyle name="Note 5 22" xfId="10217" xr:uid="{A8498ED2-5F9B-4BF5-A348-1E8B2F2D74A8}"/>
    <cellStyle name="Note 5 22 2" xfId="33852" xr:uid="{3E2B7300-038F-4382-B420-FE8E0805DC59}"/>
    <cellStyle name="Note 5 23" xfId="19607" xr:uid="{E3B7D527-12B6-4EFA-8602-D2AEEB9DD4C3}"/>
    <cellStyle name="Note 5 23 2" xfId="40247" xr:uid="{EF1386ED-9E6D-4472-B7D0-21D582BE2D5E}"/>
    <cellStyle name="Note 5 24" xfId="18246" xr:uid="{85868A9E-2986-4D74-81BE-A7B6EF6FE73B}"/>
    <cellStyle name="Note 5 24 2" xfId="39277" xr:uid="{D0250319-DBB8-4D8F-B6BB-B456230FC81E}"/>
    <cellStyle name="Note 5 25" xfId="19064" xr:uid="{BA77685C-98A6-4C87-88C7-3E32AD28312D}"/>
    <cellStyle name="Note 5 25 2" xfId="39896" xr:uid="{8A25070E-5213-44F8-9EF8-EDFDCDEEB9A2}"/>
    <cellStyle name="Note 5 26" xfId="24688" xr:uid="{3D606C47-EFFB-4130-B081-915203C560A2}"/>
    <cellStyle name="Note 5 26 2" xfId="43833" xr:uid="{B9366986-28BA-415F-80D4-804E6DCAA8F4}"/>
    <cellStyle name="Note 5 27" xfId="15746" xr:uid="{886FF626-99A5-48B7-9465-CFFF33DE81E6}"/>
    <cellStyle name="Note 5 27 2" xfId="37375" xr:uid="{11F6F03D-BF74-4F0E-A9A3-B471393E84ED}"/>
    <cellStyle name="Note 5 28" xfId="22276" xr:uid="{BC227E47-121B-4B46-8895-4A53E6710EFB}"/>
    <cellStyle name="Note 5 28 2" xfId="42141" xr:uid="{BD6DCDE3-2373-451A-A815-576A1E60A592}"/>
    <cellStyle name="Note 5 29" xfId="23214" xr:uid="{65CA2861-7ACC-4EA9-ADDB-CE7608D0F146}"/>
    <cellStyle name="Note 5 29 2" xfId="42807" xr:uid="{CE53D5D2-3DE0-435A-B87C-8D1D2CEE75C7}"/>
    <cellStyle name="Note 5 3" xfId="3043" xr:uid="{795EEA6C-A0F9-44B6-8F26-7C0CCA53EA25}"/>
    <cellStyle name="Note 5 3 10" xfId="7055" xr:uid="{7D57AF46-5280-47F4-88C5-23CCD51545E9}"/>
    <cellStyle name="Note 5 3 10 2" xfId="31422" xr:uid="{BB8F5C5A-7EB8-48F2-AD9C-77DBD6295374}"/>
    <cellStyle name="Note 5 3 11" xfId="15533" xr:uid="{C6B7BB8D-DB40-43AA-A272-787230253BE4}"/>
    <cellStyle name="Note 5 3 11 2" xfId="37198" xr:uid="{61644502-6992-47BD-90F6-374A43201823}"/>
    <cellStyle name="Note 5 3 12" xfId="16489" xr:uid="{D13F6EE1-173A-4BE8-93DE-665B1FEB34A7}"/>
    <cellStyle name="Note 5 3 12 2" xfId="37982" xr:uid="{D8FE2D2D-C791-498F-A729-06816CE2AC51}"/>
    <cellStyle name="Note 5 3 13" xfId="16801" xr:uid="{89481BEC-660A-4587-B3E9-49C660DDE064}"/>
    <cellStyle name="Note 5 3 13 2" xfId="38234" xr:uid="{FC500030-CFB8-435C-8B65-7C9F8F6B9A0F}"/>
    <cellStyle name="Note 5 3 14" xfId="15457" xr:uid="{5F982734-B92D-4370-AAE0-DDE475E65DEC}"/>
    <cellStyle name="Note 5 3 14 2" xfId="37126" xr:uid="{5081C6EF-0FBE-41BC-908A-42C1F2E08556}"/>
    <cellStyle name="Note 5 3 15" xfId="21591" xr:uid="{59745894-5998-4FC7-BD10-D005775FB8B9}"/>
    <cellStyle name="Note 5 3 15 2" xfId="41675" xr:uid="{FECEF8A7-9A93-46C0-AF0A-CB37840D5811}"/>
    <cellStyle name="Note 5 3 16" xfId="17063" xr:uid="{BEC890F2-15B3-4253-9AB0-26520AACDD41}"/>
    <cellStyle name="Note 5 3 16 2" xfId="38405" xr:uid="{02C7E8A8-546C-4C79-8707-F42602F4AE29}"/>
    <cellStyle name="Note 5 3 17" xfId="16985" xr:uid="{87AFCF78-5EEF-431A-AF6C-C8B1327AFB78}"/>
    <cellStyle name="Note 5 3 17 2" xfId="38345" xr:uid="{CB7E864C-F8DB-4BE8-896F-7329A6EFDF36}"/>
    <cellStyle name="Note 5 3 18" xfId="24101" xr:uid="{FAEAA260-32EE-4D0C-AA7F-FB0D8CD61273}"/>
    <cellStyle name="Note 5 3 18 2" xfId="43477" xr:uid="{4A473C29-32E9-45AD-BE24-5DAE57D42F70}"/>
    <cellStyle name="Note 5 3 19" xfId="13802" xr:uid="{AE64A7E0-7537-4E64-A5F5-242DB067C10F}"/>
    <cellStyle name="Note 5 3 19 2" xfId="35930" xr:uid="{40C490A8-B1B7-42DC-B3F1-BA7FE26ED128}"/>
    <cellStyle name="Note 5 3 2" xfId="3044" xr:uid="{B83558AA-2D70-40F9-B4D9-83E8636DA7B4}"/>
    <cellStyle name="Note 5 3 2 10" xfId="12334" xr:uid="{0974014C-F876-4574-98CF-9F921AF82884}"/>
    <cellStyle name="Note 5 3 2 10 2" xfId="34838" xr:uid="{DC645C50-8EA6-4127-9E62-9F1EBD24F7BD}"/>
    <cellStyle name="Note 5 3 2 11" xfId="12561" xr:uid="{F69B9C58-394C-43A9-8C31-8CF13E475DCA}"/>
    <cellStyle name="Note 5 3 2 11 2" xfId="35005" xr:uid="{368B7D47-0327-42D7-89AE-C1159C9071AE}"/>
    <cellStyle name="Note 5 3 2 12" xfId="17397" xr:uid="{49BFDE3C-F33B-4BBE-90E3-715D1A9BC088}"/>
    <cellStyle name="Note 5 3 2 12 2" xfId="38644" xr:uid="{F20A6310-5379-4EBA-8C4B-2606B5279B06}"/>
    <cellStyle name="Note 5 3 2 13" xfId="19264" xr:uid="{68785F19-C244-4AD2-B8BB-B23C2C624C83}"/>
    <cellStyle name="Note 5 3 2 13 2" xfId="40050" xr:uid="{4A010BEF-F674-4B4D-A859-EBDEA9B17DFF}"/>
    <cellStyle name="Note 5 3 2 14" xfId="19703" xr:uid="{3280F1E3-87A5-4DA7-B948-99E193DA98DA}"/>
    <cellStyle name="Note 5 3 2 14 2" xfId="40320" xr:uid="{48285805-A045-4E0A-804F-8F660C42AFF5}"/>
    <cellStyle name="Note 5 3 2 15" xfId="18679" xr:uid="{726C272D-A15E-4956-A3CD-FD6F752E36BE}"/>
    <cellStyle name="Note 5 3 2 15 2" xfId="39561" xr:uid="{3754210E-0B9B-4113-9DBD-87F5ACF8CD63}"/>
    <cellStyle name="Note 5 3 2 16" xfId="21390" xr:uid="{49B22F28-E686-4651-9135-D25E7E267907}"/>
    <cellStyle name="Note 5 3 2 16 2" xfId="41519" xr:uid="{27A4FB07-C7E7-423A-9ECF-233BBEE0F3CA}"/>
    <cellStyle name="Note 5 3 2 17" xfId="25696" xr:uid="{CE65BE86-F430-4004-BB7E-B2C8FDD6BBB8}"/>
    <cellStyle name="Note 5 3 2 17 2" xfId="44533" xr:uid="{BFD86353-165D-4F9B-9137-91439B62D015}"/>
    <cellStyle name="Note 5 3 2 18" xfId="19067" xr:uid="{999B1EC8-D0BA-4235-9D85-B47DE8D96258}"/>
    <cellStyle name="Note 5 3 2 18 2" xfId="39899" xr:uid="{2C9B2767-C39A-4579-AC7E-6C4E72610E4B}"/>
    <cellStyle name="Note 5 3 2 19" xfId="26690" xr:uid="{411AD76F-D5DE-4807-B99C-B72614E191BD}"/>
    <cellStyle name="Note 5 3 2 19 2" xfId="45237" xr:uid="{1D161D9E-92A4-4326-902F-2B1EEC778689}"/>
    <cellStyle name="Note 5 3 2 2" xfId="7972" xr:uid="{60DEB0FE-D0AE-4297-A8F6-D592788321B0}"/>
    <cellStyle name="Note 5 3 2 2 2" xfId="32219" xr:uid="{799E6DAE-6662-40EE-BBE7-2AD65367324A}"/>
    <cellStyle name="Note 5 3 2 20" xfId="19869" xr:uid="{E063C812-C8CF-4706-AEF7-353E6619C092}"/>
    <cellStyle name="Note 5 3 2 20 2" xfId="40482" xr:uid="{55C5873D-69A4-4473-AFD8-0797E7948E74}"/>
    <cellStyle name="Note 5 3 2 21" xfId="27945" xr:uid="{C7ED252D-96DD-42D9-A726-012BB52F2ED4}"/>
    <cellStyle name="Note 5 3 2 21 2" xfId="46017" xr:uid="{91245F84-0A31-4E05-9E4B-B22958033EDD}"/>
    <cellStyle name="Note 5 3 2 22" xfId="23213" xr:uid="{9FD5494F-CE35-44C7-968A-46E2638332F8}"/>
    <cellStyle name="Note 5 3 2 22 2" xfId="42806" xr:uid="{754D451C-DAC3-4E86-AFC0-C3F2CE1E2FEC}"/>
    <cellStyle name="Note 5 3 2 23" xfId="28587" xr:uid="{393991FA-A035-4061-98CA-A587DB9F3524}"/>
    <cellStyle name="Note 5 3 2 23 2" xfId="46321" xr:uid="{51FC9594-74ED-4291-9A49-905B4BE0538E}"/>
    <cellStyle name="Note 5 3 2 24" xfId="22233" xr:uid="{55288D93-8AE7-4C3E-B68D-AAF222C04FDC}"/>
    <cellStyle name="Note 5 3 2 24 2" xfId="42110" xr:uid="{CC3DACFB-04AF-431A-B0F8-CCFEF357A318}"/>
    <cellStyle name="Note 5 3 2 25" xfId="29715" xr:uid="{430B51F4-912B-4B3E-AE39-FDBEBF3DAF7A}"/>
    <cellStyle name="Note 5 3 2 25 2" xfId="47060" xr:uid="{1148F130-FF01-4A1A-B758-7DD639BC1E7D}"/>
    <cellStyle name="Note 5 3 2 26" xfId="23031" xr:uid="{48B97AE9-6B74-4D3F-AEEB-F36F4C506BCD}"/>
    <cellStyle name="Note 5 3 2 26 2" xfId="42665" xr:uid="{B2399563-94F3-46EE-A443-354CC618134D}"/>
    <cellStyle name="Note 5 3 2 27" xfId="26904" xr:uid="{4118D8F6-CEBA-419B-B104-7944AA619F3B}"/>
    <cellStyle name="Note 5 3 2 27 2" xfId="45327" xr:uid="{A7BE6A7A-D1C3-4A00-A770-3EEE5287D0DD}"/>
    <cellStyle name="Note 5 3 2 28" xfId="6561" xr:uid="{41D87BEE-297E-4348-A77B-3F803BAEDE97}"/>
    <cellStyle name="Note 5 3 2 3" xfId="13362" xr:uid="{57F36369-C768-444D-BAD3-6D7020C39FDD}"/>
    <cellStyle name="Note 5 3 2 3 2" xfId="35669" xr:uid="{F7BF4DE9-1D42-4225-9925-59A9696E400E}"/>
    <cellStyle name="Note 5 3 2 4" xfId="7638" xr:uid="{DC0AA4A8-5090-4281-8F48-618D50F5EDA2}"/>
    <cellStyle name="Note 5 3 2 4 2" xfId="31938" xr:uid="{475F47C3-85D1-4966-9085-A367587C564B}"/>
    <cellStyle name="Note 5 3 2 5" xfId="8753" xr:uid="{439B7FA1-7977-4795-ADD8-A13339F7FA1C}"/>
    <cellStyle name="Note 5 3 2 5 2" xfId="32882" xr:uid="{F39709E6-94AD-4B4E-A596-16EA741AE72D}"/>
    <cellStyle name="Note 5 3 2 6" xfId="12990" xr:uid="{1AACB7D1-104F-46D6-A6E8-E60AA4116C45}"/>
    <cellStyle name="Note 5 3 2 6 2" xfId="35338" xr:uid="{D2785E83-FE14-4B30-BC83-A7EDBFF087B8}"/>
    <cellStyle name="Note 5 3 2 7" xfId="8394" xr:uid="{45D2A754-C25E-410B-A325-0E41B2E87DCD}"/>
    <cellStyle name="Note 5 3 2 7 2" xfId="32609" xr:uid="{3DFC8E76-7040-4FE5-9A25-1E4D7EA4FCF3}"/>
    <cellStyle name="Note 5 3 2 8" xfId="12902" xr:uid="{FC4D7C70-9E5B-4E1C-BF49-40DC1BBA3267}"/>
    <cellStyle name="Note 5 3 2 8 2" xfId="35258" xr:uid="{C63EFD97-558C-4AF6-894D-02E052C38393}"/>
    <cellStyle name="Note 5 3 2 9" xfId="14271" xr:uid="{0EF07715-0F2D-4F73-8DED-0F7DF24FE3C7}"/>
    <cellStyle name="Note 5 3 2 9 2" xfId="36324" xr:uid="{6ACF4D32-B013-4386-9E9A-F5A051473932}"/>
    <cellStyle name="Note 5 3 20" xfId="26693" xr:uid="{8A627A04-7DC9-4F33-A16A-33EBA4B4206C}"/>
    <cellStyle name="Note 5 3 20 2" xfId="45240" xr:uid="{26B6DCD7-591C-4B21-B9BC-D6E072164548}"/>
    <cellStyle name="Note 5 3 21" xfId="18038" xr:uid="{BBE9630F-405E-447E-8E1E-5F23CDD3DE87}"/>
    <cellStyle name="Note 5 3 21 2" xfId="39134" xr:uid="{50156DD4-1C12-499B-9BD2-3A52D8FC3EF8}"/>
    <cellStyle name="Note 5 3 22" xfId="27933" xr:uid="{2ECBF3B3-EF5A-4545-BBDA-8EB6EBC05C9F}"/>
    <cellStyle name="Note 5 3 22 2" xfId="46005" xr:uid="{C9BFB606-F5B8-4F42-A216-994A60B00D66}"/>
    <cellStyle name="Note 5 3 23" xfId="20500" xr:uid="{D29BCFFB-D4B3-40E3-B6B6-47E3C3F0E1CA}"/>
    <cellStyle name="Note 5 3 23 2" xfId="40890" xr:uid="{BF9D2087-E073-4E12-A896-A7096595FAEE}"/>
    <cellStyle name="Note 5 3 24" xfId="26102" xr:uid="{A8D09905-5534-4C81-B222-338CBA3205F5}"/>
    <cellStyle name="Note 5 3 24 2" xfId="44845" xr:uid="{9DA213C5-9E01-49FD-998B-B2AE7F429DFB}"/>
    <cellStyle name="Note 5 3 25" xfId="26303" xr:uid="{6C240192-59C7-4848-BE71-77E4992F440A}"/>
    <cellStyle name="Note 5 3 25 2" xfId="44993" xr:uid="{71977E9F-5F65-4822-B6CD-D6D8E2E44DA1}"/>
    <cellStyle name="Note 5 3 26" xfId="29712" xr:uid="{8A4FE207-41CC-4511-AD64-2111BCD457A2}"/>
    <cellStyle name="Note 5 3 26 2" xfId="47057" xr:uid="{22F5C02C-08B9-42F6-8CB5-E50CFB20571E}"/>
    <cellStyle name="Note 5 3 27" xfId="22414" xr:uid="{18720789-EBFE-4870-BD61-02C079167335}"/>
    <cellStyle name="Note 5 3 27 2" xfId="42228" xr:uid="{B6F52742-4C01-49DC-BBAA-B79B3C8876CD}"/>
    <cellStyle name="Note 5 3 28" xfId="28266" xr:uid="{4A702AA5-77BE-4970-BA0B-F24059B14897}"/>
    <cellStyle name="Note 5 3 28 2" xfId="46133" xr:uid="{4567781E-EAD2-44D2-A255-4F761184EFBD}"/>
    <cellStyle name="Note 5 3 29" xfId="6560" xr:uid="{95C9B6B5-05EC-4A36-BE6D-8735A68CDF3F}"/>
    <cellStyle name="Note 5 3 3" xfId="7973" xr:uid="{6D87946F-C52D-452C-AE8C-835C25E944A7}"/>
    <cellStyle name="Note 5 3 3 2" xfId="32220" xr:uid="{EB406576-1248-4174-AAE4-910AF08EE73E}"/>
    <cellStyle name="Note 5 3 4" xfId="13349" xr:uid="{55B372FE-181C-40CA-90F7-84F2DBEC5F3E}"/>
    <cellStyle name="Note 5 3 4 2" xfId="35656" xr:uid="{210905A4-3CAF-493C-828E-2A1213D983A9}"/>
    <cellStyle name="Note 5 3 5" xfId="12047" xr:uid="{2C169BC9-BC5D-47E4-BA29-0A4582100E01}"/>
    <cellStyle name="Note 5 3 5 2" xfId="34605" xr:uid="{4A1BFD4E-B3AF-44DF-B6BC-F30E11734FCE}"/>
    <cellStyle name="Note 5 3 6" xfId="8754" xr:uid="{271EA368-826C-41B2-8BC6-0EC0CE7E0E86}"/>
    <cellStyle name="Note 5 3 6 2" xfId="32883" xr:uid="{0D58A49B-B8E7-4720-B37C-1981E04FB604}"/>
    <cellStyle name="Note 5 3 7" xfId="10481" xr:uid="{D425E7DF-EC3F-44FD-817F-6633BEB430A0}"/>
    <cellStyle name="Note 5 3 7 2" xfId="34116" xr:uid="{1EE66285-7679-43C6-B78C-DAF9EB51BDA2}"/>
    <cellStyle name="Note 5 3 8" xfId="8395" xr:uid="{AD8DBE4E-5007-49F3-B980-B3C03014E5F8}"/>
    <cellStyle name="Note 5 3 8 2" xfId="32610" xr:uid="{B0649D20-0F69-4515-80F5-B4C77C25A301}"/>
    <cellStyle name="Note 5 3 9" xfId="14842" xr:uid="{284CBBE2-A7EF-4FCF-811F-A2CB60774603}"/>
    <cellStyle name="Note 5 3 9 2" xfId="36717" xr:uid="{CDD1184A-42A4-43CB-8B35-FB2E7B394C19}"/>
    <cellStyle name="Note 5 30" xfId="28589" xr:uid="{50B3D4C4-391E-4E4F-A2D8-B3A2F6B0CB94}"/>
    <cellStyle name="Note 5 30 2" xfId="46323" xr:uid="{C2836C63-231E-41DF-9E90-EB82AAD59176}"/>
    <cellStyle name="Note 5 31" xfId="18557" xr:uid="{7BBEF042-6864-462C-9E19-D0ECC1903EBF}"/>
    <cellStyle name="Note 5 31 2" xfId="39501" xr:uid="{8658EAF3-B528-46A7-9FE5-D941D1BC9AA2}"/>
    <cellStyle name="Note 5 32" xfId="21938" xr:uid="{0E05C056-9ED8-4085-ADC1-D0675B0F9CEB}"/>
    <cellStyle name="Note 5 32 2" xfId="41852" xr:uid="{764DEABC-D9CE-4D2F-9C10-72A504ACADCA}"/>
    <cellStyle name="Note 5 33" xfId="27417" xr:uid="{9BFCA3F6-A9B0-4E7B-892F-983577D467A5}"/>
    <cellStyle name="Note 5 33 2" xfId="45672" xr:uid="{A7FBCA1B-E5E5-4526-9E28-09FFE0EAB9EB}"/>
    <cellStyle name="Note 5 34" xfId="29212" xr:uid="{3E7EEE82-F956-4119-9969-5AA6C98D26A3}"/>
    <cellStyle name="Note 5 34 2" xfId="46738" xr:uid="{39BC5CC4-4ECB-4AAC-AC5E-97F3C83EB03E}"/>
    <cellStyle name="Note 5 35" xfId="6555" xr:uid="{BBC59A1F-7024-4B2A-B212-A4ABDEEA4A52}"/>
    <cellStyle name="Note 5 4" xfId="3045" xr:uid="{0919ECFD-9805-4BBC-9B92-B6C9B2AAAEA7}"/>
    <cellStyle name="Note 5 4 10" xfId="14270" xr:uid="{3AA4C5C3-2561-45AB-9B0C-14C71A9062FF}"/>
    <cellStyle name="Note 5 4 10 2" xfId="36323" xr:uid="{78783823-5DDC-4A62-8792-B71C05BA131E}"/>
    <cellStyle name="Note 5 4 11" xfId="13825" xr:uid="{D4596515-C779-4207-9B14-4292FCB313CA}"/>
    <cellStyle name="Note 5 4 11 2" xfId="35950" xr:uid="{37A67A6F-0781-46FE-AB56-00D679D8FCF5}"/>
    <cellStyle name="Note 5 4 12" xfId="16488" xr:uid="{B9DC2600-50AE-4688-9175-1573D1F7E3A2}"/>
    <cellStyle name="Note 5 4 12 2" xfId="37981" xr:uid="{87E7E10D-DB27-4EB0-A2DF-64FE7CD123D9}"/>
    <cellStyle name="Note 5 4 13" xfId="17396" xr:uid="{EA49DCB0-3BBC-4DF7-B0CA-8DC843D317F5}"/>
    <cellStyle name="Note 5 4 13 2" xfId="38643" xr:uid="{5F285164-6DD0-47D5-92EE-D37B86EEFC88}"/>
    <cellStyle name="Note 5 4 14" xfId="9898" xr:uid="{5983857B-141A-437E-9AD5-55DDC3AD4A34}"/>
    <cellStyle name="Note 5 4 14 2" xfId="33644" xr:uid="{CF9AF149-3732-4825-A7B9-2B49D7F364A6}"/>
    <cellStyle name="Note 5 4 15" xfId="21590" xr:uid="{BD49E064-66A1-422F-ADBB-24D60F7D78F6}"/>
    <cellStyle name="Note 5 4 15 2" xfId="41674" xr:uid="{01DEF934-CF8C-49B2-96EC-16616AFB48E5}"/>
    <cellStyle name="Note 5 4 16" xfId="10219" xr:uid="{7CDB6AB0-DD7F-438C-AF23-C9BA4CB6E16C}"/>
    <cellStyle name="Note 5 4 16 2" xfId="33854" xr:uid="{95FD68F7-3612-4979-930C-4DACC54ECDEC}"/>
    <cellStyle name="Note 5 4 17" xfId="19605" xr:uid="{328233F5-DE41-4790-ABF5-49295E99063C}"/>
    <cellStyle name="Note 5 4 17 2" xfId="40245" xr:uid="{287DB4DE-0CDE-4625-A2A9-4C812DF25379}"/>
    <cellStyle name="Note 5 4 18" xfId="25699" xr:uid="{FAC06855-A951-4C83-9BAF-7BA2176874AE}"/>
    <cellStyle name="Note 5 4 18 2" xfId="44536" xr:uid="{CA9A5017-00D9-4E40-B513-4BF406523F89}"/>
    <cellStyle name="Note 5 4 19" xfId="17135" xr:uid="{D3AC3BDD-1AF4-4653-9614-8B90AEC4C3B9}"/>
    <cellStyle name="Note 5 4 19 2" xfId="38474" xr:uid="{D7EB88E5-4358-403E-9423-5807CA6B64C3}"/>
    <cellStyle name="Note 5 4 2" xfId="3046" xr:uid="{E5B3EB29-63B2-44C4-89E4-023773466647}"/>
    <cellStyle name="Note 5 4 2 10" xfId="14629" xr:uid="{26B15E76-8F03-4CBD-9FE0-55CDB12EB103}"/>
    <cellStyle name="Note 5 4 2 10 2" xfId="36541" xr:uid="{D25B0773-8EB9-4311-BFB9-9908D170DCAF}"/>
    <cellStyle name="Note 5 4 2 11" xfId="14005" xr:uid="{544DE00B-E081-4633-B276-9E9E83878C1E}"/>
    <cellStyle name="Note 5 4 2 11 2" xfId="36099" xr:uid="{277B3A43-0F8F-4AE9-B032-682E9297F5A5}"/>
    <cellStyle name="Note 5 4 2 12" xfId="13732" xr:uid="{89C537ED-FA8C-459D-9167-6824CCC0C8CF}"/>
    <cellStyle name="Note 5 4 2 12 2" xfId="35887" xr:uid="{FEA7B5D8-9EF5-4A7E-A65A-0AB79BF61A7A}"/>
    <cellStyle name="Note 5 4 2 13" xfId="22474" xr:uid="{D54EE00F-196D-4898-9DD7-EE833E8B0786}"/>
    <cellStyle name="Note 5 4 2 13 2" xfId="42273" xr:uid="{6BCCBE49-0885-4208-9024-AE642F5A17E2}"/>
    <cellStyle name="Note 5 4 2 14" xfId="17937" xr:uid="{DE80AFA1-E718-47A5-A22E-4EDC0F7ED22C}"/>
    <cellStyle name="Note 5 4 2 14 2" xfId="39035" xr:uid="{7E534097-030C-49B6-B257-C3E8A2A163EA}"/>
    <cellStyle name="Note 5 4 2 15" xfId="16960" xr:uid="{57786FE4-79D2-4E3D-9984-F4D562FF0C3D}"/>
    <cellStyle name="Note 5 4 2 15 2" xfId="38326" xr:uid="{BC7FB345-91EA-4A04-A8D0-A2D62A0AA37E}"/>
    <cellStyle name="Note 5 4 2 16" xfId="22530" xr:uid="{FA102CEA-CF5A-4D29-849A-F5E60937CCE0}"/>
    <cellStyle name="Note 5 4 2 16 2" xfId="42329" xr:uid="{B1A60A33-7789-4D7B-B21E-593B3AE1EED0}"/>
    <cellStyle name="Note 5 4 2 17" xfId="22011" xr:uid="{15A17D1A-3803-4D34-A26E-293CB454657C}"/>
    <cellStyle name="Note 5 4 2 17 2" xfId="41906" xr:uid="{49BE396F-5724-4304-81D8-7E45A74C1753}"/>
    <cellStyle name="Note 5 4 2 18" xfId="19068" xr:uid="{CDEE5CA7-AB6F-49DD-803F-A657ED350D0C}"/>
    <cellStyle name="Note 5 4 2 18 2" xfId="39900" xr:uid="{0CD0C484-B386-47F9-BBDD-867D8C47D0A8}"/>
    <cellStyle name="Note 5 4 2 19" xfId="22852" xr:uid="{6CC14889-44D4-4098-BC64-6113F9A14DDA}"/>
    <cellStyle name="Note 5 4 2 19 2" xfId="42570" xr:uid="{D6A08109-AF80-4A61-A22E-B0379B432CF1}"/>
    <cellStyle name="Note 5 4 2 2" xfId="7970" xr:uid="{0D8BA273-8D5B-4C37-B537-0C5B1CC2A505}"/>
    <cellStyle name="Note 5 4 2 2 2" xfId="32217" xr:uid="{17EBD312-B6DE-4EEC-858D-3C9308A289C5}"/>
    <cellStyle name="Note 5 4 2 20" xfId="15223" xr:uid="{3ECFBF5B-B515-48D4-8FAD-2105F4E15D70}"/>
    <cellStyle name="Note 5 4 2 20 2" xfId="36989" xr:uid="{D6ED1853-AF07-4BE3-80C1-956012BBC7AA}"/>
    <cellStyle name="Note 5 4 2 21" xfId="24505" xr:uid="{A1AD14EF-610F-480F-976C-586B5221602B}"/>
    <cellStyle name="Note 5 4 2 21 2" xfId="43688" xr:uid="{DB51B02F-0DBA-4F61-BA70-08722BFB952E}"/>
    <cellStyle name="Note 5 4 2 22" xfId="28945" xr:uid="{891CE2B3-E7A3-463B-8DC0-F8741A5A095E}"/>
    <cellStyle name="Note 5 4 2 22 2" xfId="46541" xr:uid="{14877674-124D-4734-AF61-2A042DB83F82}"/>
    <cellStyle name="Note 5 4 2 23" xfId="28586" xr:uid="{D63D1A61-41A9-49A3-ADF3-7979BB510891}"/>
    <cellStyle name="Note 5 4 2 23 2" xfId="46320" xr:uid="{621FBCD6-EA4F-4AAA-8126-C6AA7CE07CB3}"/>
    <cellStyle name="Note 5 4 2 24" xfId="23856" xr:uid="{7A5364B6-C3B1-49F1-8036-109D2729D3BE}"/>
    <cellStyle name="Note 5 4 2 24 2" xfId="43235" xr:uid="{DEA53DDF-24A4-4854-918E-0596C4FD12DC}"/>
    <cellStyle name="Note 5 4 2 25" xfId="27878" xr:uid="{629C4AA7-E5FE-4C8A-A48C-32C29B3C09F8}"/>
    <cellStyle name="Note 5 4 2 25 2" xfId="45950" xr:uid="{8E7024AB-9850-4C6D-8E00-F88874782235}"/>
    <cellStyle name="Note 5 4 2 26" xfId="27420" xr:uid="{261A47C6-751C-4E21-B4DB-B228A6B99B46}"/>
    <cellStyle name="Note 5 4 2 26 2" xfId="45675" xr:uid="{127A439C-A739-44DE-AB55-D4F9A1A70AEA}"/>
    <cellStyle name="Note 5 4 2 27" xfId="29997" xr:uid="{DC55117C-2308-4B3F-A39B-3164979E7129}"/>
    <cellStyle name="Note 5 4 2 27 2" xfId="47239" xr:uid="{9902D502-9F51-4D16-B15D-AF5B958A4ED9}"/>
    <cellStyle name="Note 5 4 2 28" xfId="6563" xr:uid="{2B012CA6-0641-4565-B5B8-5F4EFCC6C91F}"/>
    <cellStyle name="Note 5 4 2 3" xfId="9407" xr:uid="{C4B14D08-4D73-4CB7-A3A0-39573AD9425E}"/>
    <cellStyle name="Note 5 4 2 3 2" xfId="33390" xr:uid="{780E1CDD-FF70-48EE-984D-B995D29D7E01}"/>
    <cellStyle name="Note 5 4 2 4" xfId="7637" xr:uid="{AA1F57C7-2D82-4B81-820B-B28EF5D589C2}"/>
    <cellStyle name="Note 5 4 2 4 2" xfId="31937" xr:uid="{A7CD1DEB-B0AD-4380-9C19-8C685DCAD2E8}"/>
    <cellStyle name="Note 5 4 2 5" xfId="15926" xr:uid="{9A3E368F-0EC3-425F-A1A1-56D664AF40CB}"/>
    <cellStyle name="Note 5 4 2 5 2" xfId="37517" xr:uid="{80E43163-0526-4263-A83A-2B92E5428606}"/>
    <cellStyle name="Note 5 4 2 6" xfId="12989" xr:uid="{62E426B3-D522-433D-9168-AD92DFB380E2}"/>
    <cellStyle name="Note 5 4 2 6 2" xfId="35337" xr:uid="{1EEF6568-1144-4374-B354-DBD52747C197}"/>
    <cellStyle name="Note 5 4 2 7" xfId="8393" xr:uid="{49119812-570A-4740-97B9-B65B1694FE3E}"/>
    <cellStyle name="Note 5 4 2 7 2" xfId="32608" xr:uid="{87C42C5E-D727-4023-BBEA-D20DD4083A19}"/>
    <cellStyle name="Note 5 4 2 8" xfId="10584" xr:uid="{0652F88B-2FE6-4635-9E9B-29D10382DFF0}"/>
    <cellStyle name="Note 5 4 2 8 2" xfId="34210" xr:uid="{2DC7AA8E-C1CD-4D03-B710-E04E322F5C7A}"/>
    <cellStyle name="Note 5 4 2 9" xfId="7053" xr:uid="{C9A423D3-FBAD-4BC2-BC7B-90780EA6F7A4}"/>
    <cellStyle name="Note 5 4 2 9 2" xfId="31420" xr:uid="{EC4B3258-1397-48A2-9C87-EDE7DEF63B74}"/>
    <cellStyle name="Note 5 4 20" xfId="24686" xr:uid="{21895BFB-1433-4652-95F2-6D928DD3E6FB}"/>
    <cellStyle name="Note 5 4 20 2" xfId="43831" xr:uid="{0C7C9227-FD92-44D2-BE47-35CC10D9C152}"/>
    <cellStyle name="Note 5 4 21" xfId="19930" xr:uid="{40D3DB16-ADD1-4B56-A50B-FC02D7E1AB5A}"/>
    <cellStyle name="Note 5 4 21 2" xfId="40542" xr:uid="{A6074D2D-268D-4288-8FA5-AE8CF1F71B3A}"/>
    <cellStyle name="Note 5 4 22" xfId="27942" xr:uid="{5EF6598C-2B6B-4EC5-A995-E275E0C64CBB}"/>
    <cellStyle name="Note 5 4 22 2" xfId="46014" xr:uid="{BACBF2AA-0959-4449-AE0D-7145637EFC05}"/>
    <cellStyle name="Note 5 4 23" xfId="20499" xr:uid="{F8C5A38C-2EA7-4CF3-A0A4-476BB96E57CF}"/>
    <cellStyle name="Note 5 4 23 2" xfId="40889" xr:uid="{6CBD9725-97E6-448B-A95F-86F62654E065}"/>
    <cellStyle name="Note 5 4 24" xfId="27149" xr:uid="{2A120686-546C-4D66-9BAD-0F4A80154CBC}"/>
    <cellStyle name="Note 5 4 24 2" xfId="45490" xr:uid="{996D2848-FB80-415E-B5F2-69B5B4026789}"/>
    <cellStyle name="Note 5 4 25" xfId="26302" xr:uid="{F426EE7D-5A52-4F27-BF95-A6E1A9ACFFE9}"/>
    <cellStyle name="Note 5 4 25 2" xfId="44992" xr:uid="{F05BFFD5-AF80-431E-B3AF-CAB5A8B6EE27}"/>
    <cellStyle name="Note 5 4 26" xfId="29380" xr:uid="{BCDF2F89-B630-42F5-8E05-FC9751E7B74F}"/>
    <cellStyle name="Note 5 4 26 2" xfId="46848" xr:uid="{83AE405C-8BBB-458F-928B-DB5D75B6681E}"/>
    <cellStyle name="Note 5 4 27" xfId="20427" xr:uid="{F9B527FD-E0D3-4F1C-9CCA-D4297A3F6A29}"/>
    <cellStyle name="Note 5 4 27 2" xfId="40829" xr:uid="{4C574504-42FF-495F-889F-BF265D3F7316}"/>
    <cellStyle name="Note 5 4 28" xfId="29017" xr:uid="{F1FBD7D8-E7C5-4974-AC22-59ED0DF719A8}"/>
    <cellStyle name="Note 5 4 28 2" xfId="46611" xr:uid="{D2E64A08-0983-4BA8-8F71-930DDB8207F9}"/>
    <cellStyle name="Note 5 4 29" xfId="6562" xr:uid="{CC62494B-FCFC-4273-A1B7-F81CFE73232E}"/>
    <cellStyle name="Note 5 4 3" xfId="7971" xr:uid="{018F4ECF-EDC2-4B03-ABCB-B7A83010087A}"/>
    <cellStyle name="Note 5 4 3 2" xfId="32218" xr:uid="{2358EC00-C5D4-4697-98D7-557DD963E80A}"/>
    <cellStyle name="Note 5 4 4" xfId="13351" xr:uid="{69307A1A-B058-4466-91D3-02EEDF84D93E}"/>
    <cellStyle name="Note 5 4 4 2" xfId="35658" xr:uid="{C322C18C-542B-4159-A1FC-828D24C9EE06}"/>
    <cellStyle name="Note 5 4 5" xfId="12046" xr:uid="{F2587BAF-E0AD-4AAC-B2D8-C9B8134536A1}"/>
    <cellStyle name="Note 5 4 5 2" xfId="34604" xr:uid="{B75EABA7-754E-4652-9731-A86D279D759D}"/>
    <cellStyle name="Note 5 4 6" xfId="8752" xr:uid="{D53C82A6-C1E5-4E94-AE1E-D070AF5A79F7}"/>
    <cellStyle name="Note 5 4 6 2" xfId="32881" xr:uid="{FB8E9500-1832-4B92-95B0-E7CB4F59073E}"/>
    <cellStyle name="Note 5 4 7" xfId="15030" xr:uid="{35D976A0-884D-4831-AB89-6BAC0E6EBF2A}"/>
    <cellStyle name="Note 5 4 7 2" xfId="36888" xr:uid="{15ABAA48-D27D-4214-94BC-2A7CB49B0BD8}"/>
    <cellStyle name="Note 5 4 8" xfId="14574" xr:uid="{A8E358AC-C1D1-4EDA-9F0D-529EF28FF493}"/>
    <cellStyle name="Note 5 4 8 2" xfId="36493" xr:uid="{D9B1D6FE-CE44-495C-85F7-3A1AC6349A84}"/>
    <cellStyle name="Note 5 4 9" xfId="14841" xr:uid="{26740143-A58E-4079-A908-76A86DFBB1AB}"/>
    <cellStyle name="Note 5 4 9 2" xfId="36716" xr:uid="{2A16FD6B-2F26-48BE-8C5B-1A6F1C63DB31}"/>
    <cellStyle name="Note 5 5" xfId="3047" xr:uid="{511FD715-DD93-4648-BFF0-DDA0F8BB83B6}"/>
    <cellStyle name="Note 5 5 10" xfId="14269" xr:uid="{50FA4858-8972-4C79-B495-42302E097E74}"/>
    <cellStyle name="Note 5 5 10 2" xfId="36322" xr:uid="{C85A5C50-255E-47EF-BCD6-59778210E78B}"/>
    <cellStyle name="Note 5 5 11" xfId="15534" xr:uid="{F159CE5D-2232-4E37-8E97-6348CEE03C01}"/>
    <cellStyle name="Note 5 5 11 2" xfId="37199" xr:uid="{0EA22C52-DDA0-4548-A1B2-7D721572D129}"/>
    <cellStyle name="Note 5 5 12" xfId="16487" xr:uid="{BF5DD707-2DA7-4110-AD93-7BE7FDEB7DB3}"/>
    <cellStyle name="Note 5 5 12 2" xfId="37980" xr:uid="{A6C02183-F63B-4054-8FCB-89412B12DDAE}"/>
    <cellStyle name="Note 5 5 13" xfId="17395" xr:uid="{FE5C8820-4241-4DBE-AAF0-65EF4E51C9BC}"/>
    <cellStyle name="Note 5 5 13 2" xfId="38642" xr:uid="{5E490B4D-6E6D-4542-B37A-448BE7551B09}"/>
    <cellStyle name="Note 5 5 14" xfId="13512" xr:uid="{5FACDF9D-4672-4DDE-BE1E-3F8C01EFB2F4}"/>
    <cellStyle name="Note 5 5 14 2" xfId="35764" xr:uid="{1D526994-3732-4889-BE06-E78105D6C648}"/>
    <cellStyle name="Note 5 5 15" xfId="21589" xr:uid="{ED525A6B-9F08-44E9-9ABB-BF6269A0B2F6}"/>
    <cellStyle name="Note 5 5 15 2" xfId="41673" xr:uid="{253BEE8F-B979-4814-A97F-BC75F1A64DA2}"/>
    <cellStyle name="Note 5 5 16" xfId="12655" xr:uid="{8AECB976-7BDF-4FE1-AEF0-DC6A542D13B4}"/>
    <cellStyle name="Note 5 5 16 2" xfId="35081" xr:uid="{BCF5C54C-1F5F-49E6-95F7-09BAEBDDA25B}"/>
    <cellStyle name="Note 5 5 17" xfId="21389" xr:uid="{2EF266F7-D5C7-43D2-961D-9D83F37A9C25}"/>
    <cellStyle name="Note 5 5 17 2" xfId="41518" xr:uid="{D1444183-E20E-4300-A24D-022306E43EEE}"/>
    <cellStyle name="Note 5 5 18" xfId="25698" xr:uid="{05627EBE-DA69-42DA-B79D-E115991A340D}"/>
    <cellStyle name="Note 5 5 18 2" xfId="44535" xr:uid="{85E14D0F-1BAA-454B-AD8E-C604188FF980}"/>
    <cellStyle name="Note 5 5 19" xfId="16073" xr:uid="{6FB9FDDA-2CE0-4EC9-9989-9467DDFCAFCB}"/>
    <cellStyle name="Note 5 5 19 2" xfId="37644" xr:uid="{FEF64B78-4B65-44F9-94E0-AF6F13F03951}"/>
    <cellStyle name="Note 5 5 2" xfId="3048" xr:uid="{20D8D539-256D-4EED-ACFC-BEBB6C1E4E69}"/>
    <cellStyle name="Note 5 5 2 10" xfId="12335" xr:uid="{37DD0BCC-EC23-448E-82A1-3B94011D2772}"/>
    <cellStyle name="Note 5 5 2 10 2" xfId="34839" xr:uid="{6AA9426A-5B5C-4E9F-909C-F87897524444}"/>
    <cellStyle name="Note 5 5 2 11" xfId="12562" xr:uid="{8113EDD7-EC41-457C-B21D-5CDA4F378928}"/>
    <cellStyle name="Note 5 5 2 11 2" xfId="35006" xr:uid="{1A7A89E6-5E86-416B-8BA6-014BAEEA028E}"/>
    <cellStyle name="Note 5 5 2 12" xfId="15640" xr:uid="{959E3942-86B6-462E-BB1D-DED637BFB7FD}"/>
    <cellStyle name="Note 5 5 2 12 2" xfId="37298" xr:uid="{3A5B5688-5F20-49EA-8259-A257651C34B1}"/>
    <cellStyle name="Note 5 5 2 13" xfId="22473" xr:uid="{B1BCDF0A-17DF-4A1E-83E7-0F9F46DA7E9C}"/>
    <cellStyle name="Note 5 5 2 13 2" xfId="42272" xr:uid="{C03D38F9-0C58-4E04-A332-7341737D53E2}"/>
    <cellStyle name="Note 5 5 2 14" xfId="19702" xr:uid="{E095F6DC-2F1A-479B-8092-560D57543AA7}"/>
    <cellStyle name="Note 5 5 2 14 2" xfId="40319" xr:uid="{4066DF4F-683E-46C4-B32E-5528A18FDD9A}"/>
    <cellStyle name="Note 5 5 2 15" xfId="10220" xr:uid="{98481DE6-BCB1-4C1A-AE19-E4506864E765}"/>
    <cellStyle name="Note 5 5 2 15 2" xfId="33855" xr:uid="{9420526E-5509-40DE-8441-7A791A86A2E4}"/>
    <cellStyle name="Note 5 5 2 16" xfId="16986" xr:uid="{6B4F263A-D7DF-4172-87A1-177954F256FC}"/>
    <cellStyle name="Note 5 5 2 16 2" xfId="38346" xr:uid="{80E342EC-BD83-414F-AA45-57386F3076C0}"/>
    <cellStyle name="Note 5 5 2 17" xfId="16277" xr:uid="{E8D09EB0-31FF-4716-B99F-17E8FC069A06}"/>
    <cellStyle name="Note 5 5 2 17 2" xfId="37814" xr:uid="{7ADAB964-D84C-41CA-A79E-6AC688C7729D}"/>
    <cellStyle name="Note 5 5 2 18" xfId="19069" xr:uid="{8AA590B1-64AA-4550-8561-67B38EF4A826}"/>
    <cellStyle name="Note 5 5 2 18 2" xfId="39901" xr:uid="{0C6673D0-1EAB-40F2-B290-78126BA8E2FA}"/>
    <cellStyle name="Note 5 5 2 19" xfId="24685" xr:uid="{98791DFB-95E6-4989-ABA6-1D17827FEF90}"/>
    <cellStyle name="Note 5 5 2 19 2" xfId="43830" xr:uid="{FF002AE7-95DD-4473-ABA9-65CA05763267}"/>
    <cellStyle name="Note 5 5 2 2" xfId="7968" xr:uid="{744CF04D-3AEC-43EB-92D1-756AD8A3F087}"/>
    <cellStyle name="Note 5 5 2 2 2" xfId="32215" xr:uid="{5201624C-C5D5-4C89-9711-9EFC90259538}"/>
    <cellStyle name="Note 5 5 2 20" xfId="18037" xr:uid="{184C13F1-1A5B-43E8-9604-733B96517FEF}"/>
    <cellStyle name="Note 5 5 2 20 2" xfId="39133" xr:uid="{9377D77E-204C-430B-97CB-9CE6D81A34C6}"/>
    <cellStyle name="Note 5 5 2 21" xfId="22275" xr:uid="{94E49D94-02C1-4D6C-A92F-07A394C6135B}"/>
    <cellStyle name="Note 5 5 2 21 2" xfId="42140" xr:uid="{3DD57CA1-FE4D-48A4-9DEA-8BAD105BF77D}"/>
    <cellStyle name="Note 5 5 2 22" xfId="29426" xr:uid="{B8C0658A-04F5-4CDB-8741-CBAC42DA513D}"/>
    <cellStyle name="Note 5 5 2 22 2" xfId="46887" xr:uid="{C349CC87-A67B-4EC2-8E5F-E24FABCCB179}"/>
    <cellStyle name="Note 5 5 2 23" xfId="28585" xr:uid="{DC0F0BE3-C1BD-41B5-8482-7449BBAA0C39}"/>
    <cellStyle name="Note 5 5 2 23 2" xfId="46319" xr:uid="{4C1A44E0-84ED-4C46-9C68-09A68C1F572E}"/>
    <cellStyle name="Note 5 5 2 24" xfId="24353" xr:uid="{61EBDE4E-B4F4-4B74-8443-1E00BDBB1848}"/>
    <cellStyle name="Note 5 5 2 24 2" xfId="43609" xr:uid="{1CE9EF7A-C7AB-482F-B0BB-F5F6C42DA4C8}"/>
    <cellStyle name="Note 5 5 2 25" xfId="27877" xr:uid="{562FF0CE-D314-4C01-ABEB-AF3358A7EBA0}"/>
    <cellStyle name="Note 5 5 2 25 2" xfId="45949" xr:uid="{943AC6E8-9A41-4D2C-AE4B-93ACE749AD3C}"/>
    <cellStyle name="Note 5 5 2 26" xfId="27421" xr:uid="{E421C5CA-9B14-4159-BC8F-40CD975441F4}"/>
    <cellStyle name="Note 5 5 2 26 2" xfId="45676" xr:uid="{61E401AF-2A4D-4523-A108-EE6EFC24DEF6}"/>
    <cellStyle name="Note 5 5 2 27" xfId="31102" xr:uid="{0CB89B24-67C0-42B5-939F-2CE56D20F579}"/>
    <cellStyle name="Note 5 5 2 27 2" xfId="47832" xr:uid="{684434D6-ABF3-4091-A499-B3D02826EAEA}"/>
    <cellStyle name="Note 5 5 2 28" xfId="6565" xr:uid="{67BDB9A7-1974-4D50-83E6-F67E3FECE3EC}"/>
    <cellStyle name="Note 5 5 2 3" xfId="9409" xr:uid="{48949D7A-6D06-4914-AA31-D67FE95D887C}"/>
    <cellStyle name="Note 5 5 2 3 2" xfId="33392" xr:uid="{415106B8-C594-4905-B428-633A30F0B0F9}"/>
    <cellStyle name="Note 5 5 2 4" xfId="7636" xr:uid="{3E91CB2B-E96E-40E1-9243-927E772EF418}"/>
    <cellStyle name="Note 5 5 2 4 2" xfId="31936" xr:uid="{740397EA-9685-4BB9-81CF-0AECBA3BD9F8}"/>
    <cellStyle name="Note 5 5 2 5" xfId="15925" xr:uid="{3D7A7CEF-266C-44D4-B35B-265467205DDF}"/>
    <cellStyle name="Note 5 5 2 5 2" xfId="37516" xr:uid="{909DF22C-2734-4B61-997B-BDEC36B27D65}"/>
    <cellStyle name="Note 5 5 2 6" xfId="10483" xr:uid="{6180CA6F-68BB-49DD-A814-8BC206AB52CE}"/>
    <cellStyle name="Note 5 5 2 6 2" xfId="34118" xr:uid="{35BCF4D3-181D-419B-B83D-76CCDAC2E0FB}"/>
    <cellStyle name="Note 5 5 2 7" xfId="8391" xr:uid="{4E0D3B99-5F49-465D-B131-7677E66C4C12}"/>
    <cellStyle name="Note 5 5 2 7 2" xfId="32606" xr:uid="{3611A959-5F6D-4631-86B5-4045B8C127BC}"/>
    <cellStyle name="Note 5 5 2 8" xfId="17549" xr:uid="{FE885C70-8B94-4198-8637-B0B9F6F12DDC}"/>
    <cellStyle name="Note 5 5 2 8 2" xfId="38796" xr:uid="{CF1C7A2D-8F70-4520-B449-DCDF58765D04}"/>
    <cellStyle name="Note 5 5 2 9" xfId="18399" xr:uid="{C441D0EC-2DCA-4438-B8CC-C7223F636A15}"/>
    <cellStyle name="Note 5 5 2 9 2" xfId="39410" xr:uid="{500BA2EC-2FF1-459B-A6F7-E2938F9CF493}"/>
    <cellStyle name="Note 5 5 20" xfId="25752" xr:uid="{6303B436-05EB-4D56-85B7-3CD6D4AE98BC}"/>
    <cellStyle name="Note 5 5 20 2" xfId="44589" xr:uid="{6D27A6E6-8EB8-4D96-852A-D42F4B3FEC18}"/>
    <cellStyle name="Note 5 5 21" xfId="19929" xr:uid="{FE2F413D-7806-4ED6-B1CB-32C68382C5B4}"/>
    <cellStyle name="Note 5 5 21 2" xfId="40541" xr:uid="{AB7E0D47-A470-47BD-9116-1A8C7150A944}"/>
    <cellStyle name="Note 5 5 22" xfId="25356" xr:uid="{EC4F82E1-2A6D-48A2-B892-52EEF6201DE2}"/>
    <cellStyle name="Note 5 5 22 2" xfId="44272" xr:uid="{2FA6B168-906F-4D8E-A656-7AD13FFB5FB9}"/>
    <cellStyle name="Note 5 5 23" xfId="24446" xr:uid="{FDD3B85B-F152-4CB3-BDFF-D25F5F685CAC}"/>
    <cellStyle name="Note 5 5 23 2" xfId="43658" xr:uid="{CEFB7135-8961-4E9B-A442-179422C85922}"/>
    <cellStyle name="Note 5 5 24" xfId="25646" xr:uid="{C3A45C28-AF6D-447D-BDE0-D2395F05DFF8}"/>
    <cellStyle name="Note 5 5 24 2" xfId="44491" xr:uid="{39790771-B3A0-42B3-BC8C-F24F00574477}"/>
    <cellStyle name="Note 5 5 25" xfId="26301" xr:uid="{51B3E68B-3F30-4A18-8D74-58CAF43DFC8F}"/>
    <cellStyle name="Note 5 5 25 2" xfId="44991" xr:uid="{EED455FE-546D-463F-9919-2E93DC3318B3}"/>
    <cellStyle name="Note 5 5 26" xfId="25955" xr:uid="{33AC971F-3176-4EC8-80F7-E4052340D0A6}"/>
    <cellStyle name="Note 5 5 26 2" xfId="44746" xr:uid="{92ADD01F-303E-4837-BDAF-D70D29D8101E}"/>
    <cellStyle name="Note 5 5 27" xfId="23030" xr:uid="{ED6D7971-D2CC-46A1-8D6E-D8062FA1754B}"/>
    <cellStyle name="Note 5 5 27 2" xfId="42664" xr:uid="{C7CF3427-3C82-4CAA-BCF9-E8F479D8530C}"/>
    <cellStyle name="Note 5 5 28" xfId="27696" xr:uid="{FFA7C5EE-D7A8-4800-9200-CD624493D5E6}"/>
    <cellStyle name="Note 5 5 28 2" xfId="45809" xr:uid="{4E860B8A-8549-4CAC-8C5B-042708B5FCE2}"/>
    <cellStyle name="Note 5 5 29" xfId="6564" xr:uid="{579FABBD-8F33-45CD-9629-288B37CCF843}"/>
    <cellStyle name="Note 5 5 3" xfId="7969" xr:uid="{83BB88FB-5F94-48F3-A6BF-583B26ECFF70}"/>
    <cellStyle name="Note 5 5 3 2" xfId="32216" xr:uid="{B126F8E1-35EE-4341-859C-0D2F43CFAA00}"/>
    <cellStyle name="Note 5 5 4" xfId="9408" xr:uid="{E0E5B92F-72CC-4205-B904-5273E44EE427}"/>
    <cellStyle name="Note 5 5 4 2" xfId="33391" xr:uid="{00C4D95E-68E9-450A-987A-C5F6FA79719B}"/>
    <cellStyle name="Note 5 5 5" xfId="12045" xr:uid="{9882EC6B-B141-439E-8E70-565938E2D024}"/>
    <cellStyle name="Note 5 5 5 2" xfId="34603" xr:uid="{AD07B49A-667F-4644-BA05-75A676DC67FA}"/>
    <cellStyle name="Note 5 5 6" xfId="8751" xr:uid="{EB2FF7DB-4A6E-4988-AF09-0D8E68755BEA}"/>
    <cellStyle name="Note 5 5 6 2" xfId="32880" xr:uid="{67C371A4-1B9C-4C2E-945C-45D28A5C0450}"/>
    <cellStyle name="Note 5 5 7" xfId="15029" xr:uid="{46B007E2-FACD-4C7A-B954-C0DAF3395549}"/>
    <cellStyle name="Note 5 5 7 2" xfId="36887" xr:uid="{4C3A7468-EEB7-470E-A433-E215CF95BA87}"/>
    <cellStyle name="Note 5 5 8" xfId="8392" xr:uid="{D1BA7461-CD14-45E7-8C38-0B339857725F}"/>
    <cellStyle name="Note 5 5 8 2" xfId="32607" xr:uid="{60099238-E3FF-4994-B55B-60A1A319B3CC}"/>
    <cellStyle name="Note 5 5 9" xfId="14840" xr:uid="{98CF81AD-0A87-426E-A0DA-85AFCF9F2805}"/>
    <cellStyle name="Note 5 5 9 2" xfId="36715" xr:uid="{F1C572A8-107E-4EC0-8D57-57809C776C7D}"/>
    <cellStyle name="Note 5 6" xfId="3049" xr:uid="{1835A2C7-CB27-44FB-B79F-F87E59C15106}"/>
    <cellStyle name="Note 5 6 10" xfId="18410" xr:uid="{C4907976-0F6D-4075-B945-FA1D3176BD5E}"/>
    <cellStyle name="Note 5 6 10 2" xfId="39421" xr:uid="{E993264B-95B4-4351-92B2-69937D7B2527}"/>
    <cellStyle name="Note 5 6 11" xfId="12742" xr:uid="{FF7C78E5-A713-4EEC-A19D-37CA05D1C2F9}"/>
    <cellStyle name="Note 5 6 11 2" xfId="35151" xr:uid="{F99F5D40-2C9C-4DEF-9957-FBF893925184}"/>
    <cellStyle name="Note 5 6 12" xfId="16486" xr:uid="{937DD264-3887-4339-AF79-592DB36122FB}"/>
    <cellStyle name="Note 5 6 12 2" xfId="37979" xr:uid="{0492314B-7EC6-4476-94C5-3CAC1E8CEF5E}"/>
    <cellStyle name="Note 5 6 13" xfId="17394" xr:uid="{C22AC6B1-4E57-4386-9DDF-762BA549E24E}"/>
    <cellStyle name="Note 5 6 13 2" xfId="38641" xr:uid="{4246340D-D12C-4FB3-ADA0-2CB445E9FC17}"/>
    <cellStyle name="Note 5 6 14" xfId="9899" xr:uid="{037E96E7-469F-4CB3-BCB5-BB68F8E7DC1E}"/>
    <cellStyle name="Note 5 6 14 2" xfId="33645" xr:uid="{2EB58031-C1F9-41CC-9881-98B5D10EC69F}"/>
    <cellStyle name="Note 5 6 15" xfId="22020" xr:uid="{D0218A57-9A4E-427D-8D34-77FE386B3918}"/>
    <cellStyle name="Note 5 6 15 2" xfId="41915" xr:uid="{987A17E4-751B-4E80-B9FE-FD4CBBDE6C8D}"/>
    <cellStyle name="Note 5 6 16" xfId="23275" xr:uid="{8CEB1625-4D1A-467A-A00B-8263080EB117}"/>
    <cellStyle name="Note 5 6 16 2" xfId="42849" xr:uid="{448999BB-8AB6-455F-8556-CE19F5805CD1}"/>
    <cellStyle name="Note 5 6 17" xfId="24080" xr:uid="{D94A5EBE-554F-4B2D-920F-47EDEF74E01D}"/>
    <cellStyle name="Note 5 6 17 2" xfId="43456" xr:uid="{7059EFBB-4145-4665-AA34-65E5A41A3DF3}"/>
    <cellStyle name="Note 5 6 18" xfId="25697" xr:uid="{42441B60-9ADE-45DC-94E9-5869C10649A8}"/>
    <cellStyle name="Note 5 6 18 2" xfId="44534" xr:uid="{19100863-BA07-41AE-A22E-20DBB4C8B9C8}"/>
    <cellStyle name="Note 5 6 19" xfId="17128" xr:uid="{CE8526E3-A89A-4318-B8AF-472D935CF399}"/>
    <cellStyle name="Note 5 6 19 2" xfId="38467" xr:uid="{639E7E1C-AC38-4140-8284-1B04A08FC653}"/>
    <cellStyle name="Note 5 6 2" xfId="3050" xr:uid="{74ACD87C-9D54-4A30-9286-5A562BDFA9AC}"/>
    <cellStyle name="Note 5 6 2 10" xfId="16022" xr:uid="{6E254EA3-01D1-4393-8D2A-831579DC30A6}"/>
    <cellStyle name="Note 5 6 2 10 2" xfId="37605" xr:uid="{3245A2C4-4F24-4563-97F9-DF8367EE6970}"/>
    <cellStyle name="Note 5 6 2 11" xfId="14004" xr:uid="{304AC68D-9A5D-40B1-B172-124121C0A1C6}"/>
    <cellStyle name="Note 5 6 2 11 2" xfId="36098" xr:uid="{5226644F-2C71-4F7D-8B61-061FE8BA5D1A}"/>
    <cellStyle name="Note 5 6 2 12" xfId="17377" xr:uid="{A1E804A8-1B38-4A04-95E5-2214762FFCAF}"/>
    <cellStyle name="Note 5 6 2 12 2" xfId="38624" xr:uid="{A5AA3417-A6B7-4E09-8864-0CD5DC156715}"/>
    <cellStyle name="Note 5 6 2 13" xfId="22472" xr:uid="{DBC5676D-8885-4CC2-B847-246E98FD648D}"/>
    <cellStyle name="Note 5 6 2 13 2" xfId="42271" xr:uid="{E6FCA724-5EEC-44E9-AD0D-50014413F7E7}"/>
    <cellStyle name="Note 5 6 2 14" xfId="18643" xr:uid="{034CD42B-C2E5-4593-8CEE-B5C6C9D47147}"/>
    <cellStyle name="Note 5 6 2 14 2" xfId="39540" xr:uid="{FEF9BD3C-C55B-49DD-8E69-C4B1414305CE}"/>
    <cellStyle name="Note 5 6 2 15" xfId="23287" xr:uid="{877856FF-2073-4BD8-94E4-BB2CC346F18D}"/>
    <cellStyle name="Note 5 6 2 15 2" xfId="42861" xr:uid="{EA21E2A6-41D7-438C-928B-E8743F5F032E}"/>
    <cellStyle name="Note 5 6 2 16" xfId="24092" xr:uid="{55F7799C-4EDB-4881-B9D9-DFC25B2F14C3}"/>
    <cellStyle name="Note 5 6 2 16 2" xfId="43468" xr:uid="{912A7A9C-BE6F-4134-B3FD-33F32892D228}"/>
    <cellStyle name="Note 5 6 2 17" xfId="24098" xr:uid="{32D26CE9-35B7-490C-A502-2C1F73CDD7E2}"/>
    <cellStyle name="Note 5 6 2 17 2" xfId="43474" xr:uid="{FB997EDD-2F64-439D-A8B7-EB9B8059C96D}"/>
    <cellStyle name="Note 5 6 2 18" xfId="17136" xr:uid="{8910FAC7-6AEA-4306-BC06-9CD440338E2A}"/>
    <cellStyle name="Note 5 6 2 18 2" xfId="38475" xr:uid="{E3C3FBA6-59C3-4E52-8373-19821607EB9F}"/>
    <cellStyle name="Note 5 6 2 19" xfId="16158" xr:uid="{32D168E4-F99D-4CD5-9CD7-EB21D9B1B650}"/>
    <cellStyle name="Note 5 6 2 19 2" xfId="37720" xr:uid="{5A2F1C9B-B142-4F97-AE25-32928623FCA7}"/>
    <cellStyle name="Note 5 6 2 2" xfId="7966" xr:uid="{8737D2B6-6FD6-4E52-9FA7-112BC6B78E36}"/>
    <cellStyle name="Note 5 6 2 2 2" xfId="32213" xr:uid="{08860043-1FDD-4C57-AA85-2F96165B821E}"/>
    <cellStyle name="Note 5 6 2 20" xfId="12846" xr:uid="{19683F9F-EC93-4E7B-AC2C-7B23AE4F051D}"/>
    <cellStyle name="Note 5 6 2 20 2" xfId="35226" xr:uid="{1574753B-3640-4B91-AED6-86EA935D8FC0}"/>
    <cellStyle name="Note 5 6 2 21" xfId="24504" xr:uid="{13D25A6A-C716-4984-87C6-C44598A10ABC}"/>
    <cellStyle name="Note 5 6 2 21 2" xfId="43687" xr:uid="{CC8D87C9-072D-447D-B22B-4ECD9AE1F6BA}"/>
    <cellStyle name="Note 5 6 2 22" xfId="28944" xr:uid="{3F7863F4-879D-49DB-B549-99054888A24F}"/>
    <cellStyle name="Note 5 6 2 22 2" xfId="46540" xr:uid="{E99405B7-C03E-4C4E-97E7-4F1C8AFE4657}"/>
    <cellStyle name="Note 5 6 2 23" xfId="29768" xr:uid="{D1A2A40B-1452-4A28-92D8-FB9F232B3498}"/>
    <cellStyle name="Note 5 6 2 23 2" xfId="47087" xr:uid="{E3BDAEEE-9E84-46EE-AC16-1900DB9EA4B9}"/>
    <cellStyle name="Note 5 6 2 24" xfId="26756" xr:uid="{ECF56B17-CDB6-4479-AC2E-0BC4EB5B3BC9}"/>
    <cellStyle name="Note 5 6 2 24 2" xfId="45269" xr:uid="{BF7C14AD-DADC-4652-BF8B-AB48DB1CA47B}"/>
    <cellStyle name="Note 5 6 2 25" xfId="27510" xr:uid="{53B6C77B-4897-487B-A228-3DF6A4530D4C}"/>
    <cellStyle name="Note 5 6 2 25 2" xfId="45704" xr:uid="{4C8C439E-F414-4648-A3AB-D65CC1376072}"/>
    <cellStyle name="Note 5 6 2 26" xfId="27422" xr:uid="{8D07E245-FA60-451E-8BD3-9D6A6716EF74}"/>
    <cellStyle name="Note 5 6 2 26 2" xfId="45677" xr:uid="{D80BA490-0149-411C-895B-CEAB63368C01}"/>
    <cellStyle name="Note 5 6 2 27" xfId="31109" xr:uid="{11E1273A-E71E-461D-9959-9F8DE6D2BD00}"/>
    <cellStyle name="Note 5 6 2 27 2" xfId="47839" xr:uid="{272CAE08-FC3D-463F-B465-98DF5C275FBC}"/>
    <cellStyle name="Note 5 6 2 28" xfId="6567" xr:uid="{14DC4B8A-4C28-46E7-A035-629D23352E81}"/>
    <cellStyle name="Note 5 6 2 3" xfId="9411" xr:uid="{7F7372F8-0B38-485D-B439-C8C2846A3953}"/>
    <cellStyle name="Note 5 6 2 3 2" xfId="33394" xr:uid="{9D8BFED5-96D7-4AB9-B6BD-F5F150C5D3C7}"/>
    <cellStyle name="Note 5 6 2 4" xfId="7635" xr:uid="{DE096969-0585-48EE-B6DF-8386841D6223}"/>
    <cellStyle name="Note 5 6 2 4 2" xfId="31935" xr:uid="{125DD4B4-A4D5-4D77-B861-0200D5515C3C}"/>
    <cellStyle name="Note 5 6 2 5" xfId="15924" xr:uid="{5B471F03-805F-49B5-94AF-1F0D1A17409C}"/>
    <cellStyle name="Note 5 6 2 5 2" xfId="37515" xr:uid="{669BCA6C-B809-49E1-961B-750B0B9C8990}"/>
    <cellStyle name="Note 5 6 2 6" xfId="12988" xr:uid="{64C86F51-267B-4243-890A-768EA36EAB4D}"/>
    <cellStyle name="Note 5 6 2 6 2" xfId="35336" xr:uid="{F47F58F6-5F6A-4C38-97B7-3989488FD884}"/>
    <cellStyle name="Note 5 6 2 7" xfId="16689" xr:uid="{5DEF38DF-A48E-4984-9C71-1BC94EECBE91}"/>
    <cellStyle name="Note 5 6 2 7 2" xfId="38180" xr:uid="{D12BF34C-0206-4F39-9035-47486470EA3B}"/>
    <cellStyle name="Note 5 6 2 8" xfId="17557" xr:uid="{A190B344-DC95-40A0-A3B0-935A7C54CD5D}"/>
    <cellStyle name="Note 5 6 2 8 2" xfId="38804" xr:uid="{C509CFC6-74D4-4C1B-8C7F-5EF416BDF965}"/>
    <cellStyle name="Note 5 6 2 9" xfId="18407" xr:uid="{8937F79C-D81F-4250-816A-B383F7FFFFD4}"/>
    <cellStyle name="Note 5 6 2 9 2" xfId="39418" xr:uid="{38F7759E-4CB4-48A7-9AA4-C6FFDA8A5C3F}"/>
    <cellStyle name="Note 5 6 20" xfId="25753" xr:uid="{B8647DFA-D261-45E1-860B-7B4A18AD10D8}"/>
    <cellStyle name="Note 5 6 20 2" xfId="44590" xr:uid="{81448F8E-E9B5-486F-9E07-D15D8EFCD560}"/>
    <cellStyle name="Note 5 6 21" xfId="19928" xr:uid="{A7332F74-B856-467B-B1A4-7523FFD89532}"/>
    <cellStyle name="Note 5 6 21 2" xfId="40540" xr:uid="{783380F7-DF04-4584-AFB4-9912EB5F7E78}"/>
    <cellStyle name="Note 5 6 22" xfId="23445" xr:uid="{A295FC51-A6A2-480D-A458-3AA78AB073B6}"/>
    <cellStyle name="Note 5 6 22 2" xfId="42951" xr:uid="{6F963500-DFD8-4029-A84C-CDB229A846A7}"/>
    <cellStyle name="Note 5 6 23" xfId="26563" xr:uid="{9D209FDC-3827-4056-8B8D-226899966865}"/>
    <cellStyle name="Note 5 6 23 2" xfId="45130" xr:uid="{D322CE35-E3FB-425C-A92B-92B5429077DE}"/>
    <cellStyle name="Note 5 6 24" xfId="27148" xr:uid="{0ACD9512-C6FD-474D-81A4-31F990828396}"/>
    <cellStyle name="Note 5 6 24 2" xfId="45489" xr:uid="{C36F244D-99D3-4969-8867-212F503E0BB7}"/>
    <cellStyle name="Note 5 6 25" xfId="22229" xr:uid="{BD40175D-5A21-4149-BF89-2BD980287B25}"/>
    <cellStyle name="Note 5 6 25 2" xfId="42108" xr:uid="{54B808EA-C8EB-4ABB-BDC3-810C2B899F0D}"/>
    <cellStyle name="Note 5 6 26" xfId="26451" xr:uid="{07274045-844D-4156-9F29-9117DE1B2E92}"/>
    <cellStyle name="Note 5 6 26 2" xfId="45080" xr:uid="{F3DE5FD9-E477-4B33-B0B5-B971441A1040}"/>
    <cellStyle name="Note 5 6 27" xfId="21781" xr:uid="{E57DB037-7F19-4309-8D93-FF92AD9CCC34}"/>
    <cellStyle name="Note 5 6 27 2" xfId="41780" xr:uid="{62349404-121A-44BB-BC9F-8301071A61E7}"/>
    <cellStyle name="Note 5 6 28" xfId="31112" xr:uid="{41B56348-689F-4E05-8708-C26773EAE2FB}"/>
    <cellStyle name="Note 5 6 28 2" xfId="47842" xr:uid="{A733EF18-2700-412F-87F1-B6EF970D7C3E}"/>
    <cellStyle name="Note 5 6 29" xfId="6566" xr:uid="{EBEDDDC7-F575-4D08-80E6-6F4E675E897C}"/>
    <cellStyle name="Note 5 6 3" xfId="7967" xr:uid="{A2E4DF47-EB4A-45C3-A613-235F063F95A4}"/>
    <cellStyle name="Note 5 6 3 2" xfId="32214" xr:uid="{13561485-A2B8-444A-9CAF-5AF9EEB76931}"/>
    <cellStyle name="Note 5 6 4" xfId="9410" xr:uid="{CAB09240-1628-4882-8CA4-1138527622F1}"/>
    <cellStyle name="Note 5 6 4 2" xfId="33393" xr:uid="{F0B7BE41-C643-4B0D-8A8D-BE6E096C4313}"/>
    <cellStyle name="Note 5 6 5" xfId="12044" xr:uid="{85732D01-82F3-4DDA-8193-819184702BBA}"/>
    <cellStyle name="Note 5 6 5 2" xfId="34602" xr:uid="{DD066EE8-DEAD-46F3-AD24-1B4FDB3A381C}"/>
    <cellStyle name="Note 5 6 6" xfId="14302" xr:uid="{E1DAA1B1-ACDE-417C-8049-27A9FCB8DE7A}"/>
    <cellStyle name="Note 5 6 6 2" xfId="36345" xr:uid="{F09DD8D3-CEC5-4175-B150-7B74A8267F3B}"/>
    <cellStyle name="Note 5 6 7" xfId="15028" xr:uid="{8CB492F0-C289-4A33-8B08-7FFA9E6D3597}"/>
    <cellStyle name="Note 5 6 7 2" xfId="36886" xr:uid="{CC8392F7-046E-44ED-99D4-A88DA6D47192}"/>
    <cellStyle name="Note 5 6 8" xfId="16677" xr:uid="{4D7111F8-2020-4C78-B59F-BBACBA3D24C9}"/>
    <cellStyle name="Note 5 6 8 2" xfId="38168" xr:uid="{A257E546-DCCD-4DE7-AE80-3DF5EB284E72}"/>
    <cellStyle name="Note 5 6 9" xfId="17560" xr:uid="{5292D9EB-158D-41D9-B713-8BACADF09789}"/>
    <cellStyle name="Note 5 6 9 2" xfId="38807" xr:uid="{BDC50DB9-046D-4E34-AC58-7C8580196983}"/>
    <cellStyle name="Note 5 7" xfId="3051" xr:uid="{A917F358-D643-48A1-8FFC-0801A51B6AF3}"/>
    <cellStyle name="Note 5 7 10" xfId="7052" xr:uid="{7415E596-F020-4191-AF2E-2DC2E7C1A8B6}"/>
    <cellStyle name="Note 5 7 10 2" xfId="31419" xr:uid="{0A36AFBB-D870-4F19-8E61-52F03201EFBB}"/>
    <cellStyle name="Note 5 7 11" xfId="15535" xr:uid="{D5695910-9F6C-4E8C-8F25-D61269B1C269}"/>
    <cellStyle name="Note 5 7 11 2" xfId="37200" xr:uid="{9449E28C-A43D-4639-9605-110CD15456C6}"/>
    <cellStyle name="Note 5 7 12" xfId="16485" xr:uid="{0B68E89C-A37F-4E72-9535-665326B67F2E}"/>
    <cellStyle name="Note 5 7 12 2" xfId="37978" xr:uid="{FF823EAA-A968-4FA8-B58D-F6177B00C0CF}"/>
    <cellStyle name="Note 5 7 13" xfId="13733" xr:uid="{91E22E73-6FFB-45AC-8B10-03A6CE43773B}"/>
    <cellStyle name="Note 5 7 13 2" xfId="35888" xr:uid="{9201A3BF-7EE3-4A9D-9800-72AECA01B1E2}"/>
    <cellStyle name="Note 5 7 14" xfId="17567" xr:uid="{0CB45C2A-8B00-400E-9710-4C8A624C1A10}"/>
    <cellStyle name="Note 5 7 14 2" xfId="38813" xr:uid="{9E9AAE3A-AB86-47BF-9370-E781FADEE508}"/>
    <cellStyle name="Note 5 7 15" xfId="22016" xr:uid="{B02B49C3-D9BD-4097-8BE1-C793858037EF}"/>
    <cellStyle name="Note 5 7 15 2" xfId="41911" xr:uid="{F09B022C-F22E-4DA6-9ADD-F112F9F9E12F}"/>
    <cellStyle name="Note 5 7 16" xfId="23284" xr:uid="{4198CC28-B0A2-403A-B479-26FA7DD29D67}"/>
    <cellStyle name="Note 5 7 16 2" xfId="42858" xr:uid="{EC330A33-5EC3-49AE-916D-C91A036AE372}"/>
    <cellStyle name="Note 5 7 17" xfId="24089" xr:uid="{47916835-E67C-479D-A2A5-F4C194A3C9C3}"/>
    <cellStyle name="Note 5 7 17 2" xfId="43465" xr:uid="{0E9C47D0-5F1B-4E8A-AD4B-5B6414CD6874}"/>
    <cellStyle name="Note 5 7 18" xfId="24100" xr:uid="{29E6390E-2F1D-47BC-AA45-0FEAD8587936}"/>
    <cellStyle name="Note 5 7 18 2" xfId="43476" xr:uid="{3F7EA548-310C-4778-A311-2CFD68E5DC05}"/>
    <cellStyle name="Note 5 7 19" xfId="19070" xr:uid="{F4A15D06-9D35-434C-BE3D-364F72F0968A}"/>
    <cellStyle name="Note 5 7 19 2" xfId="39902" xr:uid="{41AD3E7D-590E-43F3-A0C2-AD2F5AF9E855}"/>
    <cellStyle name="Note 5 7 2" xfId="3052" xr:uid="{DAA173BA-627F-4E0C-B3B2-B1DC7783A06B}"/>
    <cellStyle name="Note 5 7 2 10" xfId="14628" xr:uid="{99B209E7-7A07-4416-8036-4A207A4F81CA}"/>
    <cellStyle name="Note 5 7 2 10 2" xfId="36540" xr:uid="{2A3DDF7A-65CC-4332-B208-532754FB6425}"/>
    <cellStyle name="Note 5 7 2 11" xfId="17611" xr:uid="{4D4FFCD7-B4C5-461B-9CBB-69046B17EE91}"/>
    <cellStyle name="Note 5 7 2 11 2" xfId="38849" xr:uid="{FE750869-7574-4628-B32A-D9CCB8621966}"/>
    <cellStyle name="Note 5 7 2 12" xfId="20769" xr:uid="{46BA7DB7-9ED0-40E5-B165-C0794AAADD30}"/>
    <cellStyle name="Note 5 7 2 12 2" xfId="41129" xr:uid="{8E4F0FCE-506C-4B97-A66E-97317AA13389}"/>
    <cellStyle name="Note 5 7 2 13" xfId="15458" xr:uid="{E635CF7F-B2BE-4B1A-8D1C-C9810EC01B59}"/>
    <cellStyle name="Note 5 7 2 13 2" xfId="37127" xr:uid="{3FA82B8A-EE11-4E16-9576-EE982BF6A5AE}"/>
    <cellStyle name="Note 5 7 2 14" xfId="21588" xr:uid="{813F1F9F-CCED-4E87-9045-F85D7F8ABEB8}"/>
    <cellStyle name="Note 5 7 2 14 2" xfId="41672" xr:uid="{401AE67A-4323-49DA-BFE4-4C2014A9B547}"/>
    <cellStyle name="Note 5 7 2 15" xfId="10221" xr:uid="{64CEBFA3-D2F8-4BD1-913A-7DD2352D740E}"/>
    <cellStyle name="Note 5 7 2 15 2" xfId="33856" xr:uid="{C7817C29-CB46-4EF6-968E-360AD5D664B8}"/>
    <cellStyle name="Note 5 7 2 16" xfId="21388" xr:uid="{61D6D176-62F3-47CE-8AC3-A9C0D25A35CC}"/>
    <cellStyle name="Note 5 7 2 16 2" xfId="41517" xr:uid="{C7AB90CC-68B7-4573-A1B9-6074CF00CB32}"/>
    <cellStyle name="Note 5 7 2 17" xfId="24099" xr:uid="{C436F537-CAB2-4C0E-9158-EF3B23E1F7B7}"/>
    <cellStyle name="Note 5 7 2 17 2" xfId="43475" xr:uid="{52D0027C-3034-4F6E-8697-3AFB1C9BE14C}"/>
    <cellStyle name="Note 5 7 2 18" xfId="13766" xr:uid="{B876651B-2489-4DF3-86E5-0FDF3D415F8D}"/>
    <cellStyle name="Note 5 7 2 18 2" xfId="35912" xr:uid="{AFC79C7C-C078-4833-9DA2-D24A07043695}"/>
    <cellStyle name="Note 5 7 2 19" xfId="26691" xr:uid="{8A36ABB3-5E87-4596-B0DF-A022ACF10E4E}"/>
    <cellStyle name="Note 5 7 2 19 2" xfId="45238" xr:uid="{73A4A676-CDBD-4112-962F-503C6D3C6145}"/>
    <cellStyle name="Note 5 7 2 2" xfId="7964" xr:uid="{C04A555B-F52B-476C-92A2-6899F2A69A43}"/>
    <cellStyle name="Note 5 7 2 2 2" xfId="32211" xr:uid="{1C822625-490C-4B00-A311-BF7DD0CA0626}"/>
    <cellStyle name="Note 5 7 2 20" xfId="18013" xr:uid="{F3C65D7D-6AB5-44A7-8127-84709D5DF97F}"/>
    <cellStyle name="Note 5 7 2 20 2" xfId="39109" xr:uid="{A99C8135-EB7E-45A2-B085-1E98D095CEA9}"/>
    <cellStyle name="Note 5 7 2 21" xfId="24503" xr:uid="{627B394E-FA2A-4E04-9BED-7B219AC083A5}"/>
    <cellStyle name="Note 5 7 2 21 2" xfId="43686" xr:uid="{725C94CC-0C7E-46E2-8FAF-1E9BBB74C707}"/>
    <cellStyle name="Note 5 7 2 22" xfId="23212" xr:uid="{3CD0E2AD-27AF-437B-AD29-33FD9B0E094B}"/>
    <cellStyle name="Note 5 7 2 22 2" xfId="42805" xr:uid="{6DA2A0FF-B0EB-4234-8F4A-D0E04F78CCE0}"/>
    <cellStyle name="Note 5 7 2 23" xfId="26101" xr:uid="{E30E93EA-6C8E-42B9-A88B-643DD50EC447}"/>
    <cellStyle name="Note 5 7 2 23 2" xfId="44844" xr:uid="{3CB73648-7176-4033-9393-68AA52B2A8F0}"/>
    <cellStyle name="Note 5 7 2 24" xfId="23845" xr:uid="{B8F3DAA6-61BB-4ABC-9E06-58863320C8FB}"/>
    <cellStyle name="Note 5 7 2 24 2" xfId="43234" xr:uid="{5D1E2F12-11E3-4BCD-B561-5AA1852E2586}"/>
    <cellStyle name="Note 5 7 2 25" xfId="27860" xr:uid="{114C608F-33C9-453C-9A8D-5C0888B9073D}"/>
    <cellStyle name="Note 5 7 2 25 2" xfId="45932" xr:uid="{38D03755-B3DE-495A-8211-678E70965E50}"/>
    <cellStyle name="Note 5 7 2 26" xfId="23029" xr:uid="{91326DA8-A205-4A16-A2BC-1C7DC2C0F500}"/>
    <cellStyle name="Note 5 7 2 26 2" xfId="42663" xr:uid="{FE71AB75-6D58-4CD3-8D98-FBA97E04667A}"/>
    <cellStyle name="Note 5 7 2 27" xfId="30464" xr:uid="{5DD44B25-D77B-4A07-81F3-04E53E93B240}"/>
    <cellStyle name="Note 5 7 2 27 2" xfId="47500" xr:uid="{21D5F215-DD53-4C26-B11C-AC1D274862E8}"/>
    <cellStyle name="Note 5 7 2 28" xfId="6569" xr:uid="{EDC76C14-CBD7-4058-BEF9-DABCB62F27DC}"/>
    <cellStyle name="Note 5 7 2 3" xfId="9412" xr:uid="{BC0233FF-485E-4763-8FA4-2B5F71328122}"/>
    <cellStyle name="Note 5 7 2 3 2" xfId="33395" xr:uid="{D23354F0-55A0-4D49-84BC-6829A712947B}"/>
    <cellStyle name="Note 5 7 2 4" xfId="7634" xr:uid="{0BA4F104-3678-4ACC-871D-D4E4E16BF07A}"/>
    <cellStyle name="Note 5 7 2 4 2" xfId="31934" xr:uid="{7CD844AF-961D-49D2-926A-E0576ECBAF25}"/>
    <cellStyle name="Note 5 7 2 5" xfId="14301" xr:uid="{4A74ED1D-3E77-46CA-83DF-4369A24A3378}"/>
    <cellStyle name="Note 5 7 2 5 2" xfId="36344" xr:uid="{B1CCA684-4105-4307-926B-5ECE538C2496}"/>
    <cellStyle name="Note 5 7 2 6" xfId="10484" xr:uid="{A97587DD-513B-49FF-8B84-19BAAC19EC89}"/>
    <cellStyle name="Note 5 7 2 6 2" xfId="34119" xr:uid="{208A00E8-575B-49BA-B62C-28D4BB61CA68}"/>
    <cellStyle name="Note 5 7 2 7" xfId="8390" xr:uid="{0E36D2E8-B760-4E27-AFB0-D8559F4C3BEB}"/>
    <cellStyle name="Note 5 7 2 7 2" xfId="32605" xr:uid="{17246CBE-6C3D-4FB1-96D6-D071CFD690BF}"/>
    <cellStyle name="Note 5 7 2 8" xfId="14839" xr:uid="{50310C6A-89EA-4B64-BF29-B2A6E3384067}"/>
    <cellStyle name="Note 5 7 2 8 2" xfId="36714" xr:uid="{363E25B7-C480-4129-841A-6FD7D5255F7B}"/>
    <cellStyle name="Note 5 7 2 9" xfId="14268" xr:uid="{7816B1B5-AA90-4912-8650-C9D45ED6190D}"/>
    <cellStyle name="Note 5 7 2 9 2" xfId="36321" xr:uid="{0B7AC2F1-7930-47FC-B9A9-942750263703}"/>
    <cellStyle name="Note 5 7 20" xfId="25754" xr:uid="{98CA72A7-F453-4864-9F6B-62F8607D9112}"/>
    <cellStyle name="Note 5 7 20 2" xfId="44591" xr:uid="{1517B931-2EBB-4BB9-A3CF-56895596B0E1}"/>
    <cellStyle name="Note 5 7 21" xfId="19882" xr:uid="{5240BA80-79D9-4A8A-BAAF-424900B6C456}"/>
    <cellStyle name="Note 5 7 21 2" xfId="40494" xr:uid="{92087C18-8F02-4AD5-9059-7B8AA240DFB0}"/>
    <cellStyle name="Note 5 7 22" xfId="25357" xr:uid="{A9A2916C-7371-43CC-BC60-CD5F9D5A82E3}"/>
    <cellStyle name="Note 5 7 22 2" xfId="44273" xr:uid="{C5D93EFB-CCBA-4085-AEC1-4E7F82DDC0D5}"/>
    <cellStyle name="Note 5 7 23" xfId="29454" xr:uid="{AB2855AA-19B3-4D31-9300-EB75C9B68DD2}"/>
    <cellStyle name="Note 5 7 23 2" xfId="46911" xr:uid="{B41091A1-4321-4195-95F8-AA54334B9694}"/>
    <cellStyle name="Note 5 7 24" xfId="28584" xr:uid="{EE054DA4-B432-49DD-AF66-8DBECF3A9A5B}"/>
    <cellStyle name="Note 5 7 24 2" xfId="46318" xr:uid="{098DB80C-EC41-4264-9658-26BD87A7D424}"/>
    <cellStyle name="Note 5 7 25" xfId="26300" xr:uid="{EAB355C9-B28B-44BD-8F47-89EC6D6E9DE9}"/>
    <cellStyle name="Note 5 7 25 2" xfId="44990" xr:uid="{AC6EE47C-5073-4B0D-A2E4-AA7F2A7FD5BD}"/>
    <cellStyle name="Note 5 7 26" xfId="27876" xr:uid="{EA95EA35-3DF1-414A-AD31-D551C6F039B6}"/>
    <cellStyle name="Note 5 7 26 2" xfId="45948" xr:uid="{FD666011-CB90-4203-A1A2-A421BBE501D7}"/>
    <cellStyle name="Note 5 7 27" xfId="27419" xr:uid="{C187D28A-2D6D-47E8-9054-65B97A41C0F3}"/>
    <cellStyle name="Note 5 7 27 2" xfId="45674" xr:uid="{0CF73592-28EE-4BC9-B5EC-F9012B010061}"/>
    <cellStyle name="Note 5 7 28" xfId="26027" xr:uid="{F06BE046-D7A7-4D2F-BA2B-360C077FC2F2}"/>
    <cellStyle name="Note 5 7 28 2" xfId="44798" xr:uid="{6320B2D5-D706-4D63-9E4E-7EAEF832423F}"/>
    <cellStyle name="Note 5 7 29" xfId="6568" xr:uid="{B792FF2E-CFAD-44D4-B856-E9AFF5DC9677}"/>
    <cellStyle name="Note 5 7 3" xfId="7965" xr:uid="{124706C0-2F73-4B57-960D-3EE0408DD461}"/>
    <cellStyle name="Note 5 7 3 2" xfId="32212" xr:uid="{84613895-1C69-487B-A332-CD0286BD2B0E}"/>
    <cellStyle name="Note 5 7 4" xfId="13629" xr:uid="{D3B7F9D5-CAE5-4AE3-B1BF-16F348252B18}"/>
    <cellStyle name="Note 5 7 4 2" xfId="35794" xr:uid="{D63474FE-BC92-46F8-8F19-C08C64EB62C2}"/>
    <cellStyle name="Note 5 7 5" xfId="12043" xr:uid="{6168ECED-E225-4AD8-8C4E-CDDFAC4065E5}"/>
    <cellStyle name="Note 5 7 5 2" xfId="34601" xr:uid="{43823719-3F6F-4790-B4EE-5A6BE3D41E96}"/>
    <cellStyle name="Note 5 7 6" xfId="8750" xr:uid="{4F39597F-55D0-437F-8F4B-D802F5C3D101}"/>
    <cellStyle name="Note 5 7 6 2" xfId="32879" xr:uid="{500D30E6-F18F-460B-87B1-9E9FED45D375}"/>
    <cellStyle name="Note 5 7 7" xfId="15027" xr:uid="{9483C36B-812D-4684-AF02-49B7267CD475}"/>
    <cellStyle name="Note 5 7 7 2" xfId="36885" xr:uid="{8D5CB0FB-E711-4262-B24C-AC2BF261E787}"/>
    <cellStyle name="Note 5 7 8" xfId="16686" xr:uid="{90307869-94EB-450F-9A37-332FF26AD29E}"/>
    <cellStyle name="Note 5 7 8 2" xfId="38177" xr:uid="{12CE1074-A372-44FA-89E9-A34FB42764BB}"/>
    <cellStyle name="Note 5 7 9" xfId="12901" xr:uid="{C7C9F0AF-D7B7-4A95-8D3C-8847FF6EA283}"/>
    <cellStyle name="Note 5 7 9 2" xfId="35257" xr:uid="{976F0A60-82AF-4AB6-B12D-DC8DE58062EE}"/>
    <cellStyle name="Note 5 8" xfId="3053" xr:uid="{6E948E37-0FC3-4BCF-8698-A6C01E1A3265}"/>
    <cellStyle name="Note 5 8 10" xfId="13826" xr:uid="{D5F69AAF-C92C-4C7B-AFD5-2EAF2E38AAF2}"/>
    <cellStyle name="Note 5 8 10 2" xfId="35951" xr:uid="{9D0C7F35-2979-4E04-AB5D-67F40681F1A5}"/>
    <cellStyle name="Note 5 8 11" xfId="12564" xr:uid="{37E63C59-28F7-4586-94A5-F3DF91B9CEB4}"/>
    <cellStyle name="Note 5 8 11 2" xfId="35008" xr:uid="{28238B52-9B57-47E8-A557-7CF10CFD6B3D}"/>
    <cellStyle name="Note 5 8 12" xfId="20779" xr:uid="{54626398-F4C6-4B33-81EF-7B584AF27B27}"/>
    <cellStyle name="Note 5 8 12 2" xfId="41139" xr:uid="{747550D1-7C0F-403A-9B4D-ED18344435F5}"/>
    <cellStyle name="Note 5 8 13" xfId="20788" xr:uid="{EC5CEF76-CEC0-48C6-9DD7-CF23C55FF189}"/>
    <cellStyle name="Note 5 8 13 2" xfId="41148" xr:uid="{82FEDCA0-5837-44A4-BB13-8847C2EDBF24}"/>
    <cellStyle name="Note 5 8 14" xfId="17693" xr:uid="{FDFE1B0D-BE59-4272-AF94-910824003656}"/>
    <cellStyle name="Note 5 8 14 2" xfId="38878" xr:uid="{CAC2A6C5-47CF-4A62-BDB8-21E874B58669}"/>
    <cellStyle name="Note 5 8 15" xfId="13233" xr:uid="{1A0CA1F6-CD58-4D2E-B20F-030035A85034}"/>
    <cellStyle name="Note 5 8 15 2" xfId="35580" xr:uid="{06B9DE44-E30F-482F-B414-48777A951DFB}"/>
    <cellStyle name="Note 5 8 16" xfId="19604" xr:uid="{88DE2357-7214-45FB-8A18-9EEF12E31A09}"/>
    <cellStyle name="Note 5 8 16 2" xfId="40244" xr:uid="{CC1A9D26-8B0C-4153-A2EB-36A767615884}"/>
    <cellStyle name="Note 5 8 17" xfId="13952" xr:uid="{4FF435B7-DAA3-44BA-A67E-841BFD0E5A8E}"/>
    <cellStyle name="Note 5 8 17 2" xfId="36058" xr:uid="{C434F260-835C-4ED7-828B-5A42B6326D2E}"/>
    <cellStyle name="Note 5 8 18" xfId="19071" xr:uid="{E632834E-CD9C-428C-9680-572FA01B5AFE}"/>
    <cellStyle name="Note 5 8 18 2" xfId="39903" xr:uid="{9B2F8DAD-605C-485F-ACF0-41710864FF9A}"/>
    <cellStyle name="Note 5 8 19" xfId="24684" xr:uid="{00CC1BED-0EA8-49AF-A97C-8AB8CCAD3476}"/>
    <cellStyle name="Note 5 8 19 2" xfId="43829" xr:uid="{B28ABE13-AF3C-420C-BB55-1BD0EFA0EC9C}"/>
    <cellStyle name="Note 5 8 2" xfId="7963" xr:uid="{8B66A0D2-E4B7-4D27-8433-729D5952DFF1}"/>
    <cellStyle name="Note 5 8 2 2" xfId="32210" xr:uid="{38F8E34B-4E0B-4318-A051-71CDEACD71DD}"/>
    <cellStyle name="Note 5 8 20" xfId="19881" xr:uid="{D368C77A-C99D-4176-B49A-A273E3817DC1}"/>
    <cellStyle name="Note 5 8 20 2" xfId="40493" xr:uid="{70C2BA60-695D-4745-86E8-DC6FA35239D6}"/>
    <cellStyle name="Note 5 8 21" xfId="27943" xr:uid="{EF788906-822F-4C22-AE0A-9CA1BDC8C712}"/>
    <cellStyle name="Note 5 8 21 2" xfId="46015" xr:uid="{4BA751B8-637A-4ACE-ACC9-A7143C86BD48}"/>
    <cellStyle name="Note 5 8 22" xfId="18828" xr:uid="{CD7B5575-C86C-4C35-A520-D8406A7B9D9C}"/>
    <cellStyle name="Note 5 8 22 2" xfId="39679" xr:uid="{5D4CE33D-13DE-4BB6-8FA3-E950AD2D46B6}"/>
    <cellStyle name="Note 5 8 23" xfId="29770" xr:uid="{72D70F1A-4319-4DF6-A97B-43C21EF30973}"/>
    <cellStyle name="Note 5 8 23 2" xfId="47089" xr:uid="{97D34E92-5FC6-487C-B8F5-7F4FDF90427E}"/>
    <cellStyle name="Note 5 8 24" xfId="29514" xr:uid="{32FCDFDF-81DF-4DF9-AE66-5A59CBC2B58E}"/>
    <cellStyle name="Note 5 8 24 2" xfId="46923" xr:uid="{81E58D6D-44F0-44F2-93C0-B113E9259494}"/>
    <cellStyle name="Note 5 8 25" xfId="30090" xr:uid="{1397A747-5D1E-4912-A124-9EAB2FEDB6F6}"/>
    <cellStyle name="Note 5 8 25 2" xfId="47286" xr:uid="{051C0793-2F26-4774-BE66-027EA401C991}"/>
    <cellStyle name="Note 5 8 26" xfId="22413" xr:uid="{560C95D1-820A-4C06-A60A-B2E117BBF2BF}"/>
    <cellStyle name="Note 5 8 26 2" xfId="42227" xr:uid="{A6B72129-AE25-47DA-A8E6-756268996135}"/>
    <cellStyle name="Note 5 8 27" xfId="26532" xr:uid="{D81AC484-003F-4C18-82DA-55E603C21146}"/>
    <cellStyle name="Note 5 8 27 2" xfId="45107" xr:uid="{F8C87A7D-FFD0-4E83-A8A8-E877B132155F}"/>
    <cellStyle name="Note 5 8 28" xfId="6570" xr:uid="{8980EF3A-6D37-41AF-8216-6965F3E7B911}"/>
    <cellStyle name="Note 5 8 3" xfId="9413" xr:uid="{06B217C7-3C08-467F-8AA0-375C7910DD0C}"/>
    <cellStyle name="Note 5 8 3 2" xfId="33396" xr:uid="{35F43BB5-A65E-44A6-9DDD-A747239CC303}"/>
    <cellStyle name="Note 5 8 4" xfId="12042" xr:uid="{9893819E-6226-4D16-B3CF-90E53D31C937}"/>
    <cellStyle name="Note 5 8 4 2" xfId="34600" xr:uid="{22BF725F-F8E8-4ECB-B6AC-B550CE204954}"/>
    <cellStyle name="Note 5 8 5" xfId="8749" xr:uid="{1980FEE2-5E20-48E2-8293-EDEAE3433998}"/>
    <cellStyle name="Note 5 8 5 2" xfId="32878" xr:uid="{6EE6E81D-D39D-4117-B18D-C01E35D69DEF}"/>
    <cellStyle name="Note 5 8 6" xfId="15026" xr:uid="{DA4374DF-B895-47C9-97A9-14171ACEEA85}"/>
    <cellStyle name="Note 5 8 6 2" xfId="36884" xr:uid="{3795D832-C479-4DB9-9948-DBEE4B28FB20}"/>
    <cellStyle name="Note 5 8 7" xfId="8389" xr:uid="{BCBE7AE3-37C0-4B8E-9CBB-8BE1341450E0}"/>
    <cellStyle name="Note 5 8 7 2" xfId="32604" xr:uid="{C4E2EE5D-788C-492C-A1C8-8BE8592D8DE4}"/>
    <cellStyle name="Note 5 8 8" xfId="14406" xr:uid="{1B5EF60D-1E3B-4BFC-A7B0-DF5AB2A43B19}"/>
    <cellStyle name="Note 5 8 8 2" xfId="36399" xr:uid="{F117D0F8-D223-4ADA-A9CE-1FA880CEB594}"/>
    <cellStyle name="Note 5 8 9" xfId="14250" xr:uid="{D1A64310-9D67-4BBA-8701-5EADE258F09D}"/>
    <cellStyle name="Note 5 8 9 2" xfId="36303" xr:uid="{9F10DBAE-15E5-43B1-A993-4160663FE763}"/>
    <cellStyle name="Note 5 9" xfId="7978" xr:uid="{D73B2DF0-11F3-4D5D-AC7F-CBDACEF0E8E0}"/>
    <cellStyle name="Note 5 9 2" xfId="32225" xr:uid="{98782C46-5C2A-4665-8E22-7573E2F3F4C7}"/>
    <cellStyle name="Note 5_Sheet2" xfId="3054" xr:uid="{696C4C52-31B1-4D12-BEAC-CE564647CDF6}"/>
    <cellStyle name="Note 50" xfId="5992" xr:uid="{B0A49369-7656-4FDE-A97A-C6209AD4D0ED}"/>
    <cellStyle name="Note 51" xfId="5996" xr:uid="{2296F630-2B78-48FE-9820-43B0B3852B31}"/>
    <cellStyle name="Note 52" xfId="5995" xr:uid="{8708C970-3D90-49C8-B0DD-BCB54A6F7BF5}"/>
    <cellStyle name="Note 53" xfId="5998" xr:uid="{B1A9D4A2-4DE1-44E6-8D78-C46F0F3FD464}"/>
    <cellStyle name="Note 54" xfId="5994" xr:uid="{FAA679EC-287E-48DE-BE86-90B235FF5023}"/>
    <cellStyle name="Note 55" xfId="5997" xr:uid="{CC7AA02C-934B-47AA-A638-D7FB2B4E213D}"/>
    <cellStyle name="Note 56" xfId="5993" xr:uid="{5191AB01-216B-4AAE-9D0A-21244711949E}"/>
    <cellStyle name="Note 57" xfId="5999" xr:uid="{2BB2959C-E787-4FD3-A036-99F49F9B24E7}"/>
    <cellStyle name="Note 58" xfId="6254" xr:uid="{CAD03625-9268-4423-8329-D6E68ECF37BC}"/>
    <cellStyle name="Note 59" xfId="6242" xr:uid="{68A4E4BC-1A39-4403-87CB-C2B3271C2EFE}"/>
    <cellStyle name="Note 6" xfId="3055" xr:uid="{674A630C-325F-43E1-BC77-BE7423D88428}"/>
    <cellStyle name="Note 6 10" xfId="9414" xr:uid="{3A20F791-AAC8-4F99-8F77-0B7F8BC9926D}"/>
    <cellStyle name="Note 6 10 2" xfId="33397" xr:uid="{2EF63EB2-304F-4D10-9CB4-58511A945F53}"/>
    <cellStyle name="Note 6 11" xfId="12041" xr:uid="{26DD29A5-ADB0-42D8-B328-69566FAAA02A}"/>
    <cellStyle name="Note 6 11 2" xfId="34599" xr:uid="{8009F17A-D214-4137-9A21-D868E7947B51}"/>
    <cellStyle name="Note 6 12" xfId="8748" xr:uid="{FA926175-1933-4D8F-9C1E-1CEDC6AA0193}"/>
    <cellStyle name="Note 6 12 2" xfId="32877" xr:uid="{26195E10-9C08-4115-AB4E-18561C6F3EB9}"/>
    <cellStyle name="Note 6 13" xfId="10503" xr:uid="{B90DB27A-F80A-4D40-B806-BAF0DD4F0A67}"/>
    <cellStyle name="Note 6 13 2" xfId="34138" xr:uid="{72403781-C7F9-4D46-831B-9659B8AC1BB2}"/>
    <cellStyle name="Note 6 14" xfId="8388" xr:uid="{EAF1C8E7-A4C0-4CDC-BF3B-D6BDA6D6DF35}"/>
    <cellStyle name="Note 6 14 2" xfId="32603" xr:uid="{432187F7-2559-4AB3-91B6-A16291A593E7}"/>
    <cellStyle name="Note 6 15" xfId="14838" xr:uid="{CE869DF3-1588-42BC-93F8-5B79789F7E91}"/>
    <cellStyle name="Note 6 15 2" xfId="36713" xr:uid="{AB3229E9-A213-4DF2-A993-57A3FD952CBC}"/>
    <cellStyle name="Note 6 16" xfId="14267" xr:uid="{DF5A71AE-D23D-4B84-9C2E-214A8C56ECD3}"/>
    <cellStyle name="Note 6 16 2" xfId="36320" xr:uid="{9BF0F9B8-CB48-4D03-96BB-B97B13DF7C02}"/>
    <cellStyle name="Note 6 17" xfId="15536" xr:uid="{D810AC52-9916-4BA4-827E-8013A95D2363}"/>
    <cellStyle name="Note 6 17 2" xfId="37201" xr:uid="{36AD4A8B-0544-469E-983C-46952F35B7B0}"/>
    <cellStyle name="Note 6 18" xfId="15899" xr:uid="{F40D1716-933D-4EAD-B914-E0DCDDD35AC9}"/>
    <cellStyle name="Note 6 18 2" xfId="37490" xr:uid="{7B7ABF32-FFCC-49D3-8C76-6BD0D72F2C85}"/>
    <cellStyle name="Note 6 19" xfId="17393" xr:uid="{E9D3352B-91A5-41A7-91E9-803D770EE66F}"/>
    <cellStyle name="Note 6 19 2" xfId="38640" xr:uid="{B7E1CD69-7064-4F2B-BE92-B012D0E6CBBC}"/>
    <cellStyle name="Note 6 2" xfId="3056" xr:uid="{C1DF96FD-3BB4-4734-9772-5D98E9E6FA22}"/>
    <cellStyle name="Note 6 2 10" xfId="10585" xr:uid="{4100EC9E-26BF-4D23-B218-37CBD07FC0D5}"/>
    <cellStyle name="Note 6 2 10 2" xfId="34211" xr:uid="{48C7CE99-1930-440F-AB6F-F2ED9063364F}"/>
    <cellStyle name="Note 6 2 11" xfId="7051" xr:uid="{83DD5724-B0B3-4E19-935C-31682DED8D64}"/>
    <cellStyle name="Note 6 2 11 2" xfId="31418" xr:uid="{2B2D91BD-6B04-4F6E-B53B-FDB6C81F8916}"/>
    <cellStyle name="Note 6 2 12" xfId="14627" xr:uid="{C84B2B28-BA0A-4E29-8E06-966D530A7B15}"/>
    <cellStyle name="Note 6 2 12 2" xfId="36539" xr:uid="{D344382B-6FDA-4909-948F-886BF4B33E0E}"/>
    <cellStyle name="Note 6 2 13" xfId="16484" xr:uid="{242428E0-0C83-4A87-9706-68A4BDBADD0A}"/>
    <cellStyle name="Note 6 2 13 2" xfId="37977" xr:uid="{7FF978E9-D2C2-442E-AA93-5D013470277A}"/>
    <cellStyle name="Note 6 2 14" xfId="12691" xr:uid="{9FC911D9-FEF0-4F20-B27E-C7D96316995E}"/>
    <cellStyle name="Note 6 2 14 2" xfId="35105" xr:uid="{36DC2448-BF5E-4BE9-B2D5-D6BF78DE5F86}"/>
    <cellStyle name="Note 6 2 15" xfId="20785" xr:uid="{28016FB6-B318-4E3B-91A8-CB275F3ED3A2}"/>
    <cellStyle name="Note 6 2 15 2" xfId="41145" xr:uid="{31A8CD66-4D46-4503-BB7D-B62C89E52994}"/>
    <cellStyle name="Note 6 2 16" xfId="21587" xr:uid="{7CB2414B-1146-405E-9329-F2BD1A1B0B61}"/>
    <cellStyle name="Note 6 2 16 2" xfId="41671" xr:uid="{E2BA0BF1-1DE3-4806-B11A-23614B7502E3}"/>
    <cellStyle name="Note 6 2 17" xfId="13232" xr:uid="{746C13D1-E0B8-4381-8B3B-ADFDB2FC19A6}"/>
    <cellStyle name="Note 6 2 17 2" xfId="35579" xr:uid="{1C598364-6F60-4824-8E11-65632A061548}"/>
    <cellStyle name="Note 6 2 18" xfId="16987" xr:uid="{A18F6BA2-553F-409F-B2AA-B36D5D0FA101}"/>
    <cellStyle name="Note 6 2 18 2" xfId="38347" xr:uid="{6644CF8D-994E-4BFE-AB76-F0284028BDC2}"/>
    <cellStyle name="Note 6 2 19" xfId="18244" xr:uid="{C3AD38DD-4BF7-422F-BECF-9A49F0C09090}"/>
    <cellStyle name="Note 6 2 19 2" xfId="39275" xr:uid="{5AB08EB0-D321-4955-B110-E8409B2FA55E}"/>
    <cellStyle name="Note 6 2 2" xfId="3057" xr:uid="{06BB0EE0-07F9-4683-8D7A-F29CF3AF94A4}"/>
    <cellStyle name="Note 6 2 2 10" xfId="14266" xr:uid="{A4FF1C22-9BB4-4953-B6EB-D42AC8DA3032}"/>
    <cellStyle name="Note 6 2 2 10 2" xfId="36319" xr:uid="{11171AE4-7692-465E-AA87-61800547E826}"/>
    <cellStyle name="Note 6 2 2 11" xfId="12741" xr:uid="{9913910B-A2CE-4FE6-879A-4698A53F0542}"/>
    <cellStyle name="Note 6 2 2 11 2" xfId="35150" xr:uid="{7F13D56C-CEAD-4BBA-8F07-AA08A2F689F4}"/>
    <cellStyle name="Note 6 2 2 12" xfId="13479" xr:uid="{D1C2EEED-9932-4BD7-8232-34C7D3159C10}"/>
    <cellStyle name="Note 6 2 2 12 2" xfId="35735" xr:uid="{F76D93F1-A7FD-477F-B17C-6A4162D59DA1}"/>
    <cellStyle name="Note 6 2 2 13" xfId="17392" xr:uid="{1BC16D82-9118-4AA8-AD7A-1F25057BE51A}"/>
    <cellStyle name="Note 6 2 2 13 2" xfId="38639" xr:uid="{193878E7-49A3-42D7-A366-6F536881474F}"/>
    <cellStyle name="Note 6 2 2 14" xfId="20787" xr:uid="{2AC004ED-A2D4-4D90-B165-F9FD0F604990}"/>
    <cellStyle name="Note 6 2 2 14 2" xfId="41147" xr:uid="{0DDFD1C8-24E7-48EE-BDFA-B962572EE009}"/>
    <cellStyle name="Note 6 2 2 15" xfId="17936" xr:uid="{20D7CE2B-DE70-44FE-BCAF-38C1BF8A20C9}"/>
    <cellStyle name="Note 6 2 2 15 2" xfId="39034" xr:uid="{6B0F9E81-F75D-4528-863B-0B979FB441FC}"/>
    <cellStyle name="Note 6 2 2 16" xfId="21041" xr:uid="{D79AE5C2-7B15-4D16-B6D7-A3E21C22C4BC}"/>
    <cellStyle name="Note 6 2 2 16 2" xfId="41289" xr:uid="{1E742316-674C-456F-A6F2-56422F6AA333}"/>
    <cellStyle name="Note 6 2 2 17" xfId="21386" xr:uid="{74B7A1B1-D5A1-4C2A-BBC5-AAAD97FB1896}"/>
    <cellStyle name="Note 6 2 2 17 2" xfId="41515" xr:uid="{443A632B-4104-43C1-BD22-6CB153A5F23C}"/>
    <cellStyle name="Note 6 2 2 18" xfId="16276" xr:uid="{926810B0-29EB-4CAD-96F3-5BFD8612A20D}"/>
    <cellStyle name="Note 6 2 2 18 2" xfId="37813" xr:uid="{CA127D62-C4AA-45F1-AC82-CE5EEB64D618}"/>
    <cellStyle name="Note 6 2 2 19" xfId="19073" xr:uid="{4F285E9C-E27B-416F-8E78-B85844C10086}"/>
    <cellStyle name="Note 6 2 2 19 2" xfId="39904" xr:uid="{998A9B8C-BCA2-4D79-A482-580EE1A296FE}"/>
    <cellStyle name="Note 6 2 2 2" xfId="3058" xr:uid="{9F62225B-C6DB-4F3E-88EC-20C0710358E6}"/>
    <cellStyle name="Note 6 2 2 2 10" xfId="12336" xr:uid="{37B82672-4397-4407-9612-2B95AD56229D}"/>
    <cellStyle name="Note 6 2 2 2 10 2" xfId="34840" xr:uid="{C790FE1A-F93E-498D-94B6-54D7D6681CC1}"/>
    <cellStyle name="Note 6 2 2 2 11" xfId="15898" xr:uid="{C202AEB0-4B76-4F29-973A-3723D119861B}"/>
    <cellStyle name="Note 6 2 2 2 11 2" xfId="37489" xr:uid="{E01509C4-B10D-4B34-8CC9-69CDA960312F}"/>
    <cellStyle name="Note 6 2 2 2 12" xfId="13734" xr:uid="{B6E682B9-BD91-445F-B847-BFAE74B4377C}"/>
    <cellStyle name="Note 6 2 2 2 12 2" xfId="35889" xr:uid="{BEA397F0-421F-46D2-B0DE-8C3F3AF5DAEA}"/>
    <cellStyle name="Note 6 2 2 2 13" xfId="22471" xr:uid="{19415696-FD99-421E-990B-73FB85D7B3FE}"/>
    <cellStyle name="Note 6 2 2 2 13 2" xfId="42270" xr:uid="{A32300E9-1F76-4EC9-8BCF-823E3F4EEEA4}"/>
    <cellStyle name="Note 6 2 2 2 14" xfId="21586" xr:uid="{CACAC98C-B265-4D44-B38D-E45E91E5E2A3}"/>
    <cellStyle name="Note 6 2 2 2 14 2" xfId="41670" xr:uid="{8542EEE4-B724-44F1-BAF2-D8A79FF7A74E}"/>
    <cellStyle name="Note 6 2 2 2 15" xfId="10222" xr:uid="{7539A788-4538-4A99-8046-054687958AF7}"/>
    <cellStyle name="Note 6 2 2 2 15 2" xfId="33857" xr:uid="{D8D2CA2B-3839-4C55-A067-15C960440D3D}"/>
    <cellStyle name="Note 6 2 2 2 16" xfId="19603" xr:uid="{A3AFCD4F-318B-4514-AAF2-F6ED89CFA8CE}"/>
    <cellStyle name="Note 6 2 2 2 16 2" xfId="40243" xr:uid="{B4003BCF-8F15-41BA-A7CC-F2D38C1EBAD1}"/>
    <cellStyle name="Note 6 2 2 2 17" xfId="16268" xr:uid="{AA8C6687-65E2-4916-8BBF-9335129F287E}"/>
    <cellStyle name="Note 6 2 2 2 17 2" xfId="37805" xr:uid="{353EA984-8C06-43AD-8F75-6CD36F666860}"/>
    <cellStyle name="Note 6 2 2 2 18" xfId="17137" xr:uid="{805D10A4-2156-4E39-B7B9-566A62351905}"/>
    <cellStyle name="Note 6 2 2 2 18 2" xfId="38476" xr:uid="{CA860091-E889-4238-ABA3-C90EC6C3AA4A}"/>
    <cellStyle name="Note 6 2 2 2 19" xfId="26927" xr:uid="{EF340805-EA58-414C-B30D-EC063B375642}"/>
    <cellStyle name="Note 6 2 2 2 19 2" xfId="45342" xr:uid="{13370F84-992C-461B-8FA9-E7F287A380FD}"/>
    <cellStyle name="Note 6 2 2 2 2" xfId="7959" xr:uid="{DAFDD87A-901D-42FD-86F4-9BF0B626CC46}"/>
    <cellStyle name="Note 6 2 2 2 2 2" xfId="32206" xr:uid="{B2763021-B77A-47BB-8F7D-2EE1CD836D96}"/>
    <cellStyle name="Note 6 2 2 2 20" xfId="12847" xr:uid="{FB19AD4A-18C2-4BC7-9A63-ADFB814E4AED}"/>
    <cellStyle name="Note 6 2 2 2 20 2" xfId="35227" xr:uid="{2F2D806D-14C0-4D61-852E-C96C349E9E9E}"/>
    <cellStyle name="Note 6 2 2 2 21" xfId="27944" xr:uid="{A2EF6AFB-15A3-49BC-8B95-3D79A7D357E5}"/>
    <cellStyle name="Note 6 2 2 2 21 2" xfId="46016" xr:uid="{10FB8769-0CE8-4107-A555-3CE80FD1D5B1}"/>
    <cellStyle name="Note 6 2 2 2 22" xfId="29425" xr:uid="{8474A726-17F3-4AB0-8371-05E281E77FAF}"/>
    <cellStyle name="Note 6 2 2 2 22 2" xfId="46886" xr:uid="{FADBA4EE-8111-412B-90D0-4922CF4BFF68}"/>
    <cellStyle name="Note 6 2 2 2 23" xfId="26462" xr:uid="{3A08D01F-A1B2-4C98-8057-ED86D9B176AE}"/>
    <cellStyle name="Note 6 2 2 2 23 2" xfId="45088" xr:uid="{CED7A184-7D76-4E5B-BD89-A25A2A553A98}"/>
    <cellStyle name="Note 6 2 2 2 24" xfId="26278" xr:uid="{CF52DDC3-6859-4D90-A30D-674CE8F3D3E4}"/>
    <cellStyle name="Note 6 2 2 2 24 2" xfId="44987" xr:uid="{AB3A0F23-E273-49BE-8FE8-E13FD5ADAAC6}"/>
    <cellStyle name="Note 6 2 2 2 25" xfId="29810" xr:uid="{7E5ED4C9-FCF5-4021-A353-0D7A9D864427}"/>
    <cellStyle name="Note 6 2 2 2 25 2" xfId="47129" xr:uid="{8B903875-86BD-4C50-AF65-97D197A3B9C1}"/>
    <cellStyle name="Note 6 2 2 2 26" xfId="23027" xr:uid="{73EEDD20-5F6B-45B7-93D9-DCCFBDFFD150}"/>
    <cellStyle name="Note 6 2 2 2 26 2" xfId="42661" xr:uid="{BCAE7011-A7F9-41B2-951F-C8402BA7D782}"/>
    <cellStyle name="Note 6 2 2 2 27" xfId="31110" xr:uid="{A4CFBBD6-87A8-425F-9DAB-0CD9D55A6C40}"/>
    <cellStyle name="Note 6 2 2 2 27 2" xfId="47840" xr:uid="{CBDAAEC8-F547-4A78-96CF-7B71AE5CCE64}"/>
    <cellStyle name="Note 6 2 2 2 28" xfId="6574" xr:uid="{2C203DBC-C6B1-4903-8FE5-48F84FEAD880}"/>
    <cellStyle name="Note 6 2 2 2 3" xfId="9417" xr:uid="{5B8A161C-AA13-48C9-A32E-78719298A90E}"/>
    <cellStyle name="Note 6 2 2 2 3 2" xfId="33400" xr:uid="{EA5F25C2-60C5-4F77-B2FE-0D5B54DF0E3A}"/>
    <cellStyle name="Note 6 2 2 2 4" xfId="7632" xr:uid="{D24650CD-28F1-4D11-8591-CC07C863B3C6}"/>
    <cellStyle name="Note 6 2 2 2 4 2" xfId="31932" xr:uid="{A4A07563-4FD8-4EF3-8184-CC3C137A7FD4}"/>
    <cellStyle name="Note 6 2 2 2 5" xfId="15923" xr:uid="{D64006BB-9841-4A27-A084-2417F60A4B97}"/>
    <cellStyle name="Note 6 2 2 2 5 2" xfId="37514" xr:uid="{0E0F211A-AF00-4EB3-82B4-2BED69295764}"/>
    <cellStyle name="Note 6 2 2 2 6" xfId="15024" xr:uid="{41EAE07F-91AE-4106-B61E-B447F80F631F}"/>
    <cellStyle name="Note 6 2 2 2 6 2" xfId="36882" xr:uid="{CA7E0FFF-1A25-4385-A361-EC1F2A43FC58}"/>
    <cellStyle name="Note 6 2 2 2 7" xfId="13630" xr:uid="{CAB098FB-BFEB-43D1-8DB8-D7EA838B7040}"/>
    <cellStyle name="Note 6 2 2 2 7 2" xfId="35795" xr:uid="{2A64E16D-328F-43B2-8453-862725708014}"/>
    <cellStyle name="Note 6 2 2 2 8" xfId="17558" xr:uid="{22C1C184-4ADA-48B5-98BB-F4077C1F2199}"/>
    <cellStyle name="Note 6 2 2 2 8 2" xfId="38805" xr:uid="{A37B1474-51CD-4537-ABAA-C392B65A50EE}"/>
    <cellStyle name="Note 6 2 2 2 9" xfId="18408" xr:uid="{E734E96D-AF7A-4A1F-9B60-FA9D953BAA55}"/>
    <cellStyle name="Note 6 2 2 2 9 2" xfId="39419" xr:uid="{06228F61-C0C9-453B-B55B-3A88B7209EE0}"/>
    <cellStyle name="Note 6 2 2 20" xfId="26692" xr:uid="{19B09428-FC57-44E0-88FF-8ADBFE8A93A3}"/>
    <cellStyle name="Note 6 2 2 20 2" xfId="45239" xr:uid="{74170908-5D79-4A91-822A-2FAC7D64995A}"/>
    <cellStyle name="Note 6 2 2 21" xfId="18012" xr:uid="{A778E098-F918-4719-A4CD-724F71F8A532}"/>
    <cellStyle name="Note 6 2 2 21 2" xfId="39108" xr:uid="{59987F64-7D3A-4C87-88F1-685CEA409510}"/>
    <cellStyle name="Note 6 2 2 22" xfId="27634" xr:uid="{7EEE3B5C-A288-4675-80EE-920BDC47540F}"/>
    <cellStyle name="Note 6 2 2 22 2" xfId="45770" xr:uid="{B0E97970-6121-454E-8B20-937BE2AC5E57}"/>
    <cellStyle name="Note 6 2 2 23" xfId="15390" xr:uid="{534FA3AC-D5E7-4A3E-A539-FCCF8753F840}"/>
    <cellStyle name="Note 6 2 2 23 2" xfId="37088" xr:uid="{C55C10D0-BEF5-4676-A8AE-211E8CE4EB00}"/>
    <cellStyle name="Note 6 2 2 24" xfId="27147" xr:uid="{21D72368-4A6A-4F61-AEFE-94F441EA51C0}"/>
    <cellStyle name="Note 6 2 2 24 2" xfId="45488" xr:uid="{59F3E39A-4818-44BC-8A65-A156F754F48E}"/>
    <cellStyle name="Note 6 2 2 25" xfId="23844" xr:uid="{F825D42F-DC0F-4191-949F-59037D9DA571}"/>
    <cellStyle name="Note 6 2 2 25 2" xfId="43233" xr:uid="{BB92526B-20EF-4CE2-9635-0E3D6752E6D2}"/>
    <cellStyle name="Note 6 2 2 26" xfId="25234" xr:uid="{ED209EF9-BD2C-4B13-8F0D-989815A11E87}"/>
    <cellStyle name="Note 6 2 2 26 2" xfId="44164" xr:uid="{669A5DB3-E54F-4241-B251-1409E11A08B2}"/>
    <cellStyle name="Note 6 2 2 27" xfId="22412" xr:uid="{41C28FAA-24A1-4C6B-9352-C23E77F8A136}"/>
    <cellStyle name="Note 6 2 2 27 2" xfId="42226" xr:uid="{613CF2C6-7248-45B4-9D9C-FAC33434D6B1}"/>
    <cellStyle name="Note 6 2 2 28" xfId="30467" xr:uid="{B128419A-2D8C-445A-8175-D7F95696546E}"/>
    <cellStyle name="Note 6 2 2 28 2" xfId="47503" xr:uid="{5B695DDA-0EA7-45CB-807F-C35FBFC0268D}"/>
    <cellStyle name="Note 6 2 2 29" xfId="6573" xr:uid="{751F7D80-62AE-4627-B85C-2BB3A84DF11E}"/>
    <cellStyle name="Note 6 2 2 3" xfId="7960" xr:uid="{5D154946-1984-4656-96CD-DE58B67349AF}"/>
    <cellStyle name="Note 6 2 2 3 2" xfId="32207" xr:uid="{7060EEE1-015B-44E1-9BE4-B5FE69F9760E}"/>
    <cellStyle name="Note 6 2 2 4" xfId="9416" xr:uid="{2B145052-0447-4A56-8E30-A967D98DC0D2}"/>
    <cellStyle name="Note 6 2 2 4 2" xfId="33399" xr:uid="{A91F9D93-9A29-4501-B620-2BBEE0DDB5C7}"/>
    <cellStyle name="Note 6 2 2 5" xfId="12040" xr:uid="{9D6B319D-C66A-4180-B9B1-2318AAF73392}"/>
    <cellStyle name="Note 6 2 2 5 2" xfId="34598" xr:uid="{5DE30649-89B3-4CC0-915F-77CED245C491}"/>
    <cellStyle name="Note 6 2 2 6" xfId="8746" xr:uid="{B695078D-2F7F-4C03-943E-C803DB950747}"/>
    <cellStyle name="Note 6 2 2 6 2" xfId="32875" xr:uid="{CDFD7E51-9560-454B-B217-8FB83838A417}"/>
    <cellStyle name="Note 6 2 2 7" xfId="10485" xr:uid="{1F9A3ED8-A658-4B0C-BF36-863BAC1CF424}"/>
    <cellStyle name="Note 6 2 2 7 2" xfId="34120" xr:uid="{E8EF6261-5532-466E-9F50-D5BD8149E177}"/>
    <cellStyle name="Note 6 2 2 8" xfId="12354" xr:uid="{50E01450-94AA-4054-A207-44CA235870FB}"/>
    <cellStyle name="Note 6 2 2 8 2" xfId="34858" xr:uid="{CD0F65E8-0A51-47AC-A8E2-DA216CF69F66}"/>
    <cellStyle name="Note 6 2 2 9" xfId="12156" xr:uid="{52C237DE-28FD-47AC-A77A-B58BAC633DC3}"/>
    <cellStyle name="Note 6 2 2 9 2" xfId="34701" xr:uid="{6D339702-3B9D-4B8D-A8F5-A19FFB514941}"/>
    <cellStyle name="Note 6 2 20" xfId="16072" xr:uid="{FDF1AD45-AE70-4C32-803D-57CDFB8F9E88}"/>
    <cellStyle name="Note 6 2 20 2" xfId="37643" xr:uid="{C3165AA3-F1B6-4772-A67A-7A036A2AB776}"/>
    <cellStyle name="Note 6 2 21" xfId="22639" xr:uid="{FE20A48F-5659-43F3-BDC0-40BC063F9B22}"/>
    <cellStyle name="Note 6 2 21 2" xfId="42412" xr:uid="{1D538E60-8FE6-4D40-8BEC-4D350BDE21C9}"/>
    <cellStyle name="Note 6 2 22" xfId="19880" xr:uid="{CA620685-3A50-4A3C-8C67-C969BF85BF16}"/>
    <cellStyle name="Note 6 2 22 2" xfId="40492" xr:uid="{853235FA-E027-4E12-BA84-2716C0C44170}"/>
    <cellStyle name="Note 6 2 23" xfId="25358" xr:uid="{46E3C944-DA6A-40B8-89DB-3E2EB490E0C3}"/>
    <cellStyle name="Note 6 2 23 2" xfId="44274" xr:uid="{2C03D142-4F27-48D3-AEFB-9E73F5ACD378}"/>
    <cellStyle name="Note 6 2 24" xfId="23211" xr:uid="{E6D85E35-2B44-4666-BAE6-422C7C6AE0F1}"/>
    <cellStyle name="Note 6 2 24 2" xfId="42804" xr:uid="{A8FF5DB5-B515-49E9-995E-609BB8341DCF}"/>
    <cellStyle name="Note 6 2 25" xfId="29769" xr:uid="{57195693-98AA-439B-B366-167A5D032C49}"/>
    <cellStyle name="Note 6 2 25 2" xfId="47088" xr:uid="{B35068B2-7D84-4929-84E5-8D835B6AEC1E}"/>
    <cellStyle name="Note 6 2 26" xfId="26279" xr:uid="{BEC52C3F-E6CB-4FC5-9A5D-7C4F66E8D67E}"/>
    <cellStyle name="Note 6 2 26 2" xfId="44988" xr:uid="{1320F0A2-A78A-4CE2-8988-3151E0378593}"/>
    <cellStyle name="Note 6 2 27" xfId="29152" xr:uid="{1AFC2D0C-B2EB-4E0B-9E2D-954389EA61F0}"/>
    <cellStyle name="Note 6 2 27 2" xfId="46684" xr:uid="{2271C79E-D942-4EF7-997C-263BE0B60A4B}"/>
    <cellStyle name="Note 6 2 28" xfId="23028" xr:uid="{EBF66BA3-FB0E-4D92-B4B6-A340A23B8550}"/>
    <cellStyle name="Note 6 2 28 2" xfId="42662" xr:uid="{83F5AC31-9D47-4DEF-B40D-193FCAB1F012}"/>
    <cellStyle name="Note 6 2 29" xfId="28265" xr:uid="{14BF0545-429B-421A-91E3-6E8E1C4C17B6}"/>
    <cellStyle name="Note 6 2 29 2" xfId="46132" xr:uid="{A72E429A-16A9-4A18-978B-F5B83BE10486}"/>
    <cellStyle name="Note 6 2 3" xfId="3059" xr:uid="{68E983AD-9393-4C73-B40F-83550148E9BE}"/>
    <cellStyle name="Note 6 2 3 10" xfId="15537" xr:uid="{9918CF2C-3547-4B7D-B982-7F85350AAB9C}"/>
    <cellStyle name="Note 6 2 3 10 2" xfId="37202" xr:uid="{1674B1C7-EA15-404F-B3EA-37341A82DC2F}"/>
    <cellStyle name="Note 6 2 3 11" xfId="14002" xr:uid="{C6C653E4-4171-400B-BA06-CA14082365EF}"/>
    <cellStyle name="Note 6 2 3 11 2" xfId="36096" xr:uid="{36F7CE48-2D28-4509-AFA0-334263FAF938}"/>
    <cellStyle name="Note 6 2 3 12" xfId="17391" xr:uid="{E4FEC773-8046-4965-BDAC-BFD25FFD37CF}"/>
    <cellStyle name="Note 6 2 3 12 2" xfId="38638" xr:uid="{69D1405D-4E3A-40F2-9C14-8E2F8AA7641B}"/>
    <cellStyle name="Note 6 2 3 13" xfId="19263" xr:uid="{C181EF56-A6F8-4410-94EB-CB4A7CDDEBF3}"/>
    <cellStyle name="Note 6 2 3 13 2" xfId="40049" xr:uid="{B64492E0-FD19-4CFD-BD07-4834B3453DC9}"/>
    <cellStyle name="Note 6 2 3 14" xfId="17906" xr:uid="{D1CA0BA9-505B-421F-A10F-5B81BE554B69}"/>
    <cellStyle name="Note 6 2 3 14 2" xfId="39013" xr:uid="{D9C7B9B3-4BD9-448A-844E-45094987499F}"/>
    <cellStyle name="Note 6 2 3 15" xfId="23285" xr:uid="{1FBE7EDF-6298-4D7A-ACBE-D4CAF13253DF}"/>
    <cellStyle name="Note 6 2 3 15 2" xfId="42859" xr:uid="{EFDA9A88-8F57-48AE-8B79-685D191A99A8}"/>
    <cellStyle name="Note 6 2 3 16" xfId="24090" xr:uid="{7F33B094-650E-48DF-A371-465C6D3828DB}"/>
    <cellStyle name="Note 6 2 3 16 2" xfId="43466" xr:uid="{94802BFE-467F-40DC-9475-960EF38845FE}"/>
    <cellStyle name="Note 6 2 3 17" xfId="18242" xr:uid="{D684426D-47E7-4500-91D2-EB0CF63F09BD}"/>
    <cellStyle name="Note 6 2 3 17 2" xfId="39274" xr:uid="{283ADDD4-C73C-4A96-B04A-1F78D7D36C15}"/>
    <cellStyle name="Note 6 2 3 18" xfId="19074" xr:uid="{5727CCD8-0E19-427F-85DB-BF4E157DDA53}"/>
    <cellStyle name="Note 6 2 3 18 2" xfId="39905" xr:uid="{35C45629-4E07-4E70-8557-4F12424BA76B}"/>
    <cellStyle name="Note 6 2 3 19" xfId="25756" xr:uid="{7885C272-8D6D-4A2B-96E8-7164330CE777}"/>
    <cellStyle name="Note 6 2 3 19 2" xfId="44593" xr:uid="{8C265724-B861-4B86-9B8F-F4CA08138D76}"/>
    <cellStyle name="Note 6 2 3 2" xfId="7958" xr:uid="{E61FD0F1-8428-45F3-8551-51631FC09339}"/>
    <cellStyle name="Note 6 2 3 2 2" xfId="32205" xr:uid="{4A200AE9-DFF3-4E7C-8BA7-A83F6C7A4520}"/>
    <cellStyle name="Note 6 2 3 20" xfId="19878" xr:uid="{6257A734-ED85-4175-B8BE-C83C9B1359E9}"/>
    <cellStyle name="Note 6 2 3 20 2" xfId="40491" xr:uid="{B2B3857B-0190-4ECB-9FA4-2FADB073CB70}"/>
    <cellStyle name="Note 6 2 3 21" xfId="28150" xr:uid="{71BD2A7B-5B80-4FF1-966A-93CD233726D8}"/>
    <cellStyle name="Note 6 2 3 21 2" xfId="46085" xr:uid="{43022172-3956-482E-BD3B-CF297B3F3C87}"/>
    <cellStyle name="Note 6 2 3 22" xfId="23210" xr:uid="{E27264AE-DFCD-4FE8-A77A-BA38875E6CB7}"/>
    <cellStyle name="Note 6 2 3 22 2" xfId="42803" xr:uid="{A3ABAC97-42E8-4FB9-845A-91B850035773}"/>
    <cellStyle name="Note 6 2 3 23" xfId="28582" xr:uid="{B556045E-D158-4D6B-8EFC-C6A9D63BA55D}"/>
    <cellStyle name="Note 6 2 3 23 2" xfId="46316" xr:uid="{D34EFBF2-F140-4234-99C4-B42D6B7AFD71}"/>
    <cellStyle name="Note 6 2 3 24" xfId="22603" xr:uid="{CBF9B15E-DA07-4F2A-9FAC-26CD2BD28DFF}"/>
    <cellStyle name="Note 6 2 3 24 2" xfId="42385" xr:uid="{9E24D066-C058-4785-8413-C2B4D4AF74ED}"/>
    <cellStyle name="Note 6 2 3 25" xfId="30564" xr:uid="{0995D961-7DD8-4A8D-8D57-0304649F41DD}"/>
    <cellStyle name="Note 6 2 3 25 2" xfId="47519" xr:uid="{F4C8E121-5D0F-4600-96FD-ED08BCD1B05D}"/>
    <cellStyle name="Note 6 2 3 26" xfId="20426" xr:uid="{97A773AC-5044-4546-B7D2-08BF6724D870}"/>
    <cellStyle name="Note 6 2 3 26 2" xfId="40828" xr:uid="{49442AEC-A30B-4B8C-9CC5-0B5FB946B2D6}"/>
    <cellStyle name="Note 6 2 3 27" xfId="21917" xr:uid="{FE58DCB9-0540-4F71-BB79-6955F2C8C33A}"/>
    <cellStyle name="Note 6 2 3 27 2" xfId="41835" xr:uid="{03F6A373-1714-471B-B95A-CCF1D7C9EF14}"/>
    <cellStyle name="Note 6 2 3 28" xfId="6575" xr:uid="{D5E109A7-CF33-47AD-841F-78E04A10E281}"/>
    <cellStyle name="Note 6 2 3 3" xfId="9418" xr:uid="{18F84A26-CC15-4140-A9A1-D01FFCDE0E69}"/>
    <cellStyle name="Note 6 2 3 3 2" xfId="33401" xr:uid="{648CC020-C0F8-4E86-A98A-1F26DA2DAEBC}"/>
    <cellStyle name="Note 6 2 3 4" xfId="12039" xr:uid="{43198366-BF63-498B-8EAE-060D9848AF65}"/>
    <cellStyle name="Note 6 2 3 4 2" xfId="34597" xr:uid="{AFE425E4-9A53-4F82-B5CA-0BB50CF35423}"/>
    <cellStyle name="Note 6 2 3 5" xfId="8745" xr:uid="{3143853E-F970-40B0-83FF-127236745797}"/>
    <cellStyle name="Note 6 2 3 5 2" xfId="32874" xr:uid="{8A2D9ECA-D853-42C8-83BC-5D65DB80F407}"/>
    <cellStyle name="Note 6 2 3 6" xfId="12987" xr:uid="{BE249AA4-9A8F-40A9-AA8F-7DD235C6EB95}"/>
    <cellStyle name="Note 6 2 3 6 2" xfId="35335" xr:uid="{9E516630-1230-46AE-84EA-E62905862A47}"/>
    <cellStyle name="Note 6 2 3 7" xfId="16687" xr:uid="{96A7DE13-237D-4A95-9987-2A09BB254878}"/>
    <cellStyle name="Note 6 2 3 7 2" xfId="38178" xr:uid="{9A635E74-1555-4635-909E-E41151E83671}"/>
    <cellStyle name="Note 6 2 3 8" xfId="14837" xr:uid="{687195DC-DACC-4830-AD6B-88929712F6DE}"/>
    <cellStyle name="Note 6 2 3 8 2" xfId="36712" xr:uid="{40EE2A94-A332-44FA-BD78-F65EEE6F154F}"/>
    <cellStyle name="Note 6 2 3 9" xfId="7050" xr:uid="{5BACC568-EA68-4E6B-9EFE-2D84A6D0E0F0}"/>
    <cellStyle name="Note 6 2 3 9 2" xfId="31417" xr:uid="{D7494AF2-B828-4478-AF66-361DD1E28ECD}"/>
    <cellStyle name="Note 6 2 30" xfId="6572" xr:uid="{B77F15A4-F89C-4B51-A00C-34BA569E3920}"/>
    <cellStyle name="Note 6 2 4" xfId="7961" xr:uid="{B15603F8-A7C4-47AB-9B7A-684D186F754F}"/>
    <cellStyle name="Note 6 2 4 2" xfId="32208" xr:uid="{BF271533-958F-4536-8D9E-666B4A45978C}"/>
    <cellStyle name="Note 6 2 5" xfId="9415" xr:uid="{BEE75EF8-E949-454A-889E-F889B5FD2FE4}"/>
    <cellStyle name="Note 6 2 5 2" xfId="33398" xr:uid="{E73FB560-1614-4A33-A6DB-21076B9A89F0}"/>
    <cellStyle name="Note 6 2 6" xfId="7633" xr:uid="{B6CC0891-7DB5-4C41-82BD-14AA74450F67}"/>
    <cellStyle name="Note 6 2 6 2" xfId="31933" xr:uid="{A37A3299-57BB-408F-8EFB-C0F2B50DAA92}"/>
    <cellStyle name="Note 6 2 7" xfId="8747" xr:uid="{09B5B0DB-CA49-4C0E-886C-7619358AA2D8}"/>
    <cellStyle name="Note 6 2 7 2" xfId="32876" xr:uid="{726A022E-B2F2-4C0E-A2D8-E9C5E418FAB4}"/>
    <cellStyle name="Note 6 2 8" xfId="15025" xr:uid="{975BC14E-75B9-4626-9DA9-2088DBFC63CA}"/>
    <cellStyle name="Note 6 2 8 2" xfId="36883" xr:uid="{C7803936-B34E-437F-B905-2493740132AB}"/>
    <cellStyle name="Note 6 2 9" xfId="13621" xr:uid="{DCC0ADF7-305A-43BF-BCD9-F07D281D0B16}"/>
    <cellStyle name="Note 6 2 9 2" xfId="35786" xr:uid="{79DACFCD-D9DF-48A0-AFDF-B48BD9A9861C}"/>
    <cellStyle name="Note 6 2_Sheet2" xfId="3060" xr:uid="{44B825CB-5C79-4192-89E8-A812D3F206E4}"/>
    <cellStyle name="Note 6 20" xfId="17564" xr:uid="{224DA98A-F869-440F-A216-A72139B7A89D}"/>
    <cellStyle name="Note 6 20 2" xfId="38811" xr:uid="{2DC33922-BB43-40E4-8AE9-FC73A479C691}"/>
    <cellStyle name="Note 6 21" xfId="19701" xr:uid="{C8114B74-3396-4A46-BE5D-DFA6F6D50146}"/>
    <cellStyle name="Note 6 21 2" xfId="40318" xr:uid="{1916EBCE-7F38-4974-801D-128B43FDC564}"/>
    <cellStyle name="Note 6 22" xfId="10304" xr:uid="{26FBAB32-5ED2-49FA-B800-09BA16ACFF5E}"/>
    <cellStyle name="Note 6 22 2" xfId="33939" xr:uid="{99315839-9EF4-421C-A896-A59E9C33B04F}"/>
    <cellStyle name="Note 6 23" xfId="21387" xr:uid="{9422E1CA-F479-4815-9069-14E0E5B660C2}"/>
    <cellStyle name="Note 6 23 2" xfId="41516" xr:uid="{1593FA94-8A1C-4590-814A-0932D7D97DC4}"/>
    <cellStyle name="Note 6 24" xfId="22012" xr:uid="{E7B72E76-DBCF-4190-9C38-BF58ABB58118}"/>
    <cellStyle name="Note 6 24 2" xfId="41907" xr:uid="{88428BC9-A969-4FEE-A825-12246EF3FCC1}"/>
    <cellStyle name="Note 6 25" xfId="15332" xr:uid="{57B5C23A-D0CF-4B4B-A1C7-BB46E176ADA4}"/>
    <cellStyle name="Note 6 25 2" xfId="37032" xr:uid="{50243A29-DE28-429A-BB69-D0F1DDB18937}"/>
    <cellStyle name="Note 6 26" xfId="22324" xr:uid="{81F4FAAC-740E-42FE-8668-825B39427B03}"/>
    <cellStyle name="Note 6 26 2" xfId="42179" xr:uid="{155B4BEB-D7D0-450E-BB31-ECBAC269E21E}"/>
    <cellStyle name="Note 6 27" xfId="19361" xr:uid="{F67EB248-DBBC-4163-BEFC-0FC52E1AF752}"/>
    <cellStyle name="Note 6 27 2" xfId="40087" xr:uid="{130D1ADD-FAB2-405A-BE3F-7216BD93FBCE}"/>
    <cellStyle name="Note 6 28" xfId="22274" xr:uid="{10812962-76A7-4FD4-909B-61218B3E585D}"/>
    <cellStyle name="Note 6 28 2" xfId="42139" xr:uid="{20326511-DB79-4AD1-85D7-5F760A791674}"/>
    <cellStyle name="Note 6 29" xfId="20498" xr:uid="{93EE47A3-AF82-4821-AD7D-C81F5B42A651}"/>
    <cellStyle name="Note 6 29 2" xfId="40888" xr:uid="{119167C1-EC6E-41C8-9862-AF8B8D0A4627}"/>
    <cellStyle name="Note 6 3" xfId="3061" xr:uid="{C6D4966B-0661-486D-AC83-42E95074B869}"/>
    <cellStyle name="Note 6 3 10" xfId="7049" xr:uid="{CF5EA71D-03E8-4B76-A4DD-F950C12BF16B}"/>
    <cellStyle name="Note 6 3 10 2" xfId="31416" xr:uid="{77F7E28E-D538-43A7-8BAC-BE0489D9CC5B}"/>
    <cellStyle name="Note 6 3 11" xfId="15174" xr:uid="{3E3012C4-F2B7-4024-8EDB-DF1320441F0F}"/>
    <cellStyle name="Note 6 3 11 2" xfId="36961" xr:uid="{F3271F56-2E0B-443B-87EA-03E743D24E84}"/>
    <cellStyle name="Note 6 3 12" xfId="16483" xr:uid="{528B4D9B-D165-4C57-AFF2-95E312251FB0}"/>
    <cellStyle name="Note 6 3 12 2" xfId="37976" xr:uid="{9E262481-2521-4F80-A5EC-B4AE55F2CF9B}"/>
    <cellStyle name="Note 6 3 13" xfId="17390" xr:uid="{C6406CA1-4644-4646-8D3E-6E7F9A0A192C}"/>
    <cellStyle name="Note 6 3 13 2" xfId="38637" xr:uid="{293945FA-6FD3-4553-9C37-D8DB5055CC6F}"/>
    <cellStyle name="Note 6 3 14" xfId="22467" xr:uid="{D8210780-DDA5-4521-84D8-0326D4FE3D8D}"/>
    <cellStyle name="Note 6 3 14 2" xfId="42266" xr:uid="{F2822564-5581-47D5-83D4-F1D17584807D}"/>
    <cellStyle name="Note 6 3 15" xfId="21585" xr:uid="{9D3EED9D-BAB0-4E41-AAA9-0C44309D5E5D}"/>
    <cellStyle name="Note 6 3 15 2" xfId="41669" xr:uid="{5569B94A-248F-4A16-A0F5-7B93E6C7717D}"/>
    <cellStyle name="Note 6 3 16" xfId="10223" xr:uid="{ABA9B2C1-9CCA-4A10-A617-244058F79CB7}"/>
    <cellStyle name="Note 6 3 16 2" xfId="33858" xr:uid="{D02B15CB-0520-4F0D-BB74-C4A93F5B9022}"/>
    <cellStyle name="Note 6 3 17" xfId="16988" xr:uid="{2C4BEA1B-00D1-4A91-9D2F-B8039977B180}"/>
    <cellStyle name="Note 6 3 17 2" xfId="38348" xr:uid="{DFE54BBC-6BF5-441C-BADC-89ECCA04B830}"/>
    <cellStyle name="Note 6 3 18" xfId="18241" xr:uid="{643CAE35-9785-4481-936D-334232A24E6E}"/>
    <cellStyle name="Note 6 3 18 2" xfId="39273" xr:uid="{180A40D9-1F2C-414A-BAD9-792E77F4844B}"/>
    <cellStyle name="Note 6 3 19" xfId="19075" xr:uid="{8814FDA5-10DB-423A-8F6E-80E60E53CDA4}"/>
    <cellStyle name="Note 6 3 19 2" xfId="39906" xr:uid="{F24971C5-9A86-49F9-99AD-A45FCC232714}"/>
    <cellStyle name="Note 6 3 2" xfId="3062" xr:uid="{5A219BB1-BF4F-44BD-8450-8C4512F15D19}"/>
    <cellStyle name="Note 6 3 2 10" xfId="12337" xr:uid="{FE116B60-184F-44BA-9C7D-A195CEE8235C}"/>
    <cellStyle name="Note 6 3 2 10 2" xfId="34841" xr:uid="{AD0649C4-4FD8-46D0-95AF-97A5D1017CDB}"/>
    <cellStyle name="Note 6 3 2 11" xfId="12565" xr:uid="{4A00C585-BA21-4B74-9419-B0E4B3293685}"/>
    <cellStyle name="Note 6 3 2 11 2" xfId="35009" xr:uid="{742B22FA-6C0F-4CA7-8FC1-78BB0E79C5C0}"/>
    <cellStyle name="Note 6 3 2 12" xfId="20777" xr:uid="{A5567BD4-3ED2-4F95-B762-8636B2C06D4D}"/>
    <cellStyle name="Note 6 3 2 12 2" xfId="41137" xr:uid="{0B6C189B-868D-4C87-8F81-795AC70996D3}"/>
    <cellStyle name="Note 6 3 2 13" xfId="22470" xr:uid="{3B3B455B-70CA-4855-95C0-F87C92C21A7A}"/>
    <cellStyle name="Note 6 3 2 13 2" xfId="42269" xr:uid="{2128B55B-92C6-45DB-A29D-F2BD11E69B17}"/>
    <cellStyle name="Note 6 3 2 14" xfId="12659" xr:uid="{76F21C4D-50BA-4BB2-AC66-969527CEF549}"/>
    <cellStyle name="Note 6 3 2 14 2" xfId="35085" xr:uid="{145F3CD0-52D6-4153-A344-4B980011E667}"/>
    <cellStyle name="Note 6 3 2 15" xfId="10224" xr:uid="{7861FCF4-53F5-460F-9A8F-3DCAC0163CAD}"/>
    <cellStyle name="Note 6 3 2 15 2" xfId="33859" xr:uid="{3B36A5E6-5C75-48EB-A978-DB2C3AE93674}"/>
    <cellStyle name="Note 6 3 2 16" xfId="21385" xr:uid="{96E4397F-7C24-4979-84FF-76CBD589D248}"/>
    <cellStyle name="Note 6 3 2 16 2" xfId="41514" xr:uid="{218B22CA-347B-4E4B-911E-40C3A3C8503E}"/>
    <cellStyle name="Note 6 3 2 17" xfId="13943" xr:uid="{E9BB8095-796A-419E-9C7F-EA28DB537A82}"/>
    <cellStyle name="Note 6 3 2 17 2" xfId="36050" xr:uid="{3673A371-F67C-430E-A53C-5187BD9769B5}"/>
    <cellStyle name="Note 6 3 2 18" xfId="17138" xr:uid="{0ABAED74-86AB-4569-B572-79B845814C2E}"/>
    <cellStyle name="Note 6 3 2 18 2" xfId="38477" xr:uid="{BC0A9F3E-C5C1-457E-9F1F-D2B7EF9D2FFA}"/>
    <cellStyle name="Note 6 3 2 19" xfId="24683" xr:uid="{745CA5C8-4A3E-4166-AE87-937C05D6A2A5}"/>
    <cellStyle name="Note 6 3 2 19 2" xfId="43828" xr:uid="{47376D1F-F713-498D-B039-7A8112EAE2C5}"/>
    <cellStyle name="Note 6 3 2 2" xfId="7956" xr:uid="{1719B5D7-714E-425F-81CD-213CF995A525}"/>
    <cellStyle name="Note 6 3 2 2 2" xfId="32203" xr:uid="{1E43AB2F-D284-4EBA-AB72-63659245261B}"/>
    <cellStyle name="Note 6 3 2 20" xfId="19877" xr:uid="{3969AC7D-97FA-4940-B9A1-7079BC7ED02C}"/>
    <cellStyle name="Note 6 3 2 20 2" xfId="40490" xr:uid="{2EE1BE79-E358-4EAE-ACB8-53037C1FF64B}"/>
    <cellStyle name="Note 6 3 2 21" xfId="20361" xr:uid="{5900777E-2FDF-4A80-97B2-680B688B1A62}"/>
    <cellStyle name="Note 6 3 2 21 2" xfId="40788" xr:uid="{39C45752-E325-406D-AACF-D3DBB47C3FCB}"/>
    <cellStyle name="Note 6 3 2 22" xfId="28943" xr:uid="{EF704878-4348-440A-9884-D2098B633EC8}"/>
    <cellStyle name="Note 6 3 2 22 2" xfId="46539" xr:uid="{70D779B2-A6AD-4E32-B799-072B0C46D458}"/>
    <cellStyle name="Note 6 3 2 23" xfId="28580" xr:uid="{4A6EC6DD-A708-469C-B6BD-0A38D65120AE}"/>
    <cellStyle name="Note 6 3 2 23 2" xfId="46315" xr:uid="{9A99B5CA-E8BB-4229-B9F0-3E2B61FF9106}"/>
    <cellStyle name="Note 6 3 2 24" xfId="23843" xr:uid="{7A1EBA0F-5FD3-4221-BE24-D3FC46C9FC44}"/>
    <cellStyle name="Note 6 3 2 24 2" xfId="43232" xr:uid="{F57E8573-55C7-4B95-A11D-53AAE335B280}"/>
    <cellStyle name="Note 6 3 2 25" xfId="27873" xr:uid="{36E444A6-FC9D-4897-B32D-0992C874A7B6}"/>
    <cellStyle name="Note 6 3 2 25 2" xfId="45945" xr:uid="{C61C0654-F6E6-4A02-8CCF-EED0882F6FBD}"/>
    <cellStyle name="Note 6 3 2 26" xfId="23026" xr:uid="{10ED61EB-AD5C-4E8F-BD15-F4E4C7DE137B}"/>
    <cellStyle name="Note 6 3 2 26 2" xfId="42660" xr:uid="{145BA598-8E50-416A-B37C-8221310C0199}"/>
    <cellStyle name="Note 6 3 2 27" xfId="30147" xr:uid="{7439E2D9-CD15-4F79-B9D8-75629463A244}"/>
    <cellStyle name="Note 6 3 2 27 2" xfId="47314" xr:uid="{043296C3-4447-44C0-901D-1E5FCF210F5D}"/>
    <cellStyle name="Note 6 3 2 28" xfId="6577" xr:uid="{B954A27D-65B1-441E-99B5-DD580EC48D1A}"/>
    <cellStyle name="Note 6 3 2 3" xfId="9420" xr:uid="{5E8EB841-CBFA-4A6A-B85E-824B839DE5A0}"/>
    <cellStyle name="Note 6 3 2 3 2" xfId="33403" xr:uid="{D0A39D1F-2893-4A0D-B6B6-A3A4C5B9CFCD}"/>
    <cellStyle name="Note 6 3 2 4" xfId="7631" xr:uid="{64F351CF-0730-4680-8040-45EEE7082E34}"/>
    <cellStyle name="Note 6 3 2 4 2" xfId="31931" xr:uid="{7175A736-CD6C-4FB7-8852-65414748FC40}"/>
    <cellStyle name="Note 6 3 2 5" xfId="15922" xr:uid="{DB6FC9B4-E40F-4448-A0F8-8E3204513D30}"/>
    <cellStyle name="Note 6 3 2 5 2" xfId="37513" xr:uid="{E0FC870D-A80F-4BFF-AA04-E7659D64E80E}"/>
    <cellStyle name="Note 6 3 2 6" xfId="15023" xr:uid="{6CA36EFE-4545-4D36-BA8E-ABC5EFB2A280}"/>
    <cellStyle name="Note 6 3 2 6 2" xfId="36881" xr:uid="{233F36DD-B3E7-4A03-81D3-0A0309CEC3ED}"/>
    <cellStyle name="Note 6 3 2 7" xfId="8358" xr:uid="{DD2AF73F-1CE2-415A-BAB8-AE0914D20AA1}"/>
    <cellStyle name="Note 6 3 2 7 2" xfId="32574" xr:uid="{C5A6DD92-62F5-40FD-ABE2-3061F70B2FA7}"/>
    <cellStyle name="Note 6 3 2 8" xfId="17067" xr:uid="{B79FCE17-6F6F-40ED-95A5-092EBB97A426}"/>
    <cellStyle name="Note 6 3 2 8 2" xfId="38407" xr:uid="{153BA1D8-0C5D-44A2-9C06-AD1FD8075097}"/>
    <cellStyle name="Note 6 3 2 9" xfId="17931" xr:uid="{6106DF22-7180-42DC-B689-441269D13824}"/>
    <cellStyle name="Note 6 3 2 9 2" xfId="39029" xr:uid="{2A535584-EE88-4496-8615-195ADF5CC202}"/>
    <cellStyle name="Note 6 3 20" xfId="24203" xr:uid="{B38B9D57-7E2C-4E3C-9FE8-CFDEE6E1C131}"/>
    <cellStyle name="Note 6 3 20 2" xfId="43526" xr:uid="{4E984211-C156-49D5-9E2A-D53A4AC1261D}"/>
    <cellStyle name="Note 6 3 21" xfId="19861" xr:uid="{CF5F286B-024E-4C5C-B19D-945A2225B9A5}"/>
    <cellStyle name="Note 6 3 21 2" xfId="40474" xr:uid="{BD7BB17E-46BE-402B-9A65-D03EE63BCDC1}"/>
    <cellStyle name="Note 6 3 22" xfId="23444" xr:uid="{617DEFAD-631C-47F2-A417-D6BAF4713455}"/>
    <cellStyle name="Note 6 3 22 2" xfId="42950" xr:uid="{D0F89AAA-7139-4BE7-B193-49F2C94A7A80}"/>
    <cellStyle name="Note 6 3 23" xfId="29423" xr:uid="{6C737E09-DD4B-425C-AA2E-FDBF620BA82E}"/>
    <cellStyle name="Note 6 3 23 2" xfId="46884" xr:uid="{DB37B216-6B73-4AF7-A888-7EFA2CFB47C5}"/>
    <cellStyle name="Note 6 3 24" xfId="25638" xr:uid="{93AD3247-D2F5-40BB-914D-2DB9C76CFB2C}"/>
    <cellStyle name="Note 6 3 24 2" xfId="44488" xr:uid="{661EF9CA-6947-4665-97DE-C349CDBD1D2E}"/>
    <cellStyle name="Note 6 3 25" xfId="26277" xr:uid="{9B61342F-149B-4AFF-95A0-59D493E72CC1}"/>
    <cellStyle name="Note 6 3 25 2" xfId="44986" xr:uid="{C05D07B5-B55B-4C7E-BD68-56420E95D7C8}"/>
    <cellStyle name="Note 6 3 26" xfId="27874" xr:uid="{20E3AC7A-D9F5-4298-8C75-FB4237EDF43E}"/>
    <cellStyle name="Note 6 3 26 2" xfId="45946" xr:uid="{72708B04-F030-46D7-8F95-854B103CEB90}"/>
    <cellStyle name="Note 6 3 27" xfId="22411" xr:uid="{3C0EEF03-BC9F-4F5C-8F8F-AE74E68E99EE}"/>
    <cellStyle name="Note 6 3 27 2" xfId="42225" xr:uid="{F8B18640-960A-4E45-A83D-9589B2A591ED}"/>
    <cellStyle name="Note 6 3 28" xfId="28207" xr:uid="{C3DDBE8C-02A5-43F7-8959-FD36E7C5ACEA}"/>
    <cellStyle name="Note 6 3 28 2" xfId="46096" xr:uid="{E4FC01AF-88DA-434A-987F-A4A272951DF8}"/>
    <cellStyle name="Note 6 3 29" xfId="6576" xr:uid="{96003ADE-CD72-4F53-B895-21A0EE83D3A5}"/>
    <cellStyle name="Note 6 3 3" xfId="7957" xr:uid="{30B2D739-164D-4CFD-8BB3-511B6D137D00}"/>
    <cellStyle name="Note 6 3 3 2" xfId="32204" xr:uid="{859CF0D5-EB7A-4AD9-B3DB-3A68BB711AB8}"/>
    <cellStyle name="Note 6 3 4" xfId="9419" xr:uid="{13D68387-F531-4403-84E5-CAFAA6A04242}"/>
    <cellStyle name="Note 6 3 4 2" xfId="33402" xr:uid="{EFB08CD9-4E18-48BC-B1F0-ED8A1BD67496}"/>
    <cellStyle name="Note 6 3 5" xfId="12038" xr:uid="{D973D94A-A269-4EAE-A264-E5AB69AC8434}"/>
    <cellStyle name="Note 6 3 5 2" xfId="34596" xr:uid="{D059A4B9-0748-4F25-9C10-1F6254A3028F}"/>
    <cellStyle name="Note 6 3 6" xfId="15919" xr:uid="{89C260B5-F4D1-44CE-9C1C-DAB85F675FE7}"/>
    <cellStyle name="Note 6 3 6 2" xfId="37510" xr:uid="{8434D3D3-14C7-41AD-9E6B-3FC97692D7A5}"/>
    <cellStyle name="Note 6 3 7" xfId="10486" xr:uid="{CE885C84-8899-43CD-8FDF-B9F85D5575B8}"/>
    <cellStyle name="Note 6 3 7 2" xfId="34121" xr:uid="{4FFB1016-00BF-4E45-8A69-5C6748CD2D08}"/>
    <cellStyle name="Note 6 3 8" xfId="8386" xr:uid="{D54EBCBA-5192-4739-980B-A64092CE8589}"/>
    <cellStyle name="Note 6 3 8 2" xfId="32601" xr:uid="{25502A54-45FB-411A-945B-05D88AC1780F}"/>
    <cellStyle name="Note 6 3 9" xfId="14836" xr:uid="{7BAE60D8-8DE1-4B92-92AE-4A72B0AA2D19}"/>
    <cellStyle name="Note 6 3 9 2" xfId="36711" xr:uid="{E72AE16E-5D38-451F-B715-F4A44F3A2A25}"/>
    <cellStyle name="Note 6 30" xfId="28583" xr:uid="{959DFA41-7B41-4726-BCAF-F3223B364E00}"/>
    <cellStyle name="Note 6 30 2" xfId="46317" xr:uid="{905E2B71-8FC6-42A8-8BC2-92E4283AE955}"/>
    <cellStyle name="Note 6 31" xfId="20342" xr:uid="{ED96F681-0C16-4148-A867-76808E0B51C0}"/>
    <cellStyle name="Note 6 31 2" xfId="40774" xr:uid="{F3FD172A-26C3-411B-B17C-4A1DDF723B93}"/>
    <cellStyle name="Note 6 32" xfId="27875" xr:uid="{0C9A98EC-998E-48FB-8469-3D4A41ED893E}"/>
    <cellStyle name="Note 6 32 2" xfId="45947" xr:uid="{322584E1-F904-4972-A435-B1035D9A407F}"/>
    <cellStyle name="Note 6 33" xfId="20129" xr:uid="{11F5089B-59CE-485C-889F-ED0E60B35C20}"/>
    <cellStyle name="Note 6 33 2" xfId="40638" xr:uid="{3E70D6FF-AC42-4437-B86D-013AFC142FBB}"/>
    <cellStyle name="Note 6 34" xfId="29215" xr:uid="{344CA63F-E5B9-49F0-908E-AC1F650DDD32}"/>
    <cellStyle name="Note 6 34 2" xfId="46741" xr:uid="{8EBE0DDD-360C-427D-B539-7761A7EEB02E}"/>
    <cellStyle name="Note 6 35" xfId="6571" xr:uid="{FC33A230-5760-4A37-B682-4F0390019349}"/>
    <cellStyle name="Note 6 4" xfId="3063" xr:uid="{344B4108-D210-48D9-A459-11AD26591A84}"/>
    <cellStyle name="Note 6 4 10" xfId="18409" xr:uid="{04F47DD2-2EEF-498F-89A0-110B87184A78}"/>
    <cellStyle name="Note 6 4 10 2" xfId="39420" xr:uid="{591833C4-812C-4FC5-8D88-E425BB5EC917}"/>
    <cellStyle name="Note 6 4 11" xfId="15538" xr:uid="{4FCF5745-8323-4B00-B0E8-54E430B3AEB5}"/>
    <cellStyle name="Note 6 4 11 2" xfId="37203" xr:uid="{6A3307C5-8969-4583-92EB-A9CD3BF273E2}"/>
    <cellStyle name="Note 6 4 12" xfId="16482" xr:uid="{9CB20472-2DCE-4989-B63C-E15703231D65}"/>
    <cellStyle name="Note 6 4 12 2" xfId="37975" xr:uid="{5F9DA670-C141-4BC5-BC44-92E3F8C81CC4}"/>
    <cellStyle name="Note 6 4 13" xfId="15641" xr:uid="{2E016393-D4E2-4805-BB90-FE2909CE1021}"/>
    <cellStyle name="Note 6 4 13 2" xfId="37299" xr:uid="{F2B34DE7-4907-48EB-9F59-05791A5D6323}"/>
    <cellStyle name="Note 6 4 14" xfId="17566" xr:uid="{2531058A-5C2F-4A05-B4E8-04B93A40977C}"/>
    <cellStyle name="Note 6 4 14 2" xfId="38812" xr:uid="{0A8C78F4-3AAE-4341-B937-2515935DF2AA}"/>
    <cellStyle name="Note 6 4 15" xfId="15419" xr:uid="{2A2F4A5D-1871-4AB6-B1C8-379FA382217A}"/>
    <cellStyle name="Note 6 4 15 2" xfId="37108" xr:uid="{098BFE65-B7FE-4D51-B28A-74382875D48A}"/>
    <cellStyle name="Note 6 4 16" xfId="22812" xr:uid="{1C1F3792-76B3-4BD5-9694-8B813670796D}"/>
    <cellStyle name="Note 6 4 16 2" xfId="42549" xr:uid="{948EDCE2-2C15-405E-9CB6-01D1FFD6FFE5}"/>
    <cellStyle name="Note 6 4 17" xfId="23647" xr:uid="{8DF45690-BF3D-4FCB-9E83-EE6F1246C447}"/>
    <cellStyle name="Note 6 4 17 2" xfId="43072" xr:uid="{257549CC-6ED2-40DD-AB85-E70FE1F9B03A}"/>
    <cellStyle name="Note 6 4 18" xfId="18240" xr:uid="{3ED4C3D9-146B-46DC-81D7-059D88919E90}"/>
    <cellStyle name="Note 6 4 18 2" xfId="39272" xr:uid="{80012781-3BAA-414F-A2C3-6D11B1CF0B53}"/>
    <cellStyle name="Note 6 4 19" xfId="19076" xr:uid="{1D1DCCA1-4EF2-45A8-B0DF-3CF82ECEEB77}"/>
    <cellStyle name="Note 6 4 19 2" xfId="39907" xr:uid="{66F1228C-CFE0-44A1-A5A6-A1CECA969670}"/>
    <cellStyle name="Note 6 4 2" xfId="3064" xr:uid="{39DA17E4-1432-40DF-B9D4-03264F854458}"/>
    <cellStyle name="Note 6 4 2 10" xfId="16742" xr:uid="{A5D17D53-8873-455A-B0A5-FA03B8396A62}"/>
    <cellStyle name="Note 6 4 2 10 2" xfId="38222" xr:uid="{DD98989C-CB0D-46FD-851B-2DF517614620}"/>
    <cellStyle name="Note 6 4 2 11" xfId="15896" xr:uid="{752647D7-BD1F-4FF2-92C6-D4AE40C31264}"/>
    <cellStyle name="Note 6 4 2 11 2" xfId="37487" xr:uid="{355C4DBF-C6B6-4EBF-9123-45009A90DFF4}"/>
    <cellStyle name="Note 6 4 2 12" xfId="17389" xr:uid="{2C031C91-009F-4232-A044-04D51A1264CB}"/>
    <cellStyle name="Note 6 4 2 12 2" xfId="38636" xr:uid="{875C4421-4F7A-413E-9D59-B3C3A241DCCD}"/>
    <cellStyle name="Note 6 4 2 13" xfId="22469" xr:uid="{A386A9E9-9BE2-4761-8030-78BAF149030D}"/>
    <cellStyle name="Note 6 4 2 13 2" xfId="42268" xr:uid="{875CD161-77CD-4872-87E6-13BF3DD99C2A}"/>
    <cellStyle name="Note 6 4 2 14" xfId="22015" xr:uid="{61AC2749-5BFC-4F18-8E71-3B9908782103}"/>
    <cellStyle name="Note 6 4 2 14 2" xfId="41910" xr:uid="{E6C6979C-EF10-48E9-9E3D-024D03CED6D7}"/>
    <cellStyle name="Note 6 4 2 15" xfId="23286" xr:uid="{C96BCEBF-7C42-4A56-A1F0-DAB535DA374F}"/>
    <cellStyle name="Note 6 4 2 15 2" xfId="42860" xr:uid="{AFCE8EBA-733A-4C5F-9955-8D9C5991403A}"/>
    <cellStyle name="Note 6 4 2 16" xfId="24091" xr:uid="{53110261-7CE8-4029-89AA-5129F1B8DBEE}"/>
    <cellStyle name="Note 6 4 2 16 2" xfId="43467" xr:uid="{8BF6E4A2-B159-4860-BEBB-FA6BB912D546}"/>
    <cellStyle name="Note 6 4 2 17" xfId="16275" xr:uid="{9B33B297-D56E-440E-8813-1EC3EE55F369}"/>
    <cellStyle name="Note 6 4 2 17 2" xfId="37812" xr:uid="{06BDA352-497F-4DAB-84AD-5C483A1ADD6C}"/>
    <cellStyle name="Note 6 4 2 18" xfId="16820" xr:uid="{65793F23-0784-4176-83EE-B33767A522C8}"/>
    <cellStyle name="Note 6 4 2 18 2" xfId="38248" xr:uid="{A7CE48E7-2270-4CB1-A6B4-E4DD1763D66B}"/>
    <cellStyle name="Note 6 4 2 19" xfId="25755" xr:uid="{13EB0990-1B47-465B-9F40-9352524556A1}"/>
    <cellStyle name="Note 6 4 2 19 2" xfId="44592" xr:uid="{C38646E3-4A47-4DC1-BDD1-498B728BB671}"/>
    <cellStyle name="Note 6 4 2 2" xfId="7953" xr:uid="{C538C6EF-38CA-4E0A-A45F-8544D1349E51}"/>
    <cellStyle name="Note 6 4 2 2 2" xfId="32201" xr:uid="{958EAB04-3DF6-41AC-A300-98DF7196AC93}"/>
    <cellStyle name="Note 6 4 2 20" xfId="15755" xr:uid="{845EF0DC-B2F9-4D71-990C-36D17F770777}"/>
    <cellStyle name="Note 6 4 2 20 2" xfId="37380" xr:uid="{F1EBDE9A-F8B9-405B-A237-EB6CC856A447}"/>
    <cellStyle name="Note 6 4 2 21" xfId="24502" xr:uid="{43446020-7D0B-449B-9DA1-95A0906EC228}"/>
    <cellStyle name="Note 6 4 2 21 2" xfId="43685" xr:uid="{F666D999-5C37-47B9-AAA4-6F328D8B3143}"/>
    <cellStyle name="Note 6 4 2 22" xfId="29424" xr:uid="{99410E20-A3B9-4EE9-BB96-6A0F8E69CF2F}"/>
    <cellStyle name="Note 6 4 2 22 2" xfId="46885" xr:uid="{49A62843-5ED5-4A07-ACDC-DFB0D6337638}"/>
    <cellStyle name="Note 6 4 2 23" xfId="28579" xr:uid="{39CB32C8-53EF-47AC-8B52-E2CAB0D9357A}"/>
    <cellStyle name="Note 6 4 2 23 2" xfId="46314" xr:uid="{BD1D3D2A-D5EA-4C7D-B6E8-D388612221B9}"/>
    <cellStyle name="Note 6 4 2 24" xfId="22232" xr:uid="{69EF7FF4-DE44-424E-B487-D0A4B443ECE9}"/>
    <cellStyle name="Note 6 4 2 24 2" xfId="42109" xr:uid="{BEE4A271-272E-4FFC-81A7-E0006B2AFEE3}"/>
    <cellStyle name="Note 6 4 2 25" xfId="25574" xr:uid="{41364D5D-F1A9-4470-B110-8D6A595C25BC}"/>
    <cellStyle name="Note 6 4 2 25 2" xfId="44442" xr:uid="{206AB22E-CA13-4E0D-9997-D7B6AA17A64C}"/>
    <cellStyle name="Note 6 4 2 26" xfId="23025" xr:uid="{4C182820-1666-432D-A696-C1C9BA7C46F2}"/>
    <cellStyle name="Note 6 4 2 26 2" xfId="42659" xr:uid="{D0E021E5-4D17-4CB6-A831-64878D5BE554}"/>
    <cellStyle name="Note 6 4 2 27" xfId="31219" xr:uid="{629C7D19-3B00-43F6-9D26-F80489672B9F}"/>
    <cellStyle name="Note 6 4 2 27 2" xfId="47850" xr:uid="{4C777610-B608-4B79-BD08-2BE73D212259}"/>
    <cellStyle name="Note 6 4 2 28" xfId="6579" xr:uid="{36FC7EBA-CC8F-4E1C-8D62-5CA74AF81925}"/>
    <cellStyle name="Note 6 4 2 3" xfId="9422" xr:uid="{6DBB65D7-C95D-4CAC-AD22-676ED243FF91}"/>
    <cellStyle name="Note 6 4 2 3 2" xfId="33405" xr:uid="{D88F42C5-A7FF-4613-B88F-4A3C939D6F90}"/>
    <cellStyle name="Note 6 4 2 4" xfId="7630" xr:uid="{8860A7A2-3C1C-4C6E-B90F-2D004C3281EF}"/>
    <cellStyle name="Note 6 4 2 4 2" xfId="31930" xr:uid="{AB4B2F08-567A-40BC-9540-D28AA6FF4CD9}"/>
    <cellStyle name="Note 6 4 2 5" xfId="15921" xr:uid="{116DBA03-DE02-47FA-941E-24D9A0601C3E}"/>
    <cellStyle name="Note 6 4 2 5 2" xfId="37512" xr:uid="{58F03FEF-DCBF-49AA-AB85-4C15D97BF720}"/>
    <cellStyle name="Note 6 4 2 6" xfId="15022" xr:uid="{E2332C31-CE68-4748-B1C1-FF32D22C3F1C}"/>
    <cellStyle name="Note 6 4 2 6 2" xfId="36880" xr:uid="{C34B265C-1C65-4D06-B4A6-672849216170}"/>
    <cellStyle name="Note 6 4 2 7" xfId="16688" xr:uid="{2FF801BC-AE17-4B1E-9D72-7189B20452B8}"/>
    <cellStyle name="Note 6 4 2 7 2" xfId="38179" xr:uid="{89858B21-BC88-4E67-9616-BFC814A01C0C}"/>
    <cellStyle name="Note 6 4 2 8" xfId="17829" xr:uid="{4AD19E2C-2193-40EF-BCE3-9C55D08F4656}"/>
    <cellStyle name="Note 6 4 2 8 2" xfId="38949" xr:uid="{27DA7259-C73C-4AEB-8060-71EB0EFFA743}"/>
    <cellStyle name="Note 6 4 2 9" xfId="18675" xr:uid="{1D5CEA0E-711A-432E-91EF-9C86CF236951}"/>
    <cellStyle name="Note 6 4 2 9 2" xfId="39558" xr:uid="{749B8853-7E41-43AF-BC9B-2686C3999322}"/>
    <cellStyle name="Note 6 4 20" xfId="22851" xr:uid="{0CDA26BD-1EE5-4FF6-99DC-78250478B0EB}"/>
    <cellStyle name="Note 6 4 20 2" xfId="42569" xr:uid="{59E6FD5B-B90C-4588-AEDC-E43E77230222}"/>
    <cellStyle name="Note 6 4 21" xfId="15739" xr:uid="{6FF5BBED-3C75-4663-B3F9-50E0B789DCE3}"/>
    <cellStyle name="Note 6 4 21 2" xfId="37368" xr:uid="{E5E86B8E-F409-442C-8F2B-44D47B7BCB17}"/>
    <cellStyle name="Note 6 4 22" xfId="25359" xr:uid="{487B8ACD-AF78-4233-AA9B-5C5F1A7A83B2}"/>
    <cellStyle name="Note 6 4 22 2" xfId="44275" xr:uid="{6AC44518-F518-4D7D-8568-5CCE95F07A99}"/>
    <cellStyle name="Note 6 4 23" xfId="23209" xr:uid="{3227456F-F54C-4AB5-9211-903DEF6E8C07}"/>
    <cellStyle name="Note 6 4 23 2" xfId="42802" xr:uid="{88DC9817-437B-4C26-A51E-9A1C6AB40952}"/>
    <cellStyle name="Note 6 4 24" xfId="27146" xr:uid="{979D487D-3933-46B6-8A67-72E1AAC1C571}"/>
    <cellStyle name="Note 6 4 24 2" xfId="45487" xr:uid="{4A04DA1C-009F-4ABC-AE36-B7B95702C39A}"/>
    <cellStyle name="Note 6 4 25" xfId="26276" xr:uid="{2F27C28C-6866-413C-90F2-8B0C52F3C412}"/>
    <cellStyle name="Note 6 4 25 2" xfId="44985" xr:uid="{E72733DC-2331-4731-B1A0-3FD026553554}"/>
    <cellStyle name="Note 6 4 26" xfId="27872" xr:uid="{61921142-6A05-4AEA-820F-7DE9DFE3D91E}"/>
    <cellStyle name="Note 6 4 26 2" xfId="45944" xr:uid="{98687DE2-19ED-422C-8F45-58377F5F4547}"/>
    <cellStyle name="Note 6 4 27" xfId="18794" xr:uid="{C17C50F5-C6BF-41D3-BEE2-44A7F6C2E1CE}"/>
    <cellStyle name="Note 6 4 27 2" xfId="39651" xr:uid="{930F96F6-B666-4184-A109-D080B3892C24}"/>
    <cellStyle name="Note 6 4 28" xfId="31111" xr:uid="{0F06A001-3EA0-45B3-88AA-56A43C540B16}"/>
    <cellStyle name="Note 6 4 28 2" xfId="47841" xr:uid="{54F93AE0-D368-41C5-ADD9-27BF7816EE21}"/>
    <cellStyle name="Note 6 4 29" xfId="6578" xr:uid="{F239D5A9-5E45-43D4-926E-21D3E67AF8C8}"/>
    <cellStyle name="Note 6 4 3" xfId="7954" xr:uid="{14DFA7D5-1877-4A35-96EC-195F643A3C3D}"/>
    <cellStyle name="Note 6 4 3 2" xfId="32202" xr:uid="{32CC6A17-FADC-4380-89D6-2396EB76ED0B}"/>
    <cellStyle name="Note 6 4 4" xfId="9421" xr:uid="{A81F104D-0573-441A-8311-CE58D0EB2698}"/>
    <cellStyle name="Note 6 4 4 2" xfId="33404" xr:uid="{01DD1E4E-A336-4E10-A460-9F3EDD775940}"/>
    <cellStyle name="Note 6 4 5" xfId="12037" xr:uid="{3D3CB88A-89E9-4720-9667-F7349761D6FF}"/>
    <cellStyle name="Note 6 4 5 2" xfId="34595" xr:uid="{B626DFF7-6A12-42FA-B467-F0BDCBB952BC}"/>
    <cellStyle name="Note 6 4 6" xfId="8744" xr:uid="{85646742-37C0-4E85-A2FD-38AE29ECA94F}"/>
    <cellStyle name="Note 6 4 6 2" xfId="32873" xr:uid="{676AF825-A364-4F3E-B2DE-B170EAF3C6E7}"/>
    <cellStyle name="Note 6 4 7" xfId="12986" xr:uid="{14AA94D6-923F-4B20-B76E-DADD52D336E1}"/>
    <cellStyle name="Note 6 4 7 2" xfId="35334" xr:uid="{E2E2FF64-C689-4AFA-B36E-97F4F752B6B6}"/>
    <cellStyle name="Note 6 4 8" xfId="16202" xr:uid="{25260BFE-75DC-46EC-912A-852FC368673A}"/>
    <cellStyle name="Note 6 4 8 2" xfId="37757" xr:uid="{EEE8A89B-F201-4D08-99D4-BE01FABAC013}"/>
    <cellStyle name="Note 6 4 9" xfId="17559" xr:uid="{AF431E61-6629-467D-AFEA-75070F079A27}"/>
    <cellStyle name="Note 6 4 9 2" xfId="38806" xr:uid="{CD013B3A-B5A0-4BD1-884A-F6900325A210}"/>
    <cellStyle name="Note 6 5" xfId="3065" xr:uid="{08AC9828-F7AC-4156-9FBC-5F840A2B2859}"/>
    <cellStyle name="Note 6 5 10" xfId="14265" xr:uid="{640624ED-A2C1-4725-A4BD-754452E340DA}"/>
    <cellStyle name="Note 6 5 10 2" xfId="36318" xr:uid="{076F270D-14CF-4510-9513-BC01CD32277C}"/>
    <cellStyle name="Note 6 5 11" xfId="14626" xr:uid="{9D4662A0-DD3C-4BA9-9AE1-5C82AC1255E2}"/>
    <cellStyle name="Note 6 5 11 2" xfId="36538" xr:uid="{9703EFB7-9D54-4D84-867B-CE2DC26E52BF}"/>
    <cellStyle name="Note 6 5 12" xfId="16481" xr:uid="{7932F2C8-1AD0-47CE-89FE-E8E397F3D54F}"/>
    <cellStyle name="Note 6 5 12 2" xfId="37974" xr:uid="{53E36894-8A21-4754-9993-8527611F20C7}"/>
    <cellStyle name="Note 6 5 13" xfId="13735" xr:uid="{375BDAA0-04F9-4E92-9DEF-4B87A8DAF4E3}"/>
    <cellStyle name="Note 6 5 13 2" xfId="35890" xr:uid="{3EB08351-88B5-4682-9C26-C9BB3453E93E}"/>
    <cellStyle name="Note 6 5 14" xfId="20786" xr:uid="{53A20211-9926-4DAB-832A-DBC241BCC18F}"/>
    <cellStyle name="Note 6 5 14 2" xfId="41146" xr:uid="{1E12B680-C3DC-4E57-8E3C-7C2D1E57AE3E}"/>
    <cellStyle name="Note 6 5 15" xfId="21878" xr:uid="{07116862-C87A-4C5A-82A7-2D827375A742}"/>
    <cellStyle name="Note 6 5 15 2" xfId="41814" xr:uid="{D2A37814-2CD5-4B97-B910-DB52CF3B75B5}"/>
    <cellStyle name="Note 6 5 16" xfId="23554" xr:uid="{8D080640-8600-4EA4-BB4C-26EA16FDA3C9}"/>
    <cellStyle name="Note 6 5 16 2" xfId="42994" xr:uid="{7A6CDCA4-F7E3-4D87-BC2F-D7D271A360D0}"/>
    <cellStyle name="Note 6 5 17" xfId="24351" xr:uid="{AB7A8790-99D6-4C85-97B7-DEC4C0FC804D}"/>
    <cellStyle name="Note 6 5 17 2" xfId="43607" xr:uid="{3C6852E1-13BB-498B-9356-D30956B47ADA}"/>
    <cellStyle name="Note 6 5 18" xfId="18239" xr:uid="{4297CFE2-0A36-4A8B-B710-10056A906D85}"/>
    <cellStyle name="Note 6 5 18 2" xfId="39271" xr:uid="{D82B7B9D-17D3-4583-B897-26255E0E4747}"/>
    <cellStyle name="Note 6 5 19" xfId="19077" xr:uid="{78A0B9F8-8142-4D1A-9E63-1BCCD7EA696E}"/>
    <cellStyle name="Note 6 5 19 2" xfId="39908" xr:uid="{F565B68A-8DF0-477A-A1CA-35DB3989312D}"/>
    <cellStyle name="Note 6 5 2" xfId="3066" xr:uid="{3F7C8D81-B114-4DF7-A10C-0D8291100296}"/>
    <cellStyle name="Note 6 5 2 10" xfId="13827" xr:uid="{2A8CE55C-FC7E-4E8C-95A6-130FE960C736}"/>
    <cellStyle name="Note 6 5 2 10 2" xfId="35952" xr:uid="{C320D415-F2D3-4E0F-A72D-CC8851E93D0A}"/>
    <cellStyle name="Note 6 5 2 11" xfId="12569" xr:uid="{0DE69414-E4C0-4C44-9307-5C8F6B0A2D6C}"/>
    <cellStyle name="Note 6 5 2 11 2" xfId="35013" xr:uid="{21098B11-E1AC-423F-A5CF-B5979050F041}"/>
    <cellStyle name="Note 6 5 2 12" xfId="20301" xr:uid="{7172E3BE-C92D-4792-B4F3-2209CFE9713C}"/>
    <cellStyle name="Note 6 5 2 12 2" xfId="40736" xr:uid="{8474C622-A303-4A53-954F-78ED30111163}"/>
    <cellStyle name="Note 6 5 2 13" xfId="22468" xr:uid="{FC34A965-ABC8-4C97-BA3C-CEF81B489487}"/>
    <cellStyle name="Note 6 5 2 13 2" xfId="42267" xr:uid="{9D180DA8-55AF-4A43-8391-DA0F6D88704D}"/>
    <cellStyle name="Note 6 5 2 14" xfId="21584" xr:uid="{8DAA6C15-BBC4-471C-8A98-703188D1EB8C}"/>
    <cellStyle name="Note 6 5 2 14 2" xfId="41668" xr:uid="{325AE9C4-58A6-4EC6-901E-F41471A69004}"/>
    <cellStyle name="Note 6 5 2 15" xfId="13230" xr:uid="{AF6ED378-9513-4DA5-9625-9434110978E8}"/>
    <cellStyle name="Note 6 5 2 15 2" xfId="35578" xr:uid="{DFEF3AAE-C4EC-4B88-B618-82AE84386D87}"/>
    <cellStyle name="Note 6 5 2 16" xfId="19602" xr:uid="{2DECC38E-A48B-4F17-A428-1EE8DBF21462}"/>
    <cellStyle name="Note 6 5 2 16 2" xfId="40242" xr:uid="{D612043A-FD93-4782-9186-A3E9F5346B96}"/>
    <cellStyle name="Note 6 5 2 17" xfId="13483" xr:uid="{AC8E8C60-F061-4BE5-A025-4F4926575B0C}"/>
    <cellStyle name="Note 6 5 2 17 2" xfId="35738" xr:uid="{8B14F3AD-B32A-4955-9462-6373D22980AF}"/>
    <cellStyle name="Note 6 5 2 18" xfId="16071" xr:uid="{F2A8C136-C24B-44D9-8D14-ABE684F909A5}"/>
    <cellStyle name="Note 6 5 2 18 2" xfId="37642" xr:uid="{D1EE2760-E701-440F-BC2F-07B24AF74AEB}"/>
    <cellStyle name="Note 6 5 2 19" xfId="20382" xr:uid="{5A7A054B-C60A-4B67-947B-0718AA9B17DB}"/>
    <cellStyle name="Note 6 5 2 19 2" xfId="40804" xr:uid="{A7356E99-B56C-44DB-8681-D6610814DB40}"/>
    <cellStyle name="Note 6 5 2 2" xfId="7951" xr:uid="{FC8E2A7D-A83C-4E9E-87C1-9DDE141F4D05}"/>
    <cellStyle name="Note 6 5 2 2 2" xfId="32199" xr:uid="{B03210A0-5399-4819-9B6C-544A9ED0CE9D}"/>
    <cellStyle name="Note 6 5 2 20" xfId="12848" xr:uid="{8550E5D0-F6A8-4E3C-BF4A-71A7B0E76BCC}"/>
    <cellStyle name="Note 6 5 2 20 2" xfId="35228" xr:uid="{431D68F7-60B6-4BBD-80F3-E684722EB77C}"/>
    <cellStyle name="Note 6 5 2 21" xfId="22692" xr:uid="{C4367CF2-C245-438E-97BC-9901641997CF}"/>
    <cellStyle name="Note 6 5 2 21 2" xfId="42453" xr:uid="{0F859D8C-5232-4D7F-B61A-09C1592EEA0C}"/>
    <cellStyle name="Note 6 5 2 22" xfId="28942" xr:uid="{BF1B5446-5B7A-46B2-B837-73E0AF14EE9A}"/>
    <cellStyle name="Note 6 5 2 22 2" xfId="46538" xr:uid="{CC5F29AD-BB57-4A01-9FA4-B7C3F76597C7}"/>
    <cellStyle name="Note 6 5 2 23" xfId="28578" xr:uid="{9A38944F-C379-4767-9D8A-5CA7254EC881}"/>
    <cellStyle name="Note 6 5 2 23 2" xfId="46313" xr:uid="{17F14BF3-FFB5-44CB-AEBD-95E0E08CA0CD}"/>
    <cellStyle name="Note 6 5 2 24" xfId="26275" xr:uid="{613CF9E7-7EF1-4798-B72E-07DF2FBC2D11}"/>
    <cellStyle name="Note 6 5 2 24 2" xfId="44984" xr:uid="{B8C76BDE-22C6-4C01-87DD-0EBE0E09966C}"/>
    <cellStyle name="Note 6 5 2 25" xfId="23691" xr:uid="{5B4CC057-9031-4C82-9F09-EB40F75AACD2}"/>
    <cellStyle name="Note 6 5 2 25 2" xfId="43111" xr:uid="{CEB72654-432D-4C26-B4A2-049DA2832B36}"/>
    <cellStyle name="Note 6 5 2 26" xfId="23024" xr:uid="{45ABB315-9DA9-4445-B77A-1F5295AFB7C1}"/>
    <cellStyle name="Note 6 5 2 26 2" xfId="42658" xr:uid="{F1B344BF-DB9A-4875-82F3-2D4153E4632C}"/>
    <cellStyle name="Note 6 5 2 27" xfId="26829" xr:uid="{B2C6DE94-D6EB-4AB8-A41C-CAE9CE664520}"/>
    <cellStyle name="Note 6 5 2 27 2" xfId="45300" xr:uid="{B139FEFE-5269-44AC-BB7F-6B3FE973D672}"/>
    <cellStyle name="Note 6 5 2 28" xfId="6581" xr:uid="{528B160E-B3FF-4733-8F13-FBB07CF56021}"/>
    <cellStyle name="Note 6 5 2 3" xfId="9424" xr:uid="{64A1B2C2-DE69-43A8-82E0-8A17FE8B177C}"/>
    <cellStyle name="Note 6 5 2 3 2" xfId="33407" xr:uid="{E8A78227-C112-4564-BB57-AAC17579D605}"/>
    <cellStyle name="Note 6 5 2 4" xfId="7629" xr:uid="{2CD4C820-448D-4ECC-A4A1-511B614F995A}"/>
    <cellStyle name="Note 6 5 2 4 2" xfId="31929" xr:uid="{1E1E4522-81FF-4B98-8CE7-E95250033E89}"/>
    <cellStyle name="Note 6 5 2 5" xfId="15920" xr:uid="{AF4D51A6-3D23-4D74-80FB-1603B63842A2}"/>
    <cellStyle name="Note 6 5 2 5 2" xfId="37511" xr:uid="{CBA992E2-C04E-47D4-85C8-CC8CE4F11917}"/>
    <cellStyle name="Note 6 5 2 6" xfId="15021" xr:uid="{E756620A-444C-41B4-A25C-6BE486A6A309}"/>
    <cellStyle name="Note 6 5 2 6 2" xfId="36879" xr:uid="{D935684B-1508-4CC7-8D7B-755C8636FF40}"/>
    <cellStyle name="Note 6 5 2 7" xfId="8385" xr:uid="{C2BA570B-0C9F-4A43-AB81-8855278A4920}"/>
    <cellStyle name="Note 6 5 2 7 2" xfId="32600" xr:uid="{7DE93020-CC04-4062-84B0-0069080FB8F2}"/>
    <cellStyle name="Note 6 5 2 8" xfId="14835" xr:uid="{4DBA6E4D-C29C-4FE3-A8C5-ACA5CF01602A}"/>
    <cellStyle name="Note 6 5 2 8 2" xfId="36710" xr:uid="{B10BDF52-21F4-4756-93E0-D640E463F034}"/>
    <cellStyle name="Note 6 5 2 9" xfId="7048" xr:uid="{2F0BC3CA-1D69-423E-89D2-C8645E996099}"/>
    <cellStyle name="Note 6 5 2 9 2" xfId="31415" xr:uid="{2C88FBA7-156C-4B90-A214-9E35CD286249}"/>
    <cellStyle name="Note 6 5 20" xfId="24682" xr:uid="{14904E0B-B030-434A-85F1-5F2E4E366878}"/>
    <cellStyle name="Note 6 5 20 2" xfId="43827" xr:uid="{EBE3794F-1253-4D87-90DE-7DF8146CDEC7}"/>
    <cellStyle name="Note 6 5 21" xfId="19876" xr:uid="{E16C53A8-C7D7-4E3C-923A-B2436787F69C}"/>
    <cellStyle name="Note 6 5 21 2" xfId="40489" xr:uid="{8ECCDB82-D31D-475C-9629-6DE6490F65EB}"/>
    <cellStyle name="Note 6 5 22" xfId="25804" xr:uid="{4BB639FA-3598-4C86-A12D-6747C99EC80F}"/>
    <cellStyle name="Note 6 5 22 2" xfId="44632" xr:uid="{E53359D3-9096-47DD-93FA-5DA392D6BF9E}"/>
    <cellStyle name="Note 6 5 23" xfId="16137" xr:uid="{23877ABF-2E3E-461B-83AB-569635895B52}"/>
    <cellStyle name="Note 6 5 23 2" xfId="37703" xr:uid="{64CD1BAE-0358-4F50-B094-62B4AE775EE7}"/>
    <cellStyle name="Note 6 5 24" xfId="26100" xr:uid="{73B68A0A-54A8-4C0D-AE6D-30D62FF23AD9}"/>
    <cellStyle name="Note 6 5 24 2" xfId="44843" xr:uid="{98A860A6-BC52-4E8C-963E-3112E04E3B5C}"/>
    <cellStyle name="Note 6 5 25" xfId="23813" xr:uid="{289C20D5-7CB8-495C-8CBB-9942CBF38E7D}"/>
    <cellStyle name="Note 6 5 25 2" xfId="43202" xr:uid="{009C193C-94DD-4DDE-AC70-F722342F5A8C}"/>
    <cellStyle name="Note 6 5 26" xfId="27871" xr:uid="{E2F72BCB-7AD0-4D4F-BC47-4C0589C81E39}"/>
    <cellStyle name="Note 6 5 26 2" xfId="45943" xr:uid="{F7BFFA0F-2211-4B12-BC9F-0FF943C84290}"/>
    <cellStyle name="Note 6 5 27" xfId="22410" xr:uid="{59B85D0A-D23E-4B5A-8E8D-2EB3048E1310}"/>
    <cellStyle name="Note 6 5 27 2" xfId="42224" xr:uid="{8683F708-1FB7-40ED-9E54-450314058156}"/>
    <cellStyle name="Note 6 5 28" xfId="29998" xr:uid="{E7988504-B2D1-4860-848E-271B6CE227BB}"/>
    <cellStyle name="Note 6 5 28 2" xfId="47240" xr:uid="{B8A053B1-7167-4889-A405-1E01FBDCEEA0}"/>
    <cellStyle name="Note 6 5 29" xfId="6580" xr:uid="{D25A11F6-CCD4-4D13-9B9B-6FBBD62572DA}"/>
    <cellStyle name="Note 6 5 3" xfId="7952" xr:uid="{A9AB6320-957E-4D0B-B281-196596B6808F}"/>
    <cellStyle name="Note 6 5 3 2" xfId="32200" xr:uid="{55EB1704-EE45-4BAA-9C01-79F6B742C230}"/>
    <cellStyle name="Note 6 5 4" xfId="9423" xr:uid="{56A01B01-46A5-4F24-9BFE-DB3F88A15220}"/>
    <cellStyle name="Note 6 5 4 2" xfId="33406" xr:uid="{4E60F9A5-6FCC-409C-9D26-F0C3C784F3F5}"/>
    <cellStyle name="Note 6 5 5" xfId="12036" xr:uid="{40054664-68A6-4E64-A2B2-B3469766B345}"/>
    <cellStyle name="Note 6 5 5 2" xfId="34594" xr:uid="{9AC4C4DD-FD37-4E3C-8FEB-0DF35774E2D6}"/>
    <cellStyle name="Note 6 5 6" xfId="8743" xr:uid="{55DC3EC8-1723-4942-BCCF-2523F436288F}"/>
    <cellStyle name="Note 6 5 6 2" xfId="32872" xr:uid="{FDD1ADEF-0A3E-4652-8C36-D90D53F50524}"/>
    <cellStyle name="Note 6 5 7" xfId="10487" xr:uid="{296FF2FB-F057-41E6-8753-D9857D1A527F}"/>
    <cellStyle name="Note 6 5 7 2" xfId="34122" xr:uid="{D41198FF-E1E9-4C7F-875E-3143B45F179B}"/>
    <cellStyle name="Note 6 5 8" xfId="16964" xr:uid="{87273D7A-A957-4B77-B401-EFA895FB830D}"/>
    <cellStyle name="Note 6 5 8 2" xfId="38329" xr:uid="{CA9E748A-7C07-46DF-8DF1-18F872F3D1D6}"/>
    <cellStyle name="Note 6 5 9" xfId="10586" xr:uid="{0C0BB3FD-AD92-4A37-B267-DAF075EF4089}"/>
    <cellStyle name="Note 6 5 9 2" xfId="34212" xr:uid="{80054B1A-8A39-43C0-AD78-4475FDD8447D}"/>
    <cellStyle name="Note 6 6" xfId="3067" xr:uid="{32B9FD7B-3CD4-4ED0-BCEA-98E206F98D66}"/>
    <cellStyle name="Note 6 6 10" xfId="14264" xr:uid="{DAF07A88-6300-4382-9D4C-04BE62D87324}"/>
    <cellStyle name="Note 6 6 10 2" xfId="36317" xr:uid="{17C33B05-0194-411B-9491-6431E37DADA8}"/>
    <cellStyle name="Note 6 6 11" xfId="12338" xr:uid="{D1F6F86E-6BBC-4667-9B82-3B46645BD2B0}"/>
    <cellStyle name="Note 6 6 11 2" xfId="34842" xr:uid="{E6970E31-BEAE-4128-B450-B47A6F2EA3D1}"/>
    <cellStyle name="Note 6 6 12" xfId="14001" xr:uid="{A35A644B-51BE-471D-B1DC-E64FDC4F7863}"/>
    <cellStyle name="Note 6 6 12 2" xfId="36095" xr:uid="{E5D84089-7DB0-4769-BFC9-3EC1FA299A21}"/>
    <cellStyle name="Note 6 6 13" xfId="20778" xr:uid="{B32E923E-E78D-4180-B6F3-ECB0D322AB3A}"/>
    <cellStyle name="Note 6 6 13 2" xfId="41138" xr:uid="{1BB34902-74A0-457A-A6C6-4D72F7716172}"/>
    <cellStyle name="Note 6 6 14" xfId="9900" xr:uid="{278910C8-AD7E-4113-94CD-F17B765EC77A}"/>
    <cellStyle name="Note 6 6 14 2" xfId="33646" xr:uid="{521B7479-6CC8-48D5-9065-7FC279A3A9AB}"/>
    <cellStyle name="Note 6 6 15" xfId="19700" xr:uid="{7DFF27DE-7949-408B-8BCF-AEB3EE15D0E4}"/>
    <cellStyle name="Note 6 6 15 2" xfId="40317" xr:uid="{8A965086-010C-4F0E-A44D-988D8BC3BEC7}"/>
    <cellStyle name="Note 6 6 16" xfId="10225" xr:uid="{AF34BD99-0240-4EB6-846D-80DE21EA10D7}"/>
    <cellStyle name="Note 6 6 16 2" xfId="33860" xr:uid="{A76AF21E-4EAB-415A-A2D3-78C9C17ACCB1}"/>
    <cellStyle name="Note 6 6 17" xfId="21384" xr:uid="{EB0D9BDC-7E53-410B-8CF3-195A096465D0}"/>
    <cellStyle name="Note 6 6 17 2" xfId="41513" xr:uid="{2763CB87-1B0A-4D32-9F27-CABEC65BB062}"/>
    <cellStyle name="Note 6 6 18" xfId="18238" xr:uid="{7B369A14-D88F-4392-BB3F-E870AD4EF532}"/>
    <cellStyle name="Note 6 6 18 2" xfId="39270" xr:uid="{E9C8CFF9-3996-4A09-9433-345080C2153D}"/>
    <cellStyle name="Note 6 6 19" xfId="19078" xr:uid="{8F1B4536-4E0F-42DF-BB12-14EAB2338313}"/>
    <cellStyle name="Note 6 6 19 2" xfId="39909" xr:uid="{330340F6-D871-444C-BC63-54BE358FE489}"/>
    <cellStyle name="Note 6 6 2" xfId="3068" xr:uid="{4669E2F1-2AF5-4512-A2D9-9675BFA68761}"/>
    <cellStyle name="Note 6 6 2 10" xfId="15539" xr:uid="{D8D8E87A-EADF-43CA-83F7-C9586EC80D4F}"/>
    <cellStyle name="Note 6 6 2 10 2" xfId="37204" xr:uid="{5F2BF6D4-0C32-4186-B05C-438AE8E3EBD9}"/>
    <cellStyle name="Note 6 6 2 11" xfId="16480" xr:uid="{91D2E525-F2E2-4D35-AFF6-E8B16ECD7C84}"/>
    <cellStyle name="Note 6 6 2 11 2" xfId="37973" xr:uid="{FF1ABD31-B6F9-473D-826F-AAA007603E48}"/>
    <cellStyle name="Note 6 6 2 12" xfId="21043" xr:uid="{A1051CB6-D2F7-472A-8234-BBC27AFB99CB}"/>
    <cellStyle name="Note 6 6 2 12 2" xfId="41291" xr:uid="{D01D0824-CF0A-4E3E-973F-6B03E0E1DDA6}"/>
    <cellStyle name="Note 6 6 2 13" xfId="19259" xr:uid="{B7C26859-6E23-486B-85E9-B5F30A127F7E}"/>
    <cellStyle name="Note 6 6 2 13 2" xfId="40046" xr:uid="{9320ED3B-D119-4F0F-A803-620CAAAEEE2F}"/>
    <cellStyle name="Note 6 6 2 14" xfId="21583" xr:uid="{5EC1373D-90E0-45E6-A110-4926A5A988DB}"/>
    <cellStyle name="Note 6 6 2 14 2" xfId="41667" xr:uid="{34533588-1614-4D39-8C74-ABB69494E62E}"/>
    <cellStyle name="Note 6 6 2 15" xfId="13153" xr:uid="{54E7F867-809F-4C55-B99E-2237F72D4185}"/>
    <cellStyle name="Note 6 6 2 15 2" xfId="35501" xr:uid="{C1DB4EA3-7833-4945-BE4C-9AAA6FCE707E}"/>
    <cellStyle name="Note 6 6 2 16" xfId="22531" xr:uid="{472B6765-1BC2-4AE6-888E-0915301854B8}"/>
    <cellStyle name="Note 6 6 2 16 2" xfId="42330" xr:uid="{EB356A22-8E1F-4079-B879-DEC870C05DC1}"/>
    <cellStyle name="Note 6 6 2 17" xfId="16274" xr:uid="{F120EDE6-6C2C-456B-AB8D-CE50D9A75D25}"/>
    <cellStyle name="Note 6 6 2 17 2" xfId="37811" xr:uid="{93A9F946-90F9-4A3A-BE02-DDF3545F72F4}"/>
    <cellStyle name="Note 6 6 2 18" xfId="17140" xr:uid="{685FE35E-E4D2-47E9-A677-81DA5EEDF79D}"/>
    <cellStyle name="Note 6 6 2 18 2" xfId="38479" xr:uid="{A4580AA3-7830-4D50-92A0-119FB7F249E7}"/>
    <cellStyle name="Note 6 6 2 19" xfId="22850" xr:uid="{2C9716E1-4BDD-455A-BE96-3A69C024B876}"/>
    <cellStyle name="Note 6 6 2 19 2" xfId="42568" xr:uid="{6925381A-6FCF-44B3-A72C-6E87462A9958}"/>
    <cellStyle name="Note 6 6 2 2" xfId="7949" xr:uid="{ECB5DD71-7BF9-49B2-BF85-1DB470B6DC9E}"/>
    <cellStyle name="Note 6 6 2 2 2" xfId="32197" xr:uid="{38F818AF-3BA2-47FF-BD1C-60A41BE5B540}"/>
    <cellStyle name="Note 6 6 2 20" xfId="18010" xr:uid="{DA723BEB-D104-4C18-BCE7-2357EE80B1DE}"/>
    <cellStyle name="Note 6 6 2 20 2" xfId="39106" xr:uid="{6F304BCC-64AE-4280-AF3D-B6448AC98EF0}"/>
    <cellStyle name="Note 6 6 2 21" xfId="25360" xr:uid="{59C962A8-DFCE-4D5F-BCE8-F0B134537249}"/>
    <cellStyle name="Note 6 6 2 21 2" xfId="44276" xr:uid="{559B6C48-23D9-4AFC-888C-5601B3766766}"/>
    <cellStyle name="Note 6 6 2 22" xfId="18827" xr:uid="{6C0EFF7D-A443-43B8-B463-77142D7F4680}"/>
    <cellStyle name="Note 6 6 2 22 2" xfId="39678" xr:uid="{D41C0A2F-BE02-4E32-A8DA-A7B5272DD30A}"/>
    <cellStyle name="Note 6 6 2 23" xfId="26095" xr:uid="{73A35044-1881-4A1D-9ADF-19D26F8E579B}"/>
    <cellStyle name="Note 6 6 2 23 2" xfId="44838" xr:uid="{90D7F305-18DD-4E61-A950-C3F8A231CCCC}"/>
    <cellStyle name="Note 6 6 2 24" xfId="26274" xr:uid="{08816994-4584-4BC5-9375-98438B03AE39}"/>
    <cellStyle name="Note 6 6 2 24 2" xfId="44983" xr:uid="{DBF00524-A346-4284-A0D2-51E270757380}"/>
    <cellStyle name="Note 6 6 2 25" xfId="27870" xr:uid="{EA5FFE8D-B2FA-458F-A72F-D734529D3578}"/>
    <cellStyle name="Note 6 6 2 25 2" xfId="45942" xr:uid="{26888018-E14A-49B3-A810-30F08A351C96}"/>
    <cellStyle name="Note 6 6 2 26" xfId="30775" xr:uid="{6B9EA13F-094A-4AF8-A966-8D8B7434C2A7}"/>
    <cellStyle name="Note 6 6 2 26 2" xfId="47716" xr:uid="{12C6AD0D-F8D4-4A1E-A34B-64F9EC59C2DE}"/>
    <cellStyle name="Note 6 6 2 27" xfId="26954" xr:uid="{0C49F40F-C52F-49A1-A885-F41FDA3AE6CD}"/>
    <cellStyle name="Note 6 6 2 27 2" xfId="45361" xr:uid="{A83BA97B-96C2-4A71-9736-3BDDC004B006}"/>
    <cellStyle name="Note 6 6 2 28" xfId="6583" xr:uid="{65D18249-E198-4962-91ED-AAE1B479A856}"/>
    <cellStyle name="Note 6 6 2 3" xfId="9426" xr:uid="{37EE9294-17CA-41B8-A113-A1461EC10937}"/>
    <cellStyle name="Note 6 6 2 3 2" xfId="33409" xr:uid="{BFE2E169-23E2-484B-B4A8-B42A29204BAD}"/>
    <cellStyle name="Note 6 6 2 4" xfId="7628" xr:uid="{99CC3D2F-0EBC-46DF-AF75-97665BDDE780}"/>
    <cellStyle name="Note 6 6 2 4 2" xfId="31928" xr:uid="{C51C24A9-0FD0-4958-940A-BB029C6B39B1}"/>
    <cellStyle name="Note 6 6 2 5" xfId="8742" xr:uid="{FD81F4B5-B587-41F4-8173-73B441A78F2D}"/>
    <cellStyle name="Note 6 6 2 5 2" xfId="32871" xr:uid="{0CF6AD02-1254-45C2-84CF-89CC940E8F60}"/>
    <cellStyle name="Note 6 6 2 6" xfId="15020" xr:uid="{3383A006-0DF3-445B-B08F-C8756881CC2C}"/>
    <cellStyle name="Note 6 6 2 6 2" xfId="36878" xr:uid="{19C3DE13-C28B-4ACF-ABDE-2245DB181489}"/>
    <cellStyle name="Note 6 6 2 7" xfId="8383" xr:uid="{60341699-79FC-4E86-A870-C9FFA0646BA3}"/>
    <cellStyle name="Note 6 6 2 7 2" xfId="32598" xr:uid="{AB784C78-3D64-4190-AF04-0E2145DC1477}"/>
    <cellStyle name="Note 6 6 2 8" xfId="15969" xr:uid="{57182393-CF84-4119-BC27-F8FB4E44F1F6}"/>
    <cellStyle name="Note 6 6 2 8 2" xfId="37560" xr:uid="{A3EB5158-BCDF-4797-A111-67075708A0F8}"/>
    <cellStyle name="Note 6 6 2 9" xfId="7047" xr:uid="{EDE4AE66-9044-40EB-9954-007B1696A445}"/>
    <cellStyle name="Note 6 6 2 9 2" xfId="31414" xr:uid="{41D96291-7AE6-4947-97C6-331FB1B59BEB}"/>
    <cellStyle name="Note 6 6 20" xfId="24681" xr:uid="{651B5571-DB63-443B-9258-C212FC96E48B}"/>
    <cellStyle name="Note 6 6 20 2" xfId="43826" xr:uid="{8A698C98-4D5F-4B3C-9754-4EB607500332}"/>
    <cellStyle name="Note 6 6 21" xfId="19875" xr:uid="{95D3AEE2-CA46-42CF-A013-40411087EBF4}"/>
    <cellStyle name="Note 6 6 21 2" xfId="40488" xr:uid="{BFB29A6F-FFD2-4F39-9FD1-A6B4ED14CD45}"/>
    <cellStyle name="Note 6 6 22" xfId="22273" xr:uid="{D4783535-FA28-4E3B-93A9-DEBD96946790}"/>
    <cellStyle name="Note 6 6 22 2" xfId="42138" xr:uid="{A54A7E71-57E6-4092-AC2E-95150EC94A4D}"/>
    <cellStyle name="Note 6 6 23" xfId="23208" xr:uid="{B1F8F300-31E1-4336-9368-DB17FF074F95}"/>
    <cellStyle name="Note 6 6 23 2" xfId="42801" xr:uid="{222542D9-0311-44C3-AA1A-138B0A90FF64}"/>
    <cellStyle name="Note 6 6 24" xfId="27145" xr:uid="{ECF77FFE-1768-4F2D-BC99-510349DD7446}"/>
    <cellStyle name="Note 6 6 24 2" xfId="45486" xr:uid="{EA3ECBDA-A790-4F29-9256-D59F3EBD5356}"/>
    <cellStyle name="Note 6 6 25" xfId="23842" xr:uid="{705014E2-175A-47B9-A1E1-ADE33F003892}"/>
    <cellStyle name="Note 6 6 25 2" xfId="43231" xr:uid="{94410AB7-1DB5-47DD-A54A-1C612261CE7F}"/>
    <cellStyle name="Note 6 6 26" xfId="27857" xr:uid="{864F2EF2-3B2B-45A8-89A9-4CCD63D9E0C5}"/>
    <cellStyle name="Note 6 6 26 2" xfId="45929" xr:uid="{83F9388C-ED77-42F4-AE4B-D6A9FD6F42D2}"/>
    <cellStyle name="Note 6 6 27" xfId="20425" xr:uid="{D3A1D1E8-A240-44C9-A86A-21F34EB7CA6A}"/>
    <cellStyle name="Note 6 6 27 2" xfId="40827" xr:uid="{83F4937C-94AE-41A2-BDD0-4D8C373D6FD1}"/>
    <cellStyle name="Note 6 6 28" xfId="29088" xr:uid="{DADC272F-3DB2-484F-9B19-1534B719DE27}"/>
    <cellStyle name="Note 6 6 28 2" xfId="46661" xr:uid="{90013A8C-456D-4081-A556-DE1D9BD0C9AC}"/>
    <cellStyle name="Note 6 6 29" xfId="6582" xr:uid="{F9F1190D-6CFA-4C1C-AF74-65D6E27F6104}"/>
    <cellStyle name="Note 6 6 3" xfId="7950" xr:uid="{E93D9137-3C1C-42C3-8A4F-D7324B5ACD95}"/>
    <cellStyle name="Note 6 6 3 2" xfId="32198" xr:uid="{C16E5A4F-5430-4A84-8AE0-C5DD7FA7FF21}"/>
    <cellStyle name="Note 6 6 4" xfId="9425" xr:uid="{8C69409E-6951-403F-A21B-900F51F15AE5}"/>
    <cellStyle name="Note 6 6 4 2" xfId="33408" xr:uid="{F157E4F4-4115-41C9-B9AA-FE79B108E6B0}"/>
    <cellStyle name="Note 6 6 5" xfId="12035" xr:uid="{F1775008-1634-44AC-AD7B-F9D506401B9E}"/>
    <cellStyle name="Note 6 6 5 2" xfId="34593" xr:uid="{46622CC5-8659-435F-89D8-0CBB2176B3A5}"/>
    <cellStyle name="Note 6 6 6" xfId="14300" xr:uid="{9BC4F462-B25B-4CDA-84C0-DD2DF9A1D110}"/>
    <cellStyle name="Note 6 6 6 2" xfId="36343" xr:uid="{DEB16362-3051-408B-ADE0-C1D2F65BFDE6}"/>
    <cellStyle name="Note 6 6 7" xfId="12985" xr:uid="{E66B537A-2FC1-416E-80BC-847FF98550B1}"/>
    <cellStyle name="Note 6 6 7 2" xfId="35333" xr:uid="{EBD1142E-6872-4D55-BB9F-08BB847128F9}"/>
    <cellStyle name="Note 6 6 8" xfId="8384" xr:uid="{9D63077F-A350-4503-ADB5-42CBCEF7117D}"/>
    <cellStyle name="Note 6 6 8 2" xfId="32599" xr:uid="{C2062E57-A782-4322-9BB2-3B9D4CBBA076}"/>
    <cellStyle name="Note 6 6 9" xfId="12900" xr:uid="{1086C464-6741-40F7-8011-14FF39E431EB}"/>
    <cellStyle name="Note 6 6 9 2" xfId="35256" xr:uid="{50F8C436-36E6-4E0F-B52F-0124436BE1C8}"/>
    <cellStyle name="Note 6 7" xfId="3069" xr:uid="{00925348-F027-41A1-8D03-952BC48BBF9C}"/>
    <cellStyle name="Note 6 7 10" xfId="14263" xr:uid="{B08A7BCA-A7AC-48F8-BB32-0E7A407BA34F}"/>
    <cellStyle name="Note 6 7 10 2" xfId="36316" xr:uid="{F4C0416C-0BE0-47FD-A3BF-CEB5874EA12D}"/>
    <cellStyle name="Note 6 7 11" xfId="14625" xr:uid="{A461EC7B-95EC-452B-899D-1952687C91D2}"/>
    <cellStyle name="Note 6 7 11 2" xfId="36537" xr:uid="{5A78C330-263E-44FD-AA1F-14C4777DB9E4}"/>
    <cellStyle name="Note 6 7 12" xfId="15895" xr:uid="{08928A6B-F7BD-443A-8C5B-A60CAD1C6B84}"/>
    <cellStyle name="Note 6 7 12 2" xfId="37486" xr:uid="{26618F2B-9F7C-41DE-9A04-75563C1D952C}"/>
    <cellStyle name="Note 6 7 13" xfId="17388" xr:uid="{4A9E0BE7-B798-4166-8605-036BA1E2CA15}"/>
    <cellStyle name="Note 6 7 13 2" xfId="38635" xr:uid="{73F7DC17-4D55-4570-922E-4541BD04A814}"/>
    <cellStyle name="Note 6 7 14" xfId="19261" xr:uid="{E2AB8142-86E2-4B53-992F-DEAE03AD043F}"/>
    <cellStyle name="Note 6 7 14 2" xfId="40048" xr:uid="{E7C641AC-E8FD-47FD-B0D5-7B9A8D1612B7}"/>
    <cellStyle name="Note 6 7 15" xfId="17935" xr:uid="{D231DD7C-ECA5-4EF3-B39F-DFA0A4DC37AC}"/>
    <cellStyle name="Note 6 7 15 2" xfId="39033" xr:uid="{9021D3EB-88D2-4982-B783-9D50F430E94D}"/>
    <cellStyle name="Note 6 7 16" xfId="13229" xr:uid="{AB74570C-CFFF-4EE6-A690-764DBD780E8D}"/>
    <cellStyle name="Note 6 7 16 2" xfId="35577" xr:uid="{8D6FE8E1-6C70-45B3-B99F-A3C604F5969B}"/>
    <cellStyle name="Note 6 7 17" xfId="16989" xr:uid="{94325F9D-AAB9-4A16-9633-00E77F12EEDD}"/>
    <cellStyle name="Note 6 7 17 2" xfId="38349" xr:uid="{587F46BB-4F2D-4523-8630-EE9F98829790}"/>
    <cellStyle name="Note 6 7 18" xfId="18237" xr:uid="{856AA42C-F2D1-4919-A388-1F4C536B8584}"/>
    <cellStyle name="Note 6 7 18 2" xfId="39269" xr:uid="{40DB93A1-AA3A-47D5-A2BA-A71A4D0AF90A}"/>
    <cellStyle name="Note 6 7 19" xfId="22786" xr:uid="{27D25808-918E-4843-A5B7-D64E64839353}"/>
    <cellStyle name="Note 6 7 19 2" xfId="42539" xr:uid="{7CF6773B-E216-4BBE-ACD1-D7BC9BF3CAF4}"/>
    <cellStyle name="Note 6 7 2" xfId="3070" xr:uid="{F4D998B4-A36B-49A3-9535-E7D70A131418}"/>
    <cellStyle name="Note 6 7 2 10" xfId="12740" xr:uid="{928DDC8D-5774-4714-B76B-54AE40C738C1}"/>
    <cellStyle name="Note 6 7 2 10 2" xfId="35149" xr:uid="{212BE029-725E-4F6A-9E4D-D382AB18F9B6}"/>
    <cellStyle name="Note 6 7 2 11" xfId="16479" xr:uid="{F8CE1FA7-156C-49FF-8534-5328056F8318}"/>
    <cellStyle name="Note 6 7 2 11 2" xfId="37972" xr:uid="{4C4AD3FE-B394-4DEF-93CB-8712FFAA22FA}"/>
    <cellStyle name="Note 6 7 2 12" xfId="13736" xr:uid="{21951495-F572-42E3-ADA6-659360E86BBF}"/>
    <cellStyle name="Note 6 7 2 12 2" xfId="35891" xr:uid="{74F2A6E6-51E1-43AA-B3BB-A15368AEA410}"/>
    <cellStyle name="Note 6 7 2 13" xfId="9901" xr:uid="{CEEC3B63-3543-4744-9FBA-1D41DC9A2B1A}"/>
    <cellStyle name="Note 6 7 2 13 2" xfId="33647" xr:uid="{072CAAAB-0803-46CF-9D3B-E06DA3D7F8D7}"/>
    <cellStyle name="Note 6 7 2 14" xfId="21582" xr:uid="{C6976637-C4EE-458D-A0B4-1868D5257735}"/>
    <cellStyle name="Note 6 7 2 14 2" xfId="41666" xr:uid="{B292EC1D-15E4-4484-8DE0-8C88E527A2F3}"/>
    <cellStyle name="Note 6 7 2 15" xfId="10226" xr:uid="{7C3026E0-7F02-4C10-9EEE-B6DDC1855225}"/>
    <cellStyle name="Note 6 7 2 15 2" xfId="33861" xr:uid="{863C3559-722B-43AD-BE62-6F1AD004916A}"/>
    <cellStyle name="Note 6 7 2 16" xfId="21896" xr:uid="{301B2890-9B18-4836-9417-8A349F647F72}"/>
    <cellStyle name="Note 6 7 2 16 2" xfId="41826" xr:uid="{0E4AFA9C-354B-4EC3-BD40-0C2DC811D66E}"/>
    <cellStyle name="Note 6 7 2 17" xfId="15794" xr:uid="{4645FBF9-A744-4EDE-81F4-BBD20C5B8CC4}"/>
    <cellStyle name="Note 6 7 2 17 2" xfId="37409" xr:uid="{470B236E-63D3-4C65-9865-380F5F5AA066}"/>
    <cellStyle name="Note 6 7 2 18" xfId="19079" xr:uid="{36FFB294-D67E-4149-8247-B88788946AA2}"/>
    <cellStyle name="Note 6 7 2 18 2" xfId="39910" xr:uid="{E2145C10-918D-411B-8B3B-DFB18F32E32F}"/>
    <cellStyle name="Note 6 7 2 19" xfId="22323" xr:uid="{30390A21-92D4-48D7-A096-364797CE445F}"/>
    <cellStyle name="Note 6 7 2 19 2" xfId="42178" xr:uid="{0F89D1EE-0DF6-4B69-A64B-480A3A28D679}"/>
    <cellStyle name="Note 6 7 2 2" xfId="7947" xr:uid="{C38F7B30-0B30-4567-BF8D-B68F2E2CF118}"/>
    <cellStyle name="Note 6 7 2 2 2" xfId="32195" xr:uid="{5B31A93D-7808-4999-AD14-6320504F9960}"/>
    <cellStyle name="Note 6 7 2 20" xfId="13925" xr:uid="{F9682394-C795-49DD-BE9F-8E2328007623}"/>
    <cellStyle name="Note 6 7 2 20 2" xfId="36036" xr:uid="{AE032106-1AB9-44F9-9160-93D383120CC4}"/>
    <cellStyle name="Note 6 7 2 21" xfId="25043" xr:uid="{A7EC94B1-85EF-4D3D-8EC1-3D5DA6B7182F}"/>
    <cellStyle name="Note 6 7 2 21 2" xfId="44074" xr:uid="{4B22D401-20F1-46C4-8BC6-F0BE01EF4F59}"/>
    <cellStyle name="Note 6 7 2 22" xfId="23206" xr:uid="{3B42C427-9DB3-426B-B8FA-13AD704BD705}"/>
    <cellStyle name="Note 6 7 2 22 2" xfId="42800" xr:uid="{2F5C5D01-B6F0-4210-BE7F-C683038F39D0}"/>
    <cellStyle name="Note 6 7 2 23" xfId="25645" xr:uid="{BFEA29B2-61A7-4E2B-B118-F587B6C322DC}"/>
    <cellStyle name="Note 6 7 2 23 2" xfId="44490" xr:uid="{2A6C449B-BCF0-4EDE-AC4B-B11D28DCE1AA}"/>
    <cellStyle name="Note 6 7 2 24" xfId="26273" xr:uid="{08C944C2-41E2-4057-AA10-82CF62347394}"/>
    <cellStyle name="Note 6 7 2 24 2" xfId="44982" xr:uid="{137B6F70-E8CC-4C33-AE52-2A6A8EACE6D0}"/>
    <cellStyle name="Note 6 7 2 25" xfId="27854" xr:uid="{0E5C8DA8-B7A3-4F60-9B76-1F4B59759618}"/>
    <cellStyle name="Note 6 7 2 25 2" xfId="45927" xr:uid="{C6A20B5C-8DCE-43B8-A6B7-E4B07BA2A4D0}"/>
    <cellStyle name="Note 6 7 2 26" xfId="30776" xr:uid="{F96F1C2C-E088-4AB5-A602-2DCBF74DF2B2}"/>
    <cellStyle name="Note 6 7 2 26 2" xfId="47717" xr:uid="{758C0857-7B15-4EDB-AA10-B996BDABF69D}"/>
    <cellStyle name="Note 6 7 2 27" xfId="28264" xr:uid="{C6148AE2-E1B8-46B8-83F0-6466F191E8A2}"/>
    <cellStyle name="Note 6 7 2 27 2" xfId="46131" xr:uid="{B7B9788F-47F2-4A9F-89B8-8FE0463E4DBE}"/>
    <cellStyle name="Note 6 7 2 28" xfId="6585" xr:uid="{B4E65A1D-A757-4BC9-ACB1-D7356B476546}"/>
    <cellStyle name="Note 6 7 2 3" xfId="9428" xr:uid="{560CBA97-3B7A-4A9A-A9EA-101BA1B67417}"/>
    <cellStyle name="Note 6 7 2 3 2" xfId="33411" xr:uid="{5003C2FE-DDB7-4491-83B3-869E40D4948E}"/>
    <cellStyle name="Note 6 7 2 4" xfId="7627" xr:uid="{CF0C612F-79A3-4B16-B18D-C536CAE6DB25}"/>
    <cellStyle name="Note 6 7 2 4 2" xfId="31927" xr:uid="{6C62E254-5AA6-4815-9256-21AD2CE1B80A}"/>
    <cellStyle name="Note 6 7 2 5" xfId="14299" xr:uid="{5A77D45C-CAA2-4CBD-B470-54B518618378}"/>
    <cellStyle name="Note 6 7 2 5 2" xfId="36342" xr:uid="{ADC542C1-1E1D-4527-89A4-1023C7EBACE4}"/>
    <cellStyle name="Note 6 7 2 6" xfId="15019" xr:uid="{7B901239-CDE7-4352-BD43-4404FBC43D7C}"/>
    <cellStyle name="Note 6 7 2 6 2" xfId="36877" xr:uid="{BBE5B067-AB19-4336-A380-B18818011B26}"/>
    <cellStyle name="Note 6 7 2 7" xfId="8381" xr:uid="{3A6696A3-0B2C-4B49-BBD9-1B7790A0B72C}"/>
    <cellStyle name="Note 6 7 2 7 2" xfId="32596" xr:uid="{EE10FD82-459E-474E-90E7-DEB9CCF13113}"/>
    <cellStyle name="Note 6 7 2 8" xfId="10587" xr:uid="{FD787A6B-DE78-4CA4-9B99-D9824B0AEC81}"/>
    <cellStyle name="Note 6 7 2 8 2" xfId="34213" xr:uid="{E42A8950-BA24-4B88-891F-69B07A61D2B7}"/>
    <cellStyle name="Note 6 7 2 9" xfId="7046" xr:uid="{A91ECEA3-DC7C-451E-92D6-D90E8F3F4CBB}"/>
    <cellStyle name="Note 6 7 2 9 2" xfId="31413" xr:uid="{365506CC-EE4D-4441-A6D4-D52EC82E1898}"/>
    <cellStyle name="Note 6 7 20" xfId="24680" xr:uid="{53545957-F719-4C5E-850C-A4C4193F8627}"/>
    <cellStyle name="Note 6 7 20 2" xfId="43825" xr:uid="{335667E7-EBBE-4D65-8FA2-EB7A3294DCE7}"/>
    <cellStyle name="Note 6 7 21" xfId="19874" xr:uid="{4B61C603-D093-4286-AC38-BEF6D1570DF5}"/>
    <cellStyle name="Note 6 7 21 2" xfId="40487" xr:uid="{A5E2A894-3357-415F-B09E-842F4F58FEC9}"/>
    <cellStyle name="Note 6 7 22" xfId="24501" xr:uid="{0972C538-BB89-4F57-BE90-1912C22A6C9C}"/>
    <cellStyle name="Note 6 7 22 2" xfId="43684" xr:uid="{721AF056-12AA-4683-A351-DCD5C2F1B184}"/>
    <cellStyle name="Note 6 7 23" xfId="16133" xr:uid="{1D7031F0-08D0-4127-A539-659F08E4242B}"/>
    <cellStyle name="Note 6 7 23 2" xfId="37700" xr:uid="{2F1006F3-8DE2-4292-843F-B3161C105111}"/>
    <cellStyle name="Note 6 7 24" xfId="28577" xr:uid="{0B41EF09-F72C-4B7E-B990-BC44EB78AF05}"/>
    <cellStyle name="Note 6 7 24 2" xfId="46312" xr:uid="{D8F9059E-917F-453D-B945-6FF301756866}"/>
    <cellStyle name="Note 6 7 25" xfId="22601" xr:uid="{C38CF7A9-8561-4D97-87D2-9BC7F61A50EF}"/>
    <cellStyle name="Note 6 7 25 2" xfId="42384" xr:uid="{27C2F759-8500-4C88-B9C4-16CE971BE593}"/>
    <cellStyle name="Note 6 7 26" xfId="27666" xr:uid="{D5E071F1-E40E-4881-BA73-234DD18F6DE8}"/>
    <cellStyle name="Note 6 7 26 2" xfId="45783" xr:uid="{B9ACADC9-AFF4-491C-8D5E-1D7D6C6AD109}"/>
    <cellStyle name="Note 6 7 27" xfId="21784" xr:uid="{11BB470B-00D6-477F-828C-72D36C0852B4}"/>
    <cellStyle name="Note 6 7 27 2" xfId="41782" xr:uid="{AA387081-DE2C-49B1-BD95-8A624176C701}"/>
    <cellStyle name="Note 6 7 28" xfId="27697" xr:uid="{AEA56388-746F-4516-B704-4A8A57BBBA14}"/>
    <cellStyle name="Note 6 7 28 2" xfId="45810" xr:uid="{B8F9DE09-E17D-4FB5-AC24-BA16C993C84B}"/>
    <cellStyle name="Note 6 7 29" xfId="6584" xr:uid="{47943565-57AC-47C8-931A-00F24339EF7B}"/>
    <cellStyle name="Note 6 7 3" xfId="7948" xr:uid="{6FC9EC88-489E-4B29-B1D0-CD37E018522C}"/>
    <cellStyle name="Note 6 7 3 2" xfId="32196" xr:uid="{352DA607-F4B1-4EC1-B184-0FCC3B1BC37C}"/>
    <cellStyle name="Note 6 7 4" xfId="9427" xr:uid="{B3D0ABBA-08F3-4590-914B-DE5923536A35}"/>
    <cellStyle name="Note 6 7 4 2" xfId="33410" xr:uid="{37020219-D145-4FA8-A3DD-973D3AE794FE}"/>
    <cellStyle name="Note 6 7 5" xfId="12034" xr:uid="{0A447093-C44E-4120-8EBC-1F07E3C73B82}"/>
    <cellStyle name="Note 6 7 5 2" xfId="34592" xr:uid="{8DC43463-29A6-474F-9B7F-550F772088A3}"/>
    <cellStyle name="Note 6 7 6" xfId="14297" xr:uid="{7678073C-2E34-4B2C-AE21-FF2A79FD3CAA}"/>
    <cellStyle name="Note 6 7 6 2" xfId="36340" xr:uid="{FD38E0AB-27CC-417E-997A-E3229368F3FF}"/>
    <cellStyle name="Note 6 7 7" xfId="10488" xr:uid="{7F47E497-BC19-4A39-A80C-20BA9EE954BA}"/>
    <cellStyle name="Note 6 7 7 2" xfId="34123" xr:uid="{8BE62A3E-9920-4C9F-AAAD-6A4A3188B077}"/>
    <cellStyle name="Note 6 7 8" xfId="8382" xr:uid="{A607614D-F3A0-4338-B25C-6D1991125FE7}"/>
    <cellStyle name="Note 6 7 8 2" xfId="32597" xr:uid="{3A932460-FE91-4A54-849B-7C24E2160941}"/>
    <cellStyle name="Note 6 7 9" xfId="14834" xr:uid="{57D0E138-07CE-478E-999F-192E9D98D682}"/>
    <cellStyle name="Note 6 7 9 2" xfId="36709" xr:uid="{0E3B075F-87FB-4144-B471-9904B5240B50}"/>
    <cellStyle name="Note 6 8" xfId="3071" xr:uid="{67AB7D56-9ED8-495A-8D53-01C5D5924657}"/>
    <cellStyle name="Note 6 8 10" xfId="12339" xr:uid="{FE5EDB90-FC1D-4EA2-BADC-965EF56E83A0}"/>
    <cellStyle name="Note 6 8 10 2" xfId="34843" xr:uid="{1D2BCB1A-74DF-42C6-B77D-85E63118D42C}"/>
    <cellStyle name="Note 6 8 11" xfId="12566" xr:uid="{37A053F0-5DE0-4409-BB74-B0C1920A6C55}"/>
    <cellStyle name="Note 6 8 11 2" xfId="35010" xr:uid="{A98E99AC-61B8-428D-8D4F-7AE2501FE5EE}"/>
    <cellStyle name="Note 6 8 12" xfId="17387" xr:uid="{56AAB8C9-C8DF-4D7E-96A8-BCD7FDE59483}"/>
    <cellStyle name="Note 6 8 12 2" xfId="38634" xr:uid="{9A26C089-DF6E-4895-B133-B9AF409278BB}"/>
    <cellStyle name="Note 6 8 13" xfId="19260" xr:uid="{36B21A10-F9BD-4556-95CE-76E56CF75A8C}"/>
    <cellStyle name="Note 6 8 13 2" xfId="40047" xr:uid="{0805D3EC-7D50-4933-9818-DE5A19CF6F50}"/>
    <cellStyle name="Note 6 8 14" xfId="19699" xr:uid="{D1EF3AE5-C2ED-4132-B0B9-5DAFDA65C1C8}"/>
    <cellStyle name="Note 6 8 14 2" xfId="40316" xr:uid="{3651C5FF-C4C7-4D11-8818-9C8ADF911668}"/>
    <cellStyle name="Note 6 8 15" xfId="10308" xr:uid="{9635DFB1-2097-46F6-9DCB-30380E190141}"/>
    <cellStyle name="Note 6 8 15 2" xfId="33943" xr:uid="{9A71DD0D-51AC-4696-AC27-DB301BCF525B}"/>
    <cellStyle name="Note 6 8 16" xfId="21383" xr:uid="{A74D2B60-516C-4BD4-B3E2-DEA94DF28E70}"/>
    <cellStyle name="Note 6 8 16 2" xfId="41512" xr:uid="{1A05A4CE-0BD1-4568-9EBA-51079B4154FF}"/>
    <cellStyle name="Note 6 8 17" xfId="18236" xr:uid="{8AE045CA-FCF9-4A69-BB8A-3D5FDBEFD11C}"/>
    <cellStyle name="Note 6 8 17 2" xfId="39268" xr:uid="{89552D0B-F928-4A40-B7DB-52F0F84D22D9}"/>
    <cellStyle name="Note 6 8 18" xfId="25256" xr:uid="{90928555-C33E-4D8E-BD1F-F822948302DC}"/>
    <cellStyle name="Note 6 8 18 2" xfId="44177" xr:uid="{AAA439A8-48D7-42FE-94F9-E326344A73D9}"/>
    <cellStyle name="Note 6 8 19" xfId="24679" xr:uid="{FC63F304-A45C-466F-A64E-3187A33761A7}"/>
    <cellStyle name="Note 6 8 19 2" xfId="43824" xr:uid="{35E719C8-B354-4878-B233-5B3E4E72900D}"/>
    <cellStyle name="Note 6 8 2" xfId="7946" xr:uid="{113085EA-2E72-47AA-B224-7BE97081EAB3}"/>
    <cellStyle name="Note 6 8 2 2" xfId="32194" xr:uid="{79C9BD70-35DB-4AD0-A19C-8EE2B4648F50}"/>
    <cellStyle name="Note 6 8 20" xfId="19873" xr:uid="{6C0A9361-9058-4AF2-A9AA-08D72CBC277B}"/>
    <cellStyle name="Note 6 8 20 2" xfId="40486" xr:uid="{C8A6E35D-8813-46B3-A6BC-AE6667B99894}"/>
    <cellStyle name="Note 6 8 21" xfId="21735" xr:uid="{F9EEA536-CE1B-432B-AA72-17203CB9E79D}"/>
    <cellStyle name="Note 6 8 21 2" xfId="41757" xr:uid="{FA83C2F0-EB73-49AB-9B8D-632D9BC6F4AA}"/>
    <cellStyle name="Note 6 8 22" xfId="18826" xr:uid="{3D87F5BB-6E83-4A65-99FA-9BF314CC806E}"/>
    <cellStyle name="Note 6 8 22 2" xfId="39677" xr:uid="{5943EDF7-D73B-4C29-B1B9-E991DF95348E}"/>
    <cellStyle name="Note 6 8 23" xfId="28576" xr:uid="{821F7D5A-7EED-498F-993C-E94514760C6C}"/>
    <cellStyle name="Note 6 8 23 2" xfId="46311" xr:uid="{DF916322-F612-44F2-A005-D2D8160E472D}"/>
    <cellStyle name="Note 6 8 24" xfId="23841" xr:uid="{DEF57925-4A68-4BF0-B054-740A6492BF23}"/>
    <cellStyle name="Note 6 8 24 2" xfId="43230" xr:uid="{81A02B78-6D8F-40A6-92BF-0D1A69A0F511}"/>
    <cellStyle name="Note 6 8 25" xfId="29383" xr:uid="{1C368582-F9B2-4397-8D76-06590879D578}"/>
    <cellStyle name="Note 6 8 25 2" xfId="46850" xr:uid="{FA396FD8-83B7-4BC6-8DCC-859F114858D7}"/>
    <cellStyle name="Note 6 8 26" xfId="24888" xr:uid="{A07207CD-6F95-4D4E-81B4-2D7F9B572CA7}"/>
    <cellStyle name="Note 6 8 26 2" xfId="43984" xr:uid="{54FD432A-C20F-4DAF-8EB7-B818C0E7EE50}"/>
    <cellStyle name="Note 6 8 27" xfId="30466" xr:uid="{7B8D970A-E898-4592-99A6-B3A4F69DB60E}"/>
    <cellStyle name="Note 6 8 27 2" xfId="47502" xr:uid="{AC4B69F7-4E07-473F-9B76-9C0E2F95F343}"/>
    <cellStyle name="Note 6 8 28" xfId="6586" xr:uid="{DE544882-8660-4D66-9325-B012ACC2F0FA}"/>
    <cellStyle name="Note 6 8 3" xfId="9429" xr:uid="{37AF106D-7089-47DA-8BE8-368B0C6E49A4}"/>
    <cellStyle name="Note 6 8 3 2" xfId="33412" xr:uid="{318E3646-28EA-43FA-96D9-6FFE99F46B19}"/>
    <cellStyle name="Note 6 8 4" xfId="12033" xr:uid="{F67D7C81-D034-450C-8FE7-A4CFD76B74F1}"/>
    <cellStyle name="Note 6 8 4 2" xfId="34591" xr:uid="{EB563DCB-CA7E-49BD-A2F6-51F645E6A683}"/>
    <cellStyle name="Note 6 8 5" xfId="8741" xr:uid="{118DC31D-8644-422E-90B1-37CA8BA461B2}"/>
    <cellStyle name="Note 6 8 5 2" xfId="32870" xr:uid="{A2ACC546-4268-4DFC-8EC7-31A82653A4F6}"/>
    <cellStyle name="Note 6 8 6" xfId="12984" xr:uid="{1AD09578-0952-4D55-8ADB-1B0D20136027}"/>
    <cellStyle name="Note 6 8 6 2" xfId="35332" xr:uid="{C7059C7A-E042-4A09-A878-7EB6D87F568F}"/>
    <cellStyle name="Note 6 8 7" xfId="8380" xr:uid="{3D532121-AFBD-4689-9FEE-3784EC50C4B5}"/>
    <cellStyle name="Note 6 8 7 2" xfId="32595" xr:uid="{332EA67E-AA2F-4A14-B5BE-A4A676CD2F84}"/>
    <cellStyle name="Note 6 8 8" xfId="14833" xr:uid="{19AE4935-0C77-4B5C-9C96-B8E748B51438}"/>
    <cellStyle name="Note 6 8 8 2" xfId="36708" xr:uid="{455A45B8-F9CF-41C0-AA9B-94EA0366387C}"/>
    <cellStyle name="Note 6 8 9" xfId="14262" xr:uid="{BD3D207A-6539-42BE-A8D7-2A966C31CA7E}"/>
    <cellStyle name="Note 6 8 9 2" xfId="36315" xr:uid="{B00D3FBB-85AD-4233-9464-903BB4F7F474}"/>
    <cellStyle name="Note 6 9" xfId="7962" xr:uid="{EC3DC153-434D-47CC-B99A-F34EF936D166}"/>
    <cellStyle name="Note 6 9 2" xfId="32209" xr:uid="{DA790C61-378A-44B6-AABA-1DF66155D8DE}"/>
    <cellStyle name="Note 6_Sheet2" xfId="3072" xr:uid="{9824EA7F-8F5F-45C7-8A8C-47B3372D82B9}"/>
    <cellStyle name="Note 7" xfId="3073" xr:uid="{D51F0639-A330-4EE0-8C22-E0E015DEA1AD}"/>
    <cellStyle name="Note 7 10" xfId="9430" xr:uid="{E3663FDA-4B16-42A1-A7A1-4EA0AEEA80E1}"/>
    <cellStyle name="Note 7 10 2" xfId="33413" xr:uid="{721DC4BA-E8FC-401A-B3F6-F954F7EA54B2}"/>
    <cellStyle name="Note 7 11" xfId="12032" xr:uid="{C4BD14FD-2C86-4292-BD4B-D2EEF435B93E}"/>
    <cellStyle name="Note 7 11 2" xfId="34590" xr:uid="{53356F70-F647-4260-94C3-C2DA62DEB417}"/>
    <cellStyle name="Note 7 12" xfId="8740" xr:uid="{4449AA86-C3DB-4A85-A763-055BF30FF0D4}"/>
    <cellStyle name="Note 7 12 2" xfId="32869" xr:uid="{19C017C1-21A0-44F6-9883-1245675EB251}"/>
    <cellStyle name="Note 7 13" xfId="10489" xr:uid="{08702D5E-DC5F-42B9-B7D0-97C74060C6EC}"/>
    <cellStyle name="Note 7 13 2" xfId="34124" xr:uid="{6F3052DD-23C5-430B-9230-69F1D4566506}"/>
    <cellStyle name="Note 7 14" xfId="8379" xr:uid="{3EB1CC65-CAFF-4D1C-BF07-F66301014D2E}"/>
    <cellStyle name="Note 7 14 2" xfId="32594" xr:uid="{FBD2CB7B-D880-463E-A466-C54E63F2260B}"/>
    <cellStyle name="Note 7 15" xfId="14832" xr:uid="{064E71C7-8521-4737-AE80-A08DFC86DD5A}"/>
    <cellStyle name="Note 7 15 2" xfId="36707" xr:uid="{2D3E8038-ADFC-4908-9A83-071A7B615098}"/>
    <cellStyle name="Note 7 16" xfId="14261" xr:uid="{42DF57B9-B43A-4AEC-8E86-D03AD896A80E}"/>
    <cellStyle name="Note 7 16 2" xfId="36314" xr:uid="{97C1EBB3-B9E5-4DC1-A72A-DA35C5B31529}"/>
    <cellStyle name="Note 7 17" xfId="14624" xr:uid="{FFE2F11C-D9E6-469A-AD29-A56000AA00DB}"/>
    <cellStyle name="Note 7 17 2" xfId="36536" xr:uid="{59BFC4F4-992C-4A06-AEB3-7FAC3F98CAFA}"/>
    <cellStyle name="Note 7 18" xfId="12583" xr:uid="{CE92C580-5FE2-444C-B2EA-AA27AB044C8B}"/>
    <cellStyle name="Note 7 18 2" xfId="35022" xr:uid="{010E1D9A-46AC-46BA-AC98-FD2644E63C76}"/>
    <cellStyle name="Note 7 19" xfId="17386" xr:uid="{955233BE-62E4-41B7-A20D-9D43D0DE1145}"/>
    <cellStyle name="Note 7 19 2" xfId="38633" xr:uid="{B4859CFD-265A-46A0-A528-722BC7AE4557}"/>
    <cellStyle name="Note 7 2" xfId="3074" xr:uid="{B2B0AE39-E277-48AB-8CE2-28CAB780D0F5}"/>
    <cellStyle name="Note 7 2 10" xfId="10588" xr:uid="{AB4F4CB6-7519-414A-A3AC-191CD2110DD7}"/>
    <cellStyle name="Note 7 2 10 2" xfId="34214" xr:uid="{F3C73077-30F2-4C19-9A66-374CA0F50A03}"/>
    <cellStyle name="Note 7 2 11" xfId="7045" xr:uid="{76341A59-AFEB-4D39-9F47-F5F18097D202}"/>
    <cellStyle name="Note 7 2 11 2" xfId="31412" xr:uid="{0E06591B-A2B4-455C-9263-97B343DF7E7E}"/>
    <cellStyle name="Note 7 2 12" xfId="14623" xr:uid="{B8C09A82-F39D-42F7-8A93-909FE43A37BF}"/>
    <cellStyle name="Note 7 2 12 2" xfId="36535" xr:uid="{A35F153D-D86F-4A9B-AED6-6ECC3B954902}"/>
    <cellStyle name="Note 7 2 13" xfId="16478" xr:uid="{5EA3AC1D-3632-424F-AAF3-C7C11FDEBB75}"/>
    <cellStyle name="Note 7 2 13 2" xfId="37971" xr:uid="{6A9FFFA7-3045-44E8-8722-B13D1FCEF252}"/>
    <cellStyle name="Note 7 2 14" xfId="13737" xr:uid="{9FCC20A9-54DE-4F88-BD1A-055420233178}"/>
    <cellStyle name="Note 7 2 14 2" xfId="35892" xr:uid="{196B8BE5-4BC1-41DE-8362-5C77C9B02D9B}"/>
    <cellStyle name="Note 7 2 15" xfId="9905" xr:uid="{A2190B70-BA75-4F1F-A290-1F4FB75CCA12}"/>
    <cellStyle name="Note 7 2 15 2" xfId="33650" xr:uid="{669ACD0F-49FB-4B9F-86B6-66D7C87DAEE6}"/>
    <cellStyle name="Note 7 2 16" xfId="21581" xr:uid="{371A6982-3843-4C59-9691-870ADE08BA32}"/>
    <cellStyle name="Note 7 2 16 2" xfId="41665" xr:uid="{85EBC127-A7FD-403F-BA07-B9FE864FAF49}"/>
    <cellStyle name="Note 7 2 17" xfId="10312" xr:uid="{1E6A0E08-6EDE-4E2C-896E-3896AC189732}"/>
    <cellStyle name="Note 7 2 17 2" xfId="33947" xr:uid="{8A6D8F9F-AF16-48D2-82C4-264D67689398}"/>
    <cellStyle name="Note 7 2 18" xfId="21382" xr:uid="{38D2134E-992B-4796-BDF6-C150D9A9D7E9}"/>
    <cellStyle name="Note 7 2 18 2" xfId="41511" xr:uid="{0E31522D-804C-41C7-800B-54CFB0179D26}"/>
    <cellStyle name="Note 7 2 19" xfId="22699" xr:uid="{DD9E3961-4592-4F52-9F14-360DAE18CACE}"/>
    <cellStyle name="Note 7 2 19 2" xfId="42458" xr:uid="{E8453CED-331A-4ADF-A9C6-951E90F5D179}"/>
    <cellStyle name="Note 7 2 2" xfId="3075" xr:uid="{AFC9B732-A22A-4932-A667-DB7E479762ED}"/>
    <cellStyle name="Note 7 2 2 10" xfId="14260" xr:uid="{351A0EEE-165A-4463-9809-7D657A6513F8}"/>
    <cellStyle name="Note 7 2 2 10 2" xfId="36313" xr:uid="{91B65FB4-0600-42FA-8477-2036AB8D5B26}"/>
    <cellStyle name="Note 7 2 2 11" xfId="13828" xr:uid="{00BC0ACB-B1C7-447D-A17D-5E67DB9A45DF}"/>
    <cellStyle name="Note 7 2 2 11 2" xfId="35953" xr:uid="{59EE753F-93F2-479B-82CC-DB031603D4EE}"/>
    <cellStyle name="Note 7 2 2 12" xfId="15894" xr:uid="{F56D4874-FFFD-4936-B049-A47F74B27FFE}"/>
    <cellStyle name="Note 7 2 2 12 2" xfId="37485" xr:uid="{51617D9A-E877-40D6-967D-F4C7C3F62D88}"/>
    <cellStyle name="Note 7 2 2 13" xfId="17385" xr:uid="{21B22AD2-6525-44DE-B045-F87F69A2BECD}"/>
    <cellStyle name="Note 7 2 2 13 2" xfId="38632" xr:uid="{BE48A19B-753D-4972-97F0-F7BBBFA913C5}"/>
    <cellStyle name="Note 7 2 2 14" xfId="9906" xr:uid="{F90EA03E-E234-4752-AC8E-468A278C3C0F}"/>
    <cellStyle name="Note 7 2 2 14 2" xfId="33651" xr:uid="{A3C87D9D-A1A3-410E-8206-2D587B3EC8F2}"/>
    <cellStyle name="Note 7 2 2 15" xfId="19698" xr:uid="{0DCD8C7B-F885-4A80-9C54-88C3808960FA}"/>
    <cellStyle name="Note 7 2 2 15 2" xfId="40315" xr:uid="{B7B89515-62EA-486F-9257-AF832AC2255B}"/>
    <cellStyle name="Note 7 2 2 16" xfId="13215" xr:uid="{B17A4F2E-FF63-4C19-A574-1A79C739C9C3}"/>
    <cellStyle name="Note 7 2 2 16 2" xfId="35563" xr:uid="{B2286C3D-5F7F-4625-8E5A-4BBD9DFC30B5}"/>
    <cellStyle name="Note 7 2 2 17" xfId="19601" xr:uid="{6BAC4DDC-7E6F-45AB-995A-1152D1B2D44C}"/>
    <cellStyle name="Note 7 2 2 17 2" xfId="40241" xr:uid="{A97C2603-8E95-4C48-8001-24BFA53049BE}"/>
    <cellStyle name="Note 7 2 2 18" xfId="22465" xr:uid="{7D1FF9B6-5DF0-44A8-BA4A-6974E73E9C2A}"/>
    <cellStyle name="Note 7 2 2 18 2" xfId="42264" xr:uid="{539C7A5E-9828-4E94-898E-D8364836FDEF}"/>
    <cellStyle name="Note 7 2 2 19" xfId="25257" xr:uid="{3CB3220C-A2D1-4526-AE23-12BEFB02ECED}"/>
    <cellStyle name="Note 7 2 2 19 2" xfId="44178" xr:uid="{15A609CA-9F67-4DBC-8B85-042EE210F205}"/>
    <cellStyle name="Note 7 2 2 2" xfId="3076" xr:uid="{BB7E5A96-A7A2-4696-837F-62C3C8272C37}"/>
    <cellStyle name="Note 7 2 2 2 10" xfId="12341" xr:uid="{861385D3-0934-4260-815A-B71C68657E54}"/>
    <cellStyle name="Note 7 2 2 2 10 2" xfId="34845" xr:uid="{202758F9-5029-4588-94A8-1E60E1954661}"/>
    <cellStyle name="Note 7 2 2 2 11" xfId="16477" xr:uid="{2BF3285F-C133-4129-BD92-62BB3C04747B}"/>
    <cellStyle name="Note 7 2 2 2 11 2" xfId="37970" xr:uid="{C8BAD9FC-ED1C-4173-B31D-C5F5B6851D5D}"/>
    <cellStyle name="Note 7 2 2 2 12" xfId="12690" xr:uid="{16FB2B4F-FEB0-48BF-8EB8-F6189FD3B5B4}"/>
    <cellStyle name="Note 7 2 2 2 12 2" xfId="35104" xr:uid="{34446D9C-E4E1-457D-93F2-9D1B1F8F5E25}"/>
    <cellStyle name="Note 7 2 2 2 13" xfId="9941" xr:uid="{BA79E43D-8D08-49F0-B388-309A921CEF6C}"/>
    <cellStyle name="Note 7 2 2 2 13 2" xfId="33686" xr:uid="{1FEC2983-86A3-415E-9DBF-A83DF8C5C892}"/>
    <cellStyle name="Note 7 2 2 2 14" xfId="21580" xr:uid="{954B2E62-E90D-4219-954F-542E00D63C8D}"/>
    <cellStyle name="Note 7 2 2 2 14 2" xfId="41664" xr:uid="{B5C6348E-BC6C-49CD-82A8-796469F81D1A}"/>
    <cellStyle name="Note 7 2 2 2 15" xfId="10242" xr:uid="{FF05795B-FBEB-4D4C-AED8-471DDB9A7EC1}"/>
    <cellStyle name="Note 7 2 2 2 15 2" xfId="33877" xr:uid="{96E570C7-F573-4A75-91F4-5D0493D7AA26}"/>
    <cellStyle name="Note 7 2 2 2 16" xfId="21381" xr:uid="{E6A180C0-39EF-4D8B-828E-84932B4BC76B}"/>
    <cellStyle name="Note 7 2 2 2 16 2" xfId="41510" xr:uid="{878BF30A-53C0-4E14-A7E2-0FDA47EC83CE}"/>
    <cellStyle name="Note 7 2 2 2 17" xfId="22700" xr:uid="{15F2CDF0-1723-4FFC-966C-336C394FECE0}"/>
    <cellStyle name="Note 7 2 2 2 17 2" xfId="42459" xr:uid="{2FE0C723-DFBC-460B-9624-7D8259A55B9E}"/>
    <cellStyle name="Note 7 2 2 2 18" xfId="22460" xr:uid="{595207D8-3CA6-48B7-9236-4BFFAF2A3136}"/>
    <cellStyle name="Note 7 2 2 2 18 2" xfId="42260" xr:uid="{13642B44-5E17-4AE7-8EF8-FE3E40F1FB8F}"/>
    <cellStyle name="Note 7 2 2 2 19" xfId="24677" xr:uid="{B1CF431F-E281-4237-8335-0736564B0685}"/>
    <cellStyle name="Note 7 2 2 2 19 2" xfId="43822" xr:uid="{39DFC1DB-4979-4249-8CD1-8CCB2FF9B0E8}"/>
    <cellStyle name="Note 7 2 2 2 2" xfId="7942" xr:uid="{590BFED5-0726-43E5-A13D-82B2BFE17F77}"/>
    <cellStyle name="Note 7 2 2 2 2 2" xfId="32190" xr:uid="{CE0CBDFD-2B76-4928-BBD9-AB59A76D3FCE}"/>
    <cellStyle name="Note 7 2 2 2 20" xfId="19871" xr:uid="{7A491FB9-77D1-4B86-B5BD-39D0374A0254}"/>
    <cellStyle name="Note 7 2 2 2 20 2" xfId="40484" xr:uid="{F0FC98B5-780D-492D-AA8C-988BD6459FA9}"/>
    <cellStyle name="Note 7 2 2 2 21" xfId="24499" xr:uid="{1D5DC92E-4DB2-4907-8D04-722A38343218}"/>
    <cellStyle name="Note 7 2 2 2 21 2" xfId="43682" xr:uid="{7B0E391D-3EFA-4864-BC57-87E008B41A3D}"/>
    <cellStyle name="Note 7 2 2 2 22" xfId="29303" xr:uid="{BDB63AA7-293F-4AB3-8980-87439D4E012E}"/>
    <cellStyle name="Note 7 2 2 2 22 2" xfId="46796" xr:uid="{E5A6993C-3234-4B59-9F82-0819472E5C7E}"/>
    <cellStyle name="Note 7 2 2 2 23" xfId="27144" xr:uid="{A722E22B-E13D-43E3-822C-74AA68C8256D}"/>
    <cellStyle name="Note 7 2 2 2 23 2" xfId="45485" xr:uid="{D83F59AE-4F2B-40EF-ACF3-E829E6AA7198}"/>
    <cellStyle name="Note 7 2 2 2 24" xfId="26271" xr:uid="{3FC14893-F25E-4101-A474-39960D5F0E4B}"/>
    <cellStyle name="Note 7 2 2 2 24 2" xfId="44980" xr:uid="{43061349-00E0-4908-A464-D5F7D32920DA}"/>
    <cellStyle name="Note 7 2 2 2 25" xfId="25210" xr:uid="{F972E713-8B51-481B-BCC9-AEB49852CDA3}"/>
    <cellStyle name="Note 7 2 2 2 25 2" xfId="44149" xr:uid="{9445F2F7-AAB9-453E-A65C-92CB14902674}"/>
    <cellStyle name="Note 7 2 2 2 26" xfId="25275" xr:uid="{FF05BAC0-C233-4B59-8E6E-0EEC6AD09D11}"/>
    <cellStyle name="Note 7 2 2 2 26 2" xfId="44194" xr:uid="{C8513532-B1AB-4FCE-A91D-7535A5CF99D3}"/>
    <cellStyle name="Note 7 2 2 2 27" xfId="30053" xr:uid="{76243D22-96FA-4943-A777-AC4E8A9FE59D}"/>
    <cellStyle name="Note 7 2 2 2 27 2" xfId="47267" xr:uid="{F3B95895-C8FC-4C46-A436-4E81A9DC5CE3}"/>
    <cellStyle name="Note 7 2 2 2 28" xfId="6590" xr:uid="{C1859ABE-7C40-42D8-87FF-7C73ACB5F1A0}"/>
    <cellStyle name="Note 7 2 2 2 3" xfId="9433" xr:uid="{3C4BB3EC-2E29-48CB-BD73-4DEF97ADDDED}"/>
    <cellStyle name="Note 7 2 2 2 3 2" xfId="33416" xr:uid="{4A57980F-68C6-488A-BBB4-5A9754911A1F}"/>
    <cellStyle name="Note 7 2 2 2 4" xfId="7625" xr:uid="{B5BEC774-77AB-4990-B21C-736F158CDF24}"/>
    <cellStyle name="Note 7 2 2 2 4 2" xfId="31925" xr:uid="{83D139CC-4F30-45F5-B7FA-F989253E619A}"/>
    <cellStyle name="Note 7 2 2 2 5" xfId="8738" xr:uid="{F1D1B382-7A54-45DD-9609-9649B556288F}"/>
    <cellStyle name="Note 7 2 2 2 5 2" xfId="32867" xr:uid="{A5F60BFD-B570-4EB8-A58D-F3CAEB12D4B5}"/>
    <cellStyle name="Note 7 2 2 2 6" xfId="15017" xr:uid="{57F342A2-C184-45BC-B7E7-489145FBB96F}"/>
    <cellStyle name="Note 7 2 2 2 6 2" xfId="36875" xr:uid="{77548F34-9943-47E8-A17B-D8621086137C}"/>
    <cellStyle name="Note 7 2 2 2 7" xfId="8377" xr:uid="{D7C1A452-855F-4EA6-A53F-814C60439257}"/>
    <cellStyle name="Note 7 2 2 2 7 2" xfId="32592" xr:uid="{ED2E22BD-6E22-4E65-B9C0-2A082D14E4B1}"/>
    <cellStyle name="Note 7 2 2 2 8" xfId="12899" xr:uid="{E0B81530-5249-456E-A650-EB0126B3DC48}"/>
    <cellStyle name="Note 7 2 2 2 8 2" xfId="35255" xr:uid="{C7AF5BDD-222D-4771-B2D5-F17C4D45B489}"/>
    <cellStyle name="Note 7 2 2 2 9" xfId="7044" xr:uid="{D59F2130-1A31-4E99-867E-DA3DEB61C4D9}"/>
    <cellStyle name="Note 7 2 2 2 9 2" xfId="31411" xr:uid="{3AF0829C-6849-4832-8FC6-AC3B8C7876AF}"/>
    <cellStyle name="Note 7 2 2 20" xfId="18662" xr:uid="{542DBF06-7513-4D18-89A2-1C524364E739}"/>
    <cellStyle name="Note 7 2 2 20 2" xfId="39548" xr:uid="{9A07A909-7BF3-4DB7-B06B-8D912BB3CF25}"/>
    <cellStyle name="Note 7 2 2 21" xfId="15734" xr:uid="{D1B93B38-1839-497E-A060-A5661B386924}"/>
    <cellStyle name="Note 7 2 2 21 2" xfId="37363" xr:uid="{0C48686E-05AF-41DC-884C-41A254AE44F2}"/>
    <cellStyle name="Note 7 2 2 22" xfId="25361" xr:uid="{440BE547-B9AF-419D-9D3C-6F757606CB50}"/>
    <cellStyle name="Note 7 2 2 22 2" xfId="44277" xr:uid="{652EA773-99B8-4C41-A81C-61FFAC54CDA4}"/>
    <cellStyle name="Note 7 2 2 23" xfId="23205" xr:uid="{0EAF3B93-A895-4257-A9D8-D3C706CE6E72}"/>
    <cellStyle name="Note 7 2 2 23 2" xfId="42799" xr:uid="{0EFD326E-08CB-4689-8E91-04D75F0F8610}"/>
    <cellStyle name="Note 7 2 2 24" xfId="28574" xr:uid="{A3D2EB55-287E-40D2-9A48-F4782281587E}"/>
    <cellStyle name="Note 7 2 2 24 2" xfId="46309" xr:uid="{6244BEA0-1ECE-40CA-BA5B-85E053BE81C1}"/>
    <cellStyle name="Note 7 2 2 25" xfId="20285" xr:uid="{04A2736F-B990-44A9-8AF8-8D0B67331DAF}"/>
    <cellStyle name="Note 7 2 2 25 2" xfId="40722" xr:uid="{6F01A991-173D-4A1D-A97B-21DA0EA0B1F4}"/>
    <cellStyle name="Note 7 2 2 26" xfId="27868" xr:uid="{68D4FB4D-1A10-4F3E-B7F3-10B556653718}"/>
    <cellStyle name="Note 7 2 2 26 2" xfId="45940" xr:uid="{90759DF3-57FB-4E1F-AEB3-E858424383A2}"/>
    <cellStyle name="Note 7 2 2 27" xfId="24887" xr:uid="{45B1B65B-24AC-499E-8813-5CB62A904ACA}"/>
    <cellStyle name="Note 7 2 2 27 2" xfId="43983" xr:uid="{C4A05F0F-C24B-4DBC-AC0F-4CD009A22404}"/>
    <cellStyle name="Note 7 2 2 28" xfId="25214" xr:uid="{DA42A86A-0BA1-47F1-8B07-36F5EE45018B}"/>
    <cellStyle name="Note 7 2 2 28 2" xfId="44152" xr:uid="{7A1B98F1-C532-4671-8910-7A557EB07CDD}"/>
    <cellStyle name="Note 7 2 2 29" xfId="6589" xr:uid="{148DAE7C-8742-441D-8DCE-B74672794B54}"/>
    <cellStyle name="Note 7 2 2 3" xfId="7943" xr:uid="{8420C535-B01C-455A-B1D5-791FA6C3163B}"/>
    <cellStyle name="Note 7 2 2 3 2" xfId="32191" xr:uid="{F93E74DC-7EE1-408C-A704-5CD059787E84}"/>
    <cellStyle name="Note 7 2 2 4" xfId="9432" xr:uid="{443667EB-5A7B-4744-A680-3A82C6925617}"/>
    <cellStyle name="Note 7 2 2 4 2" xfId="33415" xr:uid="{4A5C39B1-FE59-4EED-A2D7-FBB51D7DBBB1}"/>
    <cellStyle name="Note 7 2 2 5" xfId="12031" xr:uid="{334B3D14-D5A2-4FBB-A65B-6B1CAA11C98F}"/>
    <cellStyle name="Note 7 2 2 5 2" xfId="34589" xr:uid="{05094C98-BE5A-46E6-B903-87C4C8F85A01}"/>
    <cellStyle name="Note 7 2 2 6" xfId="8739" xr:uid="{9EA45306-3404-4080-818E-CD2FC3712BA4}"/>
    <cellStyle name="Note 7 2 2 6 2" xfId="32868" xr:uid="{49A37CD6-6C6A-4A9E-958C-56E1E1082A35}"/>
    <cellStyle name="Note 7 2 2 7" xfId="12983" xr:uid="{1DBAC37C-2B47-4663-87D7-C65BA984C730}"/>
    <cellStyle name="Note 7 2 2 7 2" xfId="35331" xr:uid="{F22604E3-4397-48EF-8FE1-ADD4D3B838D0}"/>
    <cellStyle name="Note 7 2 2 8" xfId="8348" xr:uid="{0A9B150B-1B5B-44C7-B1BE-8D0D0512D081}"/>
    <cellStyle name="Note 7 2 2 8 2" xfId="32564" xr:uid="{CDF21453-BE67-4192-BE35-A9595C9EB6DC}"/>
    <cellStyle name="Note 7 2 2 9" xfId="14831" xr:uid="{62B2BFCE-863C-4543-92D8-CA54EB1A3464}"/>
    <cellStyle name="Note 7 2 2 9 2" xfId="36706" xr:uid="{C561E4A2-2DD3-4FF7-BC02-45F3BDF164D2}"/>
    <cellStyle name="Note 7 2 20" xfId="22708" xr:uid="{D87AA782-23C6-479B-9448-FB2CE2A09034}"/>
    <cellStyle name="Note 7 2 20 2" xfId="42467" xr:uid="{5B4C2D1C-ACBA-4E38-8038-B3C5A09F7756}"/>
    <cellStyle name="Note 7 2 21" xfId="25757" xr:uid="{71F41D3A-E13A-4784-84F7-9F7DB91574A1}"/>
    <cellStyle name="Note 7 2 21 2" xfId="44594" xr:uid="{0D70D9BB-BCD3-4D29-B73D-326ADB199558}"/>
    <cellStyle name="Note 7 2 22" xfId="12849" xr:uid="{DD10D79C-13A7-4447-9A1B-BD5ACD9A27EF}"/>
    <cellStyle name="Note 7 2 22 2" xfId="35229" xr:uid="{98362D62-1A8F-4C06-9262-42ED89525D86}"/>
    <cellStyle name="Note 7 2 23" xfId="22272" xr:uid="{FCDCD2F9-EE8A-4308-A7B0-4795A77D1FC6}"/>
    <cellStyle name="Note 7 2 23 2" xfId="42137" xr:uid="{3C1AFE48-9C37-441A-A564-5FFB3C04B5C3}"/>
    <cellStyle name="Note 7 2 24" xfId="20497" xr:uid="{B51BACEE-1448-4003-AA25-92707855182A}"/>
    <cellStyle name="Note 7 2 24 2" xfId="40887" xr:uid="{992A739B-7A1B-43AF-BCFE-FFB757BDED84}"/>
    <cellStyle name="Note 7 2 25" xfId="26099" xr:uid="{C995C473-1817-4082-9AB5-532D72B40120}"/>
    <cellStyle name="Note 7 2 25 2" xfId="44842" xr:uid="{A386F496-61FB-4AA3-8ACD-F08BB64756D6}"/>
    <cellStyle name="Note 7 2 26" xfId="26272" xr:uid="{D91A336F-CEFD-4527-BFCA-97BD2DB5E1FD}"/>
    <cellStyle name="Note 7 2 26 2" xfId="44981" xr:uid="{90E3E9CB-4228-4476-903A-5880BF8AA0B8}"/>
    <cellStyle name="Note 7 2 27" xfId="25823" xr:uid="{809CC5B4-986F-4E9B-8884-51EFB6A87765}"/>
    <cellStyle name="Note 7 2 27 2" xfId="44648" xr:uid="{79772938-92ED-4B68-8746-951C55EC3B50}"/>
    <cellStyle name="Note 7 2 28" xfId="30774" xr:uid="{27FF9E9D-592D-4538-974A-CEF1F15C2367}"/>
    <cellStyle name="Note 7 2 28 2" xfId="47715" xr:uid="{6A43F114-C1F2-4FDB-86B0-57DBC7357ADF}"/>
    <cellStyle name="Note 7 2 29" xfId="29666" xr:uid="{5FE33557-A9FC-4D0B-AE77-76EDA0F7060C}"/>
    <cellStyle name="Note 7 2 29 2" xfId="47030" xr:uid="{D6C65605-395B-4341-ADDB-9FAAD2EFE267}"/>
    <cellStyle name="Note 7 2 3" xfId="3077" xr:uid="{553B4730-27D4-43A1-81A0-55468BA2AFA0}"/>
    <cellStyle name="Note 7 2 3 10" xfId="15540" xr:uid="{A6C7982D-4174-4612-8B18-69ECF5B1F94D}"/>
    <cellStyle name="Note 7 2 3 10 2" xfId="37205" xr:uid="{0F3562D0-F9A7-4069-AC45-612674958E75}"/>
    <cellStyle name="Note 7 2 3 11" xfId="14000" xr:uid="{40FADBB9-03F8-4EEC-9667-8A0258660237}"/>
    <cellStyle name="Note 7 2 3 11 2" xfId="36094" xr:uid="{68985F7B-F2C0-40DE-A090-C834F4EDB904}"/>
    <cellStyle name="Note 7 2 3 12" xfId="17384" xr:uid="{5754C271-36FE-4699-A67F-571675CBE956}"/>
    <cellStyle name="Note 7 2 3 12 2" xfId="38631" xr:uid="{49FD2BB2-81C7-4551-825A-33C2AC25A844}"/>
    <cellStyle name="Note 7 2 3 13" xfId="9907" xr:uid="{2FA91D38-946A-4460-9A91-589AADA96007}"/>
    <cellStyle name="Note 7 2 3 13 2" xfId="33652" xr:uid="{E429C4D7-36B0-430F-9928-2B0A1D647730}"/>
    <cellStyle name="Note 7 2 3 14" xfId="15284" xr:uid="{A499ABEA-7135-4FEF-9915-FC680358419B}"/>
    <cellStyle name="Note 7 2 3 14 2" xfId="37001" xr:uid="{4C60CB2B-2A40-40C7-BB49-ACE710D58691}"/>
    <cellStyle name="Note 7 2 3 15" xfId="13214" xr:uid="{BA37D8B6-7016-46A0-AF40-58B7C320A589}"/>
    <cellStyle name="Note 7 2 3 15 2" xfId="35562" xr:uid="{7EDE50BF-263B-4B6D-A592-E8FC07AAEC61}"/>
    <cellStyle name="Note 7 2 3 16" xfId="16990" xr:uid="{93372A53-B394-4544-9F1D-3FCD1EA4EB85}"/>
    <cellStyle name="Note 7 2 3 16 2" xfId="38350" xr:uid="{939DC822-74C2-40BC-8538-1AA780823ACD}"/>
    <cellStyle name="Note 7 2 3 17" xfId="9636" xr:uid="{043B266B-F14C-4214-80B0-E4B3CDA28FCA}"/>
    <cellStyle name="Note 7 2 3 17 2" xfId="33531" xr:uid="{5630DDA3-9651-4F4E-8DB1-91F44E501FF8}"/>
    <cellStyle name="Note 7 2 3 18" xfId="21981" xr:uid="{CDC87910-1853-498F-8250-C241772BC2C0}"/>
    <cellStyle name="Note 7 2 3 18 2" xfId="41886" xr:uid="{D0A6D598-8005-4382-980F-04C326291D67}"/>
    <cellStyle name="Note 7 2 3 19" xfId="22305" xr:uid="{49AECA92-2312-430A-9319-E73DD1E039F8}"/>
    <cellStyle name="Note 7 2 3 19 2" xfId="42169" xr:uid="{AB1CDA73-35EB-4023-9C5D-CD93849C7AB5}"/>
    <cellStyle name="Note 7 2 3 2" xfId="7941" xr:uid="{5AF7DEE5-B7B7-4F2A-B4E2-8E8DACE03521}"/>
    <cellStyle name="Note 7 2 3 2 2" xfId="32189" xr:uid="{8E77787A-7D99-4779-951D-EF8D7DA4ADFD}"/>
    <cellStyle name="Note 7 2 3 20" xfId="18009" xr:uid="{6DD41F8A-19F8-41B7-AB1B-B51BB92E193B}"/>
    <cellStyle name="Note 7 2 3 20 2" xfId="39105" xr:uid="{1C2DE335-9249-4019-AB37-0372698B7172}"/>
    <cellStyle name="Note 7 2 3 21" xfId="22725" xr:uid="{E4D971DE-F3B7-47EF-AFBF-AC4B15D44164}"/>
    <cellStyle name="Note 7 2 3 21 2" xfId="42482" xr:uid="{403705CC-90D3-424E-9891-825B7A0A9149}"/>
    <cellStyle name="Note 7 2 3 22" xfId="15391" xr:uid="{240B4E9C-D934-4888-AFF5-9EEC3D51ACB1}"/>
    <cellStyle name="Note 7 2 3 22 2" xfId="37089" xr:uid="{F9226829-9913-4719-A777-6FDA5C1888E0}"/>
    <cellStyle name="Note 7 2 3 23" xfId="22624" xr:uid="{115C9469-A4CC-4DAE-AC4E-9B7A502B939C}"/>
    <cellStyle name="Note 7 2 3 23 2" xfId="42401" xr:uid="{5F81AA9E-97EA-4F93-B998-24133928745C}"/>
    <cellStyle name="Note 7 2 3 24" xfId="23839" xr:uid="{28849C66-EE9C-4330-84AA-83FFD7373F9C}"/>
    <cellStyle name="Note 7 2 3 24 2" xfId="43228" xr:uid="{452E4BDB-9D65-4AF7-B10C-A3FC947AA9FB}"/>
    <cellStyle name="Note 7 2 3 25" xfId="23730" xr:uid="{AF731C79-E306-4923-83E7-86BBE4A5BE42}"/>
    <cellStyle name="Note 7 2 3 25 2" xfId="43146" xr:uid="{84A1148C-5A94-46CB-8668-00DAD9185EFA}"/>
    <cellStyle name="Note 7 2 3 26" xfId="30777" xr:uid="{3423D59A-74D2-4E19-AA7C-70B51BF9703D}"/>
    <cellStyle name="Note 7 2 3 26 2" xfId="47718" xr:uid="{6F7A566F-DA3C-4D94-BA15-050167335E3B}"/>
    <cellStyle name="Note 7 2 3 27" xfId="29999" xr:uid="{21449624-AAB2-418C-BBBD-02BBE9E2976D}"/>
    <cellStyle name="Note 7 2 3 27 2" xfId="47241" xr:uid="{8AAF094E-CD97-483C-8EB3-642F9DD6A941}"/>
    <cellStyle name="Note 7 2 3 28" xfId="6591" xr:uid="{AFAD7D05-0FE4-4116-9DA0-2BBCBF5D6F33}"/>
    <cellStyle name="Note 7 2 3 3" xfId="9434" xr:uid="{7C3B09B4-521C-4478-8914-C6D463CF20A1}"/>
    <cellStyle name="Note 7 2 3 3 2" xfId="33417" xr:uid="{7F27ADB0-FFEC-484F-A81A-E21FF416E598}"/>
    <cellStyle name="Note 7 2 3 4" xfId="12030" xr:uid="{591B8D4F-9D6A-44F5-849F-247EF411795F}"/>
    <cellStyle name="Note 7 2 3 4 2" xfId="34588" xr:uid="{0024B93B-E32E-46FC-A2F8-EC0F1461AA60}"/>
    <cellStyle name="Note 7 2 3 5" xfId="8737" xr:uid="{BDA48A3A-A0CB-43B7-AFD3-D20BC23117E0}"/>
    <cellStyle name="Note 7 2 3 5 2" xfId="32866" xr:uid="{F59B3E36-8F0A-4FAC-AD04-FCF345DDC495}"/>
    <cellStyle name="Note 7 2 3 6" xfId="10490" xr:uid="{93EDFDE6-651C-406B-B0EA-0AA632B5989E}"/>
    <cellStyle name="Note 7 2 3 6 2" xfId="34125" xr:uid="{64EE4052-7DD8-48AB-B1E0-A32BD4852FC9}"/>
    <cellStyle name="Note 7 2 3 7" xfId="8376" xr:uid="{0ECAB38D-B9CC-4610-A174-9117BBD90B0A}"/>
    <cellStyle name="Note 7 2 3 7 2" xfId="32591" xr:uid="{BBAB1EAB-F472-4654-8D7F-A49F4BC272B8}"/>
    <cellStyle name="Note 7 2 3 8" xfId="14830" xr:uid="{72169413-B360-4ED7-87A8-702514D51961}"/>
    <cellStyle name="Note 7 2 3 8 2" xfId="36705" xr:uid="{D21670A7-31D4-41A8-B23B-264A711E244B}"/>
    <cellStyle name="Note 7 2 3 9" xfId="14259" xr:uid="{1A620244-584B-4BB7-87FB-3DCD71B3EDD8}"/>
    <cellStyle name="Note 7 2 3 9 2" xfId="36312" xr:uid="{B53DAD07-369C-4FD3-9EF7-65D1CC5ECA4D}"/>
    <cellStyle name="Note 7 2 30" xfId="6588" xr:uid="{6A744A99-B88E-4CBD-B49A-777A1EC233B4}"/>
    <cellStyle name="Note 7 2 4" xfId="7944" xr:uid="{023D4618-1F57-46AB-9ABC-71E1633388A0}"/>
    <cellStyle name="Note 7 2 4 2" xfId="32192" xr:uid="{B8C855D6-0D73-489C-8724-ED8FD2F66B24}"/>
    <cellStyle name="Note 7 2 5" xfId="9431" xr:uid="{4BE74C5D-562C-4FD8-9852-74640C90BCB7}"/>
    <cellStyle name="Note 7 2 5 2" xfId="33414" xr:uid="{08D94401-AC6E-4DCF-87A7-F81235AD85D1}"/>
    <cellStyle name="Note 7 2 6" xfId="7626" xr:uid="{36C59084-F957-4E65-8F1E-9CB299D55690}"/>
    <cellStyle name="Note 7 2 6 2" xfId="31926" xr:uid="{D10753A1-7BE8-4115-8E2E-FC275E602467}"/>
    <cellStyle name="Note 7 2 7" xfId="14298" xr:uid="{F76639A1-9AA3-4A19-8F00-E23B106610A8}"/>
    <cellStyle name="Note 7 2 7 2" xfId="36341" xr:uid="{5FACB759-8AA8-4326-8B18-592B97D13CC3}"/>
    <cellStyle name="Note 7 2 8" xfId="15018" xr:uid="{CC27FE04-2A42-436C-A2D2-60720B1E3CCC}"/>
    <cellStyle name="Note 7 2 8 2" xfId="36876" xr:uid="{5C7BC38D-ACC4-4B5B-830E-F883C39A8116}"/>
    <cellStyle name="Note 7 2 9" xfId="8378" xr:uid="{CED054AF-0049-448F-96B2-D10C92D3F4A7}"/>
    <cellStyle name="Note 7 2 9 2" xfId="32593" xr:uid="{1ABC439D-90BB-426C-AD0F-A48A98F393DF}"/>
    <cellStyle name="Note 7 2_Sheet2" xfId="3078" xr:uid="{CDE0F969-468E-4E1D-AE76-3D7D027C3236}"/>
    <cellStyle name="Note 7 20" xfId="9903" xr:uid="{7AB7ECEF-80BE-4800-B818-52F075659813}"/>
    <cellStyle name="Note 7 20 2" xfId="33649" xr:uid="{B2F6D25F-8314-4939-AC9D-E25FEC12B245}"/>
    <cellStyle name="Note 7 21" xfId="19375" xr:uid="{CBE3FB8D-A7B4-422F-AC62-2823CAE62CF8}"/>
    <cellStyle name="Note 7 21 2" xfId="40100" xr:uid="{9080D7EF-DE1B-4589-891F-2F05F1BBAD8B}"/>
    <cellStyle name="Note 7 22" xfId="10227" xr:uid="{0346D7E6-39F1-4792-BD1D-375EDC4F1BF0}"/>
    <cellStyle name="Note 7 22 2" xfId="33862" xr:uid="{661215AC-BD7E-40E3-9772-58151FEA26C8}"/>
    <cellStyle name="Note 7 23" xfId="22533" xr:uid="{A9A4FFC2-F0CD-4F14-93AD-C6D1E15E5F0A}"/>
    <cellStyle name="Note 7 23 2" xfId="42332" xr:uid="{58887CEE-442F-43D8-B415-69531AA3A8C3}"/>
    <cellStyle name="Note 7 24" xfId="22504" xr:uid="{0A70C810-C34C-46BC-8E50-8ABC21414E2D}"/>
    <cellStyle name="Note 7 24 2" xfId="42303" xr:uid="{80A47A92-1C4B-4455-8666-12EEC311AD67}"/>
    <cellStyle name="Note 7 25" xfId="23518" xr:uid="{51245B71-2C04-470C-B3F5-81B0CC2D912B}"/>
    <cellStyle name="Note 7 25 2" xfId="42978" xr:uid="{DC72B03A-150A-4840-9E65-5E9480D3B93D}"/>
    <cellStyle name="Note 7 26" xfId="24678" xr:uid="{A6AFFA2F-811C-475B-B917-77B3D47CE552}"/>
    <cellStyle name="Note 7 26 2" xfId="43823" xr:uid="{9A1495FB-DDB3-457E-8B6F-DCEF09D298DC}"/>
    <cellStyle name="Note 7 27" xfId="19872" xr:uid="{67C1FB05-08AF-4F15-8138-5E7574E709B7}"/>
    <cellStyle name="Note 7 27 2" xfId="40485" xr:uid="{7201F02B-B5CB-4AE3-A0AB-1A17C83CDA6F}"/>
    <cellStyle name="Note 7 28" xfId="23443" xr:uid="{6B112AFD-A625-4698-B023-30BB041EF920}"/>
    <cellStyle name="Note 7 28 2" xfId="42949" xr:uid="{F20A9CEF-1DFE-45C7-96B1-426C939D3C10}"/>
    <cellStyle name="Note 7 29" xfId="29304" xr:uid="{1EA41F05-F61A-4EFD-ABAC-0D0D2DC002A8}"/>
    <cellStyle name="Note 7 29 2" xfId="46797" xr:uid="{3DD42920-92A4-4804-8E96-14E53841949C}"/>
    <cellStyle name="Note 7 3" xfId="3079" xr:uid="{99EF18EF-0373-4D8B-8A1A-107B9F32DE4A}"/>
    <cellStyle name="Note 7 3 10" xfId="7043" xr:uid="{FEF00AAA-B6A1-4117-AB57-4F098ABC86EC}"/>
    <cellStyle name="Note 7 3 10 2" xfId="31410" xr:uid="{F9E3C7CA-B249-4B77-B1F1-29DEC9C4E04D}"/>
    <cellStyle name="Note 7 3 11" xfId="15549" xr:uid="{43B02656-5F9F-4353-966E-FB6ED4B5088B}"/>
    <cellStyle name="Note 7 3 11 2" xfId="37214" xr:uid="{BB4AF011-B68C-4FEE-91A5-D4192D5274BF}"/>
    <cellStyle name="Note 7 3 12" xfId="20010" xr:uid="{6783C5DB-C0E5-4444-AC93-B885F479175C}"/>
    <cellStyle name="Note 7 3 12 2" xfId="40578" xr:uid="{B6E20EBE-171D-47CC-9C77-2169FE7BFAD8}"/>
    <cellStyle name="Note 7 3 13" xfId="13753" xr:uid="{85296BDE-CE0D-44FA-B2A0-E5A6D9634569}"/>
    <cellStyle name="Note 7 3 13 2" xfId="35908" xr:uid="{F823AD05-6AAA-4F7D-A4F0-F31E6FEFE737}"/>
    <cellStyle name="Note 7 3 14" xfId="9908" xr:uid="{CE9C5267-DC54-4DD7-A9E3-69799174E52E}"/>
    <cellStyle name="Note 7 3 14 2" xfId="33653" xr:uid="{E88DC56F-4E72-41B3-85DF-AB649B0A97ED}"/>
    <cellStyle name="Note 7 3 15" xfId="17934" xr:uid="{AB27B72F-5BF9-4373-AE59-31778073B5B4}"/>
    <cellStyle name="Note 7 3 15 2" xfId="39032" xr:uid="{60F6D9AB-E7E1-448D-B3AE-CBB1FE190841}"/>
    <cellStyle name="Note 7 3 16" xfId="13213" xr:uid="{844F8A42-C8AA-4A6C-8893-5B276DB2C638}"/>
    <cellStyle name="Note 7 3 16 2" xfId="35561" xr:uid="{98188A88-584D-42FD-A626-68762331D829}"/>
    <cellStyle name="Note 7 3 17" xfId="21380" xr:uid="{A531AC7F-D7F0-4B17-8C67-6432532740A3}"/>
    <cellStyle name="Note 7 3 17 2" xfId="41509" xr:uid="{25C63E58-59DB-4DCA-836A-3078AF928FCB}"/>
    <cellStyle name="Note 7 3 18" xfId="16273" xr:uid="{13890664-6691-458B-A612-F81A34BD4D18}"/>
    <cellStyle name="Note 7 3 18 2" xfId="37810" xr:uid="{C4647BBA-0A84-42B1-9596-1F6425DD3BD4}"/>
    <cellStyle name="Note 7 3 19" xfId="19080" xr:uid="{7390831B-2736-46F7-A09B-C1EE20DA74BA}"/>
    <cellStyle name="Note 7 3 19 2" xfId="39911" xr:uid="{48081976-C51D-4BCD-9CEA-1C2B58A74943}"/>
    <cellStyle name="Note 7 3 2" xfId="3080" xr:uid="{4C4FC843-731B-4734-A747-49557882FD6D}"/>
    <cellStyle name="Note 7 3 2 10" xfId="12739" xr:uid="{9A93DFE5-DFA4-43BA-8A61-6C16EDEF11DC}"/>
    <cellStyle name="Note 7 3 2 10 2" xfId="35148" xr:uid="{A82FB2C3-76C6-4C74-938D-04DDEE3B8C83}"/>
    <cellStyle name="Note 7 3 2 11" xfId="20007" xr:uid="{7B3AF756-89E3-4EB7-8272-7AE0A0FCFE0F}"/>
    <cellStyle name="Note 7 3 2 11 2" xfId="40575" xr:uid="{CD2362FE-BEE1-44C1-93F5-9B53C3747546}"/>
    <cellStyle name="Note 7 3 2 12" xfId="17383" xr:uid="{21089FC6-E759-425E-8D53-6538D8ED404A}"/>
    <cellStyle name="Note 7 3 2 12 2" xfId="38630" xr:uid="{E1C8CC8B-02D9-43E9-A68C-FA974B43DB63}"/>
    <cellStyle name="Note 7 3 2 13" xfId="9909" xr:uid="{B138128C-7953-4F53-BE5A-62651C178BB4}"/>
    <cellStyle name="Note 7 3 2 13 2" xfId="33654" xr:uid="{94018A3D-1F7C-44C5-831B-D69431DAE944}"/>
    <cellStyle name="Note 7 3 2 14" xfId="21579" xr:uid="{DF9CE6A4-AE7B-4B87-9DBF-98FD6EE86189}"/>
    <cellStyle name="Note 7 3 2 14 2" xfId="41663" xr:uid="{E4496A62-DAF7-4E31-9688-D265FDABDF5A}"/>
    <cellStyle name="Note 7 3 2 15" xfId="10243" xr:uid="{28373F20-F529-4A05-9BA7-F91F30C465F8}"/>
    <cellStyle name="Note 7 3 2 15 2" xfId="33878" xr:uid="{79047E59-7610-4349-8481-F4620381FDA3}"/>
    <cellStyle name="Note 7 3 2 16" xfId="16991" xr:uid="{47807816-6616-478F-A724-6788EA9E51AC}"/>
    <cellStyle name="Note 7 3 2 16 2" xfId="38351" xr:uid="{13E1A13B-B696-44A3-BC05-B74516A2C369}"/>
    <cellStyle name="Note 7 3 2 17" xfId="18235" xr:uid="{B1C0C8CD-5FFB-44F0-9A09-81BBD4BDF836}"/>
    <cellStyle name="Note 7 3 2 17 2" xfId="39267" xr:uid="{DFC9D0F9-8A33-4717-9909-0A3932CCC732}"/>
    <cellStyle name="Note 7 3 2 18" xfId="16074" xr:uid="{DF4A137B-9E7C-41F1-B478-99457FFCFFDF}"/>
    <cellStyle name="Note 7 3 2 18 2" xfId="37645" xr:uid="{FB7888C0-E165-4462-A03E-5821C5305C48}"/>
    <cellStyle name="Note 7 3 2 19" xfId="22849" xr:uid="{C3F58EC4-5943-4C3D-A214-1C5F758EF3EE}"/>
    <cellStyle name="Note 7 3 2 19 2" xfId="42567" xr:uid="{7B850916-A7A3-4818-BABC-C5025961AF18}"/>
    <cellStyle name="Note 7 3 2 2" xfId="7939" xr:uid="{715D0FA0-C80D-44C7-BD1E-8F8B5AE83B86}"/>
    <cellStyle name="Note 7 3 2 2 2" xfId="32187" xr:uid="{6B07BCD9-6648-4CDE-9FC7-3187E480C14E}"/>
    <cellStyle name="Note 7 3 2 20" xfId="19870" xr:uid="{DCF89484-32BF-4D71-BB49-4999E3D84186}"/>
    <cellStyle name="Note 7 3 2 20 2" xfId="40483" xr:uid="{0425828B-2D78-4BD3-9190-17CF298A1DFA}"/>
    <cellStyle name="Note 7 3 2 21" xfId="21972" xr:uid="{E7658F89-34A5-4A5B-BAF7-7176F746E7AB}"/>
    <cellStyle name="Note 7 3 2 21 2" xfId="41879" xr:uid="{7FAD5DED-F29D-4D63-BCE0-92CEA2915C95}"/>
    <cellStyle name="Note 7 3 2 22" xfId="20496" xr:uid="{F18A364B-A151-45D2-9B8C-8959937F98BA}"/>
    <cellStyle name="Note 7 3 2 22 2" xfId="40886" xr:uid="{0A8C5090-2A4A-4B27-9D08-AC2073A3FC5E}"/>
    <cellStyle name="Note 7 3 2 23" xfId="29992" xr:uid="{CF89BDA4-064C-4287-9311-F099CAA1BD1A}"/>
    <cellStyle name="Note 7 3 2 23 2" xfId="47234" xr:uid="{69986E91-5F83-4E04-9E7A-D95B6F585050}"/>
    <cellStyle name="Note 7 3 2 24" xfId="26270" xr:uid="{F5FBE87E-B872-4755-B978-C9B72297D2C3}"/>
    <cellStyle name="Note 7 3 2 24 2" xfId="44979" xr:uid="{C196FFA8-A096-4DD5-A829-1E532369CB04}"/>
    <cellStyle name="Note 7 3 2 25" xfId="23633" xr:uid="{0F92CF79-A0BF-4943-A454-B23BB3C4938C}"/>
    <cellStyle name="Note 7 3 2 25 2" xfId="43064" xr:uid="{C6E46C47-5DD5-4963-B39D-B7A8E30C5712}"/>
    <cellStyle name="Note 7 3 2 26" xfId="30778" xr:uid="{35410DA2-341B-4132-AEDD-415C013A27C4}"/>
    <cellStyle name="Note 7 3 2 26 2" xfId="47719" xr:uid="{DD118A5F-E9A7-40DE-9EED-1C82201D2F76}"/>
    <cellStyle name="Note 7 3 2 27" xfId="30000" xr:uid="{C3461009-15EE-4F69-AD9C-709986614E2C}"/>
    <cellStyle name="Note 7 3 2 27 2" xfId="47242" xr:uid="{E6DA2150-C79A-4104-A196-48100325868F}"/>
    <cellStyle name="Note 7 3 2 28" xfId="6593" xr:uid="{2225CF9E-2EB7-4A48-AC67-832824E732B3}"/>
    <cellStyle name="Note 7 3 2 3" xfId="9435" xr:uid="{AAAE24B1-B6DF-4C50-A2BA-4652EFAE61C5}"/>
    <cellStyle name="Note 7 3 2 3 2" xfId="33418" xr:uid="{743E43B1-8527-4B0B-8036-5BA826DF0FFD}"/>
    <cellStyle name="Note 7 3 2 4" xfId="7624" xr:uid="{0C3E5CE1-9987-4673-9C67-0C6E63A44609}"/>
    <cellStyle name="Note 7 3 2 4 2" xfId="31924" xr:uid="{06C4AAD8-1EDB-4263-8DA2-B359A19BC69C}"/>
    <cellStyle name="Note 7 3 2 5" xfId="8735" xr:uid="{7666DEAB-7A84-4616-A7B6-AFDDFC10FE55}"/>
    <cellStyle name="Note 7 3 2 5 2" xfId="32864" xr:uid="{AA3F1231-F5C3-4E13-989C-9E5B8D169CEF}"/>
    <cellStyle name="Note 7 3 2 6" xfId="15016" xr:uid="{7C651688-B4BA-4314-8F94-9670A87B4B34}"/>
    <cellStyle name="Note 7 3 2 6 2" xfId="36874" xr:uid="{BA2B27EF-3C0F-4115-976B-59DD4C5CC474}"/>
    <cellStyle name="Note 7 3 2 7" xfId="8374" xr:uid="{3D3B4B87-4DC9-43A4-9C12-36E24EBB550B}"/>
    <cellStyle name="Note 7 3 2 7 2" xfId="32589" xr:uid="{E2824984-8A72-4EB0-845A-43305D8B2550}"/>
    <cellStyle name="Note 7 3 2 8" xfId="14829" xr:uid="{9FDA7638-ACC4-4E10-9D60-B71EBA48322B}"/>
    <cellStyle name="Note 7 3 2 8 2" xfId="36704" xr:uid="{7DE4C560-F57A-4925-9BA7-19D4332F2468}"/>
    <cellStyle name="Note 7 3 2 9" xfId="14257" xr:uid="{C0A2522F-E98A-4D70-8AD0-7DD38D8B3A61}"/>
    <cellStyle name="Note 7 3 2 9 2" xfId="36310" xr:uid="{1DE20542-E633-4BDD-87C7-B07E0C21BD10}"/>
    <cellStyle name="Note 7 3 20" xfId="25759" xr:uid="{D2316AFB-AB0C-40AC-B0D6-026366BDE4C5}"/>
    <cellStyle name="Note 7 3 20 2" xfId="44596" xr:uid="{5CFC434C-1108-4367-A26C-27439676EE69}"/>
    <cellStyle name="Note 7 3 21" xfId="15738" xr:uid="{4267EE64-8177-4A4C-A596-4DD32625C8DD}"/>
    <cellStyle name="Note 7 3 21 2" xfId="37367" xr:uid="{B134958F-B763-424F-842D-8F4848C91565}"/>
    <cellStyle name="Note 7 3 22" xfId="18549" xr:uid="{AFFE73DD-A260-4E58-849A-6357C8185C65}"/>
    <cellStyle name="Note 7 3 22 2" xfId="39495" xr:uid="{5C9051ED-A930-4A08-AD2D-9C8661DF7032}"/>
    <cellStyle name="Note 7 3 23" xfId="29302" xr:uid="{6B6DE6EE-2810-49F5-8277-F23C623BE7DC}"/>
    <cellStyle name="Note 7 3 23 2" xfId="46795" xr:uid="{78BDF8B3-58BD-43D8-8D9A-BE15019A33FB}"/>
    <cellStyle name="Note 7 3 24" xfId="28573" xr:uid="{CC8BBF9A-FCA3-42D0-A746-1D0655C49372}"/>
    <cellStyle name="Note 7 3 24 2" xfId="46308" xr:uid="{C5F26347-D858-4962-9D91-46C96D328A62}"/>
    <cellStyle name="Note 7 3 25" xfId="23838" xr:uid="{E376B084-1562-4F90-8A7F-6815FFCABF21}"/>
    <cellStyle name="Note 7 3 25 2" xfId="43227" xr:uid="{87EF0688-AE63-4D58-A899-360488020B36}"/>
    <cellStyle name="Note 7 3 26" xfId="28875" xr:uid="{57898F5C-433D-4200-BC3C-46130906755F}"/>
    <cellStyle name="Note 7 3 26 2" xfId="46490" xr:uid="{DFD8214B-6E87-4319-93F7-0389BE1DE6C8}"/>
    <cellStyle name="Note 7 3 27" xfId="24886" xr:uid="{8D67FBE1-0632-4E51-8C69-AF4A249E8F5A}"/>
    <cellStyle name="Note 7 3 27 2" xfId="43982" xr:uid="{D552F75A-9CA4-4ACA-A808-CCD35AD6F8FA}"/>
    <cellStyle name="Note 7 3 28" xfId="30054" xr:uid="{5C837900-2CB6-41D7-B29E-545E63D30E5D}"/>
    <cellStyle name="Note 7 3 28 2" xfId="47268" xr:uid="{B377EEF8-6238-4376-A06B-348852190871}"/>
    <cellStyle name="Note 7 3 29" xfId="6592" xr:uid="{843668E8-83D1-4355-90F1-8448FA93B15E}"/>
    <cellStyle name="Note 7 3 3" xfId="7940" xr:uid="{8D195F40-74CA-4B26-9E8B-742BD39D6938}"/>
    <cellStyle name="Note 7 3 3 2" xfId="32188" xr:uid="{F54179B0-F629-4A58-9758-73B60D937450}"/>
    <cellStyle name="Note 7 3 4" xfId="9468" xr:uid="{0539EEF4-20B4-4DFB-8AC4-BEBF2771907A}"/>
    <cellStyle name="Note 7 3 4 2" xfId="33451" xr:uid="{909A449F-7B50-4C89-8F13-B8F15E52FE87}"/>
    <cellStyle name="Note 7 3 5" xfId="12029" xr:uid="{A1FE1324-E057-4BC4-94B3-616F495C9014}"/>
    <cellStyle name="Note 7 3 5 2" xfId="34587" xr:uid="{A88BA42D-544D-4243-A343-47DB5631A67E}"/>
    <cellStyle name="Note 7 3 6" xfId="8736" xr:uid="{66BA7BCD-2F6D-428C-B995-C954D0C483B2}"/>
    <cellStyle name="Note 7 3 6 2" xfId="32865" xr:uid="{355C228B-55F6-4494-85E0-D7286EB84B66}"/>
    <cellStyle name="Note 7 3 7" xfId="12982" xr:uid="{6EAC12C0-E752-4ADE-9508-CD80A42E23C8}"/>
    <cellStyle name="Note 7 3 7 2" xfId="35330" xr:uid="{E30B6C98-5F6A-4C32-B8E6-6B70CB8A2975}"/>
    <cellStyle name="Note 7 3 8" xfId="8375" xr:uid="{C07486ED-A035-4E16-AD75-829B1EAF391E}"/>
    <cellStyle name="Note 7 3 8 2" xfId="32590" xr:uid="{D3153097-A778-4FE1-A29A-CCD14AC37DC6}"/>
    <cellStyle name="Note 7 3 9" xfId="10589" xr:uid="{5855686E-3CEB-4798-A4CF-EFA9FF071AA1}"/>
    <cellStyle name="Note 7 3 9 2" xfId="34215" xr:uid="{D82B337E-12CF-48CB-AF97-B7447E4D759A}"/>
    <cellStyle name="Note 7 30" xfId="28575" xr:uid="{9FFC3464-2441-44B4-BC55-18F72CF43543}"/>
    <cellStyle name="Note 7 30 2" xfId="46310" xr:uid="{8020B62D-DB95-44AF-AEB3-3E5385C3DE4C}"/>
    <cellStyle name="Note 7 31" xfId="23840" xr:uid="{400991AD-2EB5-4158-AC35-9821B3F1CD65}"/>
    <cellStyle name="Note 7 31 2" xfId="43229" xr:uid="{B3032AD3-43DA-4B5C-9F36-85D55012405D}"/>
    <cellStyle name="Note 7 32" xfId="27869" xr:uid="{3E6CE82F-2BB2-4E49-AE40-F446B1AD808E}"/>
    <cellStyle name="Note 7 32 2" xfId="45941" xr:uid="{322B6A31-BECB-49EC-B50D-7EADA88F431D}"/>
    <cellStyle name="Note 7 33" xfId="22950" xr:uid="{1F6E8E71-B4F9-43DF-881C-5FEE50F266C9}"/>
    <cellStyle name="Note 7 33 2" xfId="42644" xr:uid="{A56EE60D-35AD-4498-BEFA-AC6422ACCB4A}"/>
    <cellStyle name="Note 7 34" xfId="29599" xr:uid="{DE46E59B-7279-460B-B0EF-EBFB768EF65A}"/>
    <cellStyle name="Note 7 34 2" xfId="46994" xr:uid="{22513DE4-03BF-4741-9E9D-3D3A5750D0FC}"/>
    <cellStyle name="Note 7 35" xfId="6587" xr:uid="{0DA47EFC-B341-4DAB-A59C-D1963D79B56B}"/>
    <cellStyle name="Note 7 4" xfId="3081" xr:uid="{2AFCDB59-10DD-4356-9321-A7EB541B2EC4}"/>
    <cellStyle name="Note 7 4 10" xfId="7042" xr:uid="{374CE0D0-C3B7-4B1D-8226-41DFDC0AD0A4}"/>
    <cellStyle name="Note 7 4 10 2" xfId="31409" xr:uid="{4DE77623-3D7C-4254-B35A-574B72D87738}"/>
    <cellStyle name="Note 7 4 11" xfId="12342" xr:uid="{60C0AD9F-F296-4A54-92B8-47F0BFD055AB}"/>
    <cellStyle name="Note 7 4 11 2" xfId="34846" xr:uid="{C7B9E9F0-2ECE-4370-869B-7F14E118EEE3}"/>
    <cellStyle name="Note 7 4 12" xfId="16476" xr:uid="{0457241E-4E4F-4EF5-B8F8-38EA49577FFF}"/>
    <cellStyle name="Note 7 4 12 2" xfId="37969" xr:uid="{A303F271-F4EB-48F8-B3FB-12CF4CE81C7E}"/>
    <cellStyle name="Note 7 4 13" xfId="15642" xr:uid="{4DDCD7AD-74E4-4548-9A31-E6383CAAF1BD}"/>
    <cellStyle name="Note 7 4 13 2" xfId="37300" xr:uid="{0E3DCB4D-625E-4108-80A5-0678EB0A761C}"/>
    <cellStyle name="Note 7 4 14" xfId="9910" xr:uid="{9F259298-0EF2-4469-A9EE-753F58E822A4}"/>
    <cellStyle name="Note 7 4 14 2" xfId="33655" xr:uid="{C807647E-627E-4594-988A-75FBF7AD18AB}"/>
    <cellStyle name="Note 7 4 15" xfId="15709" xr:uid="{5D70DDA3-7C85-4B79-893C-42D1350C2A3F}"/>
    <cellStyle name="Note 7 4 15 2" xfId="37340" xr:uid="{72922CE6-C7E6-45F9-B714-DCBEE029B9B3}"/>
    <cellStyle name="Note 7 4 16" xfId="13212" xr:uid="{978CBE69-C33F-4C0F-9C32-0720EE50D72F}"/>
    <cellStyle name="Note 7 4 16 2" xfId="35560" xr:uid="{4834ECFB-4B80-49E4-B095-061F663F2A34}"/>
    <cellStyle name="Note 7 4 17" xfId="17008" xr:uid="{7A2CBBED-72F9-4F56-B453-18DE01824C86}"/>
    <cellStyle name="Note 7 4 17 2" xfId="38368" xr:uid="{2F3177AA-F73D-4A1B-A87D-7D3BCDC4C794}"/>
    <cellStyle name="Note 7 4 18" xfId="15793" xr:uid="{C933ACAA-4332-4E53-941B-C735D8B58B78}"/>
    <cellStyle name="Note 7 4 18 2" xfId="37408" xr:uid="{FD88BBE0-BDA7-477B-89C1-899F0FE8DF5B}"/>
    <cellStyle name="Note 7 4 19" xfId="25050" xr:uid="{81F149AD-8CD0-4445-8D7C-7905A48902DF}"/>
    <cellStyle name="Note 7 4 19 2" xfId="44080" xr:uid="{B8B4C453-FCFC-4B3D-9808-84B75C49A676}"/>
    <cellStyle name="Note 7 4 2" xfId="3082" xr:uid="{DF3DDE7A-AB10-48F2-AA84-DEBE8A7E7409}"/>
    <cellStyle name="Note 7 4 2 10" xfId="15541" xr:uid="{ABE15CD8-3FD2-4BE6-8DE0-42542493DC68}"/>
    <cellStyle name="Note 7 4 2 10 2" xfId="37206" xr:uid="{2F9ED4FA-239B-4D3E-9A49-EE4010276B3B}"/>
    <cellStyle name="Note 7 4 2 11" xfId="15893" xr:uid="{5FA32FC3-8E06-4A21-AFD6-91DD540E3C49}"/>
    <cellStyle name="Note 7 4 2 11 2" xfId="37484" xr:uid="{B5BDED56-59D7-4BB0-ADB6-571286252E63}"/>
    <cellStyle name="Note 7 4 2 12" xfId="17382" xr:uid="{8EB2B08B-F3C0-4088-890F-6539372F80F2}"/>
    <cellStyle name="Note 7 4 2 12 2" xfId="38629" xr:uid="{23325FA4-F07E-4741-A94D-7311A1719F5B}"/>
    <cellStyle name="Note 7 4 2 13" xfId="9911" xr:uid="{64F02B0A-5D0C-4CAC-9DEC-33EAECDE817E}"/>
    <cellStyle name="Note 7 4 2 13 2" xfId="33656" xr:uid="{139C618E-9444-4162-9E12-019D3F9C0690}"/>
    <cellStyle name="Note 7 4 2 14" xfId="21578" xr:uid="{26F641A2-1D9C-4961-95AD-92257417DC5B}"/>
    <cellStyle name="Note 7 4 2 14 2" xfId="41662" xr:uid="{7148F9AE-BBA2-4944-AD5F-F1231B1EEAD6}"/>
    <cellStyle name="Note 7 4 2 15" xfId="10244" xr:uid="{FDF22C5F-BB64-4E83-957B-D096112025BB}"/>
    <cellStyle name="Note 7 4 2 15 2" xfId="33879" xr:uid="{858A9AD6-469B-4A98-B52B-A38E1C223AB6}"/>
    <cellStyle name="Note 7 4 2 16" xfId="22532" xr:uid="{DE5F6334-E093-4839-82C9-8F36AA0873CB}"/>
    <cellStyle name="Note 7 4 2 16 2" xfId="42331" xr:uid="{1F9FB6C2-CFFB-4CEA-86CF-485BE9211FAC}"/>
    <cellStyle name="Note 7 4 2 17" xfId="18234" xr:uid="{B6D1A00B-E885-47FC-B5F5-36E37FE6F10F}"/>
    <cellStyle name="Note 7 4 2 17 2" xfId="39266" xr:uid="{425E6447-F0E2-4119-BB20-E7AC95E0FA5C}"/>
    <cellStyle name="Note 7 4 2 18" xfId="19101" xr:uid="{E3D0C82C-DB91-4A90-AD10-3DF5A7592326}"/>
    <cellStyle name="Note 7 4 2 18 2" xfId="39912" xr:uid="{1CB1B156-A4CE-46D5-9382-8DA7239F1F43}"/>
    <cellStyle name="Note 7 4 2 19" xfId="20132" xr:uid="{4DE8F4A5-8DF5-4AA5-B26D-BC6FE0E021E0}"/>
    <cellStyle name="Note 7 4 2 19 2" xfId="40640" xr:uid="{E214F034-612B-45AE-8AC9-296B0BC1761D}"/>
    <cellStyle name="Note 7 4 2 2" xfId="7937" xr:uid="{50BA0DA4-D3C2-4639-A53E-D1E098D2A5A9}"/>
    <cellStyle name="Note 7 4 2 2 2" xfId="32185" xr:uid="{EB088A31-C35B-457C-86F9-CB305422BD4E}"/>
    <cellStyle name="Note 7 4 2 20" xfId="27389" xr:uid="{77424A39-72D5-4A77-B7DA-DCF66CEBAE38}"/>
    <cellStyle name="Note 7 4 2 20 2" xfId="45646" xr:uid="{8D6B724C-A288-4504-AD31-555FD5DC9EB9}"/>
    <cellStyle name="Note 7 4 2 21" xfId="25362" xr:uid="{9904E899-1D45-4F6D-971B-B30ACD737410}"/>
    <cellStyle name="Note 7 4 2 21 2" xfId="44278" xr:uid="{DFEF210E-1BB7-4351-B5C8-2259725CCAE8}"/>
    <cellStyle name="Note 7 4 2 22" xfId="29301" xr:uid="{A90BD400-AE5C-4220-94A6-4F468CAF831E}"/>
    <cellStyle name="Note 7 4 2 22 2" xfId="46794" xr:uid="{2B310A75-4427-4574-8875-7C7840E01EA3}"/>
    <cellStyle name="Note 7 4 2 23" xfId="29975" xr:uid="{27A55EE3-3FDC-4DF8-80FE-632D5319CD5D}"/>
    <cellStyle name="Note 7 4 2 23 2" xfId="47228" xr:uid="{A79B9F32-97E0-447C-8E8A-20B8D45E2134}"/>
    <cellStyle name="Note 7 4 2 24" xfId="26269" xr:uid="{B6C6CD0C-77D8-408B-8719-24D0CD8B6730}"/>
    <cellStyle name="Note 7 4 2 24 2" xfId="44978" xr:uid="{EBFF6E99-8029-4333-81F2-06F3486480F9}"/>
    <cellStyle name="Note 7 4 2 25" xfId="25957" xr:uid="{2291BB09-D033-4028-B020-7EDB1A10FA06}"/>
    <cellStyle name="Note 7 4 2 25 2" xfId="44748" xr:uid="{BBD76C1A-A75D-4A73-AA2C-9B51872549E3}"/>
    <cellStyle name="Note 7 4 2 26" xfId="25276" xr:uid="{638AEFA4-3A7D-4E7B-A2E5-CB312833BA0B}"/>
    <cellStyle name="Note 7 4 2 26 2" xfId="44195" xr:uid="{F9815881-70BA-41DB-B408-84D54416F862}"/>
    <cellStyle name="Note 7 4 2 27" xfId="28260" xr:uid="{A450AAD2-95E1-40CA-A09A-5C662AAACF3F}"/>
    <cellStyle name="Note 7 4 2 27 2" xfId="46127" xr:uid="{2B5F2901-EFD9-4891-B921-555D5238AD41}"/>
    <cellStyle name="Note 7 4 2 28" xfId="6595" xr:uid="{9582D278-9E12-4855-829E-22000A22104E}"/>
    <cellStyle name="Note 7 4 2 3" xfId="9437" xr:uid="{2704F98D-EE79-4868-BD2A-C3BE149720E2}"/>
    <cellStyle name="Note 7 4 2 3 2" xfId="33420" xr:uid="{E69E36E0-5FAA-4DFF-AD07-4C2B52195135}"/>
    <cellStyle name="Note 7 4 2 4" xfId="7623" xr:uid="{815E270C-64F7-4BB0-B240-7D1B85709CED}"/>
    <cellStyle name="Note 7 4 2 4 2" xfId="31923" xr:uid="{1570553D-9ABE-497F-8AB3-5DF78FC9F08D}"/>
    <cellStyle name="Note 7 4 2 5" xfId="8733" xr:uid="{5020DF6E-5A65-4CBC-A285-E26662427DB3}"/>
    <cellStyle name="Note 7 4 2 5 2" xfId="32862" xr:uid="{AF06645C-A54D-4910-9DF1-35E47EFE7666}"/>
    <cellStyle name="Note 7 4 2 6" xfId="15015" xr:uid="{4DEDA65E-8799-4E1D-A3CB-DF63FD32AB0C}"/>
    <cellStyle name="Note 7 4 2 6 2" xfId="36873" xr:uid="{3B704024-07CA-4F32-85E4-2D9F85646478}"/>
    <cellStyle name="Note 7 4 2 7" xfId="12105" xr:uid="{100CC1AC-93D5-4C58-9090-89CF3815F580}"/>
    <cellStyle name="Note 7 4 2 7 2" xfId="34654" xr:uid="{D2D19B12-4148-4DAB-B1E1-926F86099866}"/>
    <cellStyle name="Note 7 4 2 8" xfId="10590" xr:uid="{807E3651-1806-4D4A-A72B-DF3B35BCE85B}"/>
    <cellStyle name="Note 7 4 2 8 2" xfId="34216" xr:uid="{AAB55791-7434-4898-B501-2202914FB046}"/>
    <cellStyle name="Note 7 4 2 9" xfId="14256" xr:uid="{E1E3C53A-7F00-471E-82D1-00D44FCF095F}"/>
    <cellStyle name="Note 7 4 2 9 2" xfId="36309" xr:uid="{4DBD43AA-308E-4D9C-8B19-DB23F3765F54}"/>
    <cellStyle name="Note 7 4 20" xfId="24676" xr:uid="{2BEE179C-CE90-43FD-9E5C-0229EFDD8D0C}"/>
    <cellStyle name="Note 7 4 20 2" xfId="43821" xr:uid="{B8EA3E55-4B4D-4866-92F5-18935AE65AA6}"/>
    <cellStyle name="Note 7 4 21" xfId="27379" xr:uid="{42EC93C3-9E0E-4BF2-B2EA-435A3DC6ED35}"/>
    <cellStyle name="Note 7 4 21 2" xfId="45638" xr:uid="{F5176AF9-D6FF-4B45-A6D4-301B18893751}"/>
    <cellStyle name="Note 7 4 22" xfId="24498" xr:uid="{4064607A-4C11-443B-A65D-C208C1EE47CF}"/>
    <cellStyle name="Note 7 4 22 2" xfId="43681" xr:uid="{757A4591-7D60-422B-951C-1AD1D3B1BD27}"/>
    <cellStyle name="Note 7 4 23" xfId="18825" xr:uid="{9D973E1F-7849-4D61-ACF8-61EBCE8ABF92}"/>
    <cellStyle name="Note 7 4 23 2" xfId="39676" xr:uid="{A653BCF3-0270-4220-9B3B-E4E35F5AEBE6}"/>
    <cellStyle name="Note 7 4 24" xfId="30120" xr:uid="{4E75AE65-8C0B-4EB9-BEBE-2BCCD3E505B6}"/>
    <cellStyle name="Note 7 4 24 2" xfId="47293" xr:uid="{18A6D9A7-22BF-404C-81FB-43C938A01AA4}"/>
    <cellStyle name="Note 7 4 25" xfId="22237" xr:uid="{3BFACD19-A163-4D23-BCD2-9275302ADE1A}"/>
    <cellStyle name="Note 7 4 25 2" xfId="42114" xr:uid="{4B26BDA5-78F5-4880-9AAB-D4F613BA910F}"/>
    <cellStyle name="Note 7 4 26" xfId="27867" xr:uid="{270681BD-213E-4FC3-B9CB-50EEFF3B84B8}"/>
    <cellStyle name="Note 7 4 26 2" xfId="45939" xr:uid="{EE86CD20-FB0D-431E-BADF-9336165D6A54}"/>
    <cellStyle name="Note 7 4 27" xfId="22949" xr:uid="{E009ADA1-F363-4BCB-A6FD-B359C77841A1}"/>
    <cellStyle name="Note 7 4 27 2" xfId="42643" xr:uid="{BB459DC8-5FBB-4E2D-88E9-DE0D50AC4F76}"/>
    <cellStyle name="Note 7 4 28" xfId="23748" xr:uid="{D5D22B0C-2693-4ABD-B523-6515231D9013}"/>
    <cellStyle name="Note 7 4 28 2" xfId="43160" xr:uid="{0BD0D61D-CE01-4193-AF0C-9F5E1F121E1B}"/>
    <cellStyle name="Note 7 4 29" xfId="6594" xr:uid="{4B8CC2E3-07E8-4D6B-822E-0D03D889CFC4}"/>
    <cellStyle name="Note 7 4 3" xfId="7938" xr:uid="{77524E9C-E2B5-492C-B30B-1CA8C0318A4A}"/>
    <cellStyle name="Note 7 4 3 2" xfId="32186" xr:uid="{B1D7D9F3-14CB-40A2-962D-CA8FD1DB3157}"/>
    <cellStyle name="Note 7 4 4" xfId="9436" xr:uid="{34A05926-585C-4A50-8902-6B24C1965F0C}"/>
    <cellStyle name="Note 7 4 4 2" xfId="33419" xr:uid="{0D7DAC7D-7948-4BB4-89F0-EA7727B57EB2}"/>
    <cellStyle name="Note 7 4 5" xfId="12028" xr:uid="{BC04BE0A-2327-4855-B29C-5F47A2758A2C}"/>
    <cellStyle name="Note 7 4 5 2" xfId="34586" xr:uid="{6033B56C-C4D7-4CF5-98B4-3F06F8BFEF0F}"/>
    <cellStyle name="Note 7 4 6" xfId="8734" xr:uid="{C83E92CC-CA6E-4494-9DB5-773CC40083D6}"/>
    <cellStyle name="Note 7 4 6 2" xfId="32863" xr:uid="{76E63CC7-8138-4FCD-80AD-F8358BA1741B}"/>
    <cellStyle name="Note 7 4 7" xfId="10491" xr:uid="{5A49D3B6-141E-43FA-BB07-F2966FA25290}"/>
    <cellStyle name="Note 7 4 7 2" xfId="34126" xr:uid="{DDAF50E4-4EE1-44B4-9F71-7A2523F11532}"/>
    <cellStyle name="Note 7 4 8" xfId="12093" xr:uid="{D04317C5-4982-473C-ACD1-66D543A2308F}"/>
    <cellStyle name="Note 7 4 8 2" xfId="34650" xr:uid="{C023C235-BA82-414A-A123-30D26CA0BB6A}"/>
    <cellStyle name="Note 7 4 9" xfId="14828" xr:uid="{468E3460-922A-490D-A126-8668364DAD53}"/>
    <cellStyle name="Note 7 4 9 2" xfId="36703" xr:uid="{F1DF3B72-F8BF-4397-BCF9-06156D94DF3E}"/>
    <cellStyle name="Note 7 5" xfId="3083" xr:uid="{DCE2AC5D-5834-4C3B-930F-C1AF7CEF1705}"/>
    <cellStyle name="Note 7 5 10" xfId="7041" xr:uid="{6EB507B9-A8CE-4ECF-B1EA-52D2319EE3EA}"/>
    <cellStyle name="Note 7 5 10 2" xfId="31408" xr:uid="{7E712C14-67E6-4D56-8FDC-245139786A68}"/>
    <cellStyle name="Note 7 5 11" xfId="14622" xr:uid="{DE7DE6B3-B9F8-4A2F-8F1F-130ECD1ABF73}"/>
    <cellStyle name="Note 7 5 11 2" xfId="36534" xr:uid="{F0670429-F91E-4932-BA5C-8A624D630214}"/>
    <cellStyle name="Note 7 5 12" xfId="16475" xr:uid="{D4507788-1487-46F9-9742-6AA7235A1529}"/>
    <cellStyle name="Note 7 5 12 2" xfId="37968" xr:uid="{345838DC-DA38-4D1D-8002-95640501B6D9}"/>
    <cellStyle name="Note 7 5 13" xfId="16039" xr:uid="{E0576C07-E7B7-4FB8-B8A9-3153ABFCDB20}"/>
    <cellStyle name="Note 7 5 13 2" xfId="37622" xr:uid="{8066BE64-C7C4-43A3-8E61-C3BDEDAB9BCE}"/>
    <cellStyle name="Note 7 5 14" xfId="9912" xr:uid="{88E3D55E-EAA7-44F4-8F46-27BC4C6E1917}"/>
    <cellStyle name="Note 7 5 14 2" xfId="33657" xr:uid="{536F6E1C-7547-4A01-B9D8-957DC15F5BA2}"/>
    <cellStyle name="Note 7 5 15" xfId="17933" xr:uid="{C6D70E1D-2433-4210-8A2F-E6FA7D636C88}"/>
    <cellStyle name="Note 7 5 15 2" xfId="39031" xr:uid="{13BE9E4B-3639-4833-9553-F176D5B79811}"/>
    <cellStyle name="Note 7 5 16" xfId="13211" xr:uid="{A0130EE9-43E6-4AC9-B15E-9C3BC57AFA14}"/>
    <cellStyle name="Note 7 5 16 2" xfId="35559" xr:uid="{841033C5-614E-46E8-AA9B-69686A24EB55}"/>
    <cellStyle name="Note 7 5 17" xfId="21379" xr:uid="{F0267FBF-9440-4C6F-A822-C733328EC049}"/>
    <cellStyle name="Note 7 5 17 2" xfId="41508" xr:uid="{4317C05D-4368-4B6B-955C-B8B39D305A9D}"/>
    <cellStyle name="Note 7 5 18" xfId="16272" xr:uid="{DC21A3E2-BA5F-40D4-8989-969850C415A9}"/>
    <cellStyle name="Note 7 5 18 2" xfId="37809" xr:uid="{EA8EE9D0-EA33-4E26-9532-599A6D4B0CC1}"/>
    <cellStyle name="Note 7 5 19" xfId="13611" xr:uid="{A988BB70-AAC7-4805-93D2-D81D865E4400}"/>
    <cellStyle name="Note 7 5 19 2" xfId="35779" xr:uid="{0A62A538-58A2-425E-BB15-63BBC614EE6C}"/>
    <cellStyle name="Note 7 5 2" xfId="3084" xr:uid="{080A0F00-670B-434F-B0A7-FC0DA2A4D7C8}"/>
    <cellStyle name="Note 7 5 2 10" xfId="13812" xr:uid="{9600D5AD-8838-48AA-BF2F-B9466D30E0D4}"/>
    <cellStyle name="Note 7 5 2 10 2" xfId="35937" xr:uid="{DB715294-BC8B-4075-9CA3-65D3D61D7A7D}"/>
    <cellStyle name="Note 7 5 2 11" xfId="12817" xr:uid="{BA482128-93E4-4ED2-8DFF-803FC4B079A9}"/>
    <cellStyle name="Note 7 5 2 11 2" xfId="35206" xr:uid="{A8EFB11C-8AA4-40CA-AC28-D88690971576}"/>
    <cellStyle name="Note 7 5 2 12" xfId="17381" xr:uid="{AD0485D6-F52E-4CCC-9F03-D59595ADB0A8}"/>
    <cellStyle name="Note 7 5 2 12 2" xfId="38628" xr:uid="{E518F8AB-7AC8-472B-A3E2-1724F9457AC3}"/>
    <cellStyle name="Note 7 5 2 13" xfId="9913" xr:uid="{6AC2CB98-6869-4B12-99F2-B4A1758BD97A}"/>
    <cellStyle name="Note 7 5 2 13 2" xfId="33658" xr:uid="{6302707E-403D-4F59-8598-EFB4EE1F65AB}"/>
    <cellStyle name="Note 7 5 2 14" xfId="21577" xr:uid="{A7188B81-2AD3-4AC6-B436-AC5B84B977AF}"/>
    <cellStyle name="Note 7 5 2 14 2" xfId="41661" xr:uid="{8B53F53C-7395-40A9-95B6-6C4D467E71EE}"/>
    <cellStyle name="Note 7 5 2 15" xfId="10245" xr:uid="{AF7D5479-D552-4BB6-A142-6A727578527C}"/>
    <cellStyle name="Note 7 5 2 15 2" xfId="33880" xr:uid="{6BC30C80-1F95-4D98-99E9-D603219C6D87}"/>
    <cellStyle name="Note 7 5 2 16" xfId="19594" xr:uid="{4E207E24-F857-4BCE-A2CF-5442242478F1}"/>
    <cellStyle name="Note 7 5 2 16 2" xfId="40234" xr:uid="{A397E65B-8AAF-4F81-A35F-59421750D914}"/>
    <cellStyle name="Note 7 5 2 17" xfId="18233" xr:uid="{D1142C3B-B838-4904-BFA4-3ADBE8276DB3}"/>
    <cellStyle name="Note 7 5 2 17 2" xfId="39265" xr:uid="{9B260017-4AA2-4BA7-8597-738901B27CFF}"/>
    <cellStyle name="Note 7 5 2 18" xfId="26570" xr:uid="{63D90D0E-D2E6-4407-9FB6-CFE68BA75046}"/>
    <cellStyle name="Note 7 5 2 18 2" xfId="45136" xr:uid="{6097EAA8-FA5E-4F64-9FD9-17924C3D4B5A}"/>
    <cellStyle name="Note 7 5 2 19" xfId="25186" xr:uid="{395C99CC-3B0D-42DF-86C5-66DE3933A6C6}"/>
    <cellStyle name="Note 7 5 2 19 2" xfId="44128" xr:uid="{07ECF117-8D19-49B3-98BA-347A89D9F98D}"/>
    <cellStyle name="Note 7 5 2 2" xfId="7935" xr:uid="{8EA01468-77E8-4175-8EA0-CCA81DCA5F48}"/>
    <cellStyle name="Note 7 5 2 2 2" xfId="32183" xr:uid="{187B0B42-8D13-46F6-98FC-F2EA1D72A903}"/>
    <cellStyle name="Note 7 5 2 20" xfId="18008" xr:uid="{CF9B28A9-F41A-44BB-97BE-205388CB157D}"/>
    <cellStyle name="Note 7 5 2 20 2" xfId="39104" xr:uid="{3FA9C12E-C7F7-47F7-A922-1BCA55A33FBB}"/>
    <cellStyle name="Note 7 5 2 21" xfId="23442" xr:uid="{9711AEA0-F6A9-45F9-AD67-B860019C81C8}"/>
    <cellStyle name="Note 7 5 2 21 2" xfId="42948" xr:uid="{592A0771-0367-4EEB-A7F9-7C6E2F03662C}"/>
    <cellStyle name="Note 7 5 2 22" xfId="26718" xr:uid="{65F4E0A1-38FC-460F-B6C1-2BE8ECA27CF4}"/>
    <cellStyle name="Note 7 5 2 22 2" xfId="45256" xr:uid="{C8B8DDF5-C73D-49F9-BBDE-528E09AE7D1C}"/>
    <cellStyle name="Note 7 5 2 23" xfId="25667" xr:uid="{1F503AFB-EF80-44FC-A4A0-F1F610E221F2}"/>
    <cellStyle name="Note 7 5 2 23 2" xfId="44511" xr:uid="{949E0945-7869-44EE-8600-DDD5F55039D9}"/>
    <cellStyle name="Note 7 5 2 24" xfId="26268" xr:uid="{3180C2B0-4BB7-4537-83B3-C5E7E4AA17F0}"/>
    <cellStyle name="Note 7 5 2 24 2" xfId="44977" xr:uid="{BC3EADF5-B3D0-49CD-BE89-33EE97F3F022}"/>
    <cellStyle name="Note 7 5 2 25" xfId="27866" xr:uid="{E08CB093-B68B-4535-842E-30D891F0BD81}"/>
    <cellStyle name="Note 7 5 2 25 2" xfId="45938" xr:uid="{76C66163-CE17-4726-95A4-10EC00C17FEF}"/>
    <cellStyle name="Note 7 5 2 26" xfId="25375" xr:uid="{38FFFC24-128C-4617-BA2F-1FD2846F0B35}"/>
    <cellStyle name="Note 7 5 2 26 2" xfId="44289" xr:uid="{F2B13F38-2707-4CA3-A400-01EF7EBFFF6E}"/>
    <cellStyle name="Note 7 5 2 27" xfId="27520" xr:uid="{00BE63F2-3D89-4109-8067-1322E055C8E0}"/>
    <cellStyle name="Note 7 5 2 27 2" xfId="45714" xr:uid="{D99E6019-DF40-44A7-82FB-E58D8598F9B4}"/>
    <cellStyle name="Note 7 5 2 28" xfId="6597" xr:uid="{D885B594-0793-429E-B8B9-94AF9581A367}"/>
    <cellStyle name="Note 7 5 2 3" xfId="9439" xr:uid="{40AE316C-3267-42FB-BEDD-B67757318F97}"/>
    <cellStyle name="Note 7 5 2 3 2" xfId="33422" xr:uid="{BAB505C2-7B46-4359-B51A-67DFBB4DFBCD}"/>
    <cellStyle name="Note 7 5 2 4" xfId="7622" xr:uid="{2CA2E0DD-489D-4465-AB0A-40573E162979}"/>
    <cellStyle name="Note 7 5 2 4 2" xfId="31922" xr:uid="{78309F88-EBA9-4AC4-BE48-63ED18EEF061}"/>
    <cellStyle name="Note 7 5 2 5" xfId="8731" xr:uid="{B9EC43A2-22A9-49E5-8B5E-D9315B4C04F6}"/>
    <cellStyle name="Note 7 5 2 5 2" xfId="32860" xr:uid="{B6FA971F-D05B-4B66-900A-0D34A33A8450}"/>
    <cellStyle name="Note 7 5 2 6" xfId="15014" xr:uid="{F51550E1-10D4-45C6-BA0D-A10AFD177945}"/>
    <cellStyle name="Note 7 5 2 6 2" xfId="36872" xr:uid="{675BBA77-FC62-4731-A358-4C5DBEA30351}"/>
    <cellStyle name="Note 7 5 2 7" xfId="8373" xr:uid="{539BCFE4-CD55-45C7-AB18-AEDFAFB0ABB9}"/>
    <cellStyle name="Note 7 5 2 7 2" xfId="32588" xr:uid="{A7BC6C9E-EB61-4C42-B5CF-E7EFF31ADACC}"/>
    <cellStyle name="Note 7 5 2 8" xfId="12897" xr:uid="{5885997C-23FC-41F4-B8D3-C825DAEFE4B8}"/>
    <cellStyle name="Note 7 5 2 8 2" xfId="35253" xr:uid="{263D7558-7E23-432D-B0A4-761D41BDA8F0}"/>
    <cellStyle name="Note 7 5 2 9" xfId="7010" xr:uid="{972963AC-C4BC-4F00-98F6-770CA527D21B}"/>
    <cellStyle name="Note 7 5 2 9 2" xfId="31377" xr:uid="{F28872FE-FF3D-4CB9-8F5F-EC3F2CD29F57}"/>
    <cellStyle name="Note 7 5 20" xfId="22848" xr:uid="{C489E454-31B6-43BF-8031-BBA8A573BA86}"/>
    <cellStyle name="Note 7 5 20 2" xfId="42566" xr:uid="{3661A07B-F7D1-4ED2-BAA7-3D323B7FE5A6}"/>
    <cellStyle name="Note 7 5 21" xfId="27387" xr:uid="{58DF251D-62CC-45AB-9D40-7D8CD40249E9}"/>
    <cellStyle name="Note 7 5 21 2" xfId="45644" xr:uid="{CCB7B808-775A-466F-AB39-37CD92ED2B53}"/>
    <cellStyle name="Note 7 5 22" xfId="22271" xr:uid="{42E67C4D-E9BA-4D2C-97A9-FDEA5143D1C3}"/>
    <cellStyle name="Note 7 5 22 2" xfId="42136" xr:uid="{82999E2B-2071-44E2-9149-EE1E79149A6B}"/>
    <cellStyle name="Note 7 5 23" xfId="20495" xr:uid="{CFDDB97A-CBC9-4EA3-BEDD-D9CD6E22A522}"/>
    <cellStyle name="Note 7 5 23 2" xfId="40885" xr:uid="{5E852BBE-6523-4028-B544-C98E3B0F9DEF}"/>
    <cellStyle name="Note 7 5 24" xfId="30121" xr:uid="{DCCB1353-4E9D-494C-9236-9C25BA37A339}"/>
    <cellStyle name="Note 7 5 24 2" xfId="47294" xr:uid="{01A22E84-B5A2-47BB-B5F2-1289EF9F9001}"/>
    <cellStyle name="Note 7 5 25" xfId="23837" xr:uid="{F0B622D0-7789-4416-97F9-EB79021E22D2}"/>
    <cellStyle name="Note 7 5 25 2" xfId="43226" xr:uid="{E71FD507-EDA5-41D7-86EA-21A0B6990A1F}"/>
    <cellStyle name="Note 7 5 26" xfId="21937" xr:uid="{B74A32F8-001E-4DDD-980D-FA2CD27B4AC4}"/>
    <cellStyle name="Note 7 5 26 2" xfId="41851" xr:uid="{3A68F18A-E2C1-4855-B8F4-3C524D81F17C}"/>
    <cellStyle name="Note 7 5 27" xfId="22939" xr:uid="{89361CA2-54CA-44C3-A8DA-2503056E8395}"/>
    <cellStyle name="Note 7 5 27 2" xfId="42642" xr:uid="{85CEA4D1-F581-4100-A121-502A604A09D1}"/>
    <cellStyle name="Note 7 5 28" xfId="29216" xr:uid="{E53BF5A6-CE06-4455-B304-69FA45F30BA7}"/>
    <cellStyle name="Note 7 5 28 2" xfId="46742" xr:uid="{96CD4221-9BF4-4EBA-940D-3F20A5D2ACE5}"/>
    <cellStyle name="Note 7 5 29" xfId="6596" xr:uid="{9A453FD6-2DE9-4680-AF34-721BECAE4952}"/>
    <cellStyle name="Note 7 5 3" xfId="7936" xr:uid="{3433099A-2D95-476E-BCB2-F86D2D0AD2FE}"/>
    <cellStyle name="Note 7 5 3 2" xfId="32184" xr:uid="{EB180531-C25C-4EF4-BF83-FBA87BCAC408}"/>
    <cellStyle name="Note 7 5 4" xfId="9438" xr:uid="{267BDFCD-0014-423A-A6AA-86E7D3A031D0}"/>
    <cellStyle name="Note 7 5 4 2" xfId="33421" xr:uid="{4D621B1F-63E5-42FB-B899-790619036575}"/>
    <cellStyle name="Note 7 5 5" xfId="12027" xr:uid="{01B279BC-8B3F-49F9-A1C1-028C7BEF9DCB}"/>
    <cellStyle name="Note 7 5 5 2" xfId="34585" xr:uid="{4C5AE331-3EF3-43B6-93A1-1C32CA9A82B5}"/>
    <cellStyle name="Note 7 5 6" xfId="8732" xr:uid="{3962C110-099A-411E-92FE-0FC8F5720441}"/>
    <cellStyle name="Note 7 5 6 2" xfId="32861" xr:uid="{BA616DE4-67D6-4EE2-96D5-C8AAD4ABE672}"/>
    <cellStyle name="Note 7 5 7" xfId="12981" xr:uid="{27FF879A-5534-4FB8-A0B9-F73B60C3BA5C}"/>
    <cellStyle name="Note 7 5 7 2" xfId="35329" xr:uid="{184A8E7B-125F-4717-ABFE-92CE0CA248FE}"/>
    <cellStyle name="Note 7 5 8" xfId="12102" xr:uid="{056C4695-9F85-4CBC-9935-1F8A77AA3143}"/>
    <cellStyle name="Note 7 5 8 2" xfId="34651" xr:uid="{6AB31500-5376-4528-82E6-7BFFF61CA5FB}"/>
    <cellStyle name="Note 7 5 9" xfId="14827" xr:uid="{25BFDE28-96D8-4B16-9274-8AEDCC748099}"/>
    <cellStyle name="Note 7 5 9 2" xfId="36702" xr:uid="{4D52CDCF-5C47-4BC4-9019-9580E9C51FE1}"/>
    <cellStyle name="Note 7 6" xfId="3085" xr:uid="{5CCA157A-B1A8-4ACC-A390-F2DB03CF82A7}"/>
    <cellStyle name="Note 7 6 10" xfId="14255" xr:uid="{EC280469-DB65-4895-AFD4-3C3E34064E6A}"/>
    <cellStyle name="Note 7 6 10 2" xfId="36308" xr:uid="{795A625B-4117-4628-9F19-3D1A2CC8BF0E}"/>
    <cellStyle name="Note 7 6 11" xfId="12343" xr:uid="{323C5DA0-2747-4F70-AD96-0E39B00E11F4}"/>
    <cellStyle name="Note 7 6 11 2" xfId="34847" xr:uid="{C059D3C4-E4A8-4732-BBF5-6B858AEAFD3F}"/>
    <cellStyle name="Note 7 6 12" xfId="16474" xr:uid="{EC36E457-C635-407D-A004-798E0FFBD429}"/>
    <cellStyle name="Note 7 6 12 2" xfId="37967" xr:uid="{E23E64F4-CC1A-490A-8E2D-5C99AE237443}"/>
    <cellStyle name="Note 7 6 13" xfId="13879" xr:uid="{04C1B4C0-E9F3-484E-81F7-2DFB42C7F0F9}"/>
    <cellStyle name="Note 7 6 13 2" xfId="36002" xr:uid="{3947B564-3C55-4F5E-B2D1-6DC93AA82563}"/>
    <cellStyle name="Note 7 6 14" xfId="9914" xr:uid="{1DC1D4E4-6A14-460B-8376-8C5FDDD9A99B}"/>
    <cellStyle name="Note 7 6 14 2" xfId="33659" xr:uid="{FE3E688F-1839-40FA-A2AB-81561BA498DB}"/>
    <cellStyle name="Note 7 6 15" xfId="19697" xr:uid="{B84BC575-CBFB-4480-9249-6929D175719A}"/>
    <cellStyle name="Note 7 6 15 2" xfId="40314" xr:uid="{EF886F26-8769-4A76-BE33-1E052C816101}"/>
    <cellStyle name="Note 7 6 16" xfId="13210" xr:uid="{527E693C-04E3-4459-9DD0-4B751ADEB73F}"/>
    <cellStyle name="Note 7 6 16 2" xfId="35558" xr:uid="{C06A46E7-A357-4321-9FC1-B8C97D881898}"/>
    <cellStyle name="Note 7 6 17" xfId="19599" xr:uid="{FADA7311-95A2-455A-9D6C-053AA7D08F68}"/>
    <cellStyle name="Note 7 6 17 2" xfId="40239" xr:uid="{84288BB7-7C11-4BA4-A2EB-4631486DF12F}"/>
    <cellStyle name="Note 7 6 18" xfId="12618" xr:uid="{7E065F2F-C7ED-46EC-B5F7-F6BA5C9EE6CD}"/>
    <cellStyle name="Note 7 6 18 2" xfId="35050" xr:uid="{B3D7BE58-E1A4-416B-8CFE-FECE22A3A1A5}"/>
    <cellStyle name="Note 7 6 19" xfId="19102" xr:uid="{8FD660FF-D89B-44D9-869F-3636BA96D55B}"/>
    <cellStyle name="Note 7 6 19 2" xfId="39913" xr:uid="{6DD4B5CA-70D4-4FA7-8636-B1FD077EA62D}"/>
    <cellStyle name="Note 7 6 2" xfId="3086" xr:uid="{CFC81F16-4751-499B-A047-92D49582DD0E}"/>
    <cellStyle name="Note 7 6 2 10" xfId="13829" xr:uid="{8A297712-F185-4CE2-87B7-CBF0332B6E99}"/>
    <cellStyle name="Note 7 6 2 10 2" xfId="35954" xr:uid="{A86B6B6F-5BAF-4DFD-BD96-FA9002ECEB0C}"/>
    <cellStyle name="Note 7 6 2 11" xfId="15892" xr:uid="{C7702946-02EE-4819-8B4A-5E04EE74AC11}"/>
    <cellStyle name="Note 7 6 2 11 2" xfId="37483" xr:uid="{CEF3ADB7-4AD0-42EB-817B-BEF43BBB8A56}"/>
    <cellStyle name="Note 7 6 2 12" xfId="17380" xr:uid="{F2680E16-BFDB-4A21-AB91-35A8B42709B3}"/>
    <cellStyle name="Note 7 6 2 12 2" xfId="38627" xr:uid="{030C0EEA-27D6-40AE-91EE-85D7FCCA79F1}"/>
    <cellStyle name="Note 7 6 2 13" xfId="15956" xr:uid="{9D31D0CF-C495-44B0-B243-C245744FE348}"/>
    <cellStyle name="Note 7 6 2 13 2" xfId="37547" xr:uid="{6B241A8C-6E71-4534-97C1-3522B7F0A20A}"/>
    <cellStyle name="Note 7 6 2 14" xfId="21576" xr:uid="{DC1200C8-4018-494E-BA79-95E3E08B1EE1}"/>
    <cellStyle name="Note 7 6 2 14 2" xfId="41660" xr:uid="{4147474B-3C6A-499C-B5B0-0051354B0CFB}"/>
    <cellStyle name="Note 7 6 2 15" xfId="10246" xr:uid="{5B428C80-7313-4524-841F-73627D59747E}"/>
    <cellStyle name="Note 7 6 2 15 2" xfId="33881" xr:uid="{A5472056-FB23-4DA6-8013-E2C0E9969B87}"/>
    <cellStyle name="Note 7 6 2 16" xfId="22534" xr:uid="{BF5A9C4F-3CF6-4214-BA98-F2D66D6AE6AD}"/>
    <cellStyle name="Note 7 6 2 16 2" xfId="42333" xr:uid="{47A9CF71-D642-4B9B-B16A-E98DAB932EBD}"/>
    <cellStyle name="Note 7 6 2 17" xfId="18232" xr:uid="{2386C507-A341-4D96-AD78-395DED94FC27}"/>
    <cellStyle name="Note 7 6 2 17 2" xfId="39264" xr:uid="{60C10961-7089-4ABA-92FC-81D0D3CBDDAC}"/>
    <cellStyle name="Note 7 6 2 18" xfId="17151" xr:uid="{BAD9DC90-D2F4-4AF1-A877-B27B20644E9A}"/>
    <cellStyle name="Note 7 6 2 18 2" xfId="38480" xr:uid="{CA1BA8E1-F202-4A8D-AB75-AD453244145A}"/>
    <cellStyle name="Note 7 6 2 19" xfId="22847" xr:uid="{27A043C2-8F8A-4AFD-983C-F4AAFE1BD0C0}"/>
    <cellStyle name="Note 7 6 2 19 2" xfId="42565" xr:uid="{071F0E1B-0D17-4152-A7C6-885E39BC187A}"/>
    <cellStyle name="Note 7 6 2 2" xfId="7933" xr:uid="{AC266EAE-2764-4C78-AC65-23D6BF5DDFE6}"/>
    <cellStyle name="Note 7 6 2 2 2" xfId="32181" xr:uid="{48860258-DFEE-4607-90BA-E9C8634F710D}"/>
    <cellStyle name="Note 7 6 2 20" xfId="19868" xr:uid="{711089C1-CB15-4573-80F2-A776B75F946A}"/>
    <cellStyle name="Note 7 6 2 20 2" xfId="40481" xr:uid="{23AE8A3A-5909-4867-8BD2-B7DDD3EA4334}"/>
    <cellStyle name="Note 7 6 2 21" xfId="25363" xr:uid="{240A6346-26D6-4701-A0F9-9737799622F1}"/>
    <cellStyle name="Note 7 6 2 21 2" xfId="44279" xr:uid="{CC0193B0-6D0A-4E1E-8F25-016F8CEE6BAC}"/>
    <cellStyle name="Note 7 6 2 22" xfId="26720" xr:uid="{A7D1298E-1CB2-485B-B547-ABC2F2431D2D}"/>
    <cellStyle name="Note 7 6 2 22 2" xfId="45258" xr:uid="{66E021AE-6FC6-4276-931D-2369075E86FA}"/>
    <cellStyle name="Note 7 6 2 23" xfId="28572" xr:uid="{4D499D5F-FF32-49DF-A7C7-CEDE5C89C412}"/>
    <cellStyle name="Note 7 6 2 23 2" xfId="46307" xr:uid="{07507227-2018-4EFD-9030-05008AADF191}"/>
    <cellStyle name="Note 7 6 2 24" xfId="22235" xr:uid="{DCE8571E-A5D3-4179-BEBF-33C5DE267885}"/>
    <cellStyle name="Note 7 6 2 24 2" xfId="42112" xr:uid="{0524C9BA-81B1-459C-BEED-36580A6A455B}"/>
    <cellStyle name="Note 7 6 2 25" xfId="26452" xr:uid="{4735F40C-998B-4D83-B380-51DCA991AE33}"/>
    <cellStyle name="Note 7 6 2 25 2" xfId="45081" xr:uid="{23AF9454-5C18-4A27-AADC-75297027ABB4}"/>
    <cellStyle name="Note 7 6 2 26" xfId="30571" xr:uid="{74826784-734D-4A85-82E8-548700DD77B2}"/>
    <cellStyle name="Note 7 6 2 26 2" xfId="47521" xr:uid="{AF004DFA-6B78-4C5D-B9CB-47508D473F2B}"/>
    <cellStyle name="Note 7 6 2 27" xfId="26953" xr:uid="{92E88813-63CF-4452-A8FF-DAE833A81B44}"/>
    <cellStyle name="Note 7 6 2 27 2" xfId="45360" xr:uid="{17B14955-C238-4DBA-9E18-9DECB258B073}"/>
    <cellStyle name="Note 7 6 2 28" xfId="6599" xr:uid="{7BF360D0-03F2-45EE-B56B-F2F0F70B8D67}"/>
    <cellStyle name="Note 7 6 2 3" xfId="9441" xr:uid="{54CDAB18-0356-46B9-A711-229676F3789D}"/>
    <cellStyle name="Note 7 6 2 3 2" xfId="33424" xr:uid="{71C5F692-FE9E-4DA9-B949-708A04659A22}"/>
    <cellStyle name="Note 7 6 2 4" xfId="7621" xr:uid="{E0F70CEE-F832-42DD-862B-555B0774B9FD}"/>
    <cellStyle name="Note 7 6 2 4 2" xfId="31921" xr:uid="{07F2436E-53D3-4D9C-BB54-AB644F168071}"/>
    <cellStyle name="Note 7 6 2 5" xfId="8729" xr:uid="{0612E710-88F3-4047-8809-4DEC920944AC}"/>
    <cellStyle name="Note 7 6 2 5 2" xfId="32858" xr:uid="{5FAEF97B-7153-4DFD-B452-41A8660D8203}"/>
    <cellStyle name="Note 7 6 2 6" xfId="15013" xr:uid="{716C99C6-E0F2-4801-B10A-8E2E802BDA0D}"/>
    <cellStyle name="Note 7 6 2 6 2" xfId="36871" xr:uid="{8792A7EE-2B65-4FC1-9EE4-D742A8DB0989}"/>
    <cellStyle name="Note 7 6 2 7" xfId="8371" xr:uid="{1CD9DF5D-DA67-4504-BBAE-BA35B4EA2625}"/>
    <cellStyle name="Note 7 6 2 7 2" xfId="32586" xr:uid="{4AE26370-4E1B-4353-B8B5-D78281C25D10}"/>
    <cellStyle name="Note 7 6 2 8" xfId="14811" xr:uid="{1610C994-C1D9-4D3D-B4A9-A04E894B7CE2}"/>
    <cellStyle name="Note 7 6 2 8 2" xfId="36686" xr:uid="{E218B0DB-5FA7-413E-B134-E89422C692F9}"/>
    <cellStyle name="Note 7 6 2 9" xfId="7040" xr:uid="{668FFE69-BB51-4D0A-8B6C-89C4180EF87A}"/>
    <cellStyle name="Note 7 6 2 9 2" xfId="31407" xr:uid="{52744D1F-995B-4E50-A41D-CE386B458513}"/>
    <cellStyle name="Note 7 6 20" xfId="24674" xr:uid="{4726BA1A-2087-4C15-B8DB-EBD7FB1840C7}"/>
    <cellStyle name="Note 7 6 20 2" xfId="43819" xr:uid="{CBD24C03-1B51-4287-B661-7D458DCD0170}"/>
    <cellStyle name="Note 7 6 21" xfId="12850" xr:uid="{DFB38AC2-9A65-4363-996A-26AA71E6C1E7}"/>
    <cellStyle name="Note 7 6 21 2" xfId="35230" xr:uid="{D419DACE-01FD-4902-9824-A75A0A6B3394}"/>
    <cellStyle name="Note 7 6 22" xfId="25802" xr:uid="{75F46A08-B669-4E36-813E-09420E764152}"/>
    <cellStyle name="Note 7 6 22 2" xfId="44630" xr:uid="{BAF59357-8EF9-447A-9018-EF642195105A}"/>
    <cellStyle name="Note 7 6 23" xfId="29297" xr:uid="{E426EA3D-C681-4DC0-8BE7-6CD306D050C9}"/>
    <cellStyle name="Note 7 6 23 2" xfId="46790" xr:uid="{DE7EF60E-3F84-4237-AFB0-86005FCAA763}"/>
    <cellStyle name="Note 7 6 24" xfId="26098" xr:uid="{64C47CFF-A7BE-42FB-96B5-2F09DB83A4D3}"/>
    <cellStyle name="Note 7 6 24 2" xfId="44841" xr:uid="{E43C4917-8229-45A6-9797-B3836EE174B7}"/>
    <cellStyle name="Note 7 6 25" xfId="20343" xr:uid="{FD0A0C97-481A-41C4-BC1E-9717241F50DE}"/>
    <cellStyle name="Note 7 6 25 2" xfId="40775" xr:uid="{76D29478-820F-44CD-8833-7A763D5D4EAA}"/>
    <cellStyle name="Note 7 6 26" xfId="28803" xr:uid="{3C931C9A-4DD1-42C9-8C96-292202A20C0F}"/>
    <cellStyle name="Note 7 6 26 2" xfId="46475" xr:uid="{EC16B3DE-36A3-4B0D-B640-D715B618C752}"/>
    <cellStyle name="Note 7 6 27" xfId="22263" xr:uid="{2339E80D-FE84-46BC-BAB6-73AFB7CA9DA5}"/>
    <cellStyle name="Note 7 6 27 2" xfId="42129" xr:uid="{CCD06B79-4681-4100-97B2-F314EBD94390}"/>
    <cellStyle name="Note 7 6 28" xfId="25997" xr:uid="{AE2068DF-FD55-4791-8B6A-22386C1B8E68}"/>
    <cellStyle name="Note 7 6 28 2" xfId="44775" xr:uid="{C26BE7F4-2D80-4590-A600-E90D23210D82}"/>
    <cellStyle name="Note 7 6 29" xfId="6598" xr:uid="{AD1DF78F-830E-4072-99C6-0F8B995DC4CE}"/>
    <cellStyle name="Note 7 6 3" xfId="7934" xr:uid="{327B1BC4-812F-40DD-82CD-03473B569DEB}"/>
    <cellStyle name="Note 7 6 3 2" xfId="32182" xr:uid="{2ACAC862-22A0-4BDF-8A1F-062860786196}"/>
    <cellStyle name="Note 7 6 4" xfId="9440" xr:uid="{A8E8FDD9-5F6F-4661-8606-3535EB5EE667}"/>
    <cellStyle name="Note 7 6 4 2" xfId="33423" xr:uid="{A1935DEE-9521-404A-ADE5-D05367FE3816}"/>
    <cellStyle name="Note 7 6 5" xfId="12026" xr:uid="{57B27F43-9AED-4FE5-AE11-C15365335F15}"/>
    <cellStyle name="Note 7 6 5 2" xfId="34584" xr:uid="{2C6F8634-8742-4E37-991B-1A847586ECAF}"/>
    <cellStyle name="Note 7 6 6" xfId="8730" xr:uid="{0DB3D501-AD26-41C6-858D-3984A8D036F9}"/>
    <cellStyle name="Note 7 6 6 2" xfId="32859" xr:uid="{21425A68-B66D-4586-8ACD-2D717601D789}"/>
    <cellStyle name="Note 7 6 7" xfId="10492" xr:uid="{72D8766B-41A1-4286-93E5-A2FDF5259991}"/>
    <cellStyle name="Note 7 6 7 2" xfId="34127" xr:uid="{75AB0FE7-9C7B-46FD-A4FA-AC081542791F}"/>
    <cellStyle name="Note 7 6 8" xfId="8372" xr:uid="{ADD1023E-135A-42D8-914F-DC18D749C5D3}"/>
    <cellStyle name="Note 7 6 8 2" xfId="32587" xr:uid="{B84D2E1E-158C-4789-9F9E-CB1B4E0D1B2A}"/>
    <cellStyle name="Note 7 6 9" xfId="14826" xr:uid="{9AC4C655-183A-4CFC-A4CA-B8E03756569A}"/>
    <cellStyle name="Note 7 6 9 2" xfId="36701" xr:uid="{F02A55B8-A7B8-4BFC-97D9-001781DF409C}"/>
    <cellStyle name="Note 7 7" xfId="3087" xr:uid="{06AE8E70-69C8-4060-B530-7B60E73763C1}"/>
    <cellStyle name="Note 7 7 10" xfId="14254" xr:uid="{E2F3413B-693A-4AE4-9C4A-E9312828297D}"/>
    <cellStyle name="Note 7 7 10 2" xfId="36307" xr:uid="{1B82CEBC-556A-49B4-8EC9-FC2F4D76F84E}"/>
    <cellStyle name="Note 7 7 11" xfId="14621" xr:uid="{0BD678DC-3C2E-4D4E-8FC8-16295E9247AF}"/>
    <cellStyle name="Note 7 7 11 2" xfId="36533" xr:uid="{4701AD18-A0B4-4D53-9582-78C8C0CD1E85}"/>
    <cellStyle name="Note 7 7 12" xfId="16473" xr:uid="{9001241E-3F10-4365-A617-58525AC6BF9C}"/>
    <cellStyle name="Note 7 7 12 2" xfId="37966" xr:uid="{B8C7871B-B6D1-4FA5-AD7B-93CE93DD3355}"/>
    <cellStyle name="Note 7 7 13" xfId="13738" xr:uid="{EF9B29EF-C386-4946-85C4-4BD69D6A756A}"/>
    <cellStyle name="Note 7 7 13 2" xfId="35893" xr:uid="{125901B9-A0FD-4C75-BE30-A1A8FF6AC521}"/>
    <cellStyle name="Note 7 7 14" xfId="16171" xr:uid="{67B22713-8855-456F-9258-E6F2D4D717F8}"/>
    <cellStyle name="Note 7 7 14 2" xfId="37731" xr:uid="{B3A814A6-2A83-400E-8B66-CCF5C15AA0BA}"/>
    <cellStyle name="Note 7 7 15" xfId="12879" xr:uid="{3037E879-D7B5-4A95-9CCD-E3AE26D95CDB}"/>
    <cellStyle name="Note 7 7 15 2" xfId="35239" xr:uid="{2CC3C39A-4F38-4041-A9B2-6765B040E4E4}"/>
    <cellStyle name="Note 7 7 16" xfId="13209" xr:uid="{3FF0E744-C04B-4797-88FC-866CADFBC002}"/>
    <cellStyle name="Note 7 7 16 2" xfId="35557" xr:uid="{A898D62F-2925-4A19-9153-9DAB797E042E}"/>
    <cellStyle name="Note 7 7 17" xfId="21378" xr:uid="{5C492D03-5368-4C15-810F-C0F10603B67D}"/>
    <cellStyle name="Note 7 7 17 2" xfId="41507" xr:uid="{82CE72E5-D5D8-4057-8266-9924D1D0B3C7}"/>
    <cellStyle name="Note 7 7 18" xfId="16271" xr:uid="{DB9F19CA-3271-42EF-9929-791DB583A30B}"/>
    <cellStyle name="Note 7 7 18 2" xfId="37808" xr:uid="{8CDB3EC1-E66D-4D5E-90DF-B6FE1597247D}"/>
    <cellStyle name="Note 7 7 19" xfId="19103" xr:uid="{BB849E6A-7594-4CE0-BB62-3E4BA21A9993}"/>
    <cellStyle name="Note 7 7 19 2" xfId="39914" xr:uid="{B5C8A453-7AA7-4E4B-B742-24E4E70BCE5D}"/>
    <cellStyle name="Note 7 7 2" xfId="3088" xr:uid="{3B4285D8-80AE-4194-B407-4C45DE5FEDD9}"/>
    <cellStyle name="Note 7 7 2 10" xfId="15542" xr:uid="{12D6EE6A-437F-4965-B0A5-FBB2C752C8A4}"/>
    <cellStyle name="Note 7 7 2 10 2" xfId="37207" xr:uid="{DA8C348D-2A06-4CA3-B990-838A164EE1C8}"/>
    <cellStyle name="Note 7 7 2 11" xfId="20008" xr:uid="{DD87F77B-201F-4B2C-B890-0426BA229BB7}"/>
    <cellStyle name="Note 7 7 2 11 2" xfId="40576" xr:uid="{8FBF2297-768B-497D-86E7-ECBE047DBDF9}"/>
    <cellStyle name="Note 7 7 2 12" xfId="17379" xr:uid="{730ED174-44B5-4D15-AF0E-329DD9CF51F1}"/>
    <cellStyle name="Note 7 7 2 12 2" xfId="38626" xr:uid="{C932CD19-07CA-4F4F-8F15-34A4BED49FAD}"/>
    <cellStyle name="Note 7 7 2 13" xfId="15917" xr:uid="{C44991BB-D1F0-4F71-8ABF-C985D35A7C77}"/>
    <cellStyle name="Note 7 7 2 13 2" xfId="37508" xr:uid="{66486E8C-DDC8-4FCF-A491-20504CE8AA81}"/>
    <cellStyle name="Note 7 7 2 14" xfId="21575" xr:uid="{FF5CEF9E-6001-4E9F-983B-2E03B7D68D0E}"/>
    <cellStyle name="Note 7 7 2 14 2" xfId="41659" xr:uid="{B0F942C9-714B-43D6-8A26-6811AC52754F}"/>
    <cellStyle name="Note 7 7 2 15" xfId="10247" xr:uid="{60A9D858-9810-467E-B2E0-3658F91F8195}"/>
    <cellStyle name="Note 7 7 2 15 2" xfId="33882" xr:uid="{3F11C280-C089-4FE3-AEE7-AB8AE898B3CF}"/>
    <cellStyle name="Note 7 7 2 16" xfId="16992" xr:uid="{2EA4545C-6693-4CDC-AEB4-116BEC72BC05}"/>
    <cellStyle name="Note 7 7 2 16 2" xfId="38352" xr:uid="{2DCB9E8B-910E-488E-8A21-7A4583AA8218}"/>
    <cellStyle name="Note 7 7 2 17" xfId="16254" xr:uid="{E7ABDCDB-7818-4AC4-A65F-D9003AD6358A}"/>
    <cellStyle name="Note 7 7 2 17 2" xfId="37793" xr:uid="{4222023B-42CC-4C4F-97E9-94550DFCE856}"/>
    <cellStyle name="Note 7 7 2 18" xfId="25921" xr:uid="{87AD49F5-AB78-4846-854E-CC70E1524616}"/>
    <cellStyle name="Note 7 7 2 18 2" xfId="44723" xr:uid="{794BB274-4771-4D79-9778-575D3BAE406B}"/>
    <cellStyle name="Note 7 7 2 19" xfId="22318" xr:uid="{39119A33-A0FC-45AD-BE7B-A81DDC3BC715}"/>
    <cellStyle name="Note 7 7 2 19 2" xfId="42173" xr:uid="{2E6FB8F7-CAC3-44EA-ADB0-45115EB1C558}"/>
    <cellStyle name="Note 7 7 2 2" xfId="7931" xr:uid="{65EB9A67-DD27-4F70-88CF-7B69D291843C}"/>
    <cellStyle name="Note 7 7 2 2 2" xfId="32179" xr:uid="{CDE7141E-5CD0-4208-ABDD-5ACE166C822A}"/>
    <cellStyle name="Note 7 7 2 20" xfId="19867" xr:uid="{6FB2589D-2E60-4F49-9499-0B986E35C41A}"/>
    <cellStyle name="Note 7 7 2 20 2" xfId="40480" xr:uid="{997E1140-1A5D-42F3-A60F-D53E9E005968}"/>
    <cellStyle name="Note 7 7 2 21" xfId="22691" xr:uid="{A416A69B-F304-4A42-A571-4C3DD9DD1008}"/>
    <cellStyle name="Note 7 7 2 21 2" xfId="42452" xr:uid="{72027201-FB23-495A-BADE-0DBE682F341A}"/>
    <cellStyle name="Note 7 7 2 22" xfId="23204" xr:uid="{B9F7EE9E-4724-4D04-A918-91EFF94939B2}"/>
    <cellStyle name="Note 7 7 2 22 2" xfId="42798" xr:uid="{D5DEFCF2-1F39-4752-9D48-C2FD66F30ED4}"/>
    <cellStyle name="Note 7 7 2 23" xfId="28571" xr:uid="{35680C82-FBBD-4506-B3A1-DC41D331C82A}"/>
    <cellStyle name="Note 7 7 2 23 2" xfId="46306" xr:uid="{7746786C-4EE5-4AB2-A312-C1F1882A49AB}"/>
    <cellStyle name="Note 7 7 2 24" xfId="23836" xr:uid="{DAFC9C37-100D-449C-A8AF-29B7A18DE8CD}"/>
    <cellStyle name="Note 7 7 2 24 2" xfId="43225" xr:uid="{D3371E31-567F-4CC4-85B4-CC227D258B60}"/>
    <cellStyle name="Note 7 7 2 25" xfId="25575" xr:uid="{60745CB0-3A7B-4147-8EB5-18C95980C005}"/>
    <cellStyle name="Note 7 7 2 25 2" xfId="44443" xr:uid="{EC6D6A20-5E14-4984-ACA6-FBC65461809D}"/>
    <cellStyle name="Note 7 7 2 26" xfId="25805" xr:uid="{23CDEFC0-F106-4A3D-851B-B2CDA178AF83}"/>
    <cellStyle name="Note 7 7 2 26 2" xfId="44633" xr:uid="{4A749131-9868-4D11-87E4-2B8AC521CC83}"/>
    <cellStyle name="Note 7 7 2 27" xfId="29362" xr:uid="{9ACD10A4-0E5B-4293-87DD-A0E9C7C87F03}"/>
    <cellStyle name="Note 7 7 2 27 2" xfId="46835" xr:uid="{2DFE4069-55E6-45B3-BA85-B113AB324AAE}"/>
    <cellStyle name="Note 7 7 2 28" xfId="6601" xr:uid="{46647920-A419-461C-929C-777D80951DF7}"/>
    <cellStyle name="Note 7 7 2 3" xfId="9443" xr:uid="{86C0C1B3-EA54-4FFA-8CC2-243E935A2BF0}"/>
    <cellStyle name="Note 7 7 2 3 2" xfId="33426" xr:uid="{CE97C10B-25CA-4CBE-A233-402D52E61BDA}"/>
    <cellStyle name="Note 7 7 2 4" xfId="7620" xr:uid="{88885573-E899-4FF4-A5BE-09CDD3A0C766}"/>
    <cellStyle name="Note 7 7 2 4 2" xfId="31920" xr:uid="{7395CA7E-871F-409D-8B69-0536F4E72FFD}"/>
    <cellStyle name="Note 7 7 2 5" xfId="8726" xr:uid="{CD666E7E-53A6-405C-AD2E-B4E281ECD6D3}"/>
    <cellStyle name="Note 7 7 2 5 2" xfId="32856" xr:uid="{98B7ECE3-3C7C-4B18-B8AE-78250858A58F}"/>
    <cellStyle name="Note 7 7 2 6" xfId="15012" xr:uid="{7EA980C3-37F2-4C8F-9847-460074F64BAC}"/>
    <cellStyle name="Note 7 7 2 6 2" xfId="36870" xr:uid="{FAC99D79-6C7D-429B-8B34-84C909AF00DF}"/>
    <cellStyle name="Note 7 7 2 7" xfId="8369" xr:uid="{4F5DACAE-6A76-40B3-ABAA-6E0E4A77E7D3}"/>
    <cellStyle name="Note 7 7 2 7 2" xfId="32584" xr:uid="{5F1C45EE-5D79-468A-9C89-9EEADB348D25}"/>
    <cellStyle name="Note 7 7 2 8" xfId="15970" xr:uid="{39FA5016-C0D4-46FB-8FFE-02906FB89DAC}"/>
    <cellStyle name="Note 7 7 2 8 2" xfId="37561" xr:uid="{8115C19A-00E5-4733-BBC5-686DD8BBFE49}"/>
    <cellStyle name="Note 7 7 2 9" xfId="7039" xr:uid="{2671D119-CC50-46D0-A8C8-5043FCD5F6D6}"/>
    <cellStyle name="Note 7 7 2 9 2" xfId="31406" xr:uid="{8FBF7876-FE66-48AE-8B85-A79E3699AC8C}"/>
    <cellStyle name="Note 7 7 20" xfId="24673" xr:uid="{469DDF80-19E4-4EA8-855A-C809EFD33E18}"/>
    <cellStyle name="Note 7 7 20 2" xfId="43818" xr:uid="{7CC7CCEF-DD61-476B-B2C3-245038B4F5C2}"/>
    <cellStyle name="Note 7 7 21" xfId="18007" xr:uid="{AEE2849F-92B9-42A0-B1E6-18223A92B093}"/>
    <cellStyle name="Note 7 7 21 2" xfId="39103" xr:uid="{2211E5A4-B4C8-46EA-9A83-B899D019D428}"/>
    <cellStyle name="Note 7 7 22" xfId="24497" xr:uid="{6D6E67E6-9ED9-4174-BAC9-46BE893F041C}"/>
    <cellStyle name="Note 7 7 22 2" xfId="43680" xr:uid="{25B1A14D-E720-40C8-9336-0E02E89581EF}"/>
    <cellStyle name="Note 7 7 23" xfId="29300" xr:uid="{1F2EB865-02C5-4967-AC12-95AAFB42B701}"/>
    <cellStyle name="Note 7 7 23 2" xfId="46793" xr:uid="{A3D81D2B-BF09-4EB4-8177-C2035B3AAFE8}"/>
    <cellStyle name="Note 7 7 24" xfId="27143" xr:uid="{0EA42BD5-191B-41C7-8C13-52C1195584D5}"/>
    <cellStyle name="Note 7 7 24 2" xfId="45484" xr:uid="{43DACA0D-A871-4640-8ED9-A5682034E98E}"/>
    <cellStyle name="Note 7 7 25" xfId="26267" xr:uid="{873EBE36-F44A-4B82-BCF4-FF1485586E20}"/>
    <cellStyle name="Note 7 7 25 2" xfId="44976" xr:uid="{E6F423BD-A725-4358-9ADD-FB4188B22F78}"/>
    <cellStyle name="Note 7 7 26" xfId="27865" xr:uid="{A20030A7-639C-4856-88F2-6CD9780FAA05}"/>
    <cellStyle name="Note 7 7 26 2" xfId="45937" xr:uid="{5162D6B0-F383-45BD-BFD1-06549ED2DCFB}"/>
    <cellStyle name="Note 7 7 27" xfId="22687" xr:uid="{9F28A021-93A2-424C-9A0E-97FE525B29A1}"/>
    <cellStyle name="Note 7 7 27 2" xfId="42449" xr:uid="{A8C95A21-1553-459B-8B5A-AB45CD09A14F}"/>
    <cellStyle name="Note 7 7 28" xfId="27638" xr:uid="{EF5268BB-E7E1-406E-833E-C1B3D758955D}"/>
    <cellStyle name="Note 7 7 28 2" xfId="45773" xr:uid="{4BAC5BC4-D1C5-4655-AFFB-BC192A03C3E4}"/>
    <cellStyle name="Note 7 7 29" xfId="6600" xr:uid="{CA1C4C2A-BDE7-4569-B8CE-1FAE3CFA494A}"/>
    <cellStyle name="Note 7 7 3" xfId="7932" xr:uid="{139F618E-CB12-4157-BC58-0DA8FD1A8280}"/>
    <cellStyle name="Note 7 7 3 2" xfId="32180" xr:uid="{ED6DAB83-8FDC-4322-87EA-D8B0D7CB05EE}"/>
    <cellStyle name="Note 7 7 4" xfId="9442" xr:uid="{BF04A37F-BA5A-4A24-BFEA-0060E48839DC}"/>
    <cellStyle name="Note 7 7 4 2" xfId="33425" xr:uid="{C4CD6CDF-CE97-429E-81EA-7ADD41C3FC7B}"/>
    <cellStyle name="Note 7 7 5" xfId="12025" xr:uid="{B9F8A07D-1C65-4612-8329-E5B468BE69A5}"/>
    <cellStyle name="Note 7 7 5 2" xfId="34583" xr:uid="{3FF42DB6-928E-43C7-9891-B10A8FE3D860}"/>
    <cellStyle name="Note 7 7 6" xfId="8728" xr:uid="{8380F393-EF95-4C40-B043-AA04DBD0B786}"/>
    <cellStyle name="Note 7 7 6 2" xfId="32857" xr:uid="{D613455E-6DFA-48B7-B49F-C5C6DD75BD1A}"/>
    <cellStyle name="Note 7 7 7" xfId="12980" xr:uid="{59B2644D-837C-474E-B131-5751ED8E3FFB}"/>
    <cellStyle name="Note 7 7 7 2" xfId="35328" xr:uid="{C75A7723-92DC-4414-A1DA-AB3C31D97626}"/>
    <cellStyle name="Note 7 7 8" xfId="8370" xr:uid="{ABB2A4FF-8D5C-4992-9E74-F7CC9DC93607}"/>
    <cellStyle name="Note 7 7 8 2" xfId="32585" xr:uid="{F3D9285D-C2D5-4B34-AC60-BF28D6881F0B}"/>
    <cellStyle name="Note 7 7 9" xfId="10591" xr:uid="{DC0812E1-9967-4FE9-BD2F-345281CF9113}"/>
    <cellStyle name="Note 7 7 9 2" xfId="34217" xr:uid="{6DE92E0F-244A-4565-A485-BDCA70793E4E}"/>
    <cellStyle name="Note 7 8" xfId="3089" xr:uid="{27710121-F969-4753-BDD0-204279A3C546}"/>
    <cellStyle name="Note 7 8 10" xfId="12344" xr:uid="{3143D28B-B1F1-423C-AEC6-827840F79539}"/>
    <cellStyle name="Note 7 8 10 2" xfId="34848" xr:uid="{205AECDE-70AC-415B-9EB0-E666D48EE126}"/>
    <cellStyle name="Note 7 8 11" xfId="12602" xr:uid="{AB6A7408-9D17-4993-BA41-C69CE0F76C38}"/>
    <cellStyle name="Note 7 8 11 2" xfId="35036" xr:uid="{CDB6B068-3CF0-4481-9A07-542CEABC0455}"/>
    <cellStyle name="Note 7 8 12" xfId="15643" xr:uid="{EA23EF72-83F0-45CE-9973-1ECFDD7EA4E4}"/>
    <cellStyle name="Note 7 8 12 2" xfId="37301" xr:uid="{C0F90AD7-C9FD-4E49-A18C-E3412A0EBD81}"/>
    <cellStyle name="Note 7 8 13" xfId="16172" xr:uid="{1125D94D-B637-460E-864A-52F38D4CF259}"/>
    <cellStyle name="Note 7 8 13 2" xfId="37732" xr:uid="{38529B13-F167-4C99-B1B4-AB87A915AC37}"/>
    <cellStyle name="Note 7 8 14" xfId="19696" xr:uid="{DA5C3B59-6043-40C2-B123-069D37844454}"/>
    <cellStyle name="Note 7 8 14 2" xfId="40313" xr:uid="{C29E6B3D-CD37-43E9-B421-F4CC48071DC0}"/>
    <cellStyle name="Note 7 8 15" xfId="13208" xr:uid="{251DF7FC-60D6-49D8-B0A4-859FD0F61745}"/>
    <cellStyle name="Note 7 8 15 2" xfId="35556" xr:uid="{52875D63-6C64-44AC-8D13-F7FCC3CE016B}"/>
    <cellStyle name="Note 7 8 16" xfId="21377" xr:uid="{CAF2D5D5-D04E-4618-BDCC-A2DD875B5733}"/>
    <cellStyle name="Note 7 8 16 2" xfId="41506" xr:uid="{7FDD4199-51E1-4D58-8F5A-A7F5C88F737F}"/>
    <cellStyle name="Note 7 8 17" xfId="18231" xr:uid="{AD6470A7-4D97-4174-AB08-FDB6750F759D}"/>
    <cellStyle name="Note 7 8 17 2" xfId="39263" xr:uid="{998F9B63-90DB-4CC7-9775-106A133D2651}"/>
    <cellStyle name="Note 7 8 18" xfId="25246" xr:uid="{50C22138-0D77-4543-AF01-A371105F07CB}"/>
    <cellStyle name="Note 7 8 18 2" xfId="44172" xr:uid="{5EB95ACC-FB66-4637-90D4-DA097B96D294}"/>
    <cellStyle name="Note 7 8 19" xfId="25758" xr:uid="{8C7AFDED-D141-4D78-AABA-F884BBEC5671}"/>
    <cellStyle name="Note 7 8 19 2" xfId="44595" xr:uid="{BED8521D-D9AB-4932-99A8-AD27FA073A7B}"/>
    <cellStyle name="Note 7 8 2" xfId="7930" xr:uid="{313D747C-FEAF-4DE8-BC58-C93C1F7602CD}"/>
    <cellStyle name="Note 7 8 2 2" xfId="32178" xr:uid="{565EAF38-A88A-417D-AF0A-FE92B4D7BBA5}"/>
    <cellStyle name="Note 7 8 20" xfId="12645" xr:uid="{2DB2CA01-6072-4352-A7D3-E357C37FB272}"/>
    <cellStyle name="Note 7 8 20 2" xfId="35071" xr:uid="{30D0AB85-A3EE-4E98-ADCC-A1482F205A17}"/>
    <cellStyle name="Note 7 8 21" xfId="20360" xr:uid="{2936D01B-FA26-4F9B-B2B6-44B6D0A7F6BD}"/>
    <cellStyle name="Note 7 8 21 2" xfId="40787" xr:uid="{F7F7AA1C-2FA0-4F9F-9214-4F2B7CBFE9F4}"/>
    <cellStyle name="Note 7 8 22" xfId="29299" xr:uid="{0D514696-C9E7-40AB-ADCC-450AA81BC726}"/>
    <cellStyle name="Note 7 8 22 2" xfId="46792" xr:uid="{E02FC43D-0D2C-41D9-80B7-3DD297D4ED4C}"/>
    <cellStyle name="Note 7 8 23" xfId="26805" xr:uid="{457CAD53-E7F2-48AD-BEEC-8598B5E853F3}"/>
    <cellStyle name="Note 7 8 23 2" xfId="45280" xr:uid="{DCD4ADC0-DB59-4F8C-B7D6-50C1469F2ED5}"/>
    <cellStyle name="Note 7 8 24" xfId="26266" xr:uid="{DC24A823-69D9-408D-B54F-F4A9CCCC6C21}"/>
    <cellStyle name="Note 7 8 24 2" xfId="44975" xr:uid="{9E37FAE2-3647-4897-83F9-8F3489CCDAF1}"/>
    <cellStyle name="Note 7 8 25" xfId="27864" xr:uid="{F22181DC-E87F-465F-AA82-9BF722442F19}"/>
    <cellStyle name="Note 7 8 25 2" xfId="45936" xr:uid="{E8A9A2BB-4106-46C0-8090-ED03DC338FE3}"/>
    <cellStyle name="Note 7 8 26" xfId="23433" xr:uid="{6FB452DB-9063-4805-A688-BD47C7E40199}"/>
    <cellStyle name="Note 7 8 26 2" xfId="42941" xr:uid="{6C591171-6B17-4176-A122-E4DBC476DB81}"/>
    <cellStyle name="Note 7 8 27" xfId="29019" xr:uid="{6A7E0B7B-4CA2-4545-A3F9-9E643DDA5A63}"/>
    <cellStyle name="Note 7 8 27 2" xfId="46613" xr:uid="{15DE8B2E-0839-4F2C-9EE5-9133A43CA893}"/>
    <cellStyle name="Note 7 8 28" xfId="6602" xr:uid="{80C426B6-B6F1-41D2-91C7-A7C5587513B6}"/>
    <cellStyle name="Note 7 8 3" xfId="9444" xr:uid="{13062900-FC8D-41E5-9EE0-4E128B58B8F8}"/>
    <cellStyle name="Note 7 8 3 2" xfId="33427" xr:uid="{946C6839-FBA1-4494-9E64-662211E31B57}"/>
    <cellStyle name="Note 7 8 4" xfId="12024" xr:uid="{428C6E08-7B91-4254-844B-1FEED0575964}"/>
    <cellStyle name="Note 7 8 4 2" xfId="34582" xr:uid="{AF0B375A-4C4C-432C-98F5-9A2AC58423F3}"/>
    <cellStyle name="Note 7 8 5" xfId="8725" xr:uid="{EAFC447D-8ED6-4A9C-9551-BA178F556DA4}"/>
    <cellStyle name="Note 7 8 5 2" xfId="32855" xr:uid="{A9BFF956-6C02-4195-999A-AEA892135B7F}"/>
    <cellStyle name="Note 7 8 6" xfId="10493" xr:uid="{368F9FEC-24D8-4889-AD22-A91938094BDA}"/>
    <cellStyle name="Note 7 8 6 2" xfId="34128" xr:uid="{E32613F8-81E6-4B87-969B-846D732BF28C}"/>
    <cellStyle name="Note 7 8 7" xfId="8368" xr:uid="{C8265726-8D64-42BE-B249-A69C9FE0DB6A}"/>
    <cellStyle name="Note 7 8 7 2" xfId="32583" xr:uid="{A84EAEEC-9A95-415A-BB49-35AA144D12E2}"/>
    <cellStyle name="Note 7 8 8" xfId="14825" xr:uid="{DFE5A3A8-142A-4AA6-A680-3E6F652058F4}"/>
    <cellStyle name="Note 7 8 8 2" xfId="36700" xr:uid="{7D9A087D-1C11-4B52-B243-7E997CFFA1EC}"/>
    <cellStyle name="Note 7 8 9" xfId="14253" xr:uid="{992C0BD1-376C-4FC3-A1F1-54A698C8471F}"/>
    <cellStyle name="Note 7 8 9 2" xfId="36306" xr:uid="{494F9669-5AAA-4FDE-AE68-FD9532BE47AE}"/>
    <cellStyle name="Note 7 9" xfId="7945" xr:uid="{9515ABF4-1556-4527-8638-97E12BE39EDF}"/>
    <cellStyle name="Note 7 9 2" xfId="32193" xr:uid="{52C38E42-E46F-422D-ABB1-340EA4AF1E04}"/>
    <cellStyle name="Note 7_Sheet2" xfId="3090" xr:uid="{4DD3498C-D6F4-46FF-A154-8BDA99C14ECD}"/>
    <cellStyle name="Note 8" xfId="3091" xr:uid="{ED15F14F-53FA-45F9-B701-D2962F511BF3}"/>
    <cellStyle name="Note 8 10" xfId="9445" xr:uid="{1483D7A8-4A01-4DC1-9A47-3C4072D3BAEB}"/>
    <cellStyle name="Note 8 10 2" xfId="33428" xr:uid="{55731D8F-E7BE-4F12-B71A-71491B35BB23}"/>
    <cellStyle name="Note 8 11" xfId="12023" xr:uid="{9D297C37-7FD7-47DA-B030-C2FA0828FB24}"/>
    <cellStyle name="Note 8 11 2" xfId="34581" xr:uid="{B80E1104-E502-42E1-AA6C-EF02EDD1AAD4}"/>
    <cellStyle name="Note 8 12" xfId="8724" xr:uid="{91A0E1DF-A74F-487A-99F5-803C492A9DC4}"/>
    <cellStyle name="Note 8 12 2" xfId="32854" xr:uid="{68706505-5901-4609-853E-ADE6F0D46DC7}"/>
    <cellStyle name="Note 8 13" xfId="12979" xr:uid="{B55BD0AE-8F7B-43D6-AA42-76F3579E8777}"/>
    <cellStyle name="Note 8 13 2" xfId="35327" xr:uid="{70F23AE5-DC1A-4C37-990E-2CC0427EA21B}"/>
    <cellStyle name="Note 8 14" xfId="12103" xr:uid="{F2D7CF42-2313-4691-8BA7-46DACD9687E0}"/>
    <cellStyle name="Note 8 14 2" xfId="34652" xr:uid="{517E676A-8330-41E5-A45B-3A4D2815B446}"/>
    <cellStyle name="Note 8 15" xfId="14824" xr:uid="{3FDD9295-711F-499B-BF56-016F117D0D4D}"/>
    <cellStyle name="Note 8 15 2" xfId="36699" xr:uid="{ABF4F0D7-63D5-4E67-96FB-310B35C6B668}"/>
    <cellStyle name="Note 8 16" xfId="14252" xr:uid="{7EB5FDFC-C093-42A7-B7C7-37EC13A05F12}"/>
    <cellStyle name="Note 8 16 2" xfId="36305" xr:uid="{A71FECDB-75FB-4DEF-9F8C-8ED8FFBCA305}"/>
    <cellStyle name="Note 8 17" xfId="12345" xr:uid="{1E6B37FE-6C6C-4D31-BBC3-43F89B032260}"/>
    <cellStyle name="Note 8 17 2" xfId="34849" xr:uid="{BA969E3A-1837-4EF6-838A-41C47DC49EAF}"/>
    <cellStyle name="Note 8 18" xfId="15891" xr:uid="{B2B473F8-FDEA-4DAB-B515-BAD454C7CF96}"/>
    <cellStyle name="Note 8 18 2" xfId="37482" xr:uid="{A0C3C0A5-3386-41EE-9990-1B0D16510E38}"/>
    <cellStyle name="Note 8 19" xfId="18458" xr:uid="{3AADBF66-EF1C-48AF-8B6F-C8029C02FE00}"/>
    <cellStyle name="Note 8 19 2" xfId="39466" xr:uid="{3819833A-9D49-41DA-A671-9C4D55A12B8D}"/>
    <cellStyle name="Note 8 2" xfId="3092" xr:uid="{BEE3632D-47F7-42DD-9BD8-ED960F7A5EFD}"/>
    <cellStyle name="Note 8 2 10" xfId="10592" xr:uid="{094ABF0D-5B1B-459B-B33D-6F01A957BD10}"/>
    <cellStyle name="Note 8 2 10 2" xfId="34218" xr:uid="{DDB0858B-D41F-4960-A074-68ADE3DB0CE2}"/>
    <cellStyle name="Note 8 2 11" xfId="7038" xr:uid="{9230ABC0-C875-4C99-8D35-4B2E2649BD56}"/>
    <cellStyle name="Note 8 2 11 2" xfId="31405" xr:uid="{B56F817B-740B-468E-8B69-6ED7A112F44F}"/>
    <cellStyle name="Note 8 2 12" xfId="15543" xr:uid="{23DD24A5-3F52-43F5-8653-C44B19427FD8}"/>
    <cellStyle name="Note 8 2 12 2" xfId="37208" xr:uid="{FFCAE52B-2CFB-4F5E-99BE-C80BD23514F4}"/>
    <cellStyle name="Note 8 2 13" xfId="19535" xr:uid="{DCE9D0F9-0C2E-4A45-8C60-0AF70F9FDAAE}"/>
    <cellStyle name="Note 8 2 13 2" xfId="40203" xr:uid="{B130AF6D-63DD-46D4-A502-CA7C363FC017}"/>
    <cellStyle name="Note 8 2 14" xfId="13739" xr:uid="{45ED4417-599D-489C-B607-41D9D8EF90A6}"/>
    <cellStyle name="Note 8 2 14 2" xfId="35894" xr:uid="{40B0FB60-657E-4A46-98F0-DDF5546FEE22}"/>
    <cellStyle name="Note 8 2 15" xfId="9916" xr:uid="{DE6C4013-A97E-4ACE-B8AC-F305FAC964F2}"/>
    <cellStyle name="Note 8 2 15 2" xfId="33661" xr:uid="{94343B90-A85D-4330-A3D0-946B735A1AA4}"/>
    <cellStyle name="Note 8 2 16" xfId="21574" xr:uid="{FA307D6B-C91C-469C-837C-5739CB4B3080}"/>
    <cellStyle name="Note 8 2 16 2" xfId="41658" xr:uid="{03E8E402-DF15-433A-BB75-5304AC269D08}"/>
    <cellStyle name="Note 8 2 17" xfId="16197" xr:uid="{0F0C9E42-E617-4584-A407-D5824A428D73}"/>
    <cellStyle name="Note 8 2 17 2" xfId="37754" xr:uid="{3C426196-4F45-451E-89F3-E8BEB8B4C54F}"/>
    <cellStyle name="Note 8 2 18" xfId="21376" xr:uid="{16048717-2721-4F10-B7C9-1C53E0F08D32}"/>
    <cellStyle name="Note 8 2 18 2" xfId="41505" xr:uid="{A49D8B1F-1D8A-4596-A13D-CAFE63F648C4}"/>
    <cellStyle name="Note 8 2 19" xfId="21618" xr:uid="{7F30901C-E73C-4C81-ACA6-119A46EDA304}"/>
    <cellStyle name="Note 8 2 19 2" xfId="41696" xr:uid="{19DFDB66-631E-4EF9-BC4A-02D55874D7EE}"/>
    <cellStyle name="Note 8 2 2" xfId="3093" xr:uid="{63D709ED-9BCF-4CA6-941F-1A448746A716}"/>
    <cellStyle name="Note 8 2 2 10" xfId="14251" xr:uid="{9E2560FF-CB5F-459B-ADE1-4D7A7CCC92C9}"/>
    <cellStyle name="Note 8 2 2 10 2" xfId="36304" xr:uid="{BD3399F7-0863-466F-AADA-7FE97B43D90C}"/>
    <cellStyle name="Note 8 2 2 11" xfId="16023" xr:uid="{6A311313-725B-4985-8C0C-53FA462C8F29}"/>
    <cellStyle name="Note 8 2 2 11 2" xfId="37606" xr:uid="{C0804C4F-B6A7-408B-B14C-EA22C430082D}"/>
    <cellStyle name="Note 8 2 2 12" xfId="20009" xr:uid="{12FD2581-1ECE-4FB7-8F8D-F7426893C0CF}"/>
    <cellStyle name="Note 8 2 2 12 2" xfId="40577" xr:uid="{181F7F1B-E3D3-48E9-BBAD-73A5F6E55D60}"/>
    <cellStyle name="Note 8 2 2 13" xfId="17378" xr:uid="{979FA566-D9D1-4C3A-98A7-B023E5E00829}"/>
    <cellStyle name="Note 8 2 2 13 2" xfId="38625" xr:uid="{EEA57580-EC85-4D29-9CDA-F0A1E10F36C6}"/>
    <cellStyle name="Note 8 2 2 14" xfId="9917" xr:uid="{D70888B2-421C-4350-AEED-9D17359ED5DD}"/>
    <cellStyle name="Note 8 2 2 14 2" xfId="33662" xr:uid="{3416DD69-E670-4BC8-9652-467B1D470C75}"/>
    <cellStyle name="Note 8 2 2 15" xfId="19695" xr:uid="{C58DDAF4-6500-45EB-AF88-C9A97B7D7B2E}"/>
    <cellStyle name="Note 8 2 2 15 2" xfId="40312" xr:uid="{F67BB932-AC18-42C9-8B46-3EA27CDE64E7}"/>
    <cellStyle name="Note 8 2 2 16" xfId="13204" xr:uid="{01036217-54B2-49C0-95BC-9B38E4120FAC}"/>
    <cellStyle name="Note 8 2 2 16 2" xfId="35552" xr:uid="{E28BE930-A8DD-43CB-9040-B81060C62D92}"/>
    <cellStyle name="Note 8 2 2 17" xfId="16993" xr:uid="{496E9129-4CAC-41A8-B97E-AB173651FEAD}"/>
    <cellStyle name="Note 8 2 2 17 2" xfId="38353" xr:uid="{05602367-9C8A-413D-BF9F-61A26D77B701}"/>
    <cellStyle name="Note 8 2 2 18" xfId="15792" xr:uid="{E6EEA391-7F59-4795-8383-303DA239984E}"/>
    <cellStyle name="Note 8 2 2 18 2" xfId="37407" xr:uid="{E10E2EDF-2AD1-4129-8046-D1FB9FB421D4}"/>
    <cellStyle name="Note 8 2 2 19" xfId="17152" xr:uid="{1BA02D96-B079-4F20-A900-6DD3E8FAE613}"/>
    <cellStyle name="Note 8 2 2 19 2" xfId="38481" xr:uid="{06AA1954-ABE2-48D1-A0B8-28CBC763E662}"/>
    <cellStyle name="Note 8 2 2 2" xfId="3094" xr:uid="{A96035C4-9607-4039-9292-250B9A3738C0}"/>
    <cellStyle name="Note 8 2 2 2 10" xfId="19242" xr:uid="{FCAD7F6E-F852-42AD-AF9D-49D04C16B754}"/>
    <cellStyle name="Note 8 2 2 2 10 2" xfId="40037" xr:uid="{70C057B1-BA73-4FF7-A131-20F44769748D}"/>
    <cellStyle name="Note 8 2 2 2 11" xfId="20272" xr:uid="{923A6760-5F26-4BE0-B9D5-0FDC7F2A6E53}"/>
    <cellStyle name="Note 8 2 2 2 11 2" xfId="40712" xr:uid="{E6179524-FCE0-4B48-9BB3-ABBBC1CBD227}"/>
    <cellStyle name="Note 8 2 2 2 12" xfId="16802" xr:uid="{E11A1487-6A9C-47B6-87D5-8021633FFC6F}"/>
    <cellStyle name="Note 8 2 2 2 12 2" xfId="38235" xr:uid="{F0CC3A4B-7AEB-488B-AF2A-2201E92FF69F}"/>
    <cellStyle name="Note 8 2 2 2 13" xfId="9918" xr:uid="{1F2938F2-1178-4FDF-9D9A-9B9928A017D6}"/>
    <cellStyle name="Note 8 2 2 2 13 2" xfId="33663" xr:uid="{853371FF-181E-4D2E-B54A-AC5548B5B81B}"/>
    <cellStyle name="Note 8 2 2 2 14" xfId="21573" xr:uid="{27F851CB-D1AF-4D38-8114-8596D31F1027}"/>
    <cellStyle name="Note 8 2 2 2 14 2" xfId="41657" xr:uid="{ED82B668-1641-4206-9BC4-61A0D98D4BE3}"/>
    <cellStyle name="Note 8 2 2 2 15" xfId="10253" xr:uid="{B1154219-3987-4B5C-B15B-5FA09964986D}"/>
    <cellStyle name="Note 8 2 2 2 15 2" xfId="33888" xr:uid="{AED8E14F-07FB-4F56-84E2-5DEEBBB10AD7}"/>
    <cellStyle name="Note 8 2 2 2 16" xfId="22535" xr:uid="{85E459A5-6E9A-44FB-8968-407C0C11F61E}"/>
    <cellStyle name="Note 8 2 2 2 16 2" xfId="42334" xr:uid="{8CFD71FD-B037-4D16-8C79-63237FEC979F}"/>
    <cellStyle name="Note 8 2 2 2 17" xfId="18230" xr:uid="{A0D2C2B4-4CF7-4FC9-A374-D108378AC4BB}"/>
    <cellStyle name="Note 8 2 2 2 17 2" xfId="39262" xr:uid="{E34C6670-2C66-4FFA-BA37-BCC6E0F7BF2F}"/>
    <cellStyle name="Note 8 2 2 2 18" xfId="24134" xr:uid="{AECBF825-335D-41D0-834C-F7D4FC2A1B36}"/>
    <cellStyle name="Note 8 2 2 2 18 2" xfId="43507" xr:uid="{8AA50C1D-A6CD-4960-8646-03CD076B6CF9}"/>
    <cellStyle name="Note 8 2 2 2 19" xfId="25761" xr:uid="{03236968-7B56-41AA-BFF6-9D5565B13CCF}"/>
    <cellStyle name="Note 8 2 2 2 19 2" xfId="44598" xr:uid="{B1F56C05-9971-4354-A904-1F063E1009DC}"/>
    <cellStyle name="Note 8 2 2 2 2" xfId="7926" xr:uid="{7FD8B35E-C800-4C64-B5B3-182BE2A2ACB4}"/>
    <cellStyle name="Note 8 2 2 2 2 2" xfId="32174" xr:uid="{F083B065-2A03-4909-A019-F0603BAA2C5F}"/>
    <cellStyle name="Note 8 2 2 2 20" xfId="19865" xr:uid="{21EFE3AE-EFB5-4715-A483-D9EE17F11A01}"/>
    <cellStyle name="Note 8 2 2 2 20 2" xfId="40478" xr:uid="{2B8B84D7-9852-4805-AD53-1ACA5C2A85EF}"/>
    <cellStyle name="Note 8 2 2 2 21" xfId="25364" xr:uid="{FF1E5788-4B11-4747-AC6C-A30F763BB75A}"/>
    <cellStyle name="Note 8 2 2 2 21 2" xfId="44280" xr:uid="{6F8FC94F-2BA9-41B0-A326-BD002D4518BE}"/>
    <cellStyle name="Note 8 2 2 2 22" xfId="20494" xr:uid="{052DAAFE-8C3E-4048-B05E-E3DB1C0832F7}"/>
    <cellStyle name="Note 8 2 2 2 22 2" xfId="40884" xr:uid="{B6D8C37B-908B-46A8-9522-6D3BD1079626}"/>
    <cellStyle name="Note 8 2 2 2 23" xfId="28569" xr:uid="{D6CC79E5-05E9-40B8-827C-C930DF11FE8F}"/>
    <cellStyle name="Note 8 2 2 2 23 2" xfId="46304" xr:uid="{06B5DC7C-BBEF-49F8-88EF-677D88D8AFA6}"/>
    <cellStyle name="Note 8 2 2 2 24" xfId="23835" xr:uid="{C8918208-DE0E-40CF-8902-289A1BEF45D5}"/>
    <cellStyle name="Note 8 2 2 2 24 2" xfId="43224" xr:uid="{4E6389CA-B2BD-4826-86EC-0774787F8C7A}"/>
    <cellStyle name="Note 8 2 2 2 25" xfId="24329" xr:uid="{8BB8F4FD-EDA6-4D1E-B515-D0FF94CAFE45}"/>
    <cellStyle name="Note 8 2 2 2 25 2" xfId="43594" xr:uid="{4573277D-0B55-4FF0-898C-6D8B022BB1C8}"/>
    <cellStyle name="Note 8 2 2 2 26" xfId="30553" xr:uid="{D6E25AE3-F457-4810-8916-BD47D13746ED}"/>
    <cellStyle name="Note 8 2 2 2 26 2" xfId="47513" xr:uid="{36CE19DD-336C-4874-B2EF-90522F80A732}"/>
    <cellStyle name="Note 8 2 2 2 27" xfId="26952" xr:uid="{04AACB08-7B5C-435F-ABC8-9690AF7F6C06}"/>
    <cellStyle name="Note 8 2 2 2 27 2" xfId="45359" xr:uid="{7C25BD7C-0147-4457-AA5D-2748F0816125}"/>
    <cellStyle name="Note 8 2 2 2 28" xfId="6606" xr:uid="{C830B63E-D7D2-418E-8660-F986CA24B56B}"/>
    <cellStyle name="Note 8 2 2 2 3" xfId="9448" xr:uid="{095D67A9-3F33-47DC-9653-1AEBCB184C7A}"/>
    <cellStyle name="Note 8 2 2 2 3 2" xfId="33431" xr:uid="{D88A336F-8F2F-4FB6-B1BD-9F6F5E720F4D}"/>
    <cellStyle name="Note 8 2 2 2 4" xfId="7618" xr:uid="{EA18A02E-CF76-4CD4-B9F6-3E097E61A912}"/>
    <cellStyle name="Note 8 2 2 2 4 2" xfId="31918" xr:uid="{1B95E13F-DAB9-4DFA-ACC1-E078CDFB53E3}"/>
    <cellStyle name="Note 8 2 2 2 5" xfId="8721" xr:uid="{0BDA4802-0C1A-4130-AD7E-B8FFBC5273D5}"/>
    <cellStyle name="Note 8 2 2 2 5 2" xfId="32851" xr:uid="{A28A9019-198C-4BCE-9BF4-29A22C02E080}"/>
    <cellStyle name="Note 8 2 2 2 6" xfId="15466" xr:uid="{E3FD3F28-45B1-471A-82F4-2115D7370017}"/>
    <cellStyle name="Note 8 2 2 2 6 2" xfId="37131" xr:uid="{ECD430F9-AC22-4CDB-B037-C2E7A9854EAE}"/>
    <cellStyle name="Note 8 2 2 2 7" xfId="12104" xr:uid="{E77399DE-68BD-4675-B89A-0B7EDA375090}"/>
    <cellStyle name="Note 8 2 2 2 7 2" xfId="34653" xr:uid="{B4A427CF-5E2D-40BC-AFDE-36657F6266F7}"/>
    <cellStyle name="Note 8 2 2 2 8" xfId="12896" xr:uid="{521C3978-4C8F-4572-B8C6-18C1B2C17761}"/>
    <cellStyle name="Note 8 2 2 2 8 2" xfId="35252" xr:uid="{2A5C4C30-D8E2-49B4-9C92-4888CEC7D2DE}"/>
    <cellStyle name="Note 8 2 2 2 9" xfId="7037" xr:uid="{EDDD6F72-42C5-4387-B92F-B709B8C4708E}"/>
    <cellStyle name="Note 8 2 2 2 9 2" xfId="31404" xr:uid="{4BF9F7A0-C779-40AE-A77F-B256742BECDF}"/>
    <cellStyle name="Note 8 2 2 20" xfId="24671" xr:uid="{7662D671-54D0-49E4-8664-0B9D8AE8B304}"/>
    <cellStyle name="Note 8 2 2 20 2" xfId="43816" xr:uid="{E6129C47-6F50-4697-A7B2-D142FCE45AED}"/>
    <cellStyle name="Note 8 2 2 21" xfId="18006" xr:uid="{B7DCD748-13A4-4D02-92AD-372119A346CF}"/>
    <cellStyle name="Note 8 2 2 21 2" xfId="39102" xr:uid="{2463D849-6764-4C3F-B782-DBAED78FEB91}"/>
    <cellStyle name="Note 8 2 2 22" xfId="16160" xr:uid="{B41D5825-3BC4-49FD-AD87-AC25675D327B}"/>
    <cellStyle name="Note 8 2 2 22 2" xfId="37722" xr:uid="{4AA31DF3-827C-484B-89B7-8FEB29CD6F57}"/>
    <cellStyle name="Note 8 2 2 23" xfId="23203" xr:uid="{5F842010-43F8-4567-B5FC-C262489B3EF1}"/>
    <cellStyle name="Note 8 2 2 23 2" xfId="42797" xr:uid="{9F07DAA9-69B1-4BB3-A766-4D63F27D00B6}"/>
    <cellStyle name="Note 8 2 2 24" xfId="25644" xr:uid="{2CCE9F52-48DE-4829-821D-D132D331B2ED}"/>
    <cellStyle name="Note 8 2 2 24 2" xfId="44489" xr:uid="{0529D69A-DF57-4D3B-B672-3F6474A812AD}"/>
    <cellStyle name="Note 8 2 2 25" xfId="26264" xr:uid="{9BF86F12-B88B-4758-AB35-B072F4DA4533}"/>
    <cellStyle name="Note 8 2 2 25 2" xfId="44973" xr:uid="{473BD80C-01FE-4395-B1FA-FA11F352A255}"/>
    <cellStyle name="Note 8 2 2 26" xfId="27862" xr:uid="{8E6A358D-E916-4860-8F4F-1F3EE60DB538}"/>
    <cellStyle name="Note 8 2 2 26 2" xfId="45934" xr:uid="{5793B587-B99C-41EE-AE6E-1E63B41D2F48}"/>
    <cellStyle name="Note 8 2 2 27" xfId="30914" xr:uid="{6288816F-8ED6-4CF4-B9FA-F540E52BC43B}"/>
    <cellStyle name="Note 8 2 2 27 2" xfId="47758" xr:uid="{0DA61EF0-291A-49CA-A3AC-BF3CCAB14CAE}"/>
    <cellStyle name="Note 8 2 2 28" xfId="25998" xr:uid="{68E10068-CB9A-463D-BFA3-6172AFDBE373}"/>
    <cellStyle name="Note 8 2 2 28 2" xfId="44776" xr:uid="{259E5B8C-1EF0-411E-9ACD-23AA90A19276}"/>
    <cellStyle name="Note 8 2 2 29" xfId="6605" xr:uid="{2EF41B68-DF03-4A28-A2D9-EB58AB8598ED}"/>
    <cellStyle name="Note 8 2 2 3" xfId="7927" xr:uid="{1A08152E-9C37-45C5-8C5C-7BB4F88FE1CC}"/>
    <cellStyle name="Note 8 2 2 3 2" xfId="32175" xr:uid="{F8F65959-5880-4B47-940A-24E0B0965B85}"/>
    <cellStyle name="Note 8 2 2 4" xfId="9447" xr:uid="{96EAA43E-1341-47F3-87E0-87174D858F98}"/>
    <cellStyle name="Note 8 2 2 4 2" xfId="33430" xr:uid="{08E7002C-7D60-4EA8-B3AC-3A6B5BB62051}"/>
    <cellStyle name="Note 8 2 2 5" xfId="12022" xr:uid="{492EB076-D08D-4829-B2F0-EAC17DBF995F}"/>
    <cellStyle name="Note 8 2 2 5 2" xfId="34580" xr:uid="{385F6AF0-4B79-41F3-8AEC-7260B7F2052E}"/>
    <cellStyle name="Note 8 2 2 6" xfId="8722" xr:uid="{DB187F9F-B0EA-4501-B551-1C4A78EF0C34}"/>
    <cellStyle name="Note 8 2 2 6 2" xfId="32852" xr:uid="{DC6027BA-7B0C-425E-9CDD-AC5E91E9E40F}"/>
    <cellStyle name="Note 8 2 2 7" xfId="10494" xr:uid="{7C967168-8A68-48D3-884D-8530F8C8A168}"/>
    <cellStyle name="Note 8 2 2 7 2" xfId="34129" xr:uid="{1C1947DF-9C7C-4299-96CF-015FE07BE7E3}"/>
    <cellStyle name="Note 8 2 2 8" xfId="8365" xr:uid="{714D86DF-C803-467A-8462-D2A973DF0E3E}"/>
    <cellStyle name="Note 8 2 2 8 2" xfId="32581" xr:uid="{58D96FA6-33D4-4472-8721-05998DC7D94C}"/>
    <cellStyle name="Note 8 2 2 9" xfId="14823" xr:uid="{25D4C8F2-742F-4B4B-85DB-EAAA496FF0EC}"/>
    <cellStyle name="Note 8 2 2 9 2" xfId="36698" xr:uid="{6DFEA7B7-9710-415F-BF9C-36529C20F6C7}"/>
    <cellStyle name="Note 8 2 20" xfId="19104" xr:uid="{C19B5D27-8D00-41D2-9DB6-22E6C8BCA32D}"/>
    <cellStyle name="Note 8 2 20 2" xfId="39915" xr:uid="{E9CD2109-D7D5-42C8-B73A-531FE3734FEA}"/>
    <cellStyle name="Note 8 2 21" xfId="22846" xr:uid="{EFD4F20D-4904-4557-9391-96D92E0BC030}"/>
    <cellStyle name="Note 8 2 21 2" xfId="42564" xr:uid="{D3DA2166-408E-497D-90FB-471B2355BE57}"/>
    <cellStyle name="Note 8 2 22" xfId="19866" xr:uid="{08B51C79-FD5B-4098-82CA-6CF2ED666DBF}"/>
    <cellStyle name="Note 8 2 22 2" xfId="40479" xr:uid="{24E930AA-C07A-48FB-8944-969CD035AC5E}"/>
    <cellStyle name="Note 8 2 23" xfId="23441" xr:uid="{FBD76691-9ED0-4DA5-8691-63A081D2C6CA}"/>
    <cellStyle name="Note 8 2 23 2" xfId="42947" xr:uid="{F560B553-56DC-45AA-BB3E-8132F68D0071}"/>
    <cellStyle name="Note 8 2 24" xfId="26719" xr:uid="{253C7078-A79E-4B86-BD2D-56887401BF49}"/>
    <cellStyle name="Note 8 2 24 2" xfId="45257" xr:uid="{7C2FCB18-16C6-4985-848B-ADCFF7AB1374}"/>
    <cellStyle name="Note 8 2 25" xfId="28570" xr:uid="{C40AC0DC-5BA8-4404-A426-1EB9179C08B5}"/>
    <cellStyle name="Note 8 2 25 2" xfId="46305" xr:uid="{3A8455F1-F9FE-4AFA-9D68-DF266944072D}"/>
    <cellStyle name="Note 8 2 26" xfId="21018" xr:uid="{98774847-BED6-4B98-BCA7-01B087495F0F}"/>
    <cellStyle name="Note 8 2 26 2" xfId="41275" xr:uid="{3372EC49-F4BF-4582-B0A7-9B3D2F3E4D5A}"/>
    <cellStyle name="Note 8 2 27" xfId="25958" xr:uid="{4FCEDB0B-C4E6-40E5-BD8A-5E8EF1B6755C}"/>
    <cellStyle name="Note 8 2 27 2" xfId="44749" xr:uid="{B86EF3FE-4059-4DAB-96A0-B1308599A07D}"/>
    <cellStyle name="Note 8 2 28" xfId="24217" xr:uid="{D39C7E15-FADD-477A-842C-5605517E1065}"/>
    <cellStyle name="Note 8 2 28 2" xfId="43537" xr:uid="{841BA917-E605-4407-877C-64BB9F239F49}"/>
    <cellStyle name="Note 8 2 29" xfId="30001" xr:uid="{ED3A0B29-CDE3-4833-A416-051729DC33AB}"/>
    <cellStyle name="Note 8 2 29 2" xfId="47243" xr:uid="{AC7D8A57-6356-4A7D-B19C-45F31F5169FF}"/>
    <cellStyle name="Note 8 2 3" xfId="3095" xr:uid="{033798A4-2E44-4A84-89EC-224149A01D8B}"/>
    <cellStyle name="Note 8 2 3 10" xfId="19253" xr:uid="{0CA2647D-1CD4-466D-8D8F-64417B352572}"/>
    <cellStyle name="Note 8 2 3 10 2" xfId="40042" xr:uid="{EDEE2207-B477-4C53-B7B8-39C7114DA4B4}"/>
    <cellStyle name="Note 8 2 3 11" xfId="16472" xr:uid="{1276C34C-014F-4662-8A26-07FA70EB5BCD}"/>
    <cellStyle name="Note 8 2 3 11 2" xfId="37965" xr:uid="{472CB8DB-D06A-4B66-B5DB-D438FA2CCC8F}"/>
    <cellStyle name="Note 8 2 3 12" xfId="12689" xr:uid="{32316FD2-80FF-4212-9520-D59053A54235}"/>
    <cellStyle name="Note 8 2 3 12 2" xfId="35103" xr:uid="{7451CAB0-CDE3-48FB-A35E-4943944FD2F3}"/>
    <cellStyle name="Note 8 2 3 13" xfId="15034" xr:uid="{28E10363-4DBD-4C20-B3D9-8DA6337EB6FC}"/>
    <cellStyle name="Note 8 2 3 13 2" xfId="36889" xr:uid="{D28EFCAC-F760-4871-BA12-75682A081C1A}"/>
    <cellStyle name="Note 8 2 3 14" xfId="19376" xr:uid="{7C6D304A-E3A1-4BB7-A4F9-031B4592D8FC}"/>
    <cellStyle name="Note 8 2 3 14 2" xfId="40101" xr:uid="{E1B386D0-F588-42C3-A789-0F212C4BD593}"/>
    <cellStyle name="Note 8 2 3 15" xfId="13203" xr:uid="{4D0033BF-7DF9-4A8B-960E-A10FE0F682E1}"/>
    <cellStyle name="Note 8 2 3 15 2" xfId="35551" xr:uid="{56CF4CFD-DD3F-4599-BC17-806AAECD0C3F}"/>
    <cellStyle name="Note 8 2 3 16" xfId="21375" xr:uid="{73E8E79B-C053-4458-A212-3F8B6A9856F2}"/>
    <cellStyle name="Note 8 2 3 16 2" xfId="41504" xr:uid="{9F1525C1-FE26-4402-8478-E61B548DD625}"/>
    <cellStyle name="Note 8 2 3 17" xfId="16270" xr:uid="{C443562B-B1A3-43CE-BAD5-8653F609E762}"/>
    <cellStyle name="Note 8 2 3 17 2" xfId="37807" xr:uid="{43236EFD-36A4-47D8-BCBF-93DEB2B9B888}"/>
    <cellStyle name="Note 8 2 3 18" xfId="23645" xr:uid="{D5EEB0BC-3623-4AD0-8353-2231976D3356}"/>
    <cellStyle name="Note 8 2 3 18 2" xfId="43071" xr:uid="{E9BB0EEB-23ED-49BF-B3AE-07F340D35C2B}"/>
    <cellStyle name="Note 8 2 3 19" xfId="22321" xr:uid="{37D8290F-A6F1-46D8-82CC-72900F077099}"/>
    <cellStyle name="Note 8 2 3 19 2" xfId="42176" xr:uid="{4EACCE7E-5E47-4C9C-A4B9-47D25E00D0F1}"/>
    <cellStyle name="Note 8 2 3 2" xfId="7925" xr:uid="{D3050CA0-01BD-4316-9392-8CBFDA4ED9F4}"/>
    <cellStyle name="Note 8 2 3 2 2" xfId="32173" xr:uid="{D70FB1DC-DD29-45B0-B121-F8D21314D751}"/>
    <cellStyle name="Note 8 2 3 20" xfId="27015" xr:uid="{BD671DEF-A64F-43F0-9D33-E48E12ED179E}"/>
    <cellStyle name="Note 8 2 3 20 2" xfId="45418" xr:uid="{863CE0F6-9B35-4123-A30A-CAEBF98C1576}"/>
    <cellStyle name="Note 8 2 3 21" xfId="24496" xr:uid="{E1846EC9-EC54-4F6E-8AF7-B3B50C90B2B3}"/>
    <cellStyle name="Note 8 2 3 21 2" xfId="43679" xr:uid="{4C8B872A-97A4-4752-B48B-9BFBF6057262}"/>
    <cellStyle name="Note 8 2 3 22" xfId="23202" xr:uid="{184A7AF1-8A52-4F8F-B35D-3FC7A8D2EA57}"/>
    <cellStyle name="Note 8 2 3 22 2" xfId="42796" xr:uid="{AEC7085B-F775-4279-9608-1849D0822CEF}"/>
    <cellStyle name="Note 8 2 3 23" xfId="27141" xr:uid="{BFB1735E-4F7A-4E77-B310-8F48F33C8BD4}"/>
    <cellStyle name="Note 8 2 3 23 2" xfId="45482" xr:uid="{F466B935-A19E-42AA-8F9F-C1ACB4AC2FCB}"/>
    <cellStyle name="Note 8 2 3 24" xfId="26263" xr:uid="{BE937B2A-EF45-4874-AD58-0C9812868D16}"/>
    <cellStyle name="Note 8 2 3 24 2" xfId="44972" xr:uid="{2E340CAF-8A73-4E18-B150-39CAC0ABB00E}"/>
    <cellStyle name="Note 8 2 3 25" xfId="27861" xr:uid="{E20662AA-1193-42A0-8591-1ACA86A8747C}"/>
    <cellStyle name="Note 8 2 3 25 2" xfId="45933" xr:uid="{930399DA-E79D-43BA-8FAC-C0597310CBB0}"/>
    <cellStyle name="Note 8 2 3 26" xfId="30917" xr:uid="{D1E5CD04-61DC-4074-9FF5-61F71A013C9B}"/>
    <cellStyle name="Note 8 2 3 26 2" xfId="47759" xr:uid="{BF1FB4DE-6406-4E52-9B71-F830B750B20E}"/>
    <cellStyle name="Note 8 2 3 27" xfId="30003" xr:uid="{0B52ABF0-8701-4707-95BF-FEC19E261943}"/>
    <cellStyle name="Note 8 2 3 27 2" xfId="47245" xr:uid="{AA3C87AA-63D2-48D3-9DC9-E69D3F94A0C2}"/>
    <cellStyle name="Note 8 2 3 28" xfId="6607" xr:uid="{E6ABB0F7-9E27-4323-B107-D9D8A481314C}"/>
    <cellStyle name="Note 8 2 3 3" xfId="9449" xr:uid="{4625A099-ABC3-4CBF-AAEC-F702198F8FBB}"/>
    <cellStyle name="Note 8 2 3 3 2" xfId="33432" xr:uid="{66400E7E-8190-400A-83A5-33097047743C}"/>
    <cellStyle name="Note 8 2 3 4" xfId="12021" xr:uid="{5531FE4A-3DC7-4B41-B19F-5EF7B2C1049B}"/>
    <cellStyle name="Note 8 2 3 4 2" xfId="34579" xr:uid="{D51A62CF-C5F2-4428-83B7-6B4E76249281}"/>
    <cellStyle name="Note 8 2 3 5" xfId="8720" xr:uid="{F6785A28-6FC6-496D-B68B-AB7F1046A225}"/>
    <cellStyle name="Note 8 2 3 5 2" xfId="32850" xr:uid="{0C4B5163-1142-47B6-9D2C-E8B4AB914493}"/>
    <cellStyle name="Note 8 2 3 6" xfId="13510" xr:uid="{252A5315-6C47-4C9A-B949-F2A9D2A6947B}"/>
    <cellStyle name="Note 8 2 3 6 2" xfId="35762" xr:uid="{AFE68DD4-27A7-4BF0-BB9A-A557DBAE9B6A}"/>
    <cellStyle name="Note 8 2 3 7" xfId="12367" xr:uid="{ED84335A-1978-412F-BEB3-BD9915B1F78A}"/>
    <cellStyle name="Note 8 2 3 7 2" xfId="34864" xr:uid="{04743234-7346-4014-B463-09D328F6E2B7}"/>
    <cellStyle name="Note 8 2 3 8" xfId="14822" xr:uid="{2633C621-9D03-49AD-A5F5-A5C21EE9AD15}"/>
    <cellStyle name="Note 8 2 3 8 2" xfId="36697" xr:uid="{1950E79B-49BB-43EB-A39C-F657A252C38F}"/>
    <cellStyle name="Note 8 2 3 9" xfId="7036" xr:uid="{237673C5-73FE-403F-915D-4D11E9EAF9CC}"/>
    <cellStyle name="Note 8 2 3 9 2" xfId="31403" xr:uid="{D5D3B90E-7C82-4C90-A3C1-382B905075C0}"/>
    <cellStyle name="Note 8 2 30" xfId="6604" xr:uid="{70F0870B-3A6D-4928-B7E9-E44F7433C1C6}"/>
    <cellStyle name="Note 8 2 4" xfId="7928" xr:uid="{CE97C056-6ABB-4684-B119-D1359CB55038}"/>
    <cellStyle name="Note 8 2 4 2" xfId="32176" xr:uid="{1BC6B381-DD71-4696-B936-F0D1EC7A16AD}"/>
    <cellStyle name="Note 8 2 5" xfId="9446" xr:uid="{A9C386EB-8F4A-48AE-87B1-81FB94C486C3}"/>
    <cellStyle name="Note 8 2 5 2" xfId="33429" xr:uid="{B9867C38-92D8-4EC5-B18E-AFD040FA7828}"/>
    <cellStyle name="Note 8 2 6" xfId="7619" xr:uid="{2837261E-1172-41CC-99CA-A8CC6AC8CCFC}"/>
    <cellStyle name="Note 8 2 6 2" xfId="31919" xr:uid="{E061E466-F238-49D0-877C-93E20E38CB5C}"/>
    <cellStyle name="Note 8 2 7" xfId="8723" xr:uid="{881661C3-3DEB-413E-90A5-8D8025A9A331}"/>
    <cellStyle name="Note 8 2 7 2" xfId="32853" xr:uid="{C99763DF-CFA1-4B1B-8C95-C1F20568FD1D}"/>
    <cellStyle name="Note 8 2 8" xfId="15011" xr:uid="{408D1131-349C-4AD7-A82F-9A46AD73F17E}"/>
    <cellStyle name="Note 8 2 8 2" xfId="36869" xr:uid="{F1C250E1-B0D5-4FB7-88D7-F55FBDC080CA}"/>
    <cellStyle name="Note 8 2 9" xfId="8367" xr:uid="{C0283D26-17CB-4A70-A481-318B19E265FB}"/>
    <cellStyle name="Note 8 2 9 2" xfId="32582" xr:uid="{F9A14357-93A5-443B-8F69-C7F78BF30DDA}"/>
    <cellStyle name="Note 8 2_Sheet2" xfId="3096" xr:uid="{8E5EBEC8-DC8A-453B-A7BE-7F8FDD808147}"/>
    <cellStyle name="Note 8 20" xfId="9915" xr:uid="{D6643609-568F-4F0F-A0DF-2C54EB4727AB}"/>
    <cellStyle name="Note 8 20 2" xfId="33660" xr:uid="{4B9FC73B-FE02-45C9-B20C-7E01BBBFC993}"/>
    <cellStyle name="Note 8 21" xfId="18676" xr:uid="{526C7179-1991-4F86-B1F1-2244BF348E01}"/>
    <cellStyle name="Note 8 21 2" xfId="39559" xr:uid="{A050655B-69DE-40E8-A189-4AE53B62D828}"/>
    <cellStyle name="Note 8 22" xfId="10252" xr:uid="{729216B7-D8D6-4C6D-B326-7D9E892F4B88}"/>
    <cellStyle name="Note 8 22 2" xfId="33887" xr:uid="{9027CE23-A1EC-4A93-BF30-C2C8CE99674E}"/>
    <cellStyle name="Note 8 23" xfId="22536" xr:uid="{008E5D03-69A5-477D-AE81-0806E041C8AB}"/>
    <cellStyle name="Note 8 23 2" xfId="42335" xr:uid="{28EC6104-8B2C-4BB6-A462-45425D7F9585}"/>
    <cellStyle name="Note 8 24" xfId="21621" xr:uid="{5342DF73-C95C-4D85-A642-36D2AE274F0B}"/>
    <cellStyle name="Note 8 24 2" xfId="41699" xr:uid="{0B71D17C-375F-4728-B102-171BE5147DE0}"/>
    <cellStyle name="Note 8 25" xfId="14547" xr:uid="{1474BE79-A00A-485C-9951-7D5DD5AE6E86}"/>
    <cellStyle name="Note 8 25 2" xfId="36480" xr:uid="{8C16C44D-F441-4135-9CD1-4CF0A3384F17}"/>
    <cellStyle name="Note 8 26" xfId="24672" xr:uid="{C93A5066-B5E7-462F-B9CB-291C0FF62B96}"/>
    <cellStyle name="Note 8 26 2" xfId="43817" xr:uid="{491CCEA3-329F-48B9-BF33-B79D68266331}"/>
    <cellStyle name="Note 8 27" xfId="27388" xr:uid="{D25690B0-151F-4EFE-A494-3E9B39297164}"/>
    <cellStyle name="Note 8 27 2" xfId="45645" xr:uid="{227C7677-7857-43AA-BA4F-A1C79E0EFFE3}"/>
    <cellStyle name="Note 8 28" xfId="22270" xr:uid="{A92F8C80-E4A2-4609-B5B3-6FD540D33526}"/>
    <cellStyle name="Note 8 28 2" xfId="42135" xr:uid="{D4930E9D-88BE-493A-B5E4-F0BBA6461E61}"/>
    <cellStyle name="Note 8 29" xfId="29298" xr:uid="{15ABD280-AAEE-49C2-A23B-B300110623DE}"/>
    <cellStyle name="Note 8 29 2" xfId="46791" xr:uid="{A90E5E58-15BD-456D-BAC0-2165026F9651}"/>
    <cellStyle name="Note 8 3" xfId="3097" xr:uid="{2C0ECCBF-67E0-4860-AFF6-7BB276AFAB06}"/>
    <cellStyle name="Note 8 3 10" xfId="7035" xr:uid="{FA9DC23F-1659-47D6-94B5-7C07693D147F}"/>
    <cellStyle name="Note 8 3 10 2" xfId="31402" xr:uid="{69AC9329-373E-41F5-AF64-F46EC61A5E4F}"/>
    <cellStyle name="Note 8 3 11" xfId="15173" xr:uid="{AE973F0C-2CFB-465D-BF42-F740770CBD41}"/>
    <cellStyle name="Note 8 3 11 2" xfId="36960" xr:uid="{B4D761A6-470A-4A24-BB80-0C44FC5B4E9D}"/>
    <cellStyle name="Note 8 3 12" xfId="13992" xr:uid="{6CD927EF-7815-42AF-BCB7-3264C35DB830}"/>
    <cellStyle name="Note 8 3 12 2" xfId="36086" xr:uid="{C0176958-73CE-4226-BE13-450113FC95F8}"/>
    <cellStyle name="Note 8 3 13" xfId="13740" xr:uid="{BD9D5713-0AA7-4762-BEF8-889A9B6CFA5A}"/>
    <cellStyle name="Note 8 3 13 2" xfId="35895" xr:uid="{31D50F92-08A8-4706-8F28-26EC0CC6FD95}"/>
    <cellStyle name="Note 8 3 14" xfId="15043" xr:uid="{BC2CC9C6-35E9-4D95-8972-4DD8FFC0F9DE}"/>
    <cellStyle name="Note 8 3 14 2" xfId="36892" xr:uid="{8E9A832E-CBDE-4D76-96C8-493319EBC74F}"/>
    <cellStyle name="Note 8 3 15" xfId="19694" xr:uid="{5A96D5CB-930A-4D09-B238-5E0EE13614B1}"/>
    <cellStyle name="Note 8 3 15 2" xfId="40311" xr:uid="{026EFFBE-12EB-439F-BB18-D85BF73F6D6D}"/>
    <cellStyle name="Note 8 3 16" xfId="13882" xr:uid="{9F6420BC-A56D-4766-9C5B-94029B300C7B}"/>
    <cellStyle name="Note 8 3 16 2" xfId="36005" xr:uid="{B454C29F-2331-44AE-9580-1B5348057D2A}"/>
    <cellStyle name="Note 8 3 17" xfId="21374" xr:uid="{C58C351A-8989-4F83-B0E0-E4BF5F25F5CC}"/>
    <cellStyle name="Note 8 3 17 2" xfId="41503" xr:uid="{74BEBF33-354D-46D4-A903-6BBC332F30FE}"/>
    <cellStyle name="Note 8 3 18" xfId="13950" xr:uid="{548F2625-DB13-4EB2-A4F7-E08A65A2D4B8}"/>
    <cellStyle name="Note 8 3 18 2" xfId="36056" xr:uid="{CEAC1A91-BCC9-44C5-8C14-BD9B2BED4B6C}"/>
    <cellStyle name="Note 8 3 19" xfId="18519" xr:uid="{6EB4F6B1-4BDF-4697-A337-C44D75F0E8D1}"/>
    <cellStyle name="Note 8 3 19 2" xfId="39474" xr:uid="{33A02DA3-13CA-4B6F-906E-700034F2FFAA}"/>
    <cellStyle name="Note 8 3 2" xfId="3098" xr:uid="{039C5DE4-6E0C-4AC2-A386-265F70C1C372}"/>
    <cellStyle name="Note 8 3 2 10" xfId="12346" xr:uid="{3A63D609-715C-402E-AB80-237085BEFFBE}"/>
    <cellStyle name="Note 8 3 2 10 2" xfId="34850" xr:uid="{9770B31E-FFFD-4C28-A427-AFA998CC0C4F}"/>
    <cellStyle name="Note 8 3 2 11" xfId="16471" xr:uid="{A85EAAF2-EB32-4C72-AC64-87EB4D8B1733}"/>
    <cellStyle name="Note 8 3 2 11 2" xfId="37964" xr:uid="{D616F23D-F143-499E-BB47-51EADC52CA84}"/>
    <cellStyle name="Note 8 3 2 12" xfId="17376" xr:uid="{B8DF8955-34BE-433A-BFE6-E7BBF17E3ACA}"/>
    <cellStyle name="Note 8 3 2 12 2" xfId="38623" xr:uid="{F54F3558-02EB-45B4-BD9F-5AEF72988F7F}"/>
    <cellStyle name="Note 8 3 2 13" xfId="9919" xr:uid="{BA8AD415-1612-446E-B03C-E09AC38BDDC1}"/>
    <cellStyle name="Note 8 3 2 13 2" xfId="33664" xr:uid="{D5B8C0AE-9492-49BE-9BF5-E09C8EB4BEEF}"/>
    <cellStyle name="Note 8 3 2 14" xfId="21572" xr:uid="{426ABA24-5E07-48ED-A8D7-173B4F4BDE60}"/>
    <cellStyle name="Note 8 3 2 14 2" xfId="41656" xr:uid="{41FB26D2-9511-4686-9734-DEF790A57DEF}"/>
    <cellStyle name="Note 8 3 2 15" xfId="17356" xr:uid="{2DA34D33-F468-4E46-A5E2-11892767830D}"/>
    <cellStyle name="Note 8 3 2 15 2" xfId="38603" xr:uid="{5B2F078A-7175-42EA-9A38-B11375BE7950}"/>
    <cellStyle name="Note 8 3 2 16" xfId="16994" xr:uid="{2B7076F8-4995-4761-A0BE-7DFD8BC88F59}"/>
    <cellStyle name="Note 8 3 2 16 2" xfId="38354" xr:uid="{5DC54EB4-BC2E-4FC6-A208-3A59304B96CF}"/>
    <cellStyle name="Note 8 3 2 17" xfId="18229" xr:uid="{374E49C2-F0D9-4C80-8BFD-7F628AB867C3}"/>
    <cellStyle name="Note 8 3 2 17 2" xfId="39261" xr:uid="{E8302D12-FF75-4A74-AA43-003061C42E83}"/>
    <cellStyle name="Note 8 3 2 18" xfId="19107" xr:uid="{4BFFEAC3-6626-4CC3-A875-93D302C69B88}"/>
    <cellStyle name="Note 8 3 2 18 2" xfId="39916" xr:uid="{06B1CA4B-BE39-4EB1-8E0B-69370EE919A5}"/>
    <cellStyle name="Note 8 3 2 19" xfId="22845" xr:uid="{5820E943-8417-4A59-B992-36DC6B4F85F4}"/>
    <cellStyle name="Note 8 3 2 19 2" xfId="42563" xr:uid="{99AF1A59-EA00-40CB-98FE-64D860E04AA3}"/>
    <cellStyle name="Note 8 3 2 2" xfId="7923" xr:uid="{A8C696E4-EBFC-4496-8188-149F63752D9A}"/>
    <cellStyle name="Note 8 3 2 2 2" xfId="32171" xr:uid="{DDB4CAB1-D0FF-408E-A483-5607600220EC}"/>
    <cellStyle name="Note 8 3 2 20" xfId="13576" xr:uid="{4A311879-3E1D-4DDF-9593-DA9D9B17D9A5}"/>
    <cellStyle name="Note 8 3 2 20 2" xfId="35772" xr:uid="{9AF51F26-E162-45B6-AAF3-72E8FE93AF15}"/>
    <cellStyle name="Note 8 3 2 21" xfId="22269" xr:uid="{2B9824C7-ACFF-4745-8664-4C77FF560984}"/>
    <cellStyle name="Note 8 3 2 21 2" xfId="42134" xr:uid="{911364AE-105C-44C2-BFDC-681CDAD4687F}"/>
    <cellStyle name="Note 8 3 2 22" xfId="26555" xr:uid="{7837BBCA-3C64-43C6-ACF0-504156A55D67}"/>
    <cellStyle name="Note 8 3 2 22 2" xfId="45124" xr:uid="{78D42B26-A753-417E-854D-D4CEA08079E5}"/>
    <cellStyle name="Note 8 3 2 23" xfId="29170" xr:uid="{DFD7FA1B-B688-404C-A736-7CA9CB10C18C}"/>
    <cellStyle name="Note 8 3 2 23 2" xfId="46698" xr:uid="{3A5A84DE-458F-49A6-9CF2-C6A3FE1963AC}"/>
    <cellStyle name="Note 8 3 2 24" xfId="26261" xr:uid="{5EBD2AE3-1CBD-48EC-99BB-84B56FA56CDD}"/>
    <cellStyle name="Note 8 3 2 24 2" xfId="44970" xr:uid="{8C742BB7-4813-4144-A325-46B0B04284A9}"/>
    <cellStyle name="Note 8 3 2 25" xfId="25494" xr:uid="{EB15D226-AE16-4BAE-BCDD-5FA1F69293CF}"/>
    <cellStyle name="Note 8 3 2 25 2" xfId="44372" xr:uid="{9D125C94-77BD-4D68-9EC7-DE450FFFF5A1}"/>
    <cellStyle name="Note 8 3 2 26" xfId="23423" xr:uid="{3E3F4A73-AED7-4521-9738-C8C7192FA2A4}"/>
    <cellStyle name="Note 8 3 2 26 2" xfId="42940" xr:uid="{4CE397F9-75F0-4E1A-9EBF-73DE4B488D40}"/>
    <cellStyle name="Note 8 3 2 27" xfId="26905" xr:uid="{9D2756C6-7FD5-4BC0-9052-31B8AB33E48E}"/>
    <cellStyle name="Note 8 3 2 27 2" xfId="45328" xr:uid="{60A4C00B-C67E-4C09-A703-917727790C6E}"/>
    <cellStyle name="Note 8 3 2 28" xfId="6609" xr:uid="{74F4B71B-D1FA-4C6E-91B3-8C26E659E52A}"/>
    <cellStyle name="Note 8 3 2 3" xfId="9451" xr:uid="{A70133FC-7AF4-42B1-B381-80EE26948322}"/>
    <cellStyle name="Note 8 3 2 3 2" xfId="33434" xr:uid="{49CA1D3F-B36C-460C-B42D-39D6D4AF5C95}"/>
    <cellStyle name="Note 8 3 2 4" xfId="14280" xr:uid="{BD5FFF2A-CC71-45BF-95DF-DEA8B2D4E322}"/>
    <cellStyle name="Note 8 3 2 4 2" xfId="36332" xr:uid="{9DD10960-89B6-491D-92B6-C296E8F8C04C}"/>
    <cellStyle name="Note 8 3 2 5" xfId="8718" xr:uid="{2DE792A8-C7C7-4FD0-9F42-C4D1D9801475}"/>
    <cellStyle name="Note 8 3 2 5 2" xfId="32848" xr:uid="{B2A20452-2519-40E1-8BD2-86B20ACE1FE0}"/>
    <cellStyle name="Note 8 3 2 6" xfId="12978" xr:uid="{E7CB550D-2305-446A-861E-CA741E95BCFC}"/>
    <cellStyle name="Note 8 3 2 6 2" xfId="35326" xr:uid="{7482E110-DD05-4EAB-ADBB-B6689EDE2971}"/>
    <cellStyle name="Note 8 3 2 7" xfId="8363" xr:uid="{18A5AF2C-FE04-48A8-8FB2-3D5715510E9C}"/>
    <cellStyle name="Note 8 3 2 7 2" xfId="32579" xr:uid="{F6E63B2B-AC62-4AF2-B324-EC3EA3645168}"/>
    <cellStyle name="Note 8 3 2 8" xfId="15971" xr:uid="{53ADC227-E3E2-42FB-B2E1-D5A51F139EFD}"/>
    <cellStyle name="Note 8 3 2 8 2" xfId="37562" xr:uid="{DE6F09DF-8750-41CB-9C37-758FFE355B5D}"/>
    <cellStyle name="Note 8 3 2 9" xfId="14249" xr:uid="{A94289A5-8AF1-4875-96D9-28DB2F9EF6D4}"/>
    <cellStyle name="Note 8 3 2 9 2" xfId="36302" xr:uid="{2D6585DA-70BC-4D8D-B471-126DDCCC3C39}"/>
    <cellStyle name="Note 8 3 20" xfId="24670" xr:uid="{8C0AFEB1-3263-4F99-B05A-3D4C763228C5}"/>
    <cellStyle name="Note 8 3 20 2" xfId="43815" xr:uid="{4E60FFDE-E68D-44BF-AABE-C2F709DFB8FF}"/>
    <cellStyle name="Note 8 3 21" xfId="27616" xr:uid="{2D038B55-01FC-47A6-9F1F-9534D360BC5F}"/>
    <cellStyle name="Note 8 3 21 2" xfId="45758" xr:uid="{E2050CA8-3ECD-4C5A-9B55-2216D1228632}"/>
    <cellStyle name="Note 8 3 22" xfId="27941" xr:uid="{49263B53-C9A8-48D1-8F9E-30CEBB42C3F6}"/>
    <cellStyle name="Note 8 3 22 2" xfId="46013" xr:uid="{8DF371A2-0322-45AB-8507-CB18D1359DF3}"/>
    <cellStyle name="Note 8 3 23" xfId="26714" xr:uid="{67EA9404-D983-4823-8863-E4326B442E36}"/>
    <cellStyle name="Note 8 3 23 2" xfId="45252" xr:uid="{526049D3-B2D8-446E-9B06-3D0593F7A190}"/>
    <cellStyle name="Note 8 3 24" xfId="27514" xr:uid="{E3BBEAFE-FD93-4B01-826E-0C03A3AC509A}"/>
    <cellStyle name="Note 8 3 24 2" xfId="45708" xr:uid="{AC6BD3F7-9295-44B3-8EFD-1F212AABC611}"/>
    <cellStyle name="Note 8 3 25" xfId="26262" xr:uid="{E7F59639-2FF0-437E-929E-F7C3A6199664}"/>
    <cellStyle name="Note 8 3 25 2" xfId="44971" xr:uid="{C1CD1D9B-EDB0-493D-A299-2F9B27E2BC8D}"/>
    <cellStyle name="Note 8 3 26" xfId="29714" xr:uid="{56618B75-F07E-41A9-B43E-69C45C9C44F2}"/>
    <cellStyle name="Note 8 3 26 2" xfId="47059" xr:uid="{0BE38FD0-3254-4B62-ABD9-F0A9B6DB7ACA}"/>
    <cellStyle name="Note 8 3 27" xfId="24461" xr:uid="{C1D83974-2E6A-4FA0-A734-99DD98F1CE02}"/>
    <cellStyle name="Note 8 3 27 2" xfId="43668" xr:uid="{839E78AD-FDAF-4259-8589-01C1F5B299FD}"/>
    <cellStyle name="Note 8 3 28" xfId="26830" xr:uid="{CC37F8CF-DA79-49AA-AA3E-A480DC87BC8B}"/>
    <cellStyle name="Note 8 3 28 2" xfId="45301" xr:uid="{C4F7F23C-389B-4F99-91D2-E7FC998E1E89}"/>
    <cellStyle name="Note 8 3 29" xfId="6608" xr:uid="{EA471576-A33D-4526-966D-A37C82371031}"/>
    <cellStyle name="Note 8 3 3" xfId="7924" xr:uid="{57DAEC12-08C5-43D7-82CA-3A63AE82C192}"/>
    <cellStyle name="Note 8 3 3 2" xfId="32172" xr:uid="{36003DAA-D15B-4B4A-84A5-E8137F358181}"/>
    <cellStyle name="Note 8 3 4" xfId="9450" xr:uid="{A6EC7934-844C-404C-9796-7F6EF793D0B8}"/>
    <cellStyle name="Note 8 3 4 2" xfId="33433" xr:uid="{C3C181DA-3CF1-4596-9455-9438F8AAD3B3}"/>
    <cellStyle name="Note 8 3 5" xfId="12020" xr:uid="{25CC0B92-1F49-4C81-B838-17A6B9D3EE9D}"/>
    <cellStyle name="Note 8 3 5 2" xfId="34578" xr:uid="{672A9E10-47AC-4C9B-93A3-0A984E7EF143}"/>
    <cellStyle name="Note 8 3 6" xfId="8719" xr:uid="{BC1DC80F-49E7-4EF9-A32B-267D8B5F2761}"/>
    <cellStyle name="Note 8 3 6 2" xfId="32849" xr:uid="{CD6C5130-4D6C-4BAB-8E94-739EEB7DD5C0}"/>
    <cellStyle name="Note 8 3 7" xfId="15010" xr:uid="{0759BBA5-7D32-4A27-8DF2-8F0671E6C1CE}"/>
    <cellStyle name="Note 8 3 7 2" xfId="36868" xr:uid="{C49C1621-61AC-4A5A-AF0D-7D95C5860C2B}"/>
    <cellStyle name="Note 8 3 8" xfId="8364" xr:uid="{FB5652BC-2115-48D4-8BB5-1DDCA6C1FA23}"/>
    <cellStyle name="Note 8 3 8 2" xfId="32580" xr:uid="{1732F87A-CE68-4ED6-879E-F2F7CC95950C}"/>
    <cellStyle name="Note 8 3 9" xfId="14821" xr:uid="{8BBF04F7-A66F-4188-B56C-A427A0E4B120}"/>
    <cellStyle name="Note 8 3 9 2" xfId="36696" xr:uid="{CFAAA235-E55B-45A6-9676-17DFD0345FB8}"/>
    <cellStyle name="Note 8 30" xfId="27142" xr:uid="{1F73A8ED-4BF6-46EB-A8FD-C37ABBF86E7C}"/>
    <cellStyle name="Note 8 30 2" xfId="45483" xr:uid="{94B36597-D6E8-4CB1-9B29-3FB8C53899C6}"/>
    <cellStyle name="Note 8 31" xfId="26265" xr:uid="{0920FE63-DF49-4A43-92F2-0D20612EDD2A}"/>
    <cellStyle name="Note 8 31 2" xfId="44974" xr:uid="{AA0606E9-21D9-4428-A084-84A79DFC4B27}"/>
    <cellStyle name="Note 8 32" xfId="27863" xr:uid="{BFF13437-FC7A-4DF1-895B-53B9C0077164}"/>
    <cellStyle name="Note 8 32 2" xfId="45935" xr:uid="{5E523D45-DAF2-4F0B-B15A-58335D792065}"/>
    <cellStyle name="Note 8 33" xfId="25386" xr:uid="{C36309E1-0CDD-49EE-A556-7551F05A0C1C}"/>
    <cellStyle name="Note 8 33 2" xfId="44290" xr:uid="{DAE0FE1B-EBEE-4F39-A794-989F52EBC2FB}"/>
    <cellStyle name="Note 8 34" xfId="29600" xr:uid="{1DF6F356-62CD-49BE-BFAB-077A098C416E}"/>
    <cellStyle name="Note 8 34 2" xfId="46995" xr:uid="{3607C48F-DA54-46E4-8BE7-FAB2960A0BA4}"/>
    <cellStyle name="Note 8 35" xfId="6603" xr:uid="{ED2D60A4-7F42-4F1D-973E-865832306B88}"/>
    <cellStyle name="Note 8 4" xfId="3099" xr:uid="{5EE73A52-1360-439B-B271-11D981B769CD}"/>
    <cellStyle name="Note 8 4 10" xfId="7034" xr:uid="{F087917D-70F5-4F6C-B482-3D8F4ECDC20D}"/>
    <cellStyle name="Note 8 4 10 2" xfId="31401" xr:uid="{F8D38A8A-0B31-4332-873F-FABF951690FE}"/>
    <cellStyle name="Note 8 4 11" xfId="15544" xr:uid="{6D77874A-92E1-4930-B08D-9F1DB84835E5}"/>
    <cellStyle name="Note 8 4 11 2" xfId="37209" xr:uid="{CCEEB741-8160-47DD-A727-778B731FB1C3}"/>
    <cellStyle name="Note 8 4 12" xfId="15890" xr:uid="{1C2E6821-B9DF-4F42-BF9C-5CAC11EC2930}"/>
    <cellStyle name="Note 8 4 12 2" xfId="37481" xr:uid="{296D2F9D-9106-45F4-A17E-0B1998711E66}"/>
    <cellStyle name="Note 8 4 13" xfId="15644" xr:uid="{5E792683-AAA9-4EF1-8749-1427613E887A}"/>
    <cellStyle name="Note 8 4 13 2" xfId="37302" xr:uid="{C8B679EF-DB8A-492A-8CCB-7A26883B049B}"/>
    <cellStyle name="Note 8 4 14" xfId="9920" xr:uid="{CF2C4EB3-9F10-4F0F-97AD-3C626A1DD37B}"/>
    <cellStyle name="Note 8 4 14 2" xfId="33665" xr:uid="{75A4E450-75CB-4283-9498-5B10E78EB519}"/>
    <cellStyle name="Note 8 4 15" xfId="15285" xr:uid="{A143EAF1-293F-4C1E-8CF5-D9787143CACA}"/>
    <cellStyle name="Note 8 4 15 2" xfId="37002" xr:uid="{8160AC64-90BC-44DC-9BDB-0FB836B33901}"/>
    <cellStyle name="Note 8 4 16" xfId="20781" xr:uid="{3BA9C9D2-71CA-4F26-AA24-F7C08483BCEA}"/>
    <cellStyle name="Note 8 4 16 2" xfId="41141" xr:uid="{5A608F15-2C04-46F5-AF58-4A8C549BEEB0}"/>
    <cellStyle name="Note 8 4 17" xfId="21373" xr:uid="{B7C8023A-A4E5-47D0-9DDC-EDE562495CFD}"/>
    <cellStyle name="Note 8 4 17 2" xfId="41502" xr:uid="{9C90BE25-A7F1-4DD6-BF85-0C2B1810AF85}"/>
    <cellStyle name="Note 8 4 18" xfId="16269" xr:uid="{D6499559-ECD6-47FA-9206-BBB4060272BF}"/>
    <cellStyle name="Note 8 4 18 2" xfId="37806" xr:uid="{3C43CBF4-0EB9-454F-8A77-E7C0F25C00EC}"/>
    <cellStyle name="Note 8 4 19" xfId="24358" xr:uid="{FC34E396-D98D-4BA1-8C83-9019E655E3E1}"/>
    <cellStyle name="Note 8 4 19 2" xfId="43613" xr:uid="{531C689F-F30B-42A7-8D3C-966DC69F509A}"/>
    <cellStyle name="Note 8 4 2" xfId="3100" xr:uid="{40A46FB3-C8CB-4D34-B911-544D736F3C47}"/>
    <cellStyle name="Note 8 4 2 10" xfId="12347" xr:uid="{8DCE73C2-7FBA-4F45-BBDD-21C1060FF342}"/>
    <cellStyle name="Note 8 4 2 10 2" xfId="34851" xr:uid="{025DCC2C-03FB-4263-93E4-B68A368E54DF}"/>
    <cellStyle name="Note 8 4 2 11" xfId="16470" xr:uid="{23429B51-F631-44E9-A55B-1A1ED5EEC819}"/>
    <cellStyle name="Note 8 4 2 11 2" xfId="37963" xr:uid="{BF24AB55-D6CF-451D-9A49-777458F1203A}"/>
    <cellStyle name="Note 8 4 2 12" xfId="17359" xr:uid="{252C853D-1718-4811-AAEC-D6360C8874CE}"/>
    <cellStyle name="Note 8 4 2 12 2" xfId="38606" xr:uid="{E03D1528-FCA2-4668-ABAB-4C50479A33EC}"/>
    <cellStyle name="Note 8 4 2 13" xfId="9921" xr:uid="{E39C0340-7B78-4C99-B0CF-E647BE5760D4}"/>
    <cellStyle name="Note 8 4 2 13 2" xfId="33666" xr:uid="{6C8B95E6-8D5B-4374-A079-CF4013E6AB4A}"/>
    <cellStyle name="Note 8 4 2 14" xfId="21571" xr:uid="{B6E3C205-EEB6-401C-848B-DFB734AA932F}"/>
    <cellStyle name="Note 8 4 2 14 2" xfId="41655" xr:uid="{D884620D-B63E-4296-BB37-79C3870D6F39}"/>
    <cellStyle name="Note 8 4 2 15" xfId="20768" xr:uid="{C32C0712-B888-425F-8AFD-00160F632C2A}"/>
    <cellStyle name="Note 8 4 2 15 2" xfId="41128" xr:uid="{2BAF6999-17C1-4E03-8CEB-62611542732B}"/>
    <cellStyle name="Note 8 4 2 16" xfId="20896" xr:uid="{BDB3B343-7712-4A5F-932C-10123690CE8E}"/>
    <cellStyle name="Note 8 4 2 16 2" xfId="41204" xr:uid="{00CAE6B2-7C4C-4ADD-B9AC-D16F9BEB4B35}"/>
    <cellStyle name="Note 8 4 2 17" xfId="21619" xr:uid="{0D8F2BC3-A455-42DC-8C0D-E1257CDC0824}"/>
    <cellStyle name="Note 8 4 2 17 2" xfId="41697" xr:uid="{C6370231-B635-4858-B7D2-C512DC171FDB}"/>
    <cellStyle name="Note 8 4 2 18" xfId="24135" xr:uid="{2ECF6250-0716-4A8D-AE53-4B98E28D0FE5}"/>
    <cellStyle name="Note 8 4 2 18 2" xfId="43508" xr:uid="{11D0A438-923B-4182-A3B5-DF667E140D9E}"/>
    <cellStyle name="Note 8 4 2 19" xfId="22827" xr:uid="{8089C1E7-4645-4B9B-B7B8-CA38D70D2DE4}"/>
    <cellStyle name="Note 8 4 2 19 2" xfId="42555" xr:uid="{136DCA97-BBEF-426D-BD2A-352A6982974C}"/>
    <cellStyle name="Note 8 4 2 2" xfId="7921" xr:uid="{D3127CFC-39C9-440D-B6FD-9152EF83F6C4}"/>
    <cellStyle name="Note 8 4 2 2 2" xfId="32169" xr:uid="{F1654B6B-8EC2-42EA-9CF4-A6F15687610F}"/>
    <cellStyle name="Note 8 4 2 20" xfId="19863" xr:uid="{66E029D0-5820-4DBA-8300-01CD80E56424}"/>
    <cellStyle name="Note 8 4 2 20 2" xfId="40476" xr:uid="{D92E1E5B-C272-43E9-8AAA-03D617A130EE}"/>
    <cellStyle name="Note 8 4 2 21" xfId="27940" xr:uid="{D15BEE08-56DE-4428-AB93-36A5EC97A9A4}"/>
    <cellStyle name="Note 8 4 2 21 2" xfId="46012" xr:uid="{598B0EDB-E6E8-49C1-B87B-A1CC81329441}"/>
    <cellStyle name="Note 8 4 2 22" xfId="23201" xr:uid="{BC11C38A-9A5C-496F-BB8D-0A7846A60DB7}"/>
    <cellStyle name="Note 8 4 2 22 2" xfId="42795" xr:uid="{B3ABC5C2-8952-4FF3-B3E2-EBA679667174}"/>
    <cellStyle name="Note 8 4 2 23" xfId="26097" xr:uid="{FA5EE7AD-FDD8-461E-B8DB-2F19F79C0FDE}"/>
    <cellStyle name="Note 8 4 2 23 2" xfId="44840" xr:uid="{DA4D799D-0151-4428-90A0-E8D1F1E684F9}"/>
    <cellStyle name="Note 8 4 2 24" xfId="26221" xr:uid="{5324814B-73B9-43B3-A9B7-E7271237C558}"/>
    <cellStyle name="Note 8 4 2 24 2" xfId="44930" xr:uid="{CC452243-E755-4E40-9AA8-FA56B2B7CD57}"/>
    <cellStyle name="Note 8 4 2 25" xfId="26459" xr:uid="{DBF003E5-06B9-4487-B025-B931F3595E94}"/>
    <cellStyle name="Note 8 4 2 25 2" xfId="45085" xr:uid="{992ADEBA-D722-4F4A-8DE5-94A6A777E446}"/>
    <cellStyle name="Note 8 4 2 26" xfId="25398" xr:uid="{F66E9960-A978-4B8A-8F46-FE541922DB94}"/>
    <cellStyle name="Note 8 4 2 26 2" xfId="44291" xr:uid="{F4650E62-4F5F-47D3-ACAB-BBB72FB831ED}"/>
    <cellStyle name="Note 8 4 2 27" xfId="29020" xr:uid="{E0ABD12A-F800-4ED4-BD7A-52B613B3C062}"/>
    <cellStyle name="Note 8 4 2 27 2" xfId="46614" xr:uid="{2C908D25-FCB4-412B-A4DB-3B7F6BA0A11F}"/>
    <cellStyle name="Note 8 4 2 28" xfId="6611" xr:uid="{C8B991B7-3028-4A68-A9A9-0C11E06BBDCA}"/>
    <cellStyle name="Note 8 4 2 3" xfId="9453" xr:uid="{B3BA7265-0A51-4C3E-AFBA-A51FBDB9C675}"/>
    <cellStyle name="Note 8 4 2 3 2" xfId="33436" xr:uid="{758FCAF2-A2DA-45F5-B0B1-74FC67B82C2B}"/>
    <cellStyle name="Note 8 4 2 4" xfId="14289" xr:uid="{D453CD57-0544-4995-9D0C-4535731625F6}"/>
    <cellStyle name="Note 8 4 2 4 2" xfId="36334" xr:uid="{1B5A6A0F-DC88-4C64-AFB6-38875AE6636B}"/>
    <cellStyle name="Note 8 4 2 5" xfId="8716" xr:uid="{7A124360-38DE-44A7-AABD-1913D69DDE18}"/>
    <cellStyle name="Note 8 4 2 5 2" xfId="32846" xr:uid="{FFF70306-C2F4-45F0-BDC2-C46473311725}"/>
    <cellStyle name="Note 8 4 2 6" xfId="10495" xr:uid="{D16CA510-1079-4F70-868F-95CA64DA5C96}"/>
    <cellStyle name="Note 8 4 2 6 2" xfId="34130" xr:uid="{7176DBEA-82FE-40AF-BCCC-FC28D58E7D50}"/>
    <cellStyle name="Note 8 4 2 7" xfId="8361" xr:uid="{54B18D39-78FE-4043-8DBB-C1430D6748F0}"/>
    <cellStyle name="Note 8 4 2 7 2" xfId="32577" xr:uid="{2FB19EE8-E6F0-4C48-823E-29C601D808C0}"/>
    <cellStyle name="Note 8 4 2 8" xfId="14820" xr:uid="{E5F4E720-3B17-4472-9BB7-9B1158AB288D}"/>
    <cellStyle name="Note 8 4 2 8 2" xfId="36695" xr:uid="{8A6CD6FA-A35A-4558-B684-FDF5F216C4AC}"/>
    <cellStyle name="Note 8 4 2 9" xfId="12392" xr:uid="{3419FDE4-9DA2-46F5-85E1-4B8725A3DE40}"/>
    <cellStyle name="Note 8 4 2 9 2" xfId="34879" xr:uid="{C5B16B29-B74A-42EE-BAE6-003608CFD1BD}"/>
    <cellStyle name="Note 8 4 20" xfId="26689" xr:uid="{3B09AD9A-1024-4BCD-BB77-BFE0B601366D}"/>
    <cellStyle name="Note 8 4 20 2" xfId="45236" xr:uid="{7F6C1B7A-C2F3-4AB8-A8BC-F52514F44941}"/>
    <cellStyle name="Note 8 4 21" xfId="19864" xr:uid="{FBB52447-A7AF-44F8-BC64-EAA2DBF1C686}"/>
    <cellStyle name="Note 8 4 21 2" xfId="40477" xr:uid="{7A02234E-E1EE-4D70-92A3-96FC5C2E4E90}"/>
    <cellStyle name="Note 8 4 22" xfId="25365" xr:uid="{BBF6D440-A919-4D30-81B0-9F6108AC5BF8}"/>
    <cellStyle name="Note 8 4 22 2" xfId="44281" xr:uid="{91D2785A-F007-4EE4-BCE4-94CA22D38138}"/>
    <cellStyle name="Note 8 4 23" xfId="26717" xr:uid="{A25080C3-61A7-41A5-AB84-A9A3D0BB40E1}"/>
    <cellStyle name="Note 8 4 23 2" xfId="45255" xr:uid="{516D8EC8-3DCE-48D8-97DB-87DF027A6444}"/>
    <cellStyle name="Note 8 4 24" xfId="27515" xr:uid="{4E5B06E9-EAF6-47F0-A8B8-D4398A10DCF9}"/>
    <cellStyle name="Note 8 4 24 2" xfId="45709" xr:uid="{AD83C001-89BE-4255-9689-3812E3E5F978}"/>
    <cellStyle name="Note 8 4 25" xfId="16942" xr:uid="{736D44E9-D1AC-4D04-AF15-31459B03778D}"/>
    <cellStyle name="Note 8 4 25 2" xfId="38312" xr:uid="{4B06C16B-0A22-4C0A-AE68-8EE49C32D8D1}"/>
    <cellStyle name="Note 8 4 26" xfId="25834" xr:uid="{73232964-CDDF-4C5B-BBDA-93B732EA9748}"/>
    <cellStyle name="Note 8 4 26 2" xfId="44657" xr:uid="{34106796-F89C-4C38-84A6-CB1C15366ABE}"/>
    <cellStyle name="Note 8 4 27" xfId="22258" xr:uid="{58271ED6-25B0-4434-B54E-2940797101A9}"/>
    <cellStyle name="Note 8 4 27 2" xfId="42128" xr:uid="{4E0633C0-1662-4BFD-B43B-57127EF0511D}"/>
    <cellStyle name="Note 8 4 28" xfId="30056" xr:uid="{0D72E3D3-41E1-4A61-B7B5-FF4B24FB1AD8}"/>
    <cellStyle name="Note 8 4 28 2" xfId="47269" xr:uid="{D04B2267-2D91-4C3D-9801-F8BA91D37AE0}"/>
    <cellStyle name="Note 8 4 29" xfId="6610" xr:uid="{2929148C-A492-431E-8DAA-D6F83D92E422}"/>
    <cellStyle name="Note 8 4 3" xfId="7922" xr:uid="{62A31D26-E9E9-4575-83DD-C8D7F2D760FA}"/>
    <cellStyle name="Note 8 4 3 2" xfId="32170" xr:uid="{7A68CE5E-8EE5-451F-96BC-B257D1ACDD79}"/>
    <cellStyle name="Note 8 4 4" xfId="9452" xr:uid="{CF29E974-B46F-487B-A904-B0215937CD2B}"/>
    <cellStyle name="Note 8 4 4 2" xfId="33435" xr:uid="{0E07DAC1-94CE-4479-997D-605F0BB87026}"/>
    <cellStyle name="Note 8 4 5" xfId="14291" xr:uid="{31C9E82D-9304-4E1A-83B5-0EB59C34C814}"/>
    <cellStyle name="Note 8 4 5 2" xfId="36336" xr:uid="{ABF7FE7C-8815-492C-AD69-B1F4185C7DB5}"/>
    <cellStyle name="Note 8 4 6" xfId="8717" xr:uid="{9B24F80E-EE51-42D3-B157-0A1E156F1595}"/>
    <cellStyle name="Note 8 4 6 2" xfId="32847" xr:uid="{2DE5008B-439D-4337-900E-E34B8B8BE32C}"/>
    <cellStyle name="Note 8 4 7" xfId="15009" xr:uid="{84837D0E-3D11-43DD-8AFF-B4F1E2E9B8A2}"/>
    <cellStyle name="Note 8 4 7 2" xfId="36867" xr:uid="{C69A4AAB-32FA-49AD-9841-A3B42C450403}"/>
    <cellStyle name="Note 8 4 8" xfId="8362" xr:uid="{71005327-D85B-4576-A6EF-AAD2830C42B0}"/>
    <cellStyle name="Note 8 4 8 2" xfId="32578" xr:uid="{E1B91859-508B-4430-BD9C-A35CA55B81E7}"/>
    <cellStyle name="Note 8 4 9" xfId="12895" xr:uid="{43DF57D5-DF5B-413F-A93B-8661CEFFC831}"/>
    <cellStyle name="Note 8 4 9 2" xfId="35251" xr:uid="{9FCAD6BD-B96F-4C63-BCE5-8A77A3068103}"/>
    <cellStyle name="Note 8 5" xfId="3101" xr:uid="{0FB29976-1231-4627-AC3E-E1B500E94514}"/>
    <cellStyle name="Note 8 5 10" xfId="7033" xr:uid="{49C940AD-ACC3-4168-8FEF-C60CCF68DC50}"/>
    <cellStyle name="Note 8 5 10 2" xfId="31400" xr:uid="{4553C1F6-BD75-4358-A43F-A9B574D8BEF0}"/>
    <cellStyle name="Note 8 5 11" xfId="13830" xr:uid="{8F4C16A9-C6C7-4209-B248-0F3B4F1A9205}"/>
    <cellStyle name="Note 8 5 11 2" xfId="35955" xr:uid="{DEECD857-BE98-4556-81A7-8F7262F7D9BC}"/>
    <cellStyle name="Note 8 5 12" xfId="12568" xr:uid="{4BE0E923-F12A-4E44-A08B-22E61912198C}"/>
    <cellStyle name="Note 8 5 12 2" xfId="35012" xr:uid="{471BD815-FC88-4966-AA4D-74F651C0250C}"/>
    <cellStyle name="Note 8 5 13" xfId="17375" xr:uid="{37010394-7F06-43D5-AE5E-213C4AA62858}"/>
    <cellStyle name="Note 8 5 13 2" xfId="38622" xr:uid="{14B3CCAC-C3D5-4291-B649-B45574F44AF7}"/>
    <cellStyle name="Note 8 5 14" xfId="9922" xr:uid="{FDAE4774-2510-45C2-859C-C4152E9F8C6A}"/>
    <cellStyle name="Note 8 5 14 2" xfId="33667" xr:uid="{3F3AA4FE-45FE-4167-8B1A-5C7D89FE7C63}"/>
    <cellStyle name="Note 8 5 15" xfId="15708" xr:uid="{57C3A7BF-C8F6-4845-85D3-33C38569C639}"/>
    <cellStyle name="Note 8 5 15 2" xfId="37339" xr:uid="{34CADF77-282F-439D-8EE5-DDBD72D199F8}"/>
    <cellStyle name="Note 8 5 16" xfId="20780" xr:uid="{7A580669-A1DD-4A64-BF7B-ED05356DF35B}"/>
    <cellStyle name="Note 8 5 16 2" xfId="41140" xr:uid="{2912AFF5-8E12-4FEB-9823-CC6C9B30F639}"/>
    <cellStyle name="Note 8 5 17" xfId="21372" xr:uid="{9C2CE474-06E4-44A5-A2B7-9CA739F6E927}"/>
    <cellStyle name="Note 8 5 17 2" xfId="41501" xr:uid="{3A88CFC8-FEC9-414B-AC51-2DF3D2343635}"/>
    <cellStyle name="Note 8 5 18" xfId="18228" xr:uid="{F0E20BC9-05D9-41D6-9C16-215525EF09E1}"/>
    <cellStyle name="Note 8 5 18 2" xfId="39260" xr:uid="{8E9F43D0-9EAC-4620-BD48-7E5BD1FDF3CC}"/>
    <cellStyle name="Note 8 5 19" xfId="16064" xr:uid="{E379BD6F-6D90-40AA-B314-F0C3B9332B51}"/>
    <cellStyle name="Note 8 5 19 2" xfId="37640" xr:uid="{EFE6027D-4D9C-4316-BE21-42BE48FB1068}"/>
    <cellStyle name="Note 8 5 2" xfId="3102" xr:uid="{FFFBCFBD-EC15-4D7A-88F4-EC14DD748C29}"/>
    <cellStyle name="Note 8 5 2 10" xfId="14619" xr:uid="{674B6E21-6F2A-4BB6-BC8A-3794586E42F7}"/>
    <cellStyle name="Note 8 5 2 10 2" xfId="36531" xr:uid="{52DDDADF-ECE9-4D37-BDC4-101B23309F9A}"/>
    <cellStyle name="Note 8 5 2 11" xfId="16469" xr:uid="{3568A421-4403-4082-9A5E-15D69FD11F55}"/>
    <cellStyle name="Note 8 5 2 11 2" xfId="37962" xr:uid="{505AB064-969E-40E8-BECA-D72E8D190665}"/>
    <cellStyle name="Note 8 5 2 12" xfId="13741" xr:uid="{FE7EECF3-B030-4D08-9E88-ADDDA2A34314}"/>
    <cellStyle name="Note 8 5 2 12 2" xfId="35896" xr:uid="{7CA76E92-D57B-4982-A061-E6E3E9D8F62E}"/>
    <cellStyle name="Note 8 5 2 13" xfId="9923" xr:uid="{173B7AEE-BF39-4D3F-AA50-68304EF6C7F3}"/>
    <cellStyle name="Note 8 5 2 13 2" xfId="33668" xr:uid="{95909930-0C75-4693-89A5-3C1354D10EE4}"/>
    <cellStyle name="Note 8 5 2 14" xfId="21570" xr:uid="{A52346B1-A9CA-4738-AD75-4F692945C34E}"/>
    <cellStyle name="Note 8 5 2 14 2" xfId="41654" xr:uid="{4FD1DBBB-FDA9-4615-A49E-E71E087A80C4}"/>
    <cellStyle name="Note 8 5 2 15" xfId="18474" xr:uid="{6EA5C7F7-BD83-4533-A684-7ADE435373CA}"/>
    <cellStyle name="Note 8 5 2 15 2" xfId="39469" xr:uid="{62E4D401-B39C-4418-903D-37850A086A23}"/>
    <cellStyle name="Note 8 5 2 16" xfId="16999" xr:uid="{F0C22B9C-8312-44DA-8526-A03BA31C2403}"/>
    <cellStyle name="Note 8 5 2 16 2" xfId="38359" xr:uid="{3FDD3224-A5EB-4946-9992-701BC47B2BF1}"/>
    <cellStyle name="Note 8 5 2 17" xfId="12825" xr:uid="{0381D31E-B46E-439D-8F1F-098B22C2A7CC}"/>
    <cellStyle name="Note 8 5 2 17 2" xfId="35212" xr:uid="{04C4FA13-B9E9-48A1-A791-E9D4905FA772}"/>
    <cellStyle name="Note 8 5 2 18" xfId="19108" xr:uid="{A6240833-DEF4-4A01-8283-CF64679C74D2}"/>
    <cellStyle name="Note 8 5 2 18 2" xfId="39917" xr:uid="{F5A0872E-7B6C-4D1C-A59E-782082836D26}"/>
    <cellStyle name="Note 8 5 2 19" xfId="26923" xr:uid="{448E4B6F-178C-4427-A489-9FCB519F2061}"/>
    <cellStyle name="Note 8 5 2 19 2" xfId="45339" xr:uid="{6A4DD20E-BA80-4DB4-85D6-6BA2CAF7E450}"/>
    <cellStyle name="Note 8 5 2 2" xfId="7919" xr:uid="{D77D87D7-11C2-4BDA-9822-10A3BAC4A626}"/>
    <cellStyle name="Note 8 5 2 2 2" xfId="32167" xr:uid="{7511FFBC-B0B5-4BF4-9103-2E8208D25B55}"/>
    <cellStyle name="Note 8 5 2 20" xfId="19862" xr:uid="{42122964-38D7-4C63-BBD3-EBECFBFBD62F}"/>
    <cellStyle name="Note 8 5 2 20 2" xfId="40475" xr:uid="{5F823057-9529-49A3-BB16-0F920B948C86}"/>
    <cellStyle name="Note 8 5 2 21" xfId="23440" xr:uid="{60BCC585-CD7C-4539-8929-C7162DAB3077}"/>
    <cellStyle name="Note 8 5 2 21 2" xfId="42946" xr:uid="{E15B87B7-D6A1-40E5-883C-16F2B7B3FE83}"/>
    <cellStyle name="Note 8 5 2 22" xfId="20493" xr:uid="{40C65997-62C7-4346-BD41-0D5AD9392C58}"/>
    <cellStyle name="Note 8 5 2 22 2" xfId="40883" xr:uid="{11F86A86-9004-4C55-867B-99F974804766}"/>
    <cellStyle name="Note 8 5 2 23" xfId="27140" xr:uid="{B9CC1CE4-E763-46D5-B020-AF303D867EAC}"/>
    <cellStyle name="Note 8 5 2 23 2" xfId="45481" xr:uid="{5B4B1AF4-C594-468C-9DE9-4F4D755B41CA}"/>
    <cellStyle name="Note 8 5 2 24" xfId="26220" xr:uid="{D25C10D9-BDDD-4F87-9329-C519A56F6E3F}"/>
    <cellStyle name="Note 8 5 2 24 2" xfId="44929" xr:uid="{03C91017-2A9E-4B7C-A7AD-4C362CEF0DC6}"/>
    <cellStyle name="Note 8 5 2 25" xfId="27859" xr:uid="{9C70625A-61D3-4081-A573-E0C2DE6760DB}"/>
    <cellStyle name="Note 8 5 2 25 2" xfId="45931" xr:uid="{CD30794B-EBE5-4870-BCB0-17715CDF1272}"/>
    <cellStyle name="Note 8 5 2 26" xfId="21963" xr:uid="{6FAB122A-514B-4D18-862A-51C976429F8F}"/>
    <cellStyle name="Note 8 5 2 26 2" xfId="41875" xr:uid="{9654F05F-CA73-4129-B5D4-7C4501D84C21}"/>
    <cellStyle name="Note 8 5 2 27" xfId="31108" xr:uid="{8D43CFD7-FD00-4E41-B607-CACBD30973B7}"/>
    <cellStyle name="Note 8 5 2 27 2" xfId="47838" xr:uid="{B06F4785-FF0A-49C7-B77D-027B7DA2E9C7}"/>
    <cellStyle name="Note 8 5 2 28" xfId="6613" xr:uid="{09223E62-AA52-4BC8-B54D-226E459F52A4}"/>
    <cellStyle name="Note 8 5 2 3" xfId="9455" xr:uid="{F9568872-15CB-488F-A259-AD1461D9F580}"/>
    <cellStyle name="Note 8 5 2 3 2" xfId="33438" xr:uid="{237E6E57-1224-469A-9412-8F7629F451C5}"/>
    <cellStyle name="Note 8 5 2 4" xfId="7616" xr:uid="{4DB0CE3F-91CB-47F4-9EAA-33B791C03A3F}"/>
    <cellStyle name="Note 8 5 2 4 2" xfId="31916" xr:uid="{9BB8B99C-1CB9-4740-8B13-F72B3AA509EA}"/>
    <cellStyle name="Note 8 5 2 5" xfId="8714" xr:uid="{F19F63FB-429B-47A7-B5C3-9FD4F026B2DE}"/>
    <cellStyle name="Note 8 5 2 5 2" xfId="32844" xr:uid="{6CEDD3FB-09DF-4FB0-88E6-1E63D83107E1}"/>
    <cellStyle name="Note 8 5 2 6" xfId="12977" xr:uid="{5969085D-7D99-4566-A7B9-564C0F447521}"/>
    <cellStyle name="Note 8 5 2 6 2" xfId="35325" xr:uid="{7E015621-5AC3-47B2-B755-AB973AAA216D}"/>
    <cellStyle name="Note 8 5 2 7" xfId="8359" xr:uid="{D7D791F1-9B59-487A-B1A7-79729B1D5E59}"/>
    <cellStyle name="Note 8 5 2 7 2" xfId="32575" xr:uid="{E03492A3-D2A4-40F3-A46B-6EA87C013C7B}"/>
    <cellStyle name="Note 8 5 2 8" xfId="17556" xr:uid="{CD54C0BC-F47A-4D26-AC13-93E06DDC3F2A}"/>
    <cellStyle name="Note 8 5 2 8 2" xfId="38803" xr:uid="{901A22B8-0723-49DE-896F-2A36B45AE2AD}"/>
    <cellStyle name="Note 8 5 2 9" xfId="18406" xr:uid="{3ABE6531-B6AD-482B-8335-0154CC4A233D}"/>
    <cellStyle name="Note 8 5 2 9 2" xfId="39417" xr:uid="{4C1015E2-BA71-41C9-AB7E-0357A35F9A0D}"/>
    <cellStyle name="Note 8 5 20" xfId="24669" xr:uid="{208FFB9E-87F5-438A-907E-E277163EBC43}"/>
    <cellStyle name="Note 8 5 20 2" xfId="43814" xr:uid="{CD7C2D7D-8912-4B72-A8B2-5651D50AB53E}"/>
    <cellStyle name="Note 8 5 21" xfId="18005" xr:uid="{E4F3E289-E4FF-4AB8-89E4-2091D666CADD}"/>
    <cellStyle name="Note 8 5 21 2" xfId="39101" xr:uid="{990934AC-EDE2-48CE-9D0B-C14166D0F7F6}"/>
    <cellStyle name="Note 8 5 22" xfId="25803" xr:uid="{7526EF8F-F52A-43CF-9C16-61ABA0C2C5B3}"/>
    <cellStyle name="Note 8 5 22 2" xfId="44631" xr:uid="{D1E36766-445C-4D27-882E-DC39DDB56837}"/>
    <cellStyle name="Note 8 5 23" xfId="26716" xr:uid="{9518DC2B-7F09-4932-B434-F9B643C40F05}"/>
    <cellStyle name="Note 8 5 23 2" xfId="45254" xr:uid="{4653EB01-F748-4BD3-8778-FC9A7242B961}"/>
    <cellStyle name="Note 8 5 24" xfId="28568" xr:uid="{19AE47C7-9B2D-4FE6-8CBD-C70DED1903E4}"/>
    <cellStyle name="Note 8 5 24 2" xfId="46303" xr:uid="{DFC25017-2E98-4E9C-B803-275E3C717AED}"/>
    <cellStyle name="Note 8 5 25" xfId="22238" xr:uid="{F084EF4A-9D16-42F2-9AC3-8051E4DF80B0}"/>
    <cellStyle name="Note 8 5 25 2" xfId="42115" xr:uid="{F448F0D1-ED95-462E-8891-984A176C41FA}"/>
    <cellStyle name="Note 8 5 26" xfId="25959" xr:uid="{05EF0CD4-4721-46B1-99BF-6D33689BAC60}"/>
    <cellStyle name="Note 8 5 26 2" xfId="44750" xr:uid="{D56C4F3F-4EA0-466D-A636-9F83B2E55D73}"/>
    <cellStyle name="Note 8 5 27" xfId="24460" xr:uid="{0381F5A0-6D1B-42F0-B12B-A6305E4526A7}"/>
    <cellStyle name="Note 8 5 27 2" xfId="43667" xr:uid="{5207BA34-9B97-41E8-B59C-FC0F42150654}"/>
    <cellStyle name="Note 8 5 28" xfId="28858" xr:uid="{158B03C8-842D-4505-A1BF-CCEAD06CC108}"/>
    <cellStyle name="Note 8 5 28 2" xfId="46479" xr:uid="{5DA7173D-4454-47BB-9F43-A906D7DCA224}"/>
    <cellStyle name="Note 8 5 29" xfId="6612" xr:uid="{940A3D70-F59A-4E5E-8341-617AF97F569E}"/>
    <cellStyle name="Note 8 5 3" xfId="7920" xr:uid="{684CE245-C0C3-4C88-A97F-9072B0BE26A2}"/>
    <cellStyle name="Note 8 5 3 2" xfId="32168" xr:uid="{886BC590-6EEE-4098-8F0E-8F88C8627032}"/>
    <cellStyle name="Note 8 5 4" xfId="9454" xr:uid="{6CD7D713-EC79-4358-9A78-05D386C7D0C0}"/>
    <cellStyle name="Note 8 5 4 2" xfId="33437" xr:uid="{820FDF6B-167C-4844-A9D0-88B81C90DD9E}"/>
    <cellStyle name="Note 8 5 5" xfId="7617" xr:uid="{6897DA85-7D57-4748-8208-940CEB6E6BA5}"/>
    <cellStyle name="Note 8 5 5 2" xfId="31917" xr:uid="{2B724F9E-F155-4A31-B30E-AE3B09609D67}"/>
    <cellStyle name="Note 8 5 6" xfId="8715" xr:uid="{B2D814D3-70C3-481F-A61F-0372FC621235}"/>
    <cellStyle name="Note 8 5 6 2" xfId="32845" xr:uid="{A11C9C2A-F63E-4BE0-BB3B-87FE17221BF8}"/>
    <cellStyle name="Note 8 5 7" xfId="15008" xr:uid="{8A6109A0-ED5A-4CFD-9554-29F872D7BDA8}"/>
    <cellStyle name="Note 8 5 7 2" xfId="36866" xr:uid="{BB4878C5-A560-407C-9F94-028C88A412E6}"/>
    <cellStyle name="Note 8 5 8" xfId="8360" xr:uid="{0A457BFA-F0F7-4AF8-87DD-6B956AA7305E}"/>
    <cellStyle name="Note 8 5 8 2" xfId="32576" xr:uid="{768CF223-5D10-44E9-BA15-BA06FF7063D0}"/>
    <cellStyle name="Note 8 5 9" xfId="10601" xr:uid="{D3C949D2-A9FA-4198-9245-E3F4272B56C3}"/>
    <cellStyle name="Note 8 5 9 2" xfId="34227" xr:uid="{33DA5D91-1AA2-4AAF-8318-9492A1BC3095}"/>
    <cellStyle name="Note 8 6" xfId="3103" xr:uid="{C0525DA9-5309-4963-8F48-326ABA41EC09}"/>
    <cellStyle name="Note 8 6 10" xfId="7007" xr:uid="{BCF3CF0A-5ECE-4F9E-9614-2896C6EDD29F}"/>
    <cellStyle name="Note 8 6 10 2" xfId="31374" xr:uid="{04BA64FA-4A62-4846-B1B4-6A2D7F611D41}"/>
    <cellStyle name="Note 8 6 11" xfId="15545" xr:uid="{2EDA17B0-482D-47E2-B811-ECEE456E55B4}"/>
    <cellStyle name="Note 8 6 11 2" xfId="37210" xr:uid="{316973EE-B20A-429D-B5C1-5E603E17E258}"/>
    <cellStyle name="Note 8 6 12" xfId="15202" xr:uid="{523C4BBF-4097-421F-BF7D-82C947720C30}"/>
    <cellStyle name="Note 8 6 12 2" xfId="36973" xr:uid="{ADC9EF2A-C443-4AAC-8201-E34FC02C3CCE}"/>
    <cellStyle name="Note 8 6 13" xfId="17374" xr:uid="{924B02F4-9925-4B26-B994-DE200C1C1935}"/>
    <cellStyle name="Note 8 6 13 2" xfId="38621" xr:uid="{2EF4CDE7-D74D-4E65-BCC9-17602E5F6CE1}"/>
    <cellStyle name="Note 8 6 14" xfId="9924" xr:uid="{21C68F29-45D4-4E15-9656-7BA5E82D3B70}"/>
    <cellStyle name="Note 8 6 14 2" xfId="33669" xr:uid="{75F0ECC9-6B25-4A55-9C2D-D808F26F7D9D}"/>
    <cellStyle name="Note 8 6 15" xfId="18654" xr:uid="{0A42A4E2-DCAB-4E91-A5A1-FB181169661C}"/>
    <cellStyle name="Note 8 6 15 2" xfId="39546" xr:uid="{2A2FC7CD-066F-453F-8938-E10371A43C75}"/>
    <cellStyle name="Note 8 6 16" xfId="23283" xr:uid="{DAD4DBC9-AD90-420E-B91D-4264D36C61A1}"/>
    <cellStyle name="Note 8 6 16 2" xfId="42857" xr:uid="{D782C21F-C112-4A17-B90E-088965DFD868}"/>
    <cellStyle name="Note 8 6 17" xfId="24088" xr:uid="{A961DBE7-B468-4047-A98A-F1179D903611}"/>
    <cellStyle name="Note 8 6 17 2" xfId="43464" xr:uid="{04D9D578-D5AE-41B1-A408-66CA54A42E44}"/>
    <cellStyle name="Note 8 6 18" xfId="18227" xr:uid="{F8AF01E1-C24C-4EDD-B5A9-0DFB81468E2F}"/>
    <cellStyle name="Note 8 6 18 2" xfId="39259" xr:uid="{9DE516D8-B3A0-484C-B174-CCBF65BE17D7}"/>
    <cellStyle name="Note 8 6 19" xfId="17154" xr:uid="{3E1F7339-44CD-4496-AED6-B7EE3760EE4B}"/>
    <cellStyle name="Note 8 6 19 2" xfId="38483" xr:uid="{8000D0FF-071C-4CB3-8596-E4899C4EED12}"/>
    <cellStyle name="Note 8 6 2" xfId="3104" xr:uid="{883A5D3B-D5EC-4A2D-A882-81F1FD787978}"/>
    <cellStyle name="Note 8 6 2 10" xfId="19251" xr:uid="{DF83B958-899F-4B13-9372-DBEDE8EB7066}"/>
    <cellStyle name="Note 8 6 2 10 2" xfId="40040" xr:uid="{A0567B50-BB0C-4448-AC12-0BF8F02DA82C}"/>
    <cellStyle name="Note 8 6 2 11" xfId="16468" xr:uid="{E8F016B5-A5D1-4195-815F-0401B652552B}"/>
    <cellStyle name="Note 8 6 2 11 2" xfId="37961" xr:uid="{287CFA99-6A98-46BE-8BD1-A481F678FDDB}"/>
    <cellStyle name="Note 8 6 2 12" xfId="13880" xr:uid="{A7BEEB0A-0F04-4002-9C9B-8E47006CB8A9}"/>
    <cellStyle name="Note 8 6 2 12 2" xfId="36003" xr:uid="{9DFF5DE6-2A3C-446E-A4B5-03CB2A2B79B9}"/>
    <cellStyle name="Note 8 6 2 13" xfId="9925" xr:uid="{3383C9C1-D850-4277-B3FE-B8BA1F2468DF}"/>
    <cellStyle name="Note 8 6 2 13 2" xfId="33670" xr:uid="{BC31AE71-CFB8-46E2-9301-95B6D55F3400}"/>
    <cellStyle name="Note 8 6 2 14" xfId="19692" xr:uid="{289C0EC4-2455-443F-B8CE-4493DFE08B41}"/>
    <cellStyle name="Note 8 6 2 14 2" xfId="40309" xr:uid="{4E318770-E2F7-4466-A203-9D75C5CFE5BF}"/>
    <cellStyle name="Note 8 6 2 15" xfId="17323" xr:uid="{3EEF7047-0A72-4314-A510-67E605001C1C}"/>
    <cellStyle name="Note 8 6 2 15 2" xfId="38590" xr:uid="{4DE4A2CF-65D9-43D8-8B88-B0474B350FA3}"/>
    <cellStyle name="Note 8 6 2 16" xfId="21359" xr:uid="{B9291CFA-E18D-4051-B1BA-204FBD101B0C}"/>
    <cellStyle name="Note 8 6 2 16 2" xfId="41488" xr:uid="{29BA9C06-A0EA-466F-ACC4-E6AAC3ED3461}"/>
    <cellStyle name="Note 8 6 2 17" xfId="21142" xr:uid="{4F663745-0E1F-4AB6-BB0B-A685FAC6FBC8}"/>
    <cellStyle name="Note 8 6 2 17 2" xfId="41339" xr:uid="{CB8296F4-C123-44FF-8E98-B9E0DF5A85A6}"/>
    <cellStyle name="Note 8 6 2 18" xfId="19109" xr:uid="{63FD343A-1868-488D-9273-EDCEE0E0D355}"/>
    <cellStyle name="Note 8 6 2 18 2" xfId="39918" xr:uid="{133FA7CE-66F5-4CF8-A1C7-4E4A9BCA04A7}"/>
    <cellStyle name="Note 8 6 2 19" xfId="26688" xr:uid="{4A1E7F9F-B748-4FB2-9F7D-A6C2701F8704}"/>
    <cellStyle name="Note 8 6 2 19 2" xfId="45235" xr:uid="{54664009-D6B3-4C6D-9584-DCCDA7164109}"/>
    <cellStyle name="Note 8 6 2 2" xfId="7917" xr:uid="{833FF68B-046F-42D2-ADBB-3BEF7B7DEA0E}"/>
    <cellStyle name="Note 8 6 2 2 2" xfId="32165" xr:uid="{E34F1F00-7C8D-405B-99F2-A8F9D3284CC6}"/>
    <cellStyle name="Note 8 6 2 20" xfId="20825" xr:uid="{7A495CB8-B359-4C3C-9B0C-33E99CAD4701}"/>
    <cellStyle name="Note 8 6 2 20 2" xfId="41181" xr:uid="{A63C878A-E07C-443E-AFE2-C9A29B70214B}"/>
    <cellStyle name="Note 8 6 2 21" xfId="24495" xr:uid="{9384A6F5-881A-4A5C-A886-B22D8A15F2F3}"/>
    <cellStyle name="Note 8 6 2 21 2" xfId="43678" xr:uid="{BFE79A02-5F82-41FE-AB34-B23D86D32E12}"/>
    <cellStyle name="Note 8 6 2 22" xfId="23199" xr:uid="{7C3B1907-F7FA-434E-934D-CB100590B1BD}"/>
    <cellStyle name="Note 8 6 2 22 2" xfId="42793" xr:uid="{9328AE38-D955-4D6B-A3BC-534E6915DCC9}"/>
    <cellStyle name="Note 8 6 2 23" xfId="23767" xr:uid="{34ADE8E1-3D88-4688-9BB5-89FC776D6D00}"/>
    <cellStyle name="Note 8 6 2 23 2" xfId="43171" xr:uid="{91F2B7BA-CEFF-41EE-9D9D-051E944A6F44}"/>
    <cellStyle name="Note 8 6 2 24" xfId="26218" xr:uid="{CEFB39C1-3CC8-47BB-BBCB-552277AAC86F}"/>
    <cellStyle name="Note 8 6 2 24 2" xfId="44927" xr:uid="{244FD861-51AF-40E4-9B1B-21A0527A047F}"/>
    <cellStyle name="Note 8 6 2 25" xfId="25825" xr:uid="{D3A84258-E7C0-4B3D-9675-B45EA24C42B9}"/>
    <cellStyle name="Note 8 6 2 25 2" xfId="44650" xr:uid="{DAAE7696-A79C-4820-B4CC-278332AFFDF5}"/>
    <cellStyle name="Note 8 6 2 26" xfId="25399" xr:uid="{315D4827-05E6-47A4-95A2-797BF8BE71BD}"/>
    <cellStyle name="Note 8 6 2 26 2" xfId="44292" xr:uid="{40D37114-BC89-4683-A372-0B835C176CCD}"/>
    <cellStyle name="Note 8 6 2 27" xfId="25594" xr:uid="{6E031FC4-2315-4782-BCAF-2FF6836EDFD1}"/>
    <cellStyle name="Note 8 6 2 27 2" xfId="44456" xr:uid="{F3699209-EBAB-4727-87AE-BD38E00832B4}"/>
    <cellStyle name="Note 8 6 2 28" xfId="6615" xr:uid="{4523D251-7DF9-4ADE-B6A6-EC842993B313}"/>
    <cellStyle name="Note 8 6 2 3" xfId="9457" xr:uid="{37418B4A-F4BA-4D3F-8325-AF7D94BDF9CA}"/>
    <cellStyle name="Note 8 6 2 3 2" xfId="33440" xr:uid="{D3D4D256-F878-444C-B03A-E161007E52C1}"/>
    <cellStyle name="Note 8 6 2 4" xfId="12019" xr:uid="{14B0A8D1-3AF1-4764-ACED-9CF4D9B17988}"/>
    <cellStyle name="Note 8 6 2 4 2" xfId="34577" xr:uid="{0CA9F337-6175-4F0F-A013-2AECB51F7E45}"/>
    <cellStyle name="Note 8 6 2 5" xfId="8712" xr:uid="{C3A9C001-E9AE-4CD1-B4D1-7527089B76A8}"/>
    <cellStyle name="Note 8 6 2 5 2" xfId="32842" xr:uid="{3007A74F-4E89-4CBB-BA3F-7A7AAB3CAB21}"/>
    <cellStyle name="Note 8 6 2 6" xfId="12784" xr:uid="{4F85EC39-B63B-4FEC-B7C8-EA561EEB99FB}"/>
    <cellStyle name="Note 8 6 2 6 2" xfId="35190" xr:uid="{76301014-827C-4F63-A89C-5BE9FDC837E3}"/>
    <cellStyle name="Note 8 6 2 7" xfId="8357" xr:uid="{C9D0732C-FAC6-4C67-8ADE-96A26BE1F52B}"/>
    <cellStyle name="Note 8 6 2 7 2" xfId="32573" xr:uid="{DD28E180-9965-499A-A229-94A1FD1E646B}"/>
    <cellStyle name="Note 8 6 2 8" xfId="14809" xr:uid="{07F9EF80-B841-4D2D-9381-4E02C55688B1}"/>
    <cellStyle name="Note 8 6 2 8 2" xfId="36684" xr:uid="{C68EB2EE-F2FA-4D8A-BA5C-5F9F7C98BFE6}"/>
    <cellStyle name="Note 8 6 2 9" xfId="14224" xr:uid="{7F8C1A1C-26F5-489F-9462-470BDBB32A1A}"/>
    <cellStyle name="Note 8 6 2 9 2" xfId="36277" xr:uid="{098628B5-828B-45E4-B41A-8DC673BC9FA5}"/>
    <cellStyle name="Note 8 6 20" xfId="18772" xr:uid="{D094C4AD-6C24-4D5B-B8D7-5AA4B675081C}"/>
    <cellStyle name="Note 8 6 20 2" xfId="39639" xr:uid="{BF4FFBCB-EB21-4E61-BA17-1E0D1F5DA972}"/>
    <cellStyle name="Note 8 6 21" xfId="12829" xr:uid="{21E02783-7A00-4304-B5EC-A7FCB51D6491}"/>
    <cellStyle name="Note 8 6 21 2" xfId="35215" xr:uid="{5DB0F17C-BABA-48AD-BC84-E02FBABC9A97}"/>
    <cellStyle name="Note 8 6 22" xfId="28146" xr:uid="{0B9CD8CE-93E5-46E8-B6C3-50723FAC204D}"/>
    <cellStyle name="Note 8 6 22 2" xfId="46082" xr:uid="{05390562-E445-4FB2-BA3E-876C02C91081}"/>
    <cellStyle name="Note 8 6 23" xfId="26715" xr:uid="{404DFD30-DB31-4725-BAA8-2E836A19772A}"/>
    <cellStyle name="Note 8 6 23 2" xfId="45253" xr:uid="{3A1614C5-1666-468C-BDFD-0911EFEC6A22}"/>
    <cellStyle name="Note 8 6 24" xfId="28567" xr:uid="{B5B77AEC-2861-4941-B65F-C156DE5FBDD3}"/>
    <cellStyle name="Note 8 6 24 2" xfId="46302" xr:uid="{3C26A7F7-4EB7-4EB6-B3A8-E02EBAC2AB37}"/>
    <cellStyle name="Note 8 6 25" xfId="26219" xr:uid="{92C67B56-CDB9-4A47-9BFB-5C7C18FB6C7F}"/>
    <cellStyle name="Note 8 6 25 2" xfId="44928" xr:uid="{61C3593C-B477-44FB-8957-B5F5693BD5F6}"/>
    <cellStyle name="Note 8 6 26" xfId="30560" xr:uid="{E72961EB-5C3D-4D83-8B10-ECFC39E0E064}"/>
    <cellStyle name="Note 8 6 26 2" xfId="47516" xr:uid="{6263A1C0-9431-41A4-A156-924F61064A8D}"/>
    <cellStyle name="Note 8 6 27" xfId="21118" xr:uid="{CAE0EDA0-6975-418B-A6D7-988458112319}"/>
    <cellStyle name="Note 8 6 27 2" xfId="41325" xr:uid="{A41ECF0A-CBBB-40FC-8C14-05A684CE40E7}"/>
    <cellStyle name="Note 8 6 28" xfId="28262" xr:uid="{25234015-A2A8-40DB-8053-0766EEC67B8C}"/>
    <cellStyle name="Note 8 6 28 2" xfId="46129" xr:uid="{087CDBCA-05ED-4901-84F1-97D3CE307806}"/>
    <cellStyle name="Note 8 6 29" xfId="6614" xr:uid="{5436A20D-BA5A-4E19-816E-02CF82A2FE61}"/>
    <cellStyle name="Note 8 6 3" xfId="7918" xr:uid="{30650D3C-05DD-4CBA-9D48-A699B220E480}"/>
    <cellStyle name="Note 8 6 3 2" xfId="32166" xr:uid="{1AB1DAA4-7CF8-4C18-BB28-733FCAC929E4}"/>
    <cellStyle name="Note 8 6 4" xfId="9456" xr:uid="{1336F9FB-1E0D-4ED1-9D19-F782845CEC8A}"/>
    <cellStyle name="Note 8 6 4 2" xfId="33439" xr:uid="{A4BDDE89-359D-48DA-BCFB-150EE8307E75}"/>
    <cellStyle name="Note 8 6 5" xfId="7615" xr:uid="{E449D5B9-EFDF-4182-8853-F7A0AB732F2F}"/>
    <cellStyle name="Note 8 6 5 2" xfId="31915" xr:uid="{79D98B59-B0E9-4153-8136-09F5D222EF4C}"/>
    <cellStyle name="Note 8 6 6" xfId="8713" xr:uid="{26F4FE83-1C1E-4B5F-8A84-3CED72D168DA}"/>
    <cellStyle name="Note 8 6 6 2" xfId="32843" xr:uid="{39051535-B5E7-418F-98A9-5EA557E699A4}"/>
    <cellStyle name="Note 8 6 7" xfId="15007" xr:uid="{E0C9388F-C6ED-4DFD-97CD-25A71050A27E}"/>
    <cellStyle name="Note 8 6 7 2" xfId="36865" xr:uid="{D911D595-EC04-4F26-AB8E-B4A839D76E59}"/>
    <cellStyle name="Note 8 6 8" xfId="16685" xr:uid="{78AF71C0-6C2A-43E2-9621-73B83C3C3C55}"/>
    <cellStyle name="Note 8 6 8 2" xfId="38176" xr:uid="{C7E57299-9F27-4008-8458-9F4E2D461607}"/>
    <cellStyle name="Note 8 6 9" xfId="14795" xr:uid="{EC22FFC1-DADD-494F-8740-336E5D526C97}"/>
    <cellStyle name="Note 8 6 9 2" xfId="36670" xr:uid="{A862C416-E588-4BAA-A6BB-551A41EE21E5}"/>
    <cellStyle name="Note 8 7" xfId="3105" xr:uid="{5D3A394A-9CAE-4C51-9C39-B78EE59C2DBF}"/>
    <cellStyle name="Note 8 7 10" xfId="18405" xr:uid="{9E18D652-17D0-468B-BC74-8153B1772CFC}"/>
    <cellStyle name="Note 8 7 10 2" xfId="39416" xr:uid="{40D48985-519F-412F-BB92-864CE29D16D4}"/>
    <cellStyle name="Note 8 7 11" xfId="12348" xr:uid="{F6745D28-5E5C-4350-AF98-0CC8DD3EE52C}"/>
    <cellStyle name="Note 8 7 11 2" xfId="34852" xr:uid="{925C6D53-61E7-4A27-9A4C-0580FE01FEF3}"/>
    <cellStyle name="Note 8 7 12" xfId="15889" xr:uid="{46D03DBB-AF58-402C-BF40-8A2357D52821}"/>
    <cellStyle name="Note 8 7 12 2" xfId="37480" xr:uid="{0157521A-1B01-4665-AD83-0523F534B758}"/>
    <cellStyle name="Note 8 7 13" xfId="17373" xr:uid="{F8F82F55-59E3-4684-B508-9279D883FBA2}"/>
    <cellStyle name="Note 8 7 13 2" xfId="38620" xr:uid="{6FCA1CD5-52E6-4153-A46D-EE857A75D544}"/>
    <cellStyle name="Note 8 7 14" xfId="15044" xr:uid="{55C0F040-4379-4923-86C9-541ADE3760EE}"/>
    <cellStyle name="Note 8 7 14 2" xfId="36893" xr:uid="{0AF17224-E846-4A73-986B-BDEA601CBB9C}"/>
    <cellStyle name="Note 8 7 15" xfId="21569" xr:uid="{2305B562-23E7-45BD-B4B2-57B976AC8EE4}"/>
    <cellStyle name="Note 8 7 15 2" xfId="41653" xr:uid="{61342631-EDB6-4C52-B7F3-F073BBC597B5}"/>
    <cellStyle name="Note 8 7 16" xfId="17305" xr:uid="{61E4A78F-CAED-40E0-9D45-784520B09CF5}"/>
    <cellStyle name="Note 8 7 16 2" xfId="38589" xr:uid="{B24CBF78-6E62-461A-A671-87D09C1A6E2F}"/>
    <cellStyle name="Note 8 7 17" xfId="19592" xr:uid="{7A39166D-547C-449F-AF39-4DA35C11E245}"/>
    <cellStyle name="Note 8 7 17 2" xfId="40232" xr:uid="{CE91E88F-BD03-4057-BE6C-383F8FC0C3C6}"/>
    <cellStyle name="Note 8 7 18" xfId="21620" xr:uid="{AD6FCD3A-5D86-4CAB-8CAA-B39881757A10}"/>
    <cellStyle name="Note 8 7 18 2" xfId="41698" xr:uid="{00414804-E93B-44BB-91AD-BE2C093CDAA1}"/>
    <cellStyle name="Note 8 7 19" xfId="20061" xr:uid="{F7BBB771-E64D-44F3-973B-FEFE863D684D}"/>
    <cellStyle name="Note 8 7 19 2" xfId="40617" xr:uid="{E71D5F3C-C573-49B4-9570-FB3332FA4A6B}"/>
    <cellStyle name="Note 8 7 2" xfId="3106" xr:uid="{4698F910-A470-443A-98E8-D97F3A0DDB92}"/>
    <cellStyle name="Note 8 7 2 10" xfId="12738" xr:uid="{0E14B1A0-EADD-491D-B27A-AED166D09B36}"/>
    <cellStyle name="Note 8 7 2 10 2" xfId="35147" xr:uid="{8F4B89E8-FF50-4FA3-94FD-6D4F40C483D0}"/>
    <cellStyle name="Note 8 7 2 11" xfId="16467" xr:uid="{8B6AA109-3CDC-4767-8903-1CE3E3F0C29B}"/>
    <cellStyle name="Note 8 7 2 11 2" xfId="37960" xr:uid="{807D814B-DA8D-419F-9630-B57BA77DC211}"/>
    <cellStyle name="Note 8 7 2 12" xfId="20776" xr:uid="{14A37E02-A22B-49F4-9C95-0FCAD2C1F482}"/>
    <cellStyle name="Note 8 7 2 12 2" xfId="41136" xr:uid="{86160872-B5B1-4FD3-9B46-962D9BAC9356}"/>
    <cellStyle name="Note 8 7 2 13" xfId="9926" xr:uid="{B1E92251-1FA3-4530-9CE8-F222DC89DE2A}"/>
    <cellStyle name="Note 8 7 2 13 2" xfId="33671" xr:uid="{E6DDB784-0BCE-4021-BDC6-6390F5EECEB4}"/>
    <cellStyle name="Note 8 7 2 14" xfId="21753" xr:uid="{88EE5707-6C9E-4500-B3D7-D2D111B7973F}"/>
    <cellStyle name="Note 8 7 2 14 2" xfId="41773" xr:uid="{99EF5268-3021-45B0-82EC-CE6B4A7B53CF}"/>
    <cellStyle name="Note 8 7 2 15" xfId="23282" xr:uid="{FB2AE29B-D907-4AE1-B16F-23AA0EF14FCB}"/>
    <cellStyle name="Note 8 7 2 15 2" xfId="42856" xr:uid="{5111688E-55FF-4F58-B376-1131E9EE40BB}"/>
    <cellStyle name="Note 8 7 2 16" xfId="24087" xr:uid="{404C6745-5F21-430D-B23A-93C17224CDD9}"/>
    <cellStyle name="Note 8 7 2 16 2" xfId="43463" xr:uid="{E876F513-FC01-4774-AC07-3AE8FCF933BC}"/>
    <cellStyle name="Note 8 7 2 17" xfId="21894" xr:uid="{519F4D35-98B5-4D82-9778-3D08BD67F8A7}"/>
    <cellStyle name="Note 8 7 2 17 2" xfId="41824" xr:uid="{B52CD1F4-3C7B-4FB9-B392-0405666CCE03}"/>
    <cellStyle name="Note 8 7 2 18" xfId="20056" xr:uid="{11896FA7-A744-4A34-9B9A-030F0354B878}"/>
    <cellStyle name="Note 8 7 2 18 2" xfId="40616" xr:uid="{3845640D-C222-455E-BFCC-690FB47588CB}"/>
    <cellStyle name="Note 8 7 2 19" xfId="22844" xr:uid="{2451C687-1C29-4032-9913-50E4FC142CC0}"/>
    <cellStyle name="Note 8 7 2 19 2" xfId="42562" xr:uid="{9893C093-C85F-4BE0-9FF1-E28FDA13FB2C}"/>
    <cellStyle name="Note 8 7 2 2" xfId="7914" xr:uid="{A41DCE91-4FD9-4ABA-96BC-2424B6C47AB1}"/>
    <cellStyle name="Note 8 7 2 2 2" xfId="32163" xr:uid="{C1F27AB9-CAE6-4C79-836D-C37418D12759}"/>
    <cellStyle name="Note 8 7 2 20" xfId="26327" xr:uid="{6299CF2C-D1B1-426E-95E6-094886B80218}"/>
    <cellStyle name="Note 8 7 2 20 2" xfId="45012" xr:uid="{ED83B076-738F-419F-BBC7-75DC68550D07}"/>
    <cellStyle name="Note 8 7 2 21" xfId="25366" xr:uid="{B9668966-42BA-4FBD-9251-88A0302310D0}"/>
    <cellStyle name="Note 8 7 2 21 2" xfId="44282" xr:uid="{EF15A2C4-B45A-4D14-A797-059627143BD2}"/>
    <cellStyle name="Note 8 7 2 22" xfId="26713" xr:uid="{0E3013EC-F5AD-472B-870A-CB0AF01DB0CB}"/>
    <cellStyle name="Note 8 7 2 22 2" xfId="45251" xr:uid="{CBADE480-2954-421E-BCCB-C1D6DFE8496B}"/>
    <cellStyle name="Note 8 7 2 23" xfId="27139" xr:uid="{DE4B3D09-D50B-4FDB-9E1D-170CB42AA74D}"/>
    <cellStyle name="Note 8 7 2 23 2" xfId="45480" xr:uid="{F77AFF6F-5D69-4A3D-91DD-AED18CD843DC}"/>
    <cellStyle name="Note 8 7 2 24" xfId="29978" xr:uid="{4527A3A8-2C5F-419E-8BE5-DF80B1BC54B4}"/>
    <cellStyle name="Note 8 7 2 24 2" xfId="47230" xr:uid="{39D2B5DC-99EC-436B-8515-808BB5B13AF3}"/>
    <cellStyle name="Note 8 7 2 25" xfId="27858" xr:uid="{6D5BE79B-B5DD-457F-91EF-2160E89E7807}"/>
    <cellStyle name="Note 8 7 2 25 2" xfId="45930" xr:uid="{EBAF9A66-75EB-4FE3-870C-76981655C14E}"/>
    <cellStyle name="Note 8 7 2 26" xfId="24457" xr:uid="{7B4C2CC8-5AB7-4F39-9C1B-A6CBF8DF3C45}"/>
    <cellStyle name="Note 8 7 2 26 2" xfId="43666" xr:uid="{4E953D6E-8C41-49E5-86AC-61D7A1683001}"/>
    <cellStyle name="Note 8 7 2 27" xfId="30002" xr:uid="{CEFB6E65-894A-4198-9339-DDE9DCA2B338}"/>
    <cellStyle name="Note 8 7 2 27 2" xfId="47244" xr:uid="{AE33E30C-64ED-42DC-8C38-9A4B7D2D6119}"/>
    <cellStyle name="Note 8 7 2 28" xfId="6617" xr:uid="{D9527DAA-4A51-4E10-93AA-15D3205D567C}"/>
    <cellStyle name="Note 8 7 2 3" xfId="9459" xr:uid="{C2292BA6-607A-495D-BEF6-9973EFD21BC1}"/>
    <cellStyle name="Note 8 7 2 3 2" xfId="33442" xr:uid="{38E6A465-BCAA-4DF8-9CB3-E13D8F9AE64D}"/>
    <cellStyle name="Note 8 7 2 4" xfId="12018" xr:uid="{DE13E745-6B2E-45FD-BF86-54931C198801}"/>
    <cellStyle name="Note 8 7 2 4 2" xfId="34576" xr:uid="{7B793D44-FE3A-4E0B-838B-86AF87531F80}"/>
    <cellStyle name="Note 8 7 2 5" xfId="8710" xr:uid="{3F0B4136-9D7F-412C-9B68-DBE17A2BFE43}"/>
    <cellStyle name="Note 8 7 2 5 2" xfId="32840" xr:uid="{B09118FD-AAEB-4758-9B21-8E95EC0B0836}"/>
    <cellStyle name="Note 8 7 2 6" xfId="15006" xr:uid="{E99D4FBF-06A8-4F48-9190-737D0719943C}"/>
    <cellStyle name="Note 8 7 2 6 2" xfId="36864" xr:uid="{18DFFC88-7961-4F76-8B30-F7467020ABBE}"/>
    <cellStyle name="Note 8 7 2 7" xfId="16684" xr:uid="{999160B2-93FC-4162-A367-EEEA181A4C5B}"/>
    <cellStyle name="Note 8 7 2 7 2" xfId="38175" xr:uid="{14554B86-1A14-4B95-A96E-19376E555D6E}"/>
    <cellStyle name="Note 8 7 2 8" xfId="15976" xr:uid="{DEB70D1A-446B-4E6E-8615-98F49D730759}"/>
    <cellStyle name="Note 8 7 2 8 2" xfId="37567" xr:uid="{75552DDA-9125-4198-8076-FAFEC9730CDB}"/>
    <cellStyle name="Note 8 7 2 9" xfId="7006" xr:uid="{55CA272B-D38B-4BA1-981E-90A186DFBAB3}"/>
    <cellStyle name="Note 8 7 2 9 2" xfId="31373" xr:uid="{F28E5D85-3E02-481B-B2C7-9D12317B6236}"/>
    <cellStyle name="Note 8 7 20" xfId="24668" xr:uid="{6AE8E5C7-DDFD-4C7E-A6DF-BE4035B0E847}"/>
    <cellStyle name="Note 8 7 20 2" xfId="43813" xr:uid="{8B2B57BC-2481-4EDC-9950-8D7BB95BC2E9}"/>
    <cellStyle name="Note 8 7 21" xfId="26316" xr:uid="{024708F9-86B6-469E-B745-EAE247BA708D}"/>
    <cellStyle name="Note 8 7 21 2" xfId="45005" xr:uid="{C7747A64-B713-4192-B6A8-B33155647D1F}"/>
    <cellStyle name="Note 8 7 22" xfId="27939" xr:uid="{6EC10177-0229-420A-B61C-5DC0F1897CA9}"/>
    <cellStyle name="Note 8 7 22 2" xfId="46011" xr:uid="{A5A20ECC-24F4-4689-9545-27A79424DA56}"/>
    <cellStyle name="Note 8 7 23" xfId="26711" xr:uid="{6479987D-5D0F-4101-951E-93322B6FFA9D}"/>
    <cellStyle name="Note 8 7 23 2" xfId="45249" xr:uid="{C8E48281-98BF-49C1-AC02-0ABD0328589D}"/>
    <cellStyle name="Note 8 7 24" xfId="28566" xr:uid="{983E62AE-48E9-423C-AA3E-B70F3FEA40CA}"/>
    <cellStyle name="Note 8 7 24 2" xfId="46301" xr:uid="{276D304E-06A1-43E8-A95A-78275EAAF988}"/>
    <cellStyle name="Note 8 7 25" xfId="23812" xr:uid="{4D19023A-15B4-4028-ACC1-079961FD24C5}"/>
    <cellStyle name="Note 8 7 25 2" xfId="43201" xr:uid="{B1D731E6-0600-4827-B194-0D0460297FE7}"/>
    <cellStyle name="Note 8 7 26" xfId="30089" xr:uid="{B9E3DC62-7A3E-4AFB-AF37-9E09124A01A9}"/>
    <cellStyle name="Note 8 7 26 2" xfId="47285" xr:uid="{9C607FC9-36DF-4A37-BC2B-5EB07550D4D3}"/>
    <cellStyle name="Note 8 7 27" xfId="25808" xr:uid="{7CF93B2B-27A6-4B3E-9362-9F1889166575}"/>
    <cellStyle name="Note 8 7 27 2" xfId="44634" xr:uid="{3D1D18A4-750E-4C1B-A7B5-BFC2E68C2331}"/>
    <cellStyle name="Note 8 7 28" xfId="31107" xr:uid="{439324F7-087A-4615-965F-C899CAD7737E}"/>
    <cellStyle name="Note 8 7 28 2" xfId="47837" xr:uid="{25F69D7D-A021-42EF-A0FA-C06411C8EEB1}"/>
    <cellStyle name="Note 8 7 29" xfId="6616" xr:uid="{22C07F03-C1C8-472A-A82D-A2C57D4B1B3C}"/>
    <cellStyle name="Note 8 7 3" xfId="7915" xr:uid="{261E4D2F-F9E9-423D-B3C5-B4BCF387F417}"/>
    <cellStyle name="Note 8 7 3 2" xfId="32164" xr:uid="{8890F8A9-1C7D-45A0-8D80-8AC8205B2F28}"/>
    <cellStyle name="Note 8 7 4" xfId="9458" xr:uid="{60CCD050-3617-47C0-918F-F7C2B4CF00AB}"/>
    <cellStyle name="Note 8 7 4 2" xfId="33441" xr:uid="{3BE8CEEE-2195-48E2-9375-B3CDABE33146}"/>
    <cellStyle name="Note 8 7 5" xfId="7614" xr:uid="{7D97D867-E639-4D96-833A-9B3A8E762766}"/>
    <cellStyle name="Note 8 7 5 2" xfId="31914" xr:uid="{21C78FA4-4F7D-42C4-95ED-B85748749EA2}"/>
    <cellStyle name="Note 8 7 6" xfId="8711" xr:uid="{AF6AB1CF-F950-45D8-B19A-6B878873E48D}"/>
    <cellStyle name="Note 8 7 6 2" xfId="32841" xr:uid="{D8F2ECC1-CC9B-4D09-884D-1DF41B489A86}"/>
    <cellStyle name="Note 8 7 7" xfId="10496" xr:uid="{25522CDC-BAF2-4F97-9AD0-99BEA7BE457B}"/>
    <cellStyle name="Note 8 7 7 2" xfId="34131" xr:uid="{14DCA156-ED69-4E31-84AD-9F3D12324BE0}"/>
    <cellStyle name="Note 8 7 8" xfId="8356" xr:uid="{9B2CA652-3A10-41F3-93E5-869243748B81}"/>
    <cellStyle name="Note 8 7 8 2" xfId="32572" xr:uid="{407B41F7-BE95-40AC-8535-4924F947D121}"/>
    <cellStyle name="Note 8 7 9" xfId="17555" xr:uid="{D3B0A336-6D38-46E3-BA1E-0EF947078B84}"/>
    <cellStyle name="Note 8 7 9 2" xfId="38802" xr:uid="{DE340EA1-65DC-4B33-B634-1D9105AF88B5}"/>
    <cellStyle name="Note 8 8" xfId="3107" xr:uid="{DCBEEA19-EFF8-49FE-9405-2B5F00581B21}"/>
    <cellStyle name="Note 8 8 10" xfId="14618" xr:uid="{F1A1AEDF-DCAB-4ACA-9880-21D64F7CF390}"/>
    <cellStyle name="Note 8 8 10 2" xfId="36530" xr:uid="{C22ACA25-F184-471C-AE28-5C5FBE632984}"/>
    <cellStyle name="Note 8 8 11" xfId="13999" xr:uid="{34A2A579-342C-4AFC-BC4F-650DD8696315}"/>
    <cellStyle name="Note 8 8 11 2" xfId="36093" xr:uid="{EB508E33-7FFF-441B-98EB-6864086564A1}"/>
    <cellStyle name="Note 8 8 12" xfId="13742" xr:uid="{249C4335-431C-48D3-BAE6-6C6BD4B916B5}"/>
    <cellStyle name="Note 8 8 12 2" xfId="35897" xr:uid="{31047721-08DF-4B03-ABBF-74C772C9595F}"/>
    <cellStyle name="Note 8 8 13" xfId="9927" xr:uid="{E538569D-D5E2-4C1C-93CA-2BA5CA8C2640}"/>
    <cellStyle name="Note 8 8 13 2" xfId="33672" xr:uid="{44D9C031-1304-4E92-9288-E1BEA6293876}"/>
    <cellStyle name="Note 8 8 14" xfId="13603" xr:uid="{6DF0B144-6D8A-4056-817A-D7E4815C140C}"/>
    <cellStyle name="Note 8 8 14 2" xfId="35775" xr:uid="{2E4BAA05-423A-4FFA-BD98-000DDB546666}"/>
    <cellStyle name="Note 8 8 15" xfId="18481" xr:uid="{BF862EBC-EB8A-45CC-96D7-5B7834AB8BC8}"/>
    <cellStyle name="Note 8 8 15 2" xfId="39470" xr:uid="{41DADCE2-2E2B-453D-8B17-D7F7F7F865D5}"/>
    <cellStyle name="Note 8 8 16" xfId="21358" xr:uid="{CF74D4E0-03E8-4D74-BF36-7560C5FC91B7}"/>
    <cellStyle name="Note 8 8 16 2" xfId="41487" xr:uid="{37B5814C-0175-407D-919F-A87D5DF934BF}"/>
    <cellStyle name="Note 8 8 17" xfId="19300" xr:uid="{FD29B1C4-309D-400E-B92D-B01BD1486EC8}"/>
    <cellStyle name="Note 8 8 17 2" xfId="40077" xr:uid="{67A50554-894E-4434-9202-797D9EFB511C}"/>
    <cellStyle name="Note 8 8 18" xfId="17212" xr:uid="{602002B8-3565-4076-BC80-D2D2C21A35C9}"/>
    <cellStyle name="Note 8 8 18 2" xfId="38541" xr:uid="{7939C46A-E159-44C1-9A95-9EF284A0A953}"/>
    <cellStyle name="Note 8 8 19" xfId="26937" xr:uid="{8AE5AB05-0859-4C71-B85C-17B498F75BF8}"/>
    <cellStyle name="Note 8 8 19 2" xfId="45351" xr:uid="{8CC264C2-B35A-4652-B307-61BDBEA74CF0}"/>
    <cellStyle name="Note 8 8 2" xfId="7913" xr:uid="{942512D9-24CD-421C-B927-4B7281069FBF}"/>
    <cellStyle name="Note 8 8 2 2" xfId="32162" xr:uid="{25A07E52-52C9-4BDD-A62C-93393CFAC07A}"/>
    <cellStyle name="Note 8 8 20" xfId="26324" xr:uid="{902FC9BA-C6C5-4B59-8BAB-7F1B0069CE28}"/>
    <cellStyle name="Note 8 8 20 2" xfId="45009" xr:uid="{25C9A636-CB87-49E6-BEF6-BD7114371BED}"/>
    <cellStyle name="Note 8 8 21" xfId="25371" xr:uid="{4EBEA49B-8C08-4EC5-94D9-15FECF53D866}"/>
    <cellStyle name="Note 8 8 21 2" xfId="44287" xr:uid="{67B55305-2AAD-468C-AED7-5DA441E22764}"/>
    <cellStyle name="Note 8 8 22" xfId="20492" xr:uid="{B7369241-FEF3-4D58-8078-74FE5BDDC2B8}"/>
    <cellStyle name="Note 8 8 22 2" xfId="40882" xr:uid="{1C1080E6-9D45-43E8-AAFB-1CBA50D50143}"/>
    <cellStyle name="Note 8 8 23" xfId="27674" xr:uid="{B1B81104-1816-46DB-98AC-196092541DC3}"/>
    <cellStyle name="Note 8 8 23 2" xfId="45789" xr:uid="{A331FF45-2977-4BCA-A7D1-FBDDF1D801C8}"/>
    <cellStyle name="Note 8 8 24" xfId="26217" xr:uid="{570DF17D-9470-4C0D-BF5F-CE8B71502D73}"/>
    <cellStyle name="Note 8 8 24 2" xfId="44926" xr:uid="{059D636C-C408-464D-B1F5-2347A0A72B97}"/>
    <cellStyle name="Note 8 8 25" xfId="25089" xr:uid="{0047FF1C-1C73-488B-8666-D06C41C1E810}"/>
    <cellStyle name="Note 8 8 25 2" xfId="44093" xr:uid="{B86C8B35-3C4F-49C2-AC17-B432AF78F902}"/>
    <cellStyle name="Note 8 8 26" xfId="25042" xr:uid="{ABF6F862-43D1-4BB4-892E-CBCCBFCEAE91}"/>
    <cellStyle name="Note 8 8 26 2" xfId="44073" xr:uid="{4B01F8FA-5FAE-437D-9F35-9CE3D776640B}"/>
    <cellStyle name="Note 8 8 27" xfId="26951" xr:uid="{3D06A1B7-4235-4173-A1C5-E583CF293AD1}"/>
    <cellStyle name="Note 8 8 27 2" xfId="45358" xr:uid="{EB0F2C0F-E652-4B4E-8431-8467E65362C4}"/>
    <cellStyle name="Note 8 8 28" xfId="6618" xr:uid="{9ACA0E88-0017-4CA4-9827-D935F726CA15}"/>
    <cellStyle name="Note 8 8 3" xfId="9460" xr:uid="{602229BC-BAE0-4774-AD7B-CBF088D76207}"/>
    <cellStyle name="Note 8 8 3 2" xfId="33443" xr:uid="{BA384A25-54B6-48C7-A8BC-51BC89EE351F}"/>
    <cellStyle name="Note 8 8 4" xfId="7613" xr:uid="{36F08CEB-9849-4786-87E8-E48FBB612EDB}"/>
    <cellStyle name="Note 8 8 4 2" xfId="31913" xr:uid="{12E019C2-3BE1-4735-BCB6-16D8C57E209A}"/>
    <cellStyle name="Note 8 8 5" xfId="8709" xr:uid="{8CBA50BE-DE12-4C57-9CD0-A79759DA69EB}"/>
    <cellStyle name="Note 8 8 5 2" xfId="32839" xr:uid="{FC549573-1A8F-49F0-885A-E4BF10FAA448}"/>
    <cellStyle name="Note 8 8 6" xfId="12976" xr:uid="{3B760585-B704-4473-8697-D66EBF5271E6}"/>
    <cellStyle name="Note 8 8 6 2" xfId="35324" xr:uid="{26B80C2A-857D-40B4-86E4-595DF5D86449}"/>
    <cellStyle name="Note 8 8 7" xfId="8355" xr:uid="{A5D5AD0B-E653-4EC2-8D2B-C0950CCA094A}"/>
    <cellStyle name="Note 8 8 7 2" xfId="32571" xr:uid="{8183186A-052C-4D48-B64C-B117521BB9BB}"/>
    <cellStyle name="Note 8 8 8" xfId="12148" xr:uid="{111798D0-D24E-4657-B82D-A7F4EEBF3522}"/>
    <cellStyle name="Note 8 8 8 2" xfId="34693" xr:uid="{08A658A3-1B9B-4D82-99D0-1CE1E5F86239}"/>
    <cellStyle name="Note 8 8 9" xfId="14223" xr:uid="{86D47B6D-DDE6-4FC5-AA31-1684DDA41E60}"/>
    <cellStyle name="Note 8 8 9 2" xfId="36276" xr:uid="{ACD8325E-9C23-49CE-9FA0-2AA97486118F}"/>
    <cellStyle name="Note 8 9" xfId="7929" xr:uid="{9EE88A8D-2250-4822-8EB5-420463C43E76}"/>
    <cellStyle name="Note 8 9 2" xfId="32177" xr:uid="{82283A21-C299-465D-8AEC-49906D51F69D}"/>
    <cellStyle name="Note 8_Sheet2" xfId="3108" xr:uid="{A7949CA6-4B12-449D-9ED4-B525176BED7E}"/>
    <cellStyle name="Note 9" xfId="3109" xr:uid="{7FBBBA19-C73F-46CD-9C4D-B07509918EAA}"/>
    <cellStyle name="Note 9 10" xfId="9461" xr:uid="{3FCFB60B-9EF0-49C2-97DF-AACD23D64599}"/>
    <cellStyle name="Note 9 10 2" xfId="33444" xr:uid="{09FFA0D2-B8E4-4B55-A41F-4AC3A492C72A}"/>
    <cellStyle name="Note 9 11" xfId="12017" xr:uid="{E44FA897-F0DC-4294-8C6D-15357540321A}"/>
    <cellStyle name="Note 9 11 2" xfId="34575" xr:uid="{9C78555D-2E38-4915-A74A-3215EB824285}"/>
    <cellStyle name="Note 9 12" xfId="8708" xr:uid="{90ED1AB9-A6D3-4009-B868-AA00E41768DE}"/>
    <cellStyle name="Note 9 12 2" xfId="32838" xr:uid="{F997FE31-5CC1-4036-8734-78BAAD4CCE7D}"/>
    <cellStyle name="Note 9 13" xfId="15462" xr:uid="{DE3186AE-F97D-48C4-9E8E-3E66DC584C06}"/>
    <cellStyle name="Note 9 13 2" xfId="37130" xr:uid="{B93CBA10-8E8B-4E6E-8CAF-C8B8CEB1C54F}"/>
    <cellStyle name="Note 9 14" xfId="16961" xr:uid="{539473CE-EC06-46EC-90B2-EA500D2AF8C8}"/>
    <cellStyle name="Note 9 14 2" xfId="38327" xr:uid="{8E116EA6-8D19-408A-B984-38761B6B46D6}"/>
    <cellStyle name="Note 9 15" xfId="14808" xr:uid="{E3C6F83D-40C1-40A6-8E28-D778AE984C75}"/>
    <cellStyle name="Note 9 15 2" xfId="36683" xr:uid="{D64788F3-CE3F-4493-AA88-C68E459C03E5}"/>
    <cellStyle name="Note 9 16" xfId="7005" xr:uid="{37FB01BD-D9FC-4D47-88A0-ED04995DD29A}"/>
    <cellStyle name="Note 9 16 2" xfId="31372" xr:uid="{1F277959-4756-4A7A-A360-CDD47A9FA54C}"/>
    <cellStyle name="Note 9 17" xfId="19252" xr:uid="{124B7759-0DEE-450C-9B04-DB9491F1B41F}"/>
    <cellStyle name="Note 9 17 2" xfId="40041" xr:uid="{54ABC6D2-5AC7-49B2-B4BA-8F53AF0D51FA}"/>
    <cellStyle name="Note 9 18" xfId="15888" xr:uid="{DC3A756A-100B-499D-994A-5B1F74ADA7FE}"/>
    <cellStyle name="Note 9 18 2" xfId="37479" xr:uid="{2A951624-E2E2-46FE-B17F-E0E63F73CC34}"/>
    <cellStyle name="Note 9 19" xfId="20775" xr:uid="{C82CFF40-3578-4A6E-8FA5-163AE909DDE1}"/>
    <cellStyle name="Note 9 19 2" xfId="41135" xr:uid="{8A554C99-4980-4AA1-A34F-AD0BC15CCC33}"/>
    <cellStyle name="Note 9 2" xfId="3110" xr:uid="{06D73BD4-5ECF-46B7-BA71-9808672897EB}"/>
    <cellStyle name="Note 9 2 10" xfId="17554" xr:uid="{C0B95AC9-2830-4497-B759-3B632106412B}"/>
    <cellStyle name="Note 9 2 10 2" xfId="38801" xr:uid="{5486A12B-166E-498F-B082-FC36188FE5D0}"/>
    <cellStyle name="Note 9 2 11" xfId="18404" xr:uid="{CDBF634F-F89C-4D68-99A6-D04C67A10785}"/>
    <cellStyle name="Note 9 2 11 2" xfId="39415" xr:uid="{BDAD5BBF-4DBA-4E4F-8F64-B9EC5A7EDFF4}"/>
    <cellStyle name="Note 9 2 12" xfId="19523" xr:uid="{73B7DDEB-C87E-4E87-8AAF-4DCA11E1CF90}"/>
    <cellStyle name="Note 9 2 12 2" xfId="40193" xr:uid="{370DB862-04F2-45CA-A071-3DF83E4B341E}"/>
    <cellStyle name="Note 9 2 13" xfId="16466" xr:uid="{7BEB6758-A519-4B6A-BE76-7D344BB32DA0}"/>
    <cellStyle name="Note 9 2 13 2" xfId="37959" xr:uid="{CCF4AEF9-9BDC-4909-989A-F472C39432BD}"/>
    <cellStyle name="Note 9 2 14" xfId="16803" xr:uid="{848E049C-F436-47E4-8566-7FE29B9F8495}"/>
    <cellStyle name="Note 9 2 14 2" xfId="38236" xr:uid="{D8260F94-1C8A-4E71-8D9C-4E1D829954B9}"/>
    <cellStyle name="Note 9 2 15" xfId="15045" xr:uid="{27FFB320-EEF2-49E9-B390-5635F2285427}"/>
    <cellStyle name="Note 9 2 15 2" xfId="36894" xr:uid="{42F720D9-A8E2-4CF1-8E39-B0DE0B482E25}"/>
    <cellStyle name="Note 9 2 16" xfId="19691" xr:uid="{8B91F6EF-6AC2-48B7-81D7-CC8E5E7C4BF9}"/>
    <cellStyle name="Note 9 2 16 2" xfId="40308" xr:uid="{DD8F1999-D319-418B-A754-B7AA87BC8078}"/>
    <cellStyle name="Note 9 2 17" xfId="17304" xr:uid="{19383239-4C81-4663-A40D-9EDAB22E5F6C}"/>
    <cellStyle name="Note 9 2 17 2" xfId="38588" xr:uid="{2E6B11AD-030B-4075-ADD5-6BEA4669F801}"/>
    <cellStyle name="Note 9 2 18" xfId="21357" xr:uid="{248F6E01-7A54-4932-AA21-93FC37B0BD6E}"/>
    <cellStyle name="Note 9 2 18 2" xfId="41486" xr:uid="{22250C5F-EE47-43CC-A3B8-910F25A93EAA}"/>
    <cellStyle name="Note 9 2 19" xfId="18226" xr:uid="{65BDC2E3-9CE6-4043-9DB1-2631E3F77203}"/>
    <cellStyle name="Note 9 2 19 2" xfId="39258" xr:uid="{05EC969B-869E-460E-A163-4D0632B6FB79}"/>
    <cellStyle name="Note 9 2 2" xfId="3111" xr:uid="{C8609B32-961D-4681-9A47-DF20C6C886B4}"/>
    <cellStyle name="Note 9 2 2 10" xfId="14222" xr:uid="{28ACCCCE-25A9-424E-BDEF-05E69B280E73}"/>
    <cellStyle name="Note 9 2 2 10 2" xfId="36275" xr:uid="{F49CE975-EEAD-4B6B-B241-53F3210981E6}"/>
    <cellStyle name="Note 9 2 2 11" xfId="15546" xr:uid="{A9F42557-291A-4D64-8D4B-E1F224C97D2F}"/>
    <cellStyle name="Note 9 2 2 11 2" xfId="37211" xr:uid="{1CCF06DA-5A2B-4E34-9C28-F2192E61C5A0}"/>
    <cellStyle name="Note 9 2 2 12" xfId="16465" xr:uid="{CEADF236-C058-4F67-B07D-871F25E4158F}"/>
    <cellStyle name="Note 9 2 2 12 2" xfId="37958" xr:uid="{D1DDC97C-602C-4A7F-8F10-5233554755FF}"/>
    <cellStyle name="Note 9 2 2 13" xfId="17372" xr:uid="{C2D1C2CF-B251-4A3F-9D5E-022E87516023}"/>
    <cellStyle name="Note 9 2 2 13 2" xfId="38619" xr:uid="{F85D76C6-7011-4D58-9330-63E7B9FBEA5A}"/>
    <cellStyle name="Note 9 2 2 14" xfId="15315" xr:uid="{0195568F-756D-4E92-B4EB-D88000C37420}"/>
    <cellStyle name="Note 9 2 2 14 2" xfId="37019" xr:uid="{74FC93FA-3E7D-4C77-B606-71383ACBEB13}"/>
    <cellStyle name="Note 9 2 2 15" xfId="22017" xr:uid="{60088A2F-83B6-4C92-A538-F370E9DFC17F}"/>
    <cellStyle name="Note 9 2 2 15 2" xfId="41912" xr:uid="{DA8D56A5-0D0A-4D88-94A6-E1F0A251E077}"/>
    <cellStyle name="Note 9 2 2 16" xfId="23281" xr:uid="{17B5116F-D7C0-4FD6-A10B-5B0A17D26E38}"/>
    <cellStyle name="Note 9 2 2 16 2" xfId="42855" xr:uid="{E0840BC9-EDE9-4ADF-A1EA-CC818053B8C4}"/>
    <cellStyle name="Note 9 2 2 17" xfId="24086" xr:uid="{7A197532-E6B7-4CDA-B202-9B85096E35EF}"/>
    <cellStyle name="Note 9 2 2 17 2" xfId="43462" xr:uid="{2DBF8AE2-2519-4243-9BEF-7BD17630F5C3}"/>
    <cellStyle name="Note 9 2 2 18" xfId="17671" xr:uid="{0B3A4AF8-C819-41B4-B98C-DA1976127B7E}"/>
    <cellStyle name="Note 9 2 2 18 2" xfId="38862" xr:uid="{F201E90E-D649-47CD-8A4A-F23CB503A1B7}"/>
    <cellStyle name="Note 9 2 2 19" xfId="19111" xr:uid="{032B7D45-7AEE-4089-9706-F3EE0A1A24C3}"/>
    <cellStyle name="Note 9 2 2 19 2" xfId="39920" xr:uid="{A82CF593-B3C3-4075-B3C9-0B74A0874E44}"/>
    <cellStyle name="Note 9 2 2 2" xfId="3112" xr:uid="{CB688877-82D2-4DDB-A4D8-A097228B9ACB}"/>
    <cellStyle name="Note 9 2 2 2 10" xfId="16024" xr:uid="{61E08DDA-CD27-475E-848E-3532F3DAFCD6}"/>
    <cellStyle name="Note 9 2 2 2 10 2" xfId="37607" xr:uid="{5B6D71A6-EE7F-4668-A007-EE6407F57C23}"/>
    <cellStyle name="Note 9 2 2 2 11" xfId="15887" xr:uid="{4326593D-8756-4B9F-A481-595CAE4FFCF7}"/>
    <cellStyle name="Note 9 2 2 2 11 2" xfId="37478" xr:uid="{3522EC67-7623-484C-8FF7-53BD2E05EE51}"/>
    <cellStyle name="Note 9 2 2 2 12" xfId="21039" xr:uid="{E23A9A17-2E57-47CB-84E3-B4463B33C2EB}"/>
    <cellStyle name="Note 9 2 2 2 12 2" xfId="41288" xr:uid="{618BD7A2-E991-4FE6-AFBA-68FEDBC6F716}"/>
    <cellStyle name="Note 9 2 2 2 13" xfId="9928" xr:uid="{72AD1E87-AE23-415E-8B84-FC0392509E40}"/>
    <cellStyle name="Note 9 2 2 2 13 2" xfId="33673" xr:uid="{DC4CA599-5FFA-4CE7-AAED-CFE574427C00}"/>
    <cellStyle name="Note 9 2 2 2 14" xfId="21568" xr:uid="{68D7C33F-9360-45CA-9023-E0122D261FD1}"/>
    <cellStyle name="Note 9 2 2 2 14 2" xfId="41652" xr:uid="{5474146E-21CC-4703-8519-D9EA37F88F19}"/>
    <cellStyle name="Note 9 2 2 2 15" xfId="12681" xr:uid="{78EC8B86-0CAD-44A7-886B-8D0B763EDE23}"/>
    <cellStyle name="Note 9 2 2 2 15 2" xfId="35099" xr:uid="{133F05F2-DF26-4191-98C8-60D13E4FCD83}"/>
    <cellStyle name="Note 9 2 2 2 16" xfId="19591" xr:uid="{31431EEB-FEB3-4D69-A65C-04C975AB7AC0}"/>
    <cellStyle name="Note 9 2 2 2 16 2" xfId="40231" xr:uid="{6969C79C-0200-4E1B-9174-25F41AF3113E}"/>
    <cellStyle name="Note 9 2 2 2 17" xfId="18225" xr:uid="{5D48AA77-2A5A-4E7B-AEDB-FB01A46B46EC}"/>
    <cellStyle name="Note 9 2 2 2 17 2" xfId="39257" xr:uid="{B095220F-4D2B-421B-A302-9BB409AB1813}"/>
    <cellStyle name="Note 9 2 2 2 18" xfId="17204" xr:uid="{2C91B36A-E4D3-481B-A4E7-6C16EF3FFA2D}"/>
    <cellStyle name="Note 9 2 2 2 18 2" xfId="38533" xr:uid="{ABE2A83D-251D-4287-9E5B-4122A6F70CEE}"/>
    <cellStyle name="Note 9 2 2 2 19" xfId="26686" xr:uid="{BC45CAA9-CAB2-407B-8FB2-32BE18A445FD}"/>
    <cellStyle name="Note 9 2 2 2 19 2" xfId="45233" xr:uid="{FDBADC0A-3C6F-457E-BC24-8B11ACE0C66F}"/>
    <cellStyle name="Note 9 2 2 2 2" xfId="7909" xr:uid="{4405DF82-777D-4AAF-B7AD-0EC03887C484}"/>
    <cellStyle name="Note 9 2 2 2 2 2" xfId="32158" xr:uid="{35BB0BB9-4B28-47FF-AE16-BD755839001F}"/>
    <cellStyle name="Note 9 2 2 2 20" xfId="18003" xr:uid="{ABC882F4-6012-4057-AB07-43643DEFD1D2}"/>
    <cellStyle name="Note 9 2 2 2 20 2" xfId="39099" xr:uid="{4E7EED36-A1D4-40B2-B771-750A0107DF6A}"/>
    <cellStyle name="Note 9 2 2 2 21" xfId="23437" xr:uid="{6C086209-FD95-4DD2-A596-C33E94B34679}"/>
    <cellStyle name="Note 9 2 2 2 21 2" xfId="42943" xr:uid="{E368EA8A-10BC-4619-927C-53249CA27C3E}"/>
    <cellStyle name="Note 9 2 2 2 22" xfId="25937" xr:uid="{E2211BD6-E11F-4FFD-9B52-E7A288E5F8D2}"/>
    <cellStyle name="Note 9 2 2 2 22 2" xfId="44729" xr:uid="{ECC27723-8460-4686-A163-D167B564FC6D}"/>
    <cellStyle name="Note 9 2 2 2 23" xfId="28075" xr:uid="{9FE8D65E-36F0-4CD0-9F9E-64976A8A4F9A}"/>
    <cellStyle name="Note 9 2 2 2 23 2" xfId="46060" xr:uid="{74315F63-EBF7-4106-9CC6-42FDA8FA148B}"/>
    <cellStyle name="Note 9 2 2 2 24" xfId="26216" xr:uid="{3A392138-7656-49B7-B0B8-D80C3FDE7E3D}"/>
    <cellStyle name="Note 9 2 2 2 24 2" xfId="44925" xr:uid="{F1186C9C-37AE-4F66-8767-E5BC94056FE2}"/>
    <cellStyle name="Note 9 2 2 2 25" xfId="29656" xr:uid="{B12241C4-AF11-4186-B7D9-F45609D71443}"/>
    <cellStyle name="Note 9 2 2 2 25 2" xfId="47026" xr:uid="{E7861D7D-862D-45A8-8465-D26D534996BB}"/>
    <cellStyle name="Note 9 2 2 2 26" xfId="24236" xr:uid="{78585997-03D0-4F74-8E1D-04D6E64DE1D2}"/>
    <cellStyle name="Note 9 2 2 2 26 2" xfId="43553" xr:uid="{8B8BA09A-CA0D-4AD4-9579-AB09CBECAC32}"/>
    <cellStyle name="Note 9 2 2 2 27" xfId="29089" xr:uid="{3A708A74-37DB-458B-B11E-183D9FBB480F}"/>
    <cellStyle name="Note 9 2 2 2 27 2" xfId="46662" xr:uid="{348C8B6C-E700-4711-9691-0DFB2CD47083}"/>
    <cellStyle name="Note 9 2 2 2 28" xfId="6622" xr:uid="{C60E7B47-AB56-4544-8ED2-8BC73B645367}"/>
    <cellStyle name="Note 9 2 2 2 3" xfId="9464" xr:uid="{82455B42-4F2F-4133-9BA9-99A6205A8035}"/>
    <cellStyle name="Note 9 2 2 2 3 2" xfId="33447" xr:uid="{99BA9487-F4D4-4D8C-B456-EE98007286F0}"/>
    <cellStyle name="Note 9 2 2 2 4" xfId="13807" xr:uid="{2087344C-8F2F-478E-8E04-F68765D84E43}"/>
    <cellStyle name="Note 9 2 2 2 4 2" xfId="35933" xr:uid="{87FF7A5B-0B63-47F9-9152-5D4982AE4B25}"/>
    <cellStyle name="Note 9 2 2 2 5" xfId="8705" xr:uid="{302B5A00-CDED-4779-8D50-7FBE4611475D}"/>
    <cellStyle name="Note 9 2 2 2 5 2" xfId="32835" xr:uid="{C1261D8B-19BF-4957-811A-153DF40B49AC}"/>
    <cellStyle name="Note 9 2 2 2 6" xfId="10497" xr:uid="{03C52B93-D306-44A6-9664-954950A9AFDA}"/>
    <cellStyle name="Note 9 2 2 2 6 2" xfId="34132" xr:uid="{FF9E248F-4B1D-41B4-BF47-2A2B770D7E61}"/>
    <cellStyle name="Note 9 2 2 2 7" xfId="11998" xr:uid="{795A2E42-D54F-41F9-9945-6588B2F8C3A6}"/>
    <cellStyle name="Note 9 2 2 2 7 2" xfId="34556" xr:uid="{BCB4A52C-1EF8-4F03-9336-BBDD84591E4A}"/>
    <cellStyle name="Note 9 2 2 2 8" xfId="14807" xr:uid="{E28E1EDA-678A-4EB9-93BD-8D235B28EE68}"/>
    <cellStyle name="Note 9 2 2 2 8 2" xfId="36682" xr:uid="{52CB7CF1-34B4-4F9F-BDBC-1D2C0FA78B62}"/>
    <cellStyle name="Note 9 2 2 2 9" xfId="7004" xr:uid="{C8A9D4D5-9F26-47BD-9F17-DCB1DB96D692}"/>
    <cellStyle name="Note 9 2 2 2 9 2" xfId="31371" xr:uid="{857185B0-83F5-4EBC-8FA9-5274235A61E5}"/>
    <cellStyle name="Note 9 2 2 20" xfId="25760" xr:uid="{AF3242A0-8D0E-49D9-8DA9-9070FC5AA7A2}"/>
    <cellStyle name="Note 9 2 2 20 2" xfId="44597" xr:uid="{79426E53-4E51-4F1E-8F98-EEF3F6C3D071}"/>
    <cellStyle name="Note 9 2 2 21" xfId="19859" xr:uid="{23F0857D-5BB0-4D28-800D-3D443D98CCE3}"/>
    <cellStyle name="Note 9 2 2 21 2" xfId="40472" xr:uid="{224B3A4E-689E-4E70-9EB2-1CA6447B1AA8}"/>
    <cellStyle name="Note 9 2 2 22" xfId="27938" xr:uid="{CAF789BD-A1DC-480F-A7C5-24B0377E0A5D}"/>
    <cellStyle name="Note 9 2 2 22 2" xfId="46010" xr:uid="{EC1563CF-2CF1-4C0D-9090-F01F01749DBD}"/>
    <cellStyle name="Note 9 2 2 23" xfId="20483" xr:uid="{B94A808D-BF72-4376-825F-26EDE1689747}"/>
    <cellStyle name="Note 9 2 2 23 2" xfId="40873" xr:uid="{D176E4D5-119F-4739-9BB9-A5DE808F2BFB}"/>
    <cellStyle name="Note 9 2 2 24" xfId="29243" xr:uid="{5E7C7A8C-92A7-4ECD-A2A8-21AA1BA9C822}"/>
    <cellStyle name="Note 9 2 2 24 2" xfId="46761" xr:uid="{17B0C483-B5AD-44BE-9446-118329197298}"/>
    <cellStyle name="Note 9 2 2 25" xfId="29977" xr:uid="{17C7A02B-ABB6-4415-87AF-842DDD8286BF}"/>
    <cellStyle name="Note 9 2 2 25 2" xfId="47229" xr:uid="{48896CB8-747C-4219-ADC6-8A960243CBBD}"/>
    <cellStyle name="Note 9 2 2 26" xfId="28052" xr:uid="{C61C00AC-DA9F-4B9D-A2B5-96250022BE20}"/>
    <cellStyle name="Note 9 2 2 26 2" xfId="46047" xr:uid="{03A9260D-5F56-4A1E-BAE5-4C8AEDB304BD}"/>
    <cellStyle name="Note 9 2 2 27" xfId="25400" xr:uid="{E44740D3-2805-4D39-A931-F65387935233}"/>
    <cellStyle name="Note 9 2 2 27 2" xfId="44293" xr:uid="{E7123151-F36E-4A58-9834-B7A5D8C1B485}"/>
    <cellStyle name="Note 9 2 2 28" xfId="26026" xr:uid="{DAC39A82-3161-49F4-92CF-7BEF30BB6021}"/>
    <cellStyle name="Note 9 2 2 28 2" xfId="44797" xr:uid="{38EEECF1-0F7A-40FB-8BCF-EE6B09CEB4F1}"/>
    <cellStyle name="Note 9 2 2 29" xfId="6621" xr:uid="{D53E72BD-BD90-4C44-BF10-CD6AA1D4CA91}"/>
    <cellStyle name="Note 9 2 2 3" xfId="7910" xr:uid="{91EDE7A1-C872-4F62-84A0-5BCD5D477D37}"/>
    <cellStyle name="Note 9 2 2 3 2" xfId="32159" xr:uid="{B8A28DC9-FE11-4C02-AC7A-8CEBC06F095F}"/>
    <cellStyle name="Note 9 2 2 4" xfId="9463" xr:uid="{1E6307E6-2983-436D-9971-FD1E764136A3}"/>
    <cellStyle name="Note 9 2 2 4 2" xfId="33446" xr:uid="{8E697CF3-778B-45AD-AD11-CAAF05D67147}"/>
    <cellStyle name="Note 9 2 2 5" xfId="12016" xr:uid="{CB6427FD-D56B-44B2-9D74-2B39FDD6E561}"/>
    <cellStyle name="Note 9 2 2 5 2" xfId="34574" xr:uid="{91C2EE83-6021-41C2-8040-DD09C0D8D910}"/>
    <cellStyle name="Note 9 2 2 6" xfId="8706" xr:uid="{BA21CA76-4803-48E7-969F-5E0514E02970}"/>
    <cellStyle name="Note 9 2 2 6 2" xfId="32836" xr:uid="{CEF026EA-3216-4C12-AB49-6FD637C63753}"/>
    <cellStyle name="Note 9 2 2 7" xfId="15005" xr:uid="{DA0E318F-2A50-4A17-BBB3-CFCC814B2410}"/>
    <cellStyle name="Note 9 2 2 7 2" xfId="36863" xr:uid="{266B0374-99EF-4652-93AC-39288839A036}"/>
    <cellStyle name="Note 9 2 2 8" xfId="16683" xr:uid="{F3DAE0C2-7836-4AE7-AEEE-055820813674}"/>
    <cellStyle name="Note 9 2 2 8 2" xfId="38174" xr:uid="{01536B3E-A8C3-4EB4-B042-5C4151A2C53E}"/>
    <cellStyle name="Note 9 2 2 9" xfId="12149" xr:uid="{0296DF76-857C-4C44-B6FD-0873E673B916}"/>
    <cellStyle name="Note 9 2 2 9 2" xfId="34694" xr:uid="{3A56F72C-0322-4971-A262-FCA65F0D118B}"/>
    <cellStyle name="Note 9 2 20" xfId="17155" xr:uid="{9BC3190C-601B-4D14-B20D-30F4A8C09202}"/>
    <cellStyle name="Note 9 2 20 2" xfId="38484" xr:uid="{B7DC23A3-35BE-4D8F-81FF-A2FADB419833}"/>
    <cellStyle name="Note 9 2 21" xfId="26687" xr:uid="{639C543D-2996-41CD-97EC-62808360F833}"/>
    <cellStyle name="Note 9 2 21 2" xfId="45234" xr:uid="{C6294CFB-73F6-431C-BE24-CB738A702CBC}"/>
    <cellStyle name="Note 9 2 22" xfId="19860" xr:uid="{4D6BDD1B-08FD-412F-B8E4-9EA635C27C0A}"/>
    <cellStyle name="Note 9 2 22 2" xfId="40473" xr:uid="{C03913DA-61A9-4CD5-B9AD-42546E5E79E3}"/>
    <cellStyle name="Note 9 2 23" xfId="20134" xr:uid="{9A00C699-9091-4709-B735-EB95EB86AD88}"/>
    <cellStyle name="Note 9 2 23 2" xfId="40642" xr:uid="{E9FCC0AB-2905-4F34-9118-5C8688A2E3B4}"/>
    <cellStyle name="Note 9 2 24" xfId="26712" xr:uid="{675E66FF-CDF0-4AE0-9359-E42F510E6F0D}"/>
    <cellStyle name="Note 9 2 24 2" xfId="45250" xr:uid="{3AB72591-FB5D-4858-89CB-B4B66D39CECB}"/>
    <cellStyle name="Note 9 2 25" xfId="28565" xr:uid="{0F30931E-C341-4D19-8098-6FB3D8DFAA98}"/>
    <cellStyle name="Note 9 2 25 2" xfId="46300" xr:uid="{F2CBDFF0-715A-4B80-B4D1-816251F63E76}"/>
    <cellStyle name="Note 9 2 26" xfId="29979" xr:uid="{AD425537-7602-4396-8A78-F654E1C045B9}"/>
    <cellStyle name="Note 9 2 26 2" xfId="47231" xr:uid="{5E7A6DD5-035A-4159-9CB0-4475098D1AC4}"/>
    <cellStyle name="Note 9 2 27" xfId="27829" xr:uid="{639599B1-D88E-46E8-905A-5557B985B6F9}"/>
    <cellStyle name="Note 9 2 27 2" xfId="45913" xr:uid="{F0D9532F-DFB7-4BE5-94D6-13DF761D6B56}"/>
    <cellStyle name="Note 9 2 28" xfId="16939" xr:uid="{B2F0CA29-63CA-4C72-AAA1-3ABA63BA7BDC}"/>
    <cellStyle name="Note 9 2 28 2" xfId="38310" xr:uid="{5DC8F96B-1AD5-438D-A729-BC8850D99C56}"/>
    <cellStyle name="Note 9 2 29" xfId="31106" xr:uid="{A034487A-8862-463D-9240-7695A0D6C11C}"/>
    <cellStyle name="Note 9 2 29 2" xfId="47836" xr:uid="{AB2FD9C0-5B41-4BA6-871B-E973E7D5A270}"/>
    <cellStyle name="Note 9 2 3" xfId="3113" xr:uid="{DE6F886E-D42C-4DB2-802E-C9452C888E60}"/>
    <cellStyle name="Note 9 2 3 10" xfId="14602" xr:uid="{56A097BC-7C46-496E-BB45-69326BD3C4AD}"/>
    <cellStyle name="Note 9 2 3 10 2" xfId="36517" xr:uid="{722225FF-6A9D-4F93-B39D-C8C9CAB28EFD}"/>
    <cellStyle name="Note 9 2 3 11" xfId="16464" xr:uid="{77387E91-D797-4B2E-A581-FA164CB3405A}"/>
    <cellStyle name="Note 9 2 3 11 2" xfId="37957" xr:uid="{90C0044E-7D64-4542-8A07-00953F73073D}"/>
    <cellStyle name="Note 9 2 3 12" xfId="15645" xr:uid="{BB3C6273-4901-4F4C-B64E-73E37620F486}"/>
    <cellStyle name="Note 9 2 3 12 2" xfId="37303" xr:uid="{68C9AF0C-F853-4675-9789-CA9F4B06D758}"/>
    <cellStyle name="Note 9 2 3 13" xfId="9929" xr:uid="{24BC427D-71E7-4B82-A9BF-6CB8C8220866}"/>
    <cellStyle name="Note 9 2 3 13 2" xfId="33674" xr:uid="{3BD4970C-D5B4-4A58-8AF8-0705CFE2B6F8}"/>
    <cellStyle name="Note 9 2 3 14" xfId="12660" xr:uid="{73500C85-2A70-469E-AE55-8026F8C90490}"/>
    <cellStyle name="Note 9 2 3 14 2" xfId="35086" xr:uid="{08E78B39-479F-4EBA-A645-82D592AA7420}"/>
    <cellStyle name="Note 9 2 3 15" xfId="17303" xr:uid="{9FB109F4-A03F-4D03-944F-C7F8F0827843}"/>
    <cellStyle name="Note 9 2 3 15 2" xfId="38587" xr:uid="{FD58E041-7FD5-451D-8DD8-59458868357F}"/>
    <cellStyle name="Note 9 2 3 16" xfId="21356" xr:uid="{D2F9B899-9A65-4BAF-A4A3-ECFF57F833D9}"/>
    <cellStyle name="Note 9 2 3 16 2" xfId="41485" xr:uid="{753E2E3A-0A7E-410B-9E7A-6022F1834E03}"/>
    <cellStyle name="Note 9 2 3 17" xfId="16259" xr:uid="{CBE43E1A-9C4A-435A-9ED8-0B8958C1F569}"/>
    <cellStyle name="Note 9 2 3 17 2" xfId="37798" xr:uid="{CD3AD65D-9579-4ADB-AC88-F61B3037B65F}"/>
    <cellStyle name="Note 9 2 3 18" xfId="14540" xr:uid="{056CC1B4-306F-402C-A5C7-B90C3FB7A556}"/>
    <cellStyle name="Note 9 2 3 18 2" xfId="36473" xr:uid="{8AC55B44-9E22-44E0-899A-074B8DB979AD}"/>
    <cellStyle name="Note 9 2 3 19" xfId="22320" xr:uid="{A8248CBF-9359-4A8B-BCE0-2549D87E366F}"/>
    <cellStyle name="Note 9 2 3 19 2" xfId="42175" xr:uid="{17F00581-126A-40AA-9B61-2A836D611812}"/>
    <cellStyle name="Note 9 2 3 2" xfId="7908" xr:uid="{B378A159-29D3-442F-B2F1-73C2FB7F0E96}"/>
    <cellStyle name="Note 9 2 3 2 2" xfId="32157" xr:uid="{746A5A50-2739-4FA6-A739-DF5574AE4B85}"/>
    <cellStyle name="Note 9 2 3 20" xfId="19858" xr:uid="{35510C96-1801-4B40-96D8-8245461229FF}"/>
    <cellStyle name="Note 9 2 3 20 2" xfId="40471" xr:uid="{935E5282-D9F8-4F1D-A34A-91DAAFAF305F}"/>
    <cellStyle name="Note 9 2 3 21" xfId="27937" xr:uid="{61839869-FA8E-4539-8230-71B4DBBBAFA9}"/>
    <cellStyle name="Note 9 2 3 21 2" xfId="46009" xr:uid="{61197928-543C-4D91-B96A-DAFF093B4826}"/>
    <cellStyle name="Note 9 2 3 22" xfId="26708" xr:uid="{54F77C17-138B-4984-9BC4-4E5BAD9BBAFA}"/>
    <cellStyle name="Note 9 2 3 22 2" xfId="45246" xr:uid="{F39FDB02-7CBB-4EA6-A61B-A46A0CEFB953}"/>
    <cellStyle name="Note 9 2 3 23" xfId="27645" xr:uid="{947F25CD-729C-48AD-8BBD-D59208C402B3}"/>
    <cellStyle name="Note 9 2 3 23 2" xfId="45779" xr:uid="{F84A26A1-061A-4BE9-A7CD-D8CAEF42D20E}"/>
    <cellStyle name="Note 9 2 3 24" xfId="23811" xr:uid="{4B02A62A-0170-46FF-8673-894C3425F6BA}"/>
    <cellStyle name="Note 9 2 3 24 2" xfId="43200" xr:uid="{6AFDD22C-A2C7-4576-82E8-F81F3F19DAB6}"/>
    <cellStyle name="Note 9 2 3 25" xfId="29713" xr:uid="{290BCC1F-0253-4536-8004-520BE8ED18DF}"/>
    <cellStyle name="Note 9 2 3 25 2" xfId="47058" xr:uid="{72B2D4A1-EAD0-4393-8D9B-E646C1ADDEB5}"/>
    <cellStyle name="Note 9 2 3 26" xfId="26615" xr:uid="{D415E309-EC7A-4822-8AAC-C2657D4778C3}"/>
    <cellStyle name="Note 9 2 3 26 2" xfId="45165" xr:uid="{7A65FA5F-1B6F-4E55-BD3A-EA1D4260CC1F}"/>
    <cellStyle name="Note 9 2 3 27" xfId="31222" xr:uid="{59071530-7F75-40AF-B00B-A74760E57634}"/>
    <cellStyle name="Note 9 2 3 27 2" xfId="47851" xr:uid="{8B831E46-13EF-4F62-AB45-1D25C3C9DFA5}"/>
    <cellStyle name="Note 9 2 3 28" xfId="6623" xr:uid="{2BD8AB42-E618-47B1-A15B-32775DF67734}"/>
    <cellStyle name="Note 9 2 3 3" xfId="9465" xr:uid="{259B0419-ACB1-439A-8EEB-D6A14E9FD0E5}"/>
    <cellStyle name="Note 9 2 3 3 2" xfId="33448" xr:uid="{250AA6AB-82DE-4144-AE68-39B85D818E90}"/>
    <cellStyle name="Note 9 2 3 4" xfId="14290" xr:uid="{A9D1964F-AE97-4FD6-8235-D5FA6719676F}"/>
    <cellStyle name="Note 9 2 3 4 2" xfId="36335" xr:uid="{A7A7562D-3838-47F8-B523-2B3DBEFF6736}"/>
    <cellStyle name="Note 9 2 3 5" xfId="8704" xr:uid="{D2182F6F-0AD0-4007-8BF7-0AFA9AE338D4}"/>
    <cellStyle name="Note 9 2 3 5 2" xfId="32834" xr:uid="{93FB29F9-91A0-4393-A829-99ED85A62E82}"/>
    <cellStyle name="Note 9 2 3 6" xfId="15004" xr:uid="{14FA78A3-C6C1-40A6-BC94-E4107114CC9D}"/>
    <cellStyle name="Note 9 2 3 6 2" xfId="36862" xr:uid="{D7C54F7F-00A2-4942-9C6A-5FC6D3B9AC2D}"/>
    <cellStyle name="Note 9 2 3 7" xfId="11970" xr:uid="{AA7B9A0A-A490-40DC-91EC-28FCA28C82B4}"/>
    <cellStyle name="Note 9 2 3 7 2" xfId="34542" xr:uid="{D8D6B120-D72B-4913-93B7-5F68F6688C6E}"/>
    <cellStyle name="Note 9 2 3 8" xfId="17838" xr:uid="{9A816FEB-F993-4344-B1C7-C073B5948F3E}"/>
    <cellStyle name="Note 9 2 3 8 2" xfId="38955" xr:uid="{E1CECE8F-5817-4798-8C57-71957A9B2296}"/>
    <cellStyle name="Note 9 2 3 9" xfId="18684" xr:uid="{6E4B1E74-25D3-499E-8AFB-7D9BEB421EDC}"/>
    <cellStyle name="Note 9 2 3 9 2" xfId="39566" xr:uid="{9E0CE7D4-02CF-4AA8-BE23-000EB2F8EF75}"/>
    <cellStyle name="Note 9 2 30" xfId="6620" xr:uid="{10EAAE8A-622F-4369-A6C5-E4550811207A}"/>
    <cellStyle name="Note 9 2 4" xfId="7911" xr:uid="{999AF824-0030-4B46-8426-620C9D73A6F0}"/>
    <cellStyle name="Note 9 2 4 2" xfId="32160" xr:uid="{9D98725F-494A-4B2A-A0A5-1567761F77C4}"/>
    <cellStyle name="Note 9 2 5" xfId="9462" xr:uid="{79800181-4DE2-49B6-89B1-9E37D80949EC}"/>
    <cellStyle name="Note 9 2 5 2" xfId="33445" xr:uid="{5F0F2B06-F489-4F8C-A78C-6FF4DEE890F7}"/>
    <cellStyle name="Note 9 2 6" xfId="7612" xr:uid="{E24E85EC-337D-4716-90B5-8A0D89E22C24}"/>
    <cellStyle name="Note 9 2 6 2" xfId="31912" xr:uid="{E69D0F88-E2BB-40DB-AD2E-F65576DEC42C}"/>
    <cellStyle name="Note 9 2 7" xfId="8707" xr:uid="{1B0D66D1-6DA9-489B-9A4A-8148F6D3BF52}"/>
    <cellStyle name="Note 9 2 7 2" xfId="32837" xr:uid="{9575EB7D-8875-43AE-8E43-E9C03A30B766}"/>
    <cellStyle name="Note 9 2 8" xfId="15299" xr:uid="{BF4CDCE1-36F0-4AF8-B30A-399BD3416DB8}"/>
    <cellStyle name="Note 9 2 8 2" xfId="37010" xr:uid="{6EF092B4-E359-447A-B3F4-A409615D8728}"/>
    <cellStyle name="Note 9 2 9" xfId="14288" xr:uid="{C3828CB8-72A0-4A43-AA21-B066E451EA41}"/>
    <cellStyle name="Note 9 2 9 2" xfId="36333" xr:uid="{F99EFDB0-59EA-4123-A96A-FCD69F4A6642}"/>
    <cellStyle name="Note 9 2_Sheet2" xfId="3114" xr:uid="{7CF2CE3F-D483-4431-A0F9-E78046765522}"/>
    <cellStyle name="Note 9 20" xfId="14575" xr:uid="{8EDB1DA3-7DFD-4EB2-8EE0-FCB83021EAAE}"/>
    <cellStyle name="Note 9 20 2" xfId="36494" xr:uid="{08BD0772-F727-4B1B-8832-8BAD185959E1}"/>
    <cellStyle name="Note 9 21" xfId="21877" xr:uid="{AB2993AA-F794-4E69-980C-B94BF6C48E6C}"/>
    <cellStyle name="Note 9 21 2" xfId="41813" xr:uid="{57DD2BF4-1646-43F7-8474-E3A5D54FACE0}"/>
    <cellStyle name="Note 9 22" xfId="23551" xr:uid="{F7CF9BEE-06B4-432F-9A22-0E3A1FE499F0}"/>
    <cellStyle name="Note 9 22 2" xfId="42992" xr:uid="{C5FFE4F1-70B1-4FA6-9A27-97EA979040D4}"/>
    <cellStyle name="Note 9 23" xfId="24348" xr:uid="{6C0D69C1-6AD2-48DA-8337-B770E3B09E68}"/>
    <cellStyle name="Note 9 23 2" xfId="43605" xr:uid="{C0232B70-FA31-4FEB-A955-20E0E3735A4E}"/>
    <cellStyle name="Note 9 24" xfId="15791" xr:uid="{3ED69D1B-D6D5-4444-83BA-9A7C9020FD66}"/>
    <cellStyle name="Note 9 24 2" xfId="37406" xr:uid="{D13AE53B-B005-49A4-869E-6D3508B27CA3}"/>
    <cellStyle name="Note 9 25" xfId="19110" xr:uid="{47DB32E7-8090-44FB-9804-E831A7640928}"/>
    <cellStyle name="Note 9 25 2" xfId="39919" xr:uid="{E3CD251E-8EAA-4D57-B039-70F483A1F5CF}"/>
    <cellStyle name="Note 9 26" xfId="24667" xr:uid="{D21F54EF-E8A8-4799-A4C3-2E022A1C8BCD}"/>
    <cellStyle name="Note 9 26 2" xfId="43812" xr:uid="{24AA5349-372B-44B4-9A1D-D4B776BEFA6A}"/>
    <cellStyle name="Note 9 27" xfId="18004" xr:uid="{08ACD55A-052A-4122-9157-21354306B85C}"/>
    <cellStyle name="Note 9 27 2" xfId="39100" xr:uid="{4B65E08D-6F57-45CF-A527-827182CDA785}"/>
    <cellStyle name="Note 9 28" xfId="27935" xr:uid="{DD5B7C7E-DE93-4C96-AEF8-CC966A2A9A5A}"/>
    <cellStyle name="Note 9 28 2" xfId="46007" xr:uid="{C2B6B169-8992-420D-8F55-B1D3A3302EE9}"/>
    <cellStyle name="Note 9 29" xfId="23182" xr:uid="{C78B9A23-1D63-4FEE-8968-A3830BCA6D11}"/>
    <cellStyle name="Note 9 29 2" xfId="42776" xr:uid="{E5CBCD87-09CD-460B-8DC9-78F18D477A46}"/>
    <cellStyle name="Note 9 3" xfId="3115" xr:uid="{97DC2E90-64DB-49F9-A08C-7A971ED30300}"/>
    <cellStyle name="Note 9 3 10" xfId="14221" xr:uid="{3F75B881-875E-4341-A989-135450E63F74}"/>
    <cellStyle name="Note 9 3 10 2" xfId="36274" xr:uid="{8D66D756-7F20-4111-A15D-EAF3CE2F6E95}"/>
    <cellStyle name="Note 9 3 11" xfId="12349" xr:uid="{4A98DE93-184E-45BA-BA19-212A0F41C1CD}"/>
    <cellStyle name="Note 9 3 11 2" xfId="34853" xr:uid="{88AC5732-A2A5-4AEB-9DEF-045EE76B8B1D}"/>
    <cellStyle name="Note 9 3 12" xfId="16463" xr:uid="{BFA700A8-C184-4BE3-9DF2-6DEFE2CCCA6B}"/>
    <cellStyle name="Note 9 3 12 2" xfId="37956" xr:uid="{962D7F32-DD12-4572-8B9F-DD2A08CD3BF8}"/>
    <cellStyle name="Note 9 3 13" xfId="17371" xr:uid="{2EE75FB0-11BC-4666-AEB9-F36AB802BD2C}"/>
    <cellStyle name="Note 9 3 13 2" xfId="38618" xr:uid="{082DE261-0290-49E0-9E61-4922431366DA}"/>
    <cellStyle name="Note 9 3 14" xfId="9930" xr:uid="{6F8074F3-5D59-45CE-A087-2B5521DCB893}"/>
    <cellStyle name="Note 9 3 14 2" xfId="33675" xr:uid="{F16B068C-81C1-4659-BE35-82EAB8050339}"/>
    <cellStyle name="Note 9 3 15" xfId="22019" xr:uid="{DC0CA197-9A09-44F4-9038-77843DCB2B24}"/>
    <cellStyle name="Note 9 3 15 2" xfId="41914" xr:uid="{7FD10BD0-3582-4960-943C-A939C4603A10}"/>
    <cellStyle name="Note 9 3 16" xfId="23277" xr:uid="{57C6C2FE-D966-4A22-B9D6-8C25B96DF471}"/>
    <cellStyle name="Note 9 3 16 2" xfId="42851" xr:uid="{A9C46164-5C83-47F4-9FDD-FA3400AD49A3}"/>
    <cellStyle name="Note 9 3 17" xfId="24082" xr:uid="{7028501C-9739-48AA-860C-1EFD472ADAF6}"/>
    <cellStyle name="Note 9 3 17 2" xfId="43458" xr:uid="{968C6F83-45AE-4575-A37A-91A51739220D}"/>
    <cellStyle name="Note 9 3 18" xfId="18224" xr:uid="{533BA128-D118-4144-B8AB-22429B869FA9}"/>
    <cellStyle name="Note 9 3 18 2" xfId="39256" xr:uid="{DB52D9D4-6B2A-4D95-B104-6A53C43343BD}"/>
    <cellStyle name="Note 9 3 19" xfId="12670" xr:uid="{03796DAD-795A-415B-A455-964CDE59527F}"/>
    <cellStyle name="Note 9 3 19 2" xfId="35094" xr:uid="{31AB75EF-DE73-41D9-AF87-D48D92E0CE55}"/>
    <cellStyle name="Note 9 3 2" xfId="3116" xr:uid="{C9447C01-0178-441B-93B9-BD6DAED3C339}"/>
    <cellStyle name="Note 9 3 2 10" xfId="15547" xr:uid="{9C9EFADE-F13C-4CE5-96D3-114593147E76}"/>
    <cellStyle name="Note 9 3 2 10 2" xfId="37212" xr:uid="{0893C7C9-704F-4502-A149-279200E01AB3}"/>
    <cellStyle name="Note 9 3 2 11" xfId="13995" xr:uid="{43B85F6E-28DB-474D-9AD9-105D559268A6}"/>
    <cellStyle name="Note 9 3 2 11 2" xfId="36089" xr:uid="{BFEA8626-2332-42AE-BBC3-D7EB19FBC60B}"/>
    <cellStyle name="Note 9 3 2 12" xfId="13743" xr:uid="{5E93437F-1F36-4CF4-89B6-3DABE23EE483}"/>
    <cellStyle name="Note 9 3 2 12 2" xfId="35898" xr:uid="{389B7F86-7353-4460-A39B-B0F56EA07CE6}"/>
    <cellStyle name="Note 9 3 2 13" xfId="9931" xr:uid="{EF82403B-7026-48DB-B611-C50BF21A8618}"/>
    <cellStyle name="Note 9 3 2 13 2" xfId="33676" xr:uid="{CEC6E87B-ACBB-4DA5-8F63-16B581B556E6}"/>
    <cellStyle name="Note 9 3 2 14" xfId="12881" xr:uid="{A3E59DCE-1960-4D11-ACCB-CD1DE967835E}"/>
    <cellStyle name="Note 9 3 2 14 2" xfId="35241" xr:uid="{F92B680C-1F64-4FB7-8475-EC317D1F0F1F}"/>
    <cellStyle name="Note 9 3 2 15" xfId="17284" xr:uid="{4E47CDD2-498E-4342-BA95-2DED8949FFA6}"/>
    <cellStyle name="Note 9 3 2 15 2" xfId="38583" xr:uid="{68EB86B7-282D-4F9A-A06B-467CC1AE2639}"/>
    <cellStyle name="Note 9 3 2 16" xfId="17000" xr:uid="{0EC94E07-2615-4E39-AD64-4264B6B8D901}"/>
    <cellStyle name="Note 9 3 2 16 2" xfId="38360" xr:uid="{529EB70A-1A9D-4559-BC09-1F7ACC9052FF}"/>
    <cellStyle name="Note 9 3 2 17" xfId="12619" xr:uid="{5CA7C31A-08E3-4135-A905-A6D15AD454CF}"/>
    <cellStyle name="Note 9 3 2 17 2" xfId="35051" xr:uid="{893679A4-9875-4622-AF6C-E45F07E2A3CC}"/>
    <cellStyle name="Note 9 3 2 18" xfId="17206" xr:uid="{861267F7-F4C5-4D79-8504-63F26F2F1EF3}"/>
    <cellStyle name="Note 9 3 2 18 2" xfId="38535" xr:uid="{2D479E4E-5584-4852-9268-3A2616DB6E07}"/>
    <cellStyle name="Note 9 3 2 19" xfId="25762" xr:uid="{4DD43CB3-462D-4CE6-9B63-0F2844132717}"/>
    <cellStyle name="Note 9 3 2 19 2" xfId="44599" xr:uid="{11668415-C4C0-4EB8-BE9B-D09AEB1A1B2F}"/>
    <cellStyle name="Note 9 3 2 2" xfId="7906" xr:uid="{EF61A7B0-05C6-4A6B-93BB-27799F32133C}"/>
    <cellStyle name="Note 9 3 2 2 2" xfId="32155" xr:uid="{030F4D67-C907-4D74-857D-D05016F4E692}"/>
    <cellStyle name="Note 9 3 2 20" xfId="15737" xr:uid="{17A25974-95E4-4ACB-83CD-B928629A3667}"/>
    <cellStyle name="Note 9 3 2 20 2" xfId="37366" xr:uid="{8EE3DF68-39C1-4EE6-92F1-6B69EAB53466}"/>
    <cellStyle name="Note 9 3 2 21" xfId="27936" xr:uid="{99978055-B7E5-4F16-80C3-B3FFB87C46C5}"/>
    <cellStyle name="Note 9 3 2 21 2" xfId="46008" xr:uid="{E92BB85E-3126-4765-B322-B9AD602144D5}"/>
    <cellStyle name="Note 9 3 2 22" xfId="26710" xr:uid="{0E56A712-1702-4328-8098-8C6076C28639}"/>
    <cellStyle name="Note 9 3 2 22 2" xfId="45248" xr:uid="{A59D80AA-4F58-4FF1-A0C5-D44E40929AE2}"/>
    <cellStyle name="Note 9 3 2 23" xfId="27137" xr:uid="{8B6A969B-E970-4967-A3CB-0A275611315B}"/>
    <cellStyle name="Note 9 3 2 23 2" xfId="45478" xr:uid="{569A1B47-437A-46B5-9E0C-5BCC18C99552}"/>
    <cellStyle name="Note 9 3 2 24" xfId="30439" xr:uid="{EFC6ADCC-34FC-40CA-B903-FD6DFE652E35}"/>
    <cellStyle name="Note 9 3 2 24 2" xfId="47489" xr:uid="{B6F5557C-AF6E-43F8-85D5-51D736E3F8DE}"/>
    <cellStyle name="Note 9 3 2 25" xfId="29809" xr:uid="{9DBD8088-3C6B-40C4-8C98-A189B0AD7669}"/>
    <cellStyle name="Note 9 3 2 25 2" xfId="47128" xr:uid="{F07991BB-299A-44A2-BA92-713AD7DDD249}"/>
    <cellStyle name="Note 9 3 2 26" xfId="21861" xr:uid="{FE5B9855-8485-4897-A001-A4A0A86C2AF4}"/>
    <cellStyle name="Note 9 3 2 26 2" xfId="41801" xr:uid="{B73E40E8-5173-465E-8F43-F6046E7F8BD9}"/>
    <cellStyle name="Note 9 3 2 27" xfId="31105" xr:uid="{4E949FBC-B6E9-49E2-9BC9-46F24E8E464E}"/>
    <cellStyle name="Note 9 3 2 27 2" xfId="47835" xr:uid="{E629253A-CB96-41CC-95A8-3687BE00C3FF}"/>
    <cellStyle name="Note 9 3 2 28" xfId="6625" xr:uid="{916E2766-84F6-40EB-A62D-687992BF45E9}"/>
    <cellStyle name="Note 9 3 2 3" xfId="9467" xr:uid="{E09955E8-AA49-4D59-8C26-56AAED28402C}"/>
    <cellStyle name="Note 9 3 2 3 2" xfId="33450" xr:uid="{CCB69AD4-8134-4427-868D-FB1E35C1E94E}"/>
    <cellStyle name="Note 9 3 2 4" xfId="12015" xr:uid="{E8BDB89B-E7DE-4D87-922F-BFFAEAA375A8}"/>
    <cellStyle name="Note 9 3 2 4 2" xfId="34573" xr:uid="{5B99DDD3-F9DE-4C57-AD18-28AEABD03685}"/>
    <cellStyle name="Note 9 3 2 5" xfId="8702" xr:uid="{B71891BB-669C-440F-92DC-B71BB0744A8F}"/>
    <cellStyle name="Note 9 3 2 5 2" xfId="32832" xr:uid="{3E4863F0-9D1A-4772-B5B0-F56A68AFF087}"/>
    <cellStyle name="Note 9 3 2 6" xfId="12975" xr:uid="{F6895995-60F8-4A4D-85B6-84AEB5039B16}"/>
    <cellStyle name="Note 9 3 2 6 2" xfId="35323" xr:uid="{43A9966B-CD54-4F7D-A9E5-B58E9E96E74E}"/>
    <cellStyle name="Note 9 3 2 7" xfId="7562" xr:uid="{1860E060-CF69-497E-9BFE-6797831CD7C7}"/>
    <cellStyle name="Note 9 3 2 7 2" xfId="31879" xr:uid="{6D1F6E2E-8250-4CCE-A5B0-2D498C26B7F9}"/>
    <cellStyle name="Note 9 3 2 8" xfId="17553" xr:uid="{3E0AFDD6-7303-48C2-A552-B5F6FC4E0EEE}"/>
    <cellStyle name="Note 9 3 2 8 2" xfId="38800" xr:uid="{1411A7E1-067D-41CB-B538-6B4DA952CF82}"/>
    <cellStyle name="Note 9 3 2 9" xfId="18403" xr:uid="{FF103CB8-AD2B-40C6-B62E-DA37EBB5F452}"/>
    <cellStyle name="Note 9 3 2 9 2" xfId="39414" xr:uid="{80E6962B-BD76-44A7-8117-59EA36CF21E6}"/>
    <cellStyle name="Note 9 3 20" xfId="26685" xr:uid="{83EAAB13-1F9D-405A-AECA-D0758EBA28B8}"/>
    <cellStyle name="Note 9 3 20 2" xfId="45232" xr:uid="{195E6D7F-B6A8-4490-9E8E-02CA4EE57E0B}"/>
    <cellStyle name="Note 9 3 21" xfId="26325" xr:uid="{5A657539-D789-41CA-9A08-951611C45818}"/>
    <cellStyle name="Note 9 3 21 2" xfId="45010" xr:uid="{8E6B9497-7856-49F7-A5B8-44D15E4EC12B}"/>
    <cellStyle name="Note 9 3 22" xfId="25372" xr:uid="{95FA5236-F154-45A3-9A9B-E79C772B4BA2}"/>
    <cellStyle name="Note 9 3 22 2" xfId="44288" xr:uid="{084AF809-EDFE-407F-89FB-009A640FA78C}"/>
    <cellStyle name="Note 9 3 23" xfId="23181" xr:uid="{DF811D5D-876A-4DB8-A47C-F4D13652B6D5}"/>
    <cellStyle name="Note 9 3 23 2" xfId="42775" xr:uid="{4DFAC229-63FE-4448-8A6A-D4B3227FD5AD}"/>
    <cellStyle name="Note 9 3 24" xfId="28564" xr:uid="{1B5F8500-D49C-4E99-A8C8-91310F2CE01D}"/>
    <cellStyle name="Note 9 3 24 2" xfId="46299" xr:uid="{6B62A30A-4068-4C02-9F5C-B020DF7E37C5}"/>
    <cellStyle name="Note 9 3 25" xfId="26215" xr:uid="{A77AB7CE-0FE6-43E4-A209-D98F5C4E978C}"/>
    <cellStyle name="Note 9 3 25 2" xfId="44924" xr:uid="{1775CFDF-3BC4-439C-A9ED-A40992A32FA6}"/>
    <cellStyle name="Note 9 3 26" xfId="28927" xr:uid="{43BF86E2-DCF5-429B-B250-F2591822913A}"/>
    <cellStyle name="Note 9 3 26 2" xfId="46526" xr:uid="{ACE68CE5-9ED2-43C0-BD30-C1CF2E61F86C}"/>
    <cellStyle name="Note 9 3 27" xfId="22681" xr:uid="{2C5B5655-56ED-490F-925E-955F20AD22A7}"/>
    <cellStyle name="Note 9 3 27 2" xfId="42448" xr:uid="{D177EA7F-9F0B-47B8-85AE-6F5B61384EBB}"/>
    <cellStyle name="Note 9 3 28" xfId="26011" xr:uid="{E255FA5F-F8F2-49E1-ACDC-21474DA4711D}"/>
    <cellStyle name="Note 9 3 28 2" xfId="44788" xr:uid="{B74BDED1-B37F-4F68-AE82-F0BC3B63BC9F}"/>
    <cellStyle name="Note 9 3 29" xfId="6624" xr:uid="{A3CD628C-FBA9-42C6-87BC-C57BE94A32EB}"/>
    <cellStyle name="Note 9 3 3" xfId="7907" xr:uid="{E6809078-DC83-4CF9-B054-7292300E71AD}"/>
    <cellStyle name="Note 9 3 3 2" xfId="32156" xr:uid="{B409C4D2-FA96-4C59-8577-B718F1167484}"/>
    <cellStyle name="Note 9 3 4" xfId="9466" xr:uid="{8705D662-915C-4715-A865-D419B5C491BC}"/>
    <cellStyle name="Note 9 3 4 2" xfId="33449" xr:uid="{85206D1F-865B-4552-A318-69E03D110BC8}"/>
    <cellStyle name="Note 9 3 5" xfId="7611" xr:uid="{CA24824F-41F2-4677-AED4-15CCCAB2ACEB}"/>
    <cellStyle name="Note 9 3 5 2" xfId="31911" xr:uid="{5263EF5E-FBA5-475A-A54C-03165FDD6382}"/>
    <cellStyle name="Note 9 3 6" xfId="8703" xr:uid="{96DFE474-0309-4D41-8AF7-371D89A78330}"/>
    <cellStyle name="Note 9 3 6 2" xfId="32833" xr:uid="{06334FCC-37B8-4031-A2FB-F55CB09594E5}"/>
    <cellStyle name="Note 9 3 7" xfId="10498" xr:uid="{A1F17131-0AB8-43F9-8F43-F1DA84FDA486}"/>
    <cellStyle name="Note 9 3 7 2" xfId="34133" xr:uid="{FEB54E22-89E7-4AF4-9422-845C974FF9AA}"/>
    <cellStyle name="Note 9 3 8" xfId="16679" xr:uid="{90DCC18F-C3BB-4A7D-B48B-381F20B274A8}"/>
    <cellStyle name="Note 9 3 8 2" xfId="38170" xr:uid="{8BFF501E-C4B5-443C-AFC1-B86AC3AED4B3}"/>
    <cellStyle name="Note 9 3 9" xfId="12150" xr:uid="{E2045EF7-BB27-439C-A63B-322DF0B0DB1F}"/>
    <cellStyle name="Note 9 3 9 2" xfId="34695" xr:uid="{52FA29A1-8270-42A9-888A-76E72633471F}"/>
    <cellStyle name="Note 9 30" xfId="27138" xr:uid="{0982C437-11FF-4A1C-A7D6-ECABC7244692}"/>
    <cellStyle name="Note 9 30 2" xfId="45479" xr:uid="{8A4E2A62-73A1-4816-81F3-58E9828701E4}"/>
    <cellStyle name="Note 9 31" xfId="20346" xr:uid="{F10BA88F-01D7-49D7-9C77-D6143DAFA512}"/>
    <cellStyle name="Note 9 31 2" xfId="40778" xr:uid="{F999EF28-FB51-4D57-85E2-D177DF5ACA03}"/>
    <cellStyle name="Note 9 32" xfId="30088" xr:uid="{99372A76-64F2-4349-BA74-7372AC1959B8}"/>
    <cellStyle name="Note 9 32 2" xfId="47284" xr:uid="{B0CA2AC2-C015-4162-B29C-E20DCB245751}"/>
    <cellStyle name="Note 9 33" xfId="23422" xr:uid="{791C309F-9AE1-44BC-A2A2-8FF20BC185F5}"/>
    <cellStyle name="Note 9 33 2" xfId="42939" xr:uid="{8270016D-C852-411D-9930-806C5E95D35E}"/>
    <cellStyle name="Note 9 34" xfId="25207" xr:uid="{5D096ABE-3D33-4E52-97E6-EB2D1D518BF5}"/>
    <cellStyle name="Note 9 34 2" xfId="44146" xr:uid="{1A7E48CB-7688-4E27-B5AB-6BD6F57DB106}"/>
    <cellStyle name="Note 9 35" xfId="6619" xr:uid="{B87BB47D-FA35-4481-89B8-E9710A1C4E8C}"/>
    <cellStyle name="Note 9 4" xfId="3117" xr:uid="{7261C7D3-1520-4ADE-B4F9-F8F360D39909}"/>
    <cellStyle name="Note 9 4 10" xfId="7003" xr:uid="{38144486-FE96-4142-B73D-ED662D7129BC}"/>
    <cellStyle name="Note 9 4 10 2" xfId="31370" xr:uid="{68DC2B18-9DDA-4CE0-92EF-6B81A002244F}"/>
    <cellStyle name="Note 9 4 11" xfId="14617" xr:uid="{EEEE097C-4C59-45CA-A88C-A9CDA6B4D82E}"/>
    <cellStyle name="Note 9 4 11 2" xfId="36529" xr:uid="{19224033-439F-47C4-8F6E-503C1619C29D}"/>
    <cellStyle name="Note 9 4 12" xfId="15886" xr:uid="{AEF96385-3918-4231-B0F8-77C883830378}"/>
    <cellStyle name="Note 9 4 12 2" xfId="37477" xr:uid="{BFC83BA6-5B4B-4838-82D2-87EF01580C40}"/>
    <cellStyle name="Note 9 4 13" xfId="21053" xr:uid="{27836FCB-19F5-4F98-B98D-531B020D32F0}"/>
    <cellStyle name="Note 9 4 13 2" xfId="41299" xr:uid="{DFE9002E-A4D1-4274-B8BB-5E72AAAFF438}"/>
    <cellStyle name="Note 9 4 14" xfId="9932" xr:uid="{94CFC07B-AE1E-404B-A2EA-F2A6841576FE}"/>
    <cellStyle name="Note 9 4 14 2" xfId="33677" xr:uid="{5E959E1D-6FFC-4DC8-BD6B-902C729FA37A}"/>
    <cellStyle name="Note 9 4 15" xfId="18642" xr:uid="{25D48833-A9E1-46E5-B5C9-7333A8DC36BF}"/>
    <cellStyle name="Note 9 4 15 2" xfId="39539" xr:uid="{73B83B86-E194-43E4-AB8C-CB3E7B3D0D31}"/>
    <cellStyle name="Note 9 4 16" xfId="23280" xr:uid="{8DF99697-9900-4B25-9EEF-357566B48439}"/>
    <cellStyle name="Note 9 4 16 2" xfId="42854" xr:uid="{2AD3118E-2AA4-458F-940A-064E2027B54D}"/>
    <cellStyle name="Note 9 4 17" xfId="24085" xr:uid="{4B6FA620-903D-4C44-B427-B5D5B91F99CF}"/>
    <cellStyle name="Note 9 4 17 2" xfId="43461" xr:uid="{60EE532C-6E91-41D8-8D9F-28B3B9F5C9A8}"/>
    <cellStyle name="Note 9 4 18" xfId="18223" xr:uid="{4FE2FD13-9E99-41AC-9E61-9CD76C9B3965}"/>
    <cellStyle name="Note 9 4 18 2" xfId="39255" xr:uid="{EDE46BFB-F16F-4F80-8FEE-183A0A418813}"/>
    <cellStyle name="Note 9 4 19" xfId="19211" xr:uid="{F2CAE17C-073D-4CFD-A41B-BA9469673EAC}"/>
    <cellStyle name="Note 9 4 19 2" xfId="40019" xr:uid="{3D14FB37-4FF6-485D-A0D8-E08F9E986EB4}"/>
    <cellStyle name="Note 9 4 2" xfId="3118" xr:uid="{E8577C04-8043-4720-AF0B-76F42685892A}"/>
    <cellStyle name="Note 9 4 2 10" xfId="13832" xr:uid="{1E32552F-C901-4D84-9A13-A3E51D37FB91}"/>
    <cellStyle name="Note 9 4 2 10 2" xfId="35957" xr:uid="{0C14A6AF-72BD-4BF8-9514-317811BC75EC}"/>
    <cellStyle name="Note 9 4 2 11" xfId="16462" xr:uid="{E56AD248-0532-423A-A191-D3E09D509B7C}"/>
    <cellStyle name="Note 9 4 2 11 2" xfId="37955" xr:uid="{83204289-58BF-4C97-96B0-9F4EF5DFD456}"/>
    <cellStyle name="Note 9 4 2 12" xfId="20771" xr:uid="{1A1426E2-BBF5-4771-A7C5-287B69E8D8E1}"/>
    <cellStyle name="Note 9 4 2 12 2" xfId="41131" xr:uid="{11791AA7-EEAD-4B3C-8FDD-CC4E4C54C92B}"/>
    <cellStyle name="Note 9 4 2 13" xfId="9933" xr:uid="{02D9BC79-9CB9-4519-8156-CA1EC0858C92}"/>
    <cellStyle name="Note 9 4 2 13 2" xfId="33678" xr:uid="{9E8B5822-13B1-467C-A7B8-DD60B83514C9}"/>
    <cellStyle name="Note 9 4 2 14" xfId="21567" xr:uid="{A2ADF9FE-3F90-4A2A-A39B-BDD62907F67F}"/>
    <cellStyle name="Note 9 4 2 14 2" xfId="41651" xr:uid="{6628F228-27B5-4CE7-BEAA-AD025427D3BF}"/>
    <cellStyle name="Note 9 4 2 15" xfId="17302" xr:uid="{95972CE5-0978-40B6-836D-41720E2D488B}"/>
    <cellStyle name="Note 9 4 2 15 2" xfId="38586" xr:uid="{EED2E5CF-2FA6-421E-9C91-0BA44A787987}"/>
    <cellStyle name="Note 9 4 2 16" xfId="21355" xr:uid="{3D14F122-2552-4E92-B694-0860A1AA4035}"/>
    <cellStyle name="Note 9 4 2 16 2" xfId="41484" xr:uid="{EF3BC28D-A7F9-4818-A5AE-BF54BEB1B3D8}"/>
    <cellStyle name="Note 9 4 2 17" xfId="16267" xr:uid="{37093B7E-EAD7-4C7F-8AC4-A88CDD904FC6}"/>
    <cellStyle name="Note 9 4 2 17 2" xfId="37804" xr:uid="{91E02E8A-84D8-4AB4-8C74-A38D6F1A522D}"/>
    <cellStyle name="Note 9 4 2 18" xfId="16050" xr:uid="{2397FC86-4DA2-48BD-8210-3F5451CAC249}"/>
    <cellStyle name="Note 9 4 2 18 2" xfId="37628" xr:uid="{55EB716F-B80D-426D-B035-E03F7094312C}"/>
    <cellStyle name="Note 9 4 2 19" xfId="24666" xr:uid="{ECC11857-8439-4B8E-B517-55358A4F5F33}"/>
    <cellStyle name="Note 9 4 2 19 2" xfId="43811" xr:uid="{857292F7-4342-4ADB-BB46-B1ED1D63BDFB}"/>
    <cellStyle name="Note 9 4 2 2" xfId="7904" xr:uid="{D98F7F17-780C-4B11-9525-3AA75017158C}"/>
    <cellStyle name="Note 9 4 2 2 2" xfId="32153" xr:uid="{3DAFD336-BF13-4A0B-B168-D71FE6F4EBC0}"/>
    <cellStyle name="Note 9 4 2 20" xfId="13915" xr:uid="{332C17EE-6D39-49E2-852B-A0AEC80B2B93}"/>
    <cellStyle name="Note 9 4 2 20 2" xfId="36027" xr:uid="{2904D789-19D2-49E4-95DC-DE747D6E2F4C}"/>
    <cellStyle name="Note 9 4 2 21" xfId="21970" xr:uid="{02DEFAF6-BD60-446C-A8FE-587A490D8FEE}"/>
    <cellStyle name="Note 9 4 2 21 2" xfId="41877" xr:uid="{C3807208-40AD-470D-BDD6-9B41B62B96C6}"/>
    <cellStyle name="Note 9 4 2 22" xfId="26709" xr:uid="{F3C13D6D-FB90-44AA-A27E-BC8779D36011}"/>
    <cellStyle name="Note 9 4 2 22 2" xfId="45247" xr:uid="{B1D8E388-0646-4DFD-9C04-4ABA9941AF6E}"/>
    <cellStyle name="Note 9 4 2 23" xfId="28028" xr:uid="{B5556F76-DAF4-4FA0-8F39-85386A425803}"/>
    <cellStyle name="Note 9 4 2 23 2" xfId="46035" xr:uid="{853D4B21-7199-4A3A-ACD3-23A5E07F54F0}"/>
    <cellStyle name="Note 9 4 2 24" xfId="26214" xr:uid="{140B46FB-E5B7-49E1-A050-19C569972822}"/>
    <cellStyle name="Note 9 4 2 24 2" xfId="44923" xr:uid="{E2884419-FFC4-4A35-ACB9-797425E059A0}"/>
    <cellStyle name="Note 9 4 2 25" xfId="28065" xr:uid="{EF536DC6-B2D4-4583-ABEF-C30D33F5134A}"/>
    <cellStyle name="Note 9 4 2 25 2" xfId="46053" xr:uid="{18802882-B706-4A11-8A1C-4A2A7BBA14A4}"/>
    <cellStyle name="Note 9 4 2 26" xfId="28879" xr:uid="{FD36D3DE-56C1-4F0C-A3AF-EBACD2AC9A7E}"/>
    <cellStyle name="Note 9 4 2 26 2" xfId="46493" xr:uid="{40439C4F-219E-4214-B2C5-DB172BD0EA9B}"/>
    <cellStyle name="Note 9 4 2 27" xfId="31104" xr:uid="{DADC0576-65E0-4238-A7C7-F07BEF3E60A2}"/>
    <cellStyle name="Note 9 4 2 27 2" xfId="47834" xr:uid="{A8A6B03E-FBB1-4589-B209-378E600AC241}"/>
    <cellStyle name="Note 9 4 2 28" xfId="6627" xr:uid="{6B30A33C-96D2-4835-959A-49B273CA029D}"/>
    <cellStyle name="Note 9 4 2 3" xfId="9514" xr:uid="{EC6D989E-22E5-4D36-B583-430B63B67C12}"/>
    <cellStyle name="Note 9 4 2 3 2" xfId="33453" xr:uid="{FBFA8EB4-3771-4AD3-B84A-AFB53D7FDBF5}"/>
    <cellStyle name="Note 9 4 2 4" xfId="12014" xr:uid="{9B9C3D3F-A6E2-4384-BD5E-63797459AEEC}"/>
    <cellStyle name="Note 9 4 2 4 2" xfId="34572" xr:uid="{767EA1D9-495D-4EF8-A2A4-74C2CEFD1C5B}"/>
    <cellStyle name="Note 9 4 2 5" xfId="8700" xr:uid="{7F5ED085-26E1-4EAE-A127-1CC4E5EDFAF3}"/>
    <cellStyle name="Note 9 4 2 5 2" xfId="32830" xr:uid="{095E64BC-D810-4DFE-96B5-21D3C9E4D7BF}"/>
    <cellStyle name="Note 9 4 2 6" xfId="10499" xr:uid="{F4700D14-AAA0-480F-AAE5-B2A53A1D7558}"/>
    <cellStyle name="Note 9 4 2 6 2" xfId="34134" xr:uid="{D29573E1-D05C-4591-BB3B-4E1D49906F52}"/>
    <cellStyle name="Note 9 4 2 7" xfId="11969" xr:uid="{440AC338-13D7-4265-90AF-10B1827C7EFE}"/>
    <cellStyle name="Note 9 4 2 7 2" xfId="34541" xr:uid="{94E07F83-B7A4-41C1-B0E6-EB7056BBD1FF}"/>
    <cellStyle name="Note 9 4 2 8" xfId="17552" xr:uid="{D404799F-EE76-4329-8521-3C727BF2C75F}"/>
    <cellStyle name="Note 9 4 2 8 2" xfId="38799" xr:uid="{7D5D7333-8243-4ABF-9E3A-8B094B03E5EB}"/>
    <cellStyle name="Note 9 4 2 9" xfId="18402" xr:uid="{5B1780FB-B0EB-4AB6-815B-A003BED5C8A7}"/>
    <cellStyle name="Note 9 4 2 9 2" xfId="39413" xr:uid="{9C92DC78-E750-41AF-A67E-AE24D0B6644F}"/>
    <cellStyle name="Note 9 4 20" xfId="22843" xr:uid="{B693AFE9-17FF-4662-A0D8-4EBBC476908A}"/>
    <cellStyle name="Note 9 4 20 2" xfId="42561" xr:uid="{777E9028-83D8-4488-9C38-32EE4557D87D}"/>
    <cellStyle name="Note 9 4 21" xfId="19857" xr:uid="{D31A3948-888A-4472-92C9-CF009494A2CF}"/>
    <cellStyle name="Note 9 4 21 2" xfId="40470" xr:uid="{C496DE96-CB73-4E3F-A8D5-40702144E3DA}"/>
    <cellStyle name="Note 9 4 22" xfId="21852" xr:uid="{2BFB120D-1D88-4A85-A555-1DDC4CD96C3F}"/>
    <cellStyle name="Note 9 4 22 2" xfId="41799" xr:uid="{3238F5D2-A0DA-46A4-A900-072A2A210357}"/>
    <cellStyle name="Note 9 4 23" xfId="18819" xr:uid="{EB8A6C1E-3EC4-454A-8A51-B4FEB3B92352}"/>
    <cellStyle name="Note 9 4 23 2" xfId="39671" xr:uid="{60A42D2E-09D9-4F45-8BA8-24A370EBC70D}"/>
    <cellStyle name="Note 9 4 24" xfId="28563" xr:uid="{9C078192-8DA4-4CA8-9743-7F1CBC98F7AC}"/>
    <cellStyle name="Note 9 4 24 2" xfId="46298" xr:uid="{D6B4DF47-11F3-4D22-8377-DB97EAF9D045}"/>
    <cellStyle name="Note 9 4 25" xfId="20289" xr:uid="{647CB87E-61AE-4055-B2D4-5D679479B9B8}"/>
    <cellStyle name="Note 9 4 25 2" xfId="40726" xr:uid="{F96AA462-8A3F-48A0-BB1A-5616EC1491A8}"/>
    <cellStyle name="Note 9 4 26" xfId="27856" xr:uid="{7FF12BA6-7988-4FB9-AB7B-39C77560D14C}"/>
    <cellStyle name="Note 9 4 26 2" xfId="45928" xr:uid="{5A078B08-C3B7-4BC6-8691-3FF267A6576B}"/>
    <cellStyle name="Note 9 4 27" xfId="25401" xr:uid="{625C5A19-8865-4831-A165-2B9000497867}"/>
    <cellStyle name="Note 9 4 27 2" xfId="44294" xr:uid="{64CF8599-9A88-4F5F-B457-6EFB24F853B3}"/>
    <cellStyle name="Note 9 4 28" xfId="29021" xr:uid="{4BA05190-2E27-4401-A987-F532EF8A3DB7}"/>
    <cellStyle name="Note 9 4 28 2" xfId="46615" xr:uid="{641A95ED-825C-4781-A948-EEE88FEFE02D}"/>
    <cellStyle name="Note 9 4 29" xfId="6626" xr:uid="{06E04192-890F-4CAC-8322-7E2FBFCF282C}"/>
    <cellStyle name="Note 9 4 3" xfId="7905" xr:uid="{97C00E07-FB40-4F15-9FE3-F14547CCE750}"/>
    <cellStyle name="Note 9 4 3 2" xfId="32154" xr:uid="{B829CED2-F5E2-4E2C-9E15-390DF3835167}"/>
    <cellStyle name="Note 9 4 4" xfId="9513" xr:uid="{E93F9FE5-D27E-4FB9-AA56-39B1D86557E6}"/>
    <cellStyle name="Note 9 4 4 2" xfId="33452" xr:uid="{36FBC23D-47C3-46D7-B28B-F5826DF7B32F}"/>
    <cellStyle name="Note 9 4 5" xfId="7610" xr:uid="{5CE8BDAD-4586-4849-B3A4-4904C5786299}"/>
    <cellStyle name="Note 9 4 5 2" xfId="31910" xr:uid="{E9FFEDAB-7F57-41DC-A069-429FBF89F430}"/>
    <cellStyle name="Note 9 4 6" xfId="8701" xr:uid="{03E5DF2E-A4E0-4A1D-BC6F-9C091EB8F9A4}"/>
    <cellStyle name="Note 9 4 6 2" xfId="32831" xr:uid="{95A2C0B0-78E1-415E-B078-DC9B1EE1150E}"/>
    <cellStyle name="Note 9 4 7" xfId="15003" xr:uid="{CB69E6B5-2F99-4D27-BAA4-12DD6E9D6D89}"/>
    <cellStyle name="Note 9 4 7 2" xfId="36861" xr:uid="{CB0017E2-803C-4E3E-8D97-189EEDF727E1}"/>
    <cellStyle name="Note 9 4 8" xfId="16682" xr:uid="{19EC9986-4338-4A7C-A6A9-0B01DBDC2476}"/>
    <cellStyle name="Note 9 4 8 2" xfId="38173" xr:uid="{F60837E9-3B88-4286-9659-0F2BAC40629B}"/>
    <cellStyle name="Note 9 4 9" xfId="14806" xr:uid="{179769DD-2509-4E09-A9B4-ABC218478754}"/>
    <cellStyle name="Note 9 4 9 2" xfId="36681" xr:uid="{5BEEDC2D-D760-4222-A318-821F2CD664AF}"/>
    <cellStyle name="Note 9 5" xfId="3119" xr:uid="{36EC7BE2-B21A-4056-8C09-90A5E6D14F4B}"/>
    <cellStyle name="Note 9 5 10" xfId="13528" xr:uid="{8FD53132-F5AC-4FFE-A637-300708E274ED}"/>
    <cellStyle name="Note 9 5 10 2" xfId="35771" xr:uid="{39AF7D35-F73B-469A-817C-D92170267B1E}"/>
    <cellStyle name="Note 9 5 11" xfId="12350" xr:uid="{3E8C0DB2-3F6F-4AEE-BEF6-D0CDD603C56D}"/>
    <cellStyle name="Note 9 5 11 2" xfId="34854" xr:uid="{82C9E9CB-04FE-427A-B718-F7E4C36C9A0E}"/>
    <cellStyle name="Note 9 5 12" xfId="12570" xr:uid="{873E0FA1-DF9A-45BE-A83C-678100B0FE86}"/>
    <cellStyle name="Note 9 5 12 2" xfId="35014" xr:uid="{12F199B5-3D85-4E28-952B-DC0A5B377655}"/>
    <cellStyle name="Note 9 5 13" xfId="17370" xr:uid="{18E18C4B-C3B9-466C-9F0A-9F64D2F2CE48}"/>
    <cellStyle name="Note 9 5 13 2" xfId="38617" xr:uid="{8C17E538-00BD-4B3E-B79C-7DE4EE4ACD42}"/>
    <cellStyle name="Note 9 5 14" xfId="9934" xr:uid="{969FE03F-1FFD-430F-962A-A7641824BBD6}"/>
    <cellStyle name="Note 9 5 14 2" xfId="33679" xr:uid="{3F30AF39-7FBE-43D4-9202-E669D281CE59}"/>
    <cellStyle name="Note 9 5 15" xfId="22018" xr:uid="{70F34E0C-61A5-4CAE-80EC-60A34D92A763}"/>
    <cellStyle name="Note 9 5 15 2" xfId="41913" xr:uid="{D57259FB-055B-4380-B620-4C07F2F8330A}"/>
    <cellStyle name="Note 9 5 16" xfId="23279" xr:uid="{24BA1E7A-00C2-4DF1-B383-B0D193788A35}"/>
    <cellStyle name="Note 9 5 16 2" xfId="42853" xr:uid="{6C268C65-7DE1-4CD2-A258-DCAB26C2B7A8}"/>
    <cellStyle name="Note 9 5 17" xfId="24084" xr:uid="{B04DC710-5672-44E3-A21A-BF1BAC9CD8B1}"/>
    <cellStyle name="Note 9 5 17 2" xfId="43460" xr:uid="{460697AE-D311-42E7-AAB1-F31DBAD59D7A}"/>
    <cellStyle name="Note 9 5 18" xfId="18222" xr:uid="{46C38A17-996F-4C13-958D-A5968B4AAB78}"/>
    <cellStyle name="Note 9 5 18 2" xfId="39254" xr:uid="{5CFB856C-558D-49CE-AFF0-F66F1DED838C}"/>
    <cellStyle name="Note 9 5 19" xfId="19212" xr:uid="{A02B3446-C040-4CCA-98A6-B324077863A2}"/>
    <cellStyle name="Note 9 5 19 2" xfId="40020" xr:uid="{8388F3B6-9830-4C85-97A1-97236623CCF9}"/>
    <cellStyle name="Note 9 5 2" xfId="3120" xr:uid="{73600661-2BEE-4E62-88FF-34B58CD46A6E}"/>
    <cellStyle name="Note 9 5 2 10" xfId="15548" xr:uid="{07405C17-5CBB-4EF5-951C-7819D9360E39}"/>
    <cellStyle name="Note 9 5 2 10 2" xfId="37213" xr:uid="{DD85CF58-7872-4500-B551-6ECB3136F6A0}"/>
    <cellStyle name="Note 9 5 2 11" xfId="16461" xr:uid="{F2659204-8A1F-4698-A9D0-53237A79DFDB}"/>
    <cellStyle name="Note 9 5 2 11 2" xfId="37954" xr:uid="{73F3B2EF-88AC-44C2-A1DF-3B64D9D8AEE6}"/>
    <cellStyle name="Note 9 5 2 12" xfId="20774" xr:uid="{2B3716B9-48E7-4D56-A26C-FF11A945BF6A}"/>
    <cellStyle name="Note 9 5 2 12 2" xfId="41134" xr:uid="{62F1C5B7-18A6-4996-B811-0E0D2EDA8D6A}"/>
    <cellStyle name="Note 9 5 2 13" xfId="9935" xr:uid="{D3D2868A-58D9-4B0F-BF52-E7885E743132}"/>
    <cellStyle name="Note 9 5 2 13 2" xfId="33680" xr:uid="{1097028B-9A2F-4BD8-8857-338695D75E48}"/>
    <cellStyle name="Note 9 5 2 14" xfId="19690" xr:uid="{75C39E9D-A6B7-47F9-B04B-F21380664967}"/>
    <cellStyle name="Note 9 5 2 14 2" xfId="40307" xr:uid="{DAB64132-41C6-487A-B348-4704F4F07311}"/>
    <cellStyle name="Note 9 5 2 15" xfId="15662" xr:uid="{DE02F051-4C27-47A6-BEE3-BC96C4419DBD}"/>
    <cellStyle name="Note 9 5 2 15 2" xfId="37310" xr:uid="{42C6240B-E3BC-497A-9842-819EAC549BA3}"/>
    <cellStyle name="Note 9 5 2 16" xfId="19590" xr:uid="{41BCDDEA-6CA0-482C-9EE5-6C6454BBD0E2}"/>
    <cellStyle name="Note 9 5 2 16 2" xfId="40230" xr:uid="{8675BF98-7A9C-474F-BDD8-9C94C32CB464}"/>
    <cellStyle name="Note 9 5 2 17" xfId="13949" xr:uid="{18A88186-FBF8-41C7-BB77-4F9296CD8032}"/>
    <cellStyle name="Note 9 5 2 17 2" xfId="36055" xr:uid="{D8DE37BB-819B-425D-AD13-4A0B60254A13}"/>
    <cellStyle name="Note 9 5 2 18" xfId="17207" xr:uid="{51FD7415-A26A-4524-B740-6A793737B0AF}"/>
    <cellStyle name="Note 9 5 2 18 2" xfId="38536" xr:uid="{8000DE29-88EB-467E-B191-DCF14570867A}"/>
    <cellStyle name="Note 9 5 2 19" xfId="26695" xr:uid="{B56DB48F-E071-4AC9-8ADC-FB18805AA64A}"/>
    <cellStyle name="Note 9 5 2 19 2" xfId="45242" xr:uid="{896DA0F7-C2E4-4EF2-A7AB-B692542E2EF4}"/>
    <cellStyle name="Note 9 5 2 2" xfId="7902" xr:uid="{F0619009-D70F-4BF0-9863-63D368BDBA2A}"/>
    <cellStyle name="Note 9 5 2 2 2" xfId="32151" xr:uid="{1D172495-DAEB-428C-8FC2-6964E9AB7201}"/>
    <cellStyle name="Note 9 5 2 20" xfId="26326" xr:uid="{AF372BD2-212D-418C-A829-55B6005D3FF7}"/>
    <cellStyle name="Note 9 5 2 20 2" xfId="45011" xr:uid="{3F1ED606-7079-4880-A298-53347CE89CF5}"/>
    <cellStyle name="Note 9 5 2 21" xfId="28148" xr:uid="{9E398978-8893-4DC9-A454-9600365B3936}"/>
    <cellStyle name="Note 9 5 2 21 2" xfId="46083" xr:uid="{E8123673-6656-44F3-9BBA-1382B39E2744}"/>
    <cellStyle name="Note 9 5 2 22" xfId="27965" xr:uid="{5AEBD667-5798-498F-962B-3BD2CC5D395A}"/>
    <cellStyle name="Note 9 5 2 22 2" xfId="46024" xr:uid="{36C6E200-97EF-451B-BF21-84AF8EC1073F}"/>
    <cellStyle name="Note 9 5 2 23" xfId="28027" xr:uid="{F23C4684-8C34-498F-914D-B9892232991D}"/>
    <cellStyle name="Note 9 5 2 23 2" xfId="46034" xr:uid="{2EB7CF69-2E4C-429F-9E9A-76135E2E5B90}"/>
    <cellStyle name="Note 9 5 2 24" xfId="29306" xr:uid="{11ADF031-BAC2-4E17-8803-462FFCCF5AC1}"/>
    <cellStyle name="Note 9 5 2 24 2" xfId="46799" xr:uid="{D5A3B609-D185-43B3-B860-7861F44B64CE}"/>
    <cellStyle name="Note 9 5 2 25" xfId="30562" xr:uid="{8C49F54F-BCEA-4125-BC07-D44A15C060A7}"/>
    <cellStyle name="Note 9 5 2 25 2" xfId="47517" xr:uid="{A9D9CAF5-E55C-49E7-B597-7E4B4608C732}"/>
    <cellStyle name="Note 9 5 2 26" xfId="22257" xr:uid="{A9369432-08E4-48F8-AAE9-4D1A64BA7ED6}"/>
    <cellStyle name="Note 9 5 2 26 2" xfId="42127" xr:uid="{E507E930-BDE5-464B-A4E2-2580A7AAA1FC}"/>
    <cellStyle name="Note 9 5 2 27" xfId="28261" xr:uid="{8EB9CF3A-7649-4B91-BA53-271B92DBE0FB}"/>
    <cellStyle name="Note 9 5 2 27 2" xfId="46128" xr:uid="{1D7FC0B0-7594-478C-897E-165EF4C76A1D}"/>
    <cellStyle name="Note 9 5 2 28" xfId="6629" xr:uid="{E5951785-4C48-401E-BA10-D2C3757DFEAE}"/>
    <cellStyle name="Note 9 5 2 3" xfId="9516" xr:uid="{780585C1-3D33-45F5-A902-AE9BE63AEEAB}"/>
    <cellStyle name="Note 9 5 2 3 2" xfId="33455" xr:uid="{54657A0F-C980-4B96-818C-8943F2B77842}"/>
    <cellStyle name="Note 9 5 2 4" xfId="12013" xr:uid="{A77CF0DE-F1C9-4D84-A5D8-D823516B7CA5}"/>
    <cellStyle name="Note 9 5 2 4 2" xfId="34571" xr:uid="{48A47E50-F089-43BE-8E2E-FF42FD51B627}"/>
    <cellStyle name="Note 9 5 2 5" xfId="8698" xr:uid="{6AA4266A-41D4-407F-AD90-0AB0D117CF34}"/>
    <cellStyle name="Note 9 5 2 5 2" xfId="32828" xr:uid="{113A2F23-4859-464A-A70C-607E5D28CDC1}"/>
    <cellStyle name="Note 9 5 2 6" xfId="12974" xr:uid="{F0CFC1D1-1C18-4A49-9DD6-F59C804FEE45}"/>
    <cellStyle name="Note 9 5 2 6 2" xfId="35322" xr:uid="{8325B54A-FE02-449C-81E1-0F2B0D77F1A5}"/>
    <cellStyle name="Note 9 5 2 7" xfId="7560" xr:uid="{E9F79198-8E2E-4F7B-983E-D948CD9FF28C}"/>
    <cellStyle name="Note 9 5 2 7 2" xfId="31878" xr:uid="{E663B580-2FAE-4F30-BB68-35D9B0BD9551}"/>
    <cellStyle name="Note 9 5 2 8" xfId="14805" xr:uid="{C66CB5C7-DC2D-4D83-9BC0-54697585E427}"/>
    <cellStyle name="Note 9 5 2 8 2" xfId="36680" xr:uid="{09891386-74DF-4A95-A6B0-ECF2AF02026D}"/>
    <cellStyle name="Note 9 5 2 9" xfId="14220" xr:uid="{6C117811-3421-4789-AA2A-07B8A3229E1F}"/>
    <cellStyle name="Note 9 5 2 9 2" xfId="36273" xr:uid="{DE8C028B-438E-4453-B7F1-F4FC8E29FC48}"/>
    <cellStyle name="Note 9 5 20" xfId="26925" xr:uid="{FC26DA50-A70F-4431-B4DB-CD50CCD920B5}"/>
    <cellStyle name="Note 9 5 20 2" xfId="45340" xr:uid="{E2E8D7B7-8BA4-4233-BFFE-68F5FD0E078E}"/>
    <cellStyle name="Note 9 5 21" xfId="25939" xr:uid="{68A893A0-20E5-432E-A0CF-CFEF6D04E592}"/>
    <cellStyle name="Note 9 5 21 2" xfId="44730" xr:uid="{68AE60C4-E73B-4C1F-A537-C5E7AD2C8206}"/>
    <cellStyle name="Note 9 5 22" xfId="24488" xr:uid="{F09225DA-5597-4106-B7CF-B6438EDAA38C}"/>
    <cellStyle name="Note 9 5 22 2" xfId="43671" xr:uid="{57D22C19-2424-468E-BC3C-4838C0755A6C}"/>
    <cellStyle name="Note 9 5 23" xfId="27962" xr:uid="{0E1C0919-2B73-4578-8BA6-BBB87D7DA81A}"/>
    <cellStyle name="Note 9 5 23 2" xfId="46021" xr:uid="{0A94377D-E2DA-4474-A61D-88C186132058}"/>
    <cellStyle name="Note 9 5 24" xfId="28540" xr:uid="{06689A1D-40E4-4E00-9104-F6AD78477832}"/>
    <cellStyle name="Note 9 5 24 2" xfId="46297" xr:uid="{050D8A57-BE77-45E9-A530-F8865D6C7D63}"/>
    <cellStyle name="Note 9 5 25" xfId="23810" xr:uid="{EFE91571-F6B0-4EDC-9788-A9ACB6D3D21D}"/>
    <cellStyle name="Note 9 5 25 2" xfId="43199" xr:uid="{2D789444-828A-4560-A078-32E5656C869E}"/>
    <cellStyle name="Note 9 5 26" xfId="29134" xr:uid="{A5EAEAAD-37D4-4791-A48C-567F6424D551}"/>
    <cellStyle name="Note 9 5 26 2" xfId="46676" xr:uid="{E2B8BE31-D3A3-4C4A-9C5D-FBC24F69A4A2}"/>
    <cellStyle name="Note 9 5 27" xfId="23421" xr:uid="{B02DF145-C20B-4C38-898A-29A812674D01}"/>
    <cellStyle name="Note 9 5 27 2" xfId="42938" xr:uid="{6B8F0325-06C1-4E93-86BA-B938A6DBA66E}"/>
    <cellStyle name="Note 9 5 28" xfId="29217" xr:uid="{B266A335-04BC-42FE-B88B-C93FC71AEC8F}"/>
    <cellStyle name="Note 9 5 28 2" xfId="46743" xr:uid="{762BD5F6-BE36-45B5-AFF0-AA6DA574C1BE}"/>
    <cellStyle name="Note 9 5 29" xfId="6628" xr:uid="{305CDA77-9DB6-4AE4-8D05-7BCFE603C71C}"/>
    <cellStyle name="Note 9 5 3" xfId="7903" xr:uid="{F1D57297-CA46-4D31-BCDC-31967380C853}"/>
    <cellStyle name="Note 9 5 3 2" xfId="32152" xr:uid="{E35CEC76-B6DA-4DE1-A10B-28F09F70270B}"/>
    <cellStyle name="Note 9 5 4" xfId="9515" xr:uid="{91D89844-1AD4-4745-AB64-0579E5367D1F}"/>
    <cellStyle name="Note 9 5 4 2" xfId="33454" xr:uid="{31F7BF02-CAA0-491F-B33B-2001AEB4F92B}"/>
    <cellStyle name="Note 9 5 5" xfId="7609" xr:uid="{83B49961-C291-49F5-AE31-B88EAE3A2EF5}"/>
    <cellStyle name="Note 9 5 5 2" xfId="31909" xr:uid="{6465DEC2-6CCB-4994-A8AD-0C099F814A8C}"/>
    <cellStyle name="Note 9 5 6" xfId="8699" xr:uid="{A443708D-9A22-4539-9200-DDDD7D0E5EB3}"/>
    <cellStyle name="Note 9 5 6 2" xfId="32829" xr:uid="{29B475B2-6AD7-4EEE-A95E-58468945366D}"/>
    <cellStyle name="Note 9 5 7" xfId="15002" xr:uid="{D6F6810D-09BD-4F4B-9FC7-D88C3D19C8BD}"/>
    <cellStyle name="Note 9 5 7 2" xfId="36860" xr:uid="{82105079-226A-4E2C-B649-FEF1F1D389DB}"/>
    <cellStyle name="Note 9 5 8" xfId="16681" xr:uid="{3A696B8F-13DB-422C-AED6-482E41D9CD7F}"/>
    <cellStyle name="Note 9 5 8 2" xfId="38172" xr:uid="{566D688C-0F71-4C1A-94EE-0450230BD8FF}"/>
    <cellStyle name="Note 9 5 9" xfId="12151" xr:uid="{72F19C4A-8B35-442E-A243-01259EB29988}"/>
    <cellStyle name="Note 9 5 9 2" xfId="34696" xr:uid="{335A689A-F95E-460C-95D4-60C1D62467CE}"/>
    <cellStyle name="Note 9 6" xfId="3121" xr:uid="{0F0373E7-0B76-444F-98BC-E5D78B086FAB}"/>
    <cellStyle name="Note 9 6 10" xfId="18401" xr:uid="{E43419DC-BA1E-47AA-8E13-7A8F24860E29}"/>
    <cellStyle name="Note 9 6 10 2" xfId="39412" xr:uid="{98903279-8B3E-4144-937A-A557AE41459F}"/>
    <cellStyle name="Note 9 6 11" xfId="14616" xr:uid="{C9156FFC-12DB-4FF1-BCE5-AEE74832D0C2}"/>
    <cellStyle name="Note 9 6 11 2" xfId="36528" xr:uid="{86AEDFBE-0F6E-4828-A55E-A5B4B5B15695}"/>
    <cellStyle name="Note 9 6 12" xfId="15885" xr:uid="{81FB7CB9-29C1-4C12-94A7-80A61DAC5AC2}"/>
    <cellStyle name="Note 9 6 12 2" xfId="37476" xr:uid="{312997C8-D398-4325-8BBB-D789466A7895}"/>
    <cellStyle name="Note 9 6 13" xfId="15165" xr:uid="{C64274D8-7760-4929-B176-15CCEC375A07}"/>
    <cellStyle name="Note 9 6 13 2" xfId="36953" xr:uid="{9E0B2444-08C0-4A1A-89C9-511CDE1B9F1B}"/>
    <cellStyle name="Note 9 6 14" xfId="9936" xr:uid="{0ACBAEB6-0C3E-4056-85C3-01E94C1C5771}"/>
    <cellStyle name="Note 9 6 14 2" xfId="33681" xr:uid="{4D46E9FC-1A92-4AB1-A6B4-9947E1B7AFF8}"/>
    <cellStyle name="Note 9 6 15" xfId="21566" xr:uid="{32347F47-78BD-499B-8F1B-0DDCD8EDF723}"/>
    <cellStyle name="Note 9 6 15 2" xfId="41650" xr:uid="{2D71509E-9564-470B-B4AD-08C16D7B016A}"/>
    <cellStyle name="Note 9 6 16" xfId="17301" xr:uid="{BFE573B3-5A3F-49D3-9832-74F73E6FC83F}"/>
    <cellStyle name="Note 9 6 16 2" xfId="38585" xr:uid="{2E61449B-843B-46B5-B385-E5160532F16C}"/>
    <cellStyle name="Note 9 6 17" xfId="21354" xr:uid="{1EA487CA-5787-49FD-807D-BFADA0F77D5E}"/>
    <cellStyle name="Note 9 6 17 2" xfId="41483" xr:uid="{FBEB7111-4B26-430F-B2A9-54AE4BB1D65E}"/>
    <cellStyle name="Note 9 6 18" xfId="18221" xr:uid="{7A6BCB0E-EE59-4D3D-B7B9-505023673E50}"/>
    <cellStyle name="Note 9 6 18 2" xfId="39253" xr:uid="{E3BD037B-DBB3-4FB8-B36C-8DA89E913EEC}"/>
    <cellStyle name="Note 9 6 19" xfId="19213" xr:uid="{F5FA65D3-60CB-4E0B-9CEF-27880BCCF070}"/>
    <cellStyle name="Note 9 6 19 2" xfId="40021" xr:uid="{8908F905-E6D1-4002-8ACF-9A30DEBC1821}"/>
    <cellStyle name="Note 9 6 2" xfId="3122" xr:uid="{3853B6A2-997F-4889-8AD1-A5E2AB047C32}"/>
    <cellStyle name="Note 9 6 2 10" xfId="12737" xr:uid="{74C1701F-6599-46C7-AC65-35CC47F442F8}"/>
    <cellStyle name="Note 9 6 2 10 2" xfId="35146" xr:uid="{B205E6B0-BC96-4395-8050-8365B958D713}"/>
    <cellStyle name="Note 9 6 2 11" xfId="16460" xr:uid="{C1941E93-96A8-4EC3-9685-459DECCF74CB}"/>
    <cellStyle name="Note 9 6 2 11 2" xfId="37953" xr:uid="{EBC6BF1D-3C95-4A59-8B8C-D737425B42D0}"/>
    <cellStyle name="Note 9 6 2 12" xfId="20773" xr:uid="{FF4D627A-978A-4B0B-84C9-63F572FA7A22}"/>
    <cellStyle name="Note 9 6 2 12 2" xfId="41133" xr:uid="{221711D3-38AE-4601-AB28-4309421B3072}"/>
    <cellStyle name="Note 9 6 2 13" xfId="9937" xr:uid="{CA68BF1F-2BBB-4433-8490-B9A18E7983A7}"/>
    <cellStyle name="Note 9 6 2 13 2" xfId="33682" xr:uid="{927DC2AA-75DB-43FC-84AA-E3D5C58BE92F}"/>
    <cellStyle name="Note 9 6 2 14" xfId="17905" xr:uid="{28B1970A-8701-4EB2-A62D-68517E4F353E}"/>
    <cellStyle name="Note 9 6 2 14 2" xfId="39012" xr:uid="{14450F1A-88DA-465E-8C6D-54DAF455EE24}"/>
    <cellStyle name="Note 9 6 2 15" xfId="23278" xr:uid="{E46260F1-3B22-4C64-BC83-D907D21E8FC2}"/>
    <cellStyle name="Note 9 6 2 15 2" xfId="42852" xr:uid="{3A1B1816-851D-4DFE-9275-176D7B382261}"/>
    <cellStyle name="Note 9 6 2 16" xfId="24083" xr:uid="{F2129358-302D-40F5-B394-85F0DAA3991F}"/>
    <cellStyle name="Note 9 6 2 16 2" xfId="43459" xr:uid="{576B73C8-7935-458B-9953-D74DB3903EF2}"/>
    <cellStyle name="Note 9 6 2 17" xfId="16266" xr:uid="{64D1A8B8-8ED3-4EF6-A4EF-7AAAC9A996FB}"/>
    <cellStyle name="Note 9 6 2 17 2" xfId="37803" xr:uid="{153FB9BC-506D-4092-A67E-3DB52A6D153A}"/>
    <cellStyle name="Note 9 6 2 18" xfId="15683" xr:uid="{0D2DF6F6-AC3C-411D-A291-BE15318172B9}"/>
    <cellStyle name="Note 9 6 2 18 2" xfId="37320" xr:uid="{6A2783B7-A451-422F-B555-DB8A8113E202}"/>
    <cellStyle name="Note 9 6 2 19" xfId="26694" xr:uid="{4D5C88C6-F709-4ACF-B15F-CC3332559C85}"/>
    <cellStyle name="Note 9 6 2 19 2" xfId="45241" xr:uid="{BF1DE789-4562-46ED-A780-C9871A02768F}"/>
    <cellStyle name="Note 9 6 2 2" xfId="7900" xr:uid="{068916ED-FDB1-496D-BF39-5585F3A41A10}"/>
    <cellStyle name="Note 9 6 2 2 2" xfId="32149" xr:uid="{F4A4C7B1-66F1-4971-8CD1-F46AAA80EE98}"/>
    <cellStyle name="Note 9 6 2 20" xfId="18002" xr:uid="{0AB1B570-4E68-4A51-90DD-D129E306E4D9}"/>
    <cellStyle name="Note 9 6 2 20 2" xfId="39098" xr:uid="{B8BA7347-2A15-4B0C-8129-2CE21A0CA5CB}"/>
    <cellStyle name="Note 9 6 2 21" xfId="27932" xr:uid="{679C53DF-82EE-49F2-8803-49ED3A6A8D0F}"/>
    <cellStyle name="Note 9 6 2 21 2" xfId="46004" xr:uid="{D64F16E3-EAAC-4930-9DAA-C34863779725}"/>
    <cellStyle name="Note 9 6 2 22" xfId="27964" xr:uid="{6A748E49-0327-4BB4-8EB5-9385F050E13C}"/>
    <cellStyle name="Note 9 6 2 22 2" xfId="46023" xr:uid="{115CEBCE-ECFC-40B3-BB77-88FD728F4CB2}"/>
    <cellStyle name="Note 9 6 2 23" xfId="26091" xr:uid="{74F46D9E-0FB6-405C-8328-1EC0CD093B88}"/>
    <cellStyle name="Note 9 6 2 23 2" xfId="44837" xr:uid="{522EF72D-607B-44E2-B240-CF2A03D95A57}"/>
    <cellStyle name="Note 9 6 2 24" xfId="26213" xr:uid="{37A2DCDD-5B02-42FB-91A9-7D470BB81A45}"/>
    <cellStyle name="Note 9 6 2 24 2" xfId="44922" xr:uid="{B69BB87B-D127-47E9-89A2-61C95BA3D6E0}"/>
    <cellStyle name="Note 9 6 2 25" xfId="29237" xr:uid="{17A4C78B-8834-4DE1-9CF3-C323C3C35F26}"/>
    <cellStyle name="Note 9 6 2 25 2" xfId="46756" xr:uid="{D88C3C1C-63AF-4C4B-960F-4B358B75550A}"/>
    <cellStyle name="Note 9 6 2 26" xfId="21962" xr:uid="{AAF8124C-48ED-4541-9F1C-99053BADB08B}"/>
    <cellStyle name="Note 9 6 2 26 2" xfId="41874" xr:uid="{22447819-AE99-47A6-957C-73061A00AF07}"/>
    <cellStyle name="Note 9 6 2 27" xfId="26906" xr:uid="{CAB86E14-772E-45D8-9681-4D201A494E4C}"/>
    <cellStyle name="Note 9 6 2 27 2" xfId="45329" xr:uid="{1091822E-4A5A-4944-A705-20FAD66CE59E}"/>
    <cellStyle name="Note 9 6 2 28" xfId="6631" xr:uid="{B0C3EC3A-D58D-4C52-9219-43C5DC917E3C}"/>
    <cellStyle name="Note 9 6 2 3" xfId="9518" xr:uid="{A5D1FE64-DF04-4D09-8558-2E4BB3D9F387}"/>
    <cellStyle name="Note 9 6 2 3 2" xfId="33457" xr:uid="{648F4D41-7283-47A5-BAF5-055CB835A53B}"/>
    <cellStyle name="Note 9 6 2 4" xfId="12012" xr:uid="{3DB552C8-C436-4278-A81A-E7236A6462A9}"/>
    <cellStyle name="Note 9 6 2 4 2" xfId="34570" xr:uid="{EB8C8804-C6EC-4C96-8E79-2DAED872AB9E}"/>
    <cellStyle name="Note 9 6 2 5" xfId="8696" xr:uid="{0A26EB7E-7456-429A-94BA-69B7F419157F}"/>
    <cellStyle name="Note 9 6 2 5 2" xfId="32826" xr:uid="{1115E21A-37B1-4A8C-88CE-E0532B326FF2}"/>
    <cellStyle name="Note 9 6 2 6" xfId="10500" xr:uid="{A0FC83A4-BC55-46E4-AEB7-15EE7B5AECBD}"/>
    <cellStyle name="Note 9 6 2 6 2" xfId="34135" xr:uid="{84664D79-0937-4929-8F38-20FD9A561608}"/>
    <cellStyle name="Note 9 6 2 7" xfId="16680" xr:uid="{7B173955-0B9B-45F0-9D95-518E9F00D4A5}"/>
    <cellStyle name="Note 9 6 2 7 2" xfId="38171" xr:uid="{DBF6B88D-E712-45F9-BF8F-B703191038EF}"/>
    <cellStyle name="Note 9 6 2 8" xfId="12152" xr:uid="{4EF8C333-6F38-4C3C-A819-BDC34D34C306}"/>
    <cellStyle name="Note 9 6 2 8 2" xfId="34697" xr:uid="{A34C0804-3C3C-46FC-9932-7EDCBB239243}"/>
    <cellStyle name="Note 9 6 2 9" xfId="7002" xr:uid="{346C85AC-0F64-40C8-B739-1BE3E7F470D6}"/>
    <cellStyle name="Note 9 6 2 9 2" xfId="31369" xr:uid="{E4108A0B-8584-4C53-AB9F-C5DF1BB8D99F}"/>
    <cellStyle name="Note 9 6 20" xfId="26683" xr:uid="{0B70FACA-B5E8-45A7-AC6A-24F1835A9BA1}"/>
    <cellStyle name="Note 9 6 20 2" xfId="45230" xr:uid="{4B6C4704-6EB3-4C99-BDC5-076B8F299679}"/>
    <cellStyle name="Note 9 6 21" xfId="26559" xr:uid="{F0163E84-BD1D-489E-AA8E-2919D18DD018}"/>
    <cellStyle name="Note 9 6 21 2" xfId="45127" xr:uid="{26EC7A0D-E061-4CF2-8D7B-B70BF1566A6D}"/>
    <cellStyle name="Note 9 6 22" xfId="27947" xr:uid="{A25975BF-DB71-498A-B8FE-B16C98D62E4E}"/>
    <cellStyle name="Note 9 6 22 2" xfId="46019" xr:uid="{20AF7A50-7BF6-44DC-8E26-65E2493319B0}"/>
    <cellStyle name="Note 9 6 23" xfId="23180" xr:uid="{72330239-E34F-4695-91A2-7835DCFFDC25}"/>
    <cellStyle name="Note 9 6 23 2" xfId="42774" xr:uid="{974A5C85-34E3-4103-8C13-52E6BA84BECA}"/>
    <cellStyle name="Note 9 6 24" xfId="28539" xr:uid="{71776E4E-01E1-4D15-A7B0-6295B82EF208}"/>
    <cellStyle name="Note 9 6 24 2" xfId="46296" xr:uid="{2C81D64D-5060-409E-AA1B-FC2E69F6B8B9}"/>
    <cellStyle name="Note 9 6 25" xfId="29453" xr:uid="{A81F18C6-1444-4061-828A-F7DBCA2852CB}"/>
    <cellStyle name="Note 9 6 25 2" xfId="46910" xr:uid="{DDDD7A92-CCD0-4F0A-8A2D-19E1AA6FDF3B}"/>
    <cellStyle name="Note 9 6 26" xfId="30091" xr:uid="{1A330B38-3AC2-470B-9FEE-C32663FEB310}"/>
    <cellStyle name="Note 9 6 26 2" xfId="47287" xr:uid="{4EAB5DC8-7422-4FFF-98FD-BBBFB33F84C3}"/>
    <cellStyle name="Note 9 6 27" xfId="25809" xr:uid="{1D281A5F-83F8-45F0-885E-B829760AD959}"/>
    <cellStyle name="Note 9 6 27 2" xfId="44635" xr:uid="{77880633-E7C4-470E-88A0-B303042C02FF}"/>
    <cellStyle name="Note 9 6 28" xfId="31103" xr:uid="{39A9A9F4-8116-43E7-9BC6-BF013A36A502}"/>
    <cellStyle name="Note 9 6 28 2" xfId="47833" xr:uid="{C78138D9-429F-4AD6-8189-5176FC9C83D9}"/>
    <cellStyle name="Note 9 6 29" xfId="6630" xr:uid="{584CFD00-FFB7-4B57-A22A-E87E8F80652D}"/>
    <cellStyle name="Note 9 6 3" xfId="7901" xr:uid="{86BCF802-41BB-4511-BF06-F06A89F02F2E}"/>
    <cellStyle name="Note 9 6 3 2" xfId="32150" xr:uid="{573517D6-D7DD-472F-BB4D-7F1F4B3F3BB2}"/>
    <cellStyle name="Note 9 6 4" xfId="9517" xr:uid="{73161974-D826-4721-936D-BD5CEA461D68}"/>
    <cellStyle name="Note 9 6 4 2" xfId="33456" xr:uid="{3A2009E8-FC2F-4390-8340-7D01B8B8A19F}"/>
    <cellStyle name="Note 9 6 5" xfId="7608" xr:uid="{2BA02E9E-83D4-4786-AC1E-4CE9A59E2BFF}"/>
    <cellStyle name="Note 9 6 5 2" xfId="31908" xr:uid="{CF02598D-8A28-4CD7-BA86-13881CD78587}"/>
    <cellStyle name="Note 9 6 6" xfId="8697" xr:uid="{F5C20C6C-1F79-497A-84C9-EEC7D94E3AE0}"/>
    <cellStyle name="Note 9 6 6 2" xfId="32827" xr:uid="{DBCDDC5C-5126-427C-AD0E-8B887D9021D8}"/>
    <cellStyle name="Note 9 6 7" xfId="15001" xr:uid="{CB855D96-0789-4F66-B192-D227E5201BD3}"/>
    <cellStyle name="Note 9 6 7 2" xfId="36859" xr:uid="{378CCF58-EC43-45E3-83D5-E1BCBB21FC6C}"/>
    <cellStyle name="Note 9 6 8" xfId="11968" xr:uid="{2E843F32-4131-4E93-A8C7-B1AEF3EF7F38}"/>
    <cellStyle name="Note 9 6 8 2" xfId="34540" xr:uid="{481A78F5-9D88-479E-9525-889975556502}"/>
    <cellStyle name="Note 9 6 9" xfId="17551" xr:uid="{B926A0CF-6C60-450B-89D1-829B48FEC8AF}"/>
    <cellStyle name="Note 9 6 9 2" xfId="38798" xr:uid="{90237399-0FA1-4760-BBBA-39FD619B5425}"/>
    <cellStyle name="Note 9 7" xfId="3123" xr:uid="{7B24DAF1-F06A-4D24-8C92-27E50E083629}"/>
    <cellStyle name="Note 9 7 10" xfId="14219" xr:uid="{D2CA889E-6A73-4E1F-8325-DE7E4E3F5ED6}"/>
    <cellStyle name="Note 9 7 10 2" xfId="36272" xr:uid="{65A7D5EA-10D7-411C-BB80-6610C06BCC3F}"/>
    <cellStyle name="Note 9 7 11" xfId="12351" xr:uid="{7148B8BC-8174-4297-AB40-174157B32054}"/>
    <cellStyle name="Note 9 7 11 2" xfId="34855" xr:uid="{56634C7E-EBC3-441D-9B39-241A9D6CBFC5}"/>
    <cellStyle name="Note 9 7 12" xfId="13998" xr:uid="{898B9134-E301-4FB8-BA4B-56C885D6B198}"/>
    <cellStyle name="Note 9 7 12 2" xfId="36092" xr:uid="{94A2964F-3CA1-449C-87B9-E1234A93D464}"/>
    <cellStyle name="Note 9 7 13" xfId="13750" xr:uid="{0029A9A1-2388-4DBD-A415-37F993295848}"/>
    <cellStyle name="Note 9 7 13 2" xfId="35905" xr:uid="{521463EE-38A6-4EE1-AF5B-6EFEFF3C29C9}"/>
    <cellStyle name="Note 9 7 14" xfId="9938" xr:uid="{2F538FAA-4570-414D-8FAB-06E751E8DC13}"/>
    <cellStyle name="Note 9 7 14 2" xfId="33683" xr:uid="{055C8206-9D91-41E8-A970-3AA40DA64F6A}"/>
    <cellStyle name="Note 9 7 15" xfId="17692" xr:uid="{FED4D08E-5911-4E5E-9CD7-F7B32B0C2F2C}"/>
    <cellStyle name="Note 9 7 15 2" xfId="38877" xr:uid="{7AE02A3D-1146-4CEC-BE16-F39A8888325D}"/>
    <cellStyle name="Note 9 7 16" xfId="14519" xr:uid="{EE0445CF-F124-4DC2-81ED-28ED55C49074}"/>
    <cellStyle name="Note 9 7 16 2" xfId="36460" xr:uid="{F6E8D0CF-30A3-4C08-9FC0-6544254771A6}"/>
    <cellStyle name="Note 9 7 17" xfId="17001" xr:uid="{DA17B649-A0B2-474F-9A25-883F76AFC884}"/>
    <cellStyle name="Note 9 7 17 2" xfId="38361" xr:uid="{DD671307-D0BD-41D6-B231-47A9FBFA5BD2}"/>
    <cellStyle name="Note 9 7 18" xfId="18220" xr:uid="{B445F885-CF93-4480-B977-229AE3F28665}"/>
    <cellStyle name="Note 9 7 18 2" xfId="39252" xr:uid="{47F6369B-FD93-4B20-B167-A90623F8B8F4}"/>
    <cellStyle name="Note 9 7 19" xfId="19214" xr:uid="{EFC33D53-89D4-40D9-8085-C23B596A8213}"/>
    <cellStyle name="Note 9 7 19 2" xfId="40022" xr:uid="{3448C81C-4A29-45DA-8E8D-44F7E5C075A4}"/>
    <cellStyle name="Note 9 7 2" xfId="3124" xr:uid="{8CD8F91C-9CF2-4957-9B71-DD8BD5BB9406}"/>
    <cellStyle name="Note 9 7 2 10" xfId="14615" xr:uid="{CCBAF2DD-9071-4FF4-B657-8A92323EBF7A}"/>
    <cellStyle name="Note 9 7 2 10 2" xfId="36527" xr:uid="{4E385689-2B65-4622-9A57-DCC228A6E6DA}"/>
    <cellStyle name="Note 9 7 2 11" xfId="16459" xr:uid="{471D3F05-8A0C-4036-A1B6-2705469659B8}"/>
    <cellStyle name="Note 9 7 2 11 2" xfId="37952" xr:uid="{60DE12C5-462C-42EB-A7C7-7A0E8ADFEA42}"/>
    <cellStyle name="Note 9 7 2 12" xfId="17339" xr:uid="{4606B9C0-826E-424A-B062-7E157D2AA408}"/>
    <cellStyle name="Note 9 7 2 12 2" xfId="38593" xr:uid="{7A4B44C6-6EF0-4906-B5F9-BF16AE72C182}"/>
    <cellStyle name="Note 9 7 2 13" xfId="9939" xr:uid="{6F1404CE-143E-4AB4-9DAE-A3A0768583CD}"/>
    <cellStyle name="Note 9 7 2 13 2" xfId="33684" xr:uid="{2BBC9885-06DB-4B95-8318-E130DC3583D3}"/>
    <cellStyle name="Note 9 7 2 14" xfId="21565" xr:uid="{44F88FFB-7E8C-4399-A857-1308175953F1}"/>
    <cellStyle name="Note 9 7 2 14 2" xfId="41649" xr:uid="{7475BD2D-937E-40CD-8D81-2A141A7F87F7}"/>
    <cellStyle name="Note 9 7 2 15" xfId="17300" xr:uid="{95F2DB06-5D91-41DA-8B42-D7A1B4147053}"/>
    <cellStyle name="Note 9 7 2 15 2" xfId="38584" xr:uid="{E7795C97-5CF1-4C6B-8B31-149864F6763B}"/>
    <cellStyle name="Note 9 7 2 16" xfId="19589" xr:uid="{5C306331-AABB-4E1A-9BFF-E34E72040E21}"/>
    <cellStyle name="Note 9 7 2 16 2" xfId="40229" xr:uid="{669E7BE2-F00B-4E35-B57D-2588D2A9A07E}"/>
    <cellStyle name="Note 9 7 2 17" xfId="12620" xr:uid="{E10DE2D2-34A9-483D-9E16-93DFD66F179D}"/>
    <cellStyle name="Note 9 7 2 17 2" xfId="35052" xr:uid="{97DA68D1-214A-46B3-A71D-9A9F1A3777CB}"/>
    <cellStyle name="Note 9 7 2 18" xfId="17208" xr:uid="{CE803827-3A59-49D6-9FFF-A494944F41C1}"/>
    <cellStyle name="Note 9 7 2 18 2" xfId="38537" xr:uid="{34F6ED18-E9BB-4031-893E-6D1FB4C3F000}"/>
    <cellStyle name="Note 9 7 2 19" xfId="21730" xr:uid="{0532A402-F632-484C-A6B2-11921CA8D158}"/>
    <cellStyle name="Note 9 7 2 19 2" xfId="41752" xr:uid="{D6FB3FBC-BC73-4950-A5B0-3B9ADD606080}"/>
    <cellStyle name="Note 9 7 2 2" xfId="7898" xr:uid="{66E2B4C8-914F-490A-A07D-F1BE6FA18344}"/>
    <cellStyle name="Note 9 7 2 2 2" xfId="32147" xr:uid="{54388217-F882-4766-B06C-32C137AC5939}"/>
    <cellStyle name="Note 9 7 2 20" xfId="12812" xr:uid="{17E5DB26-8F8B-4788-B01E-2B95B3F2927D}"/>
    <cellStyle name="Note 9 7 2 20 2" xfId="35201" xr:uid="{B207DB3B-432D-4A01-8787-156317E2046B}"/>
    <cellStyle name="Note 9 7 2 21" xfId="27934" xr:uid="{5C744706-95EE-4F7C-A729-0A9FFD3FC394}"/>
    <cellStyle name="Note 9 7 2 21 2" xfId="46006" xr:uid="{E0EBBBE9-6C9E-4311-BCE5-7273F4904842}"/>
    <cellStyle name="Note 9 7 2 22" xfId="27963" xr:uid="{8CBA5777-19EF-4202-832A-DF7F258C527B}"/>
    <cellStyle name="Note 9 7 2 22 2" xfId="46022" xr:uid="{4D081134-C43A-41E7-B8F7-28F268AE6A09}"/>
    <cellStyle name="Note 9 7 2 23" xfId="26083" xr:uid="{B5D459C9-F6DF-45A5-86D8-178EF8B5155F}"/>
    <cellStyle name="Note 9 7 2 23 2" xfId="44836" xr:uid="{23BF2855-467C-4AB9-8DE4-63EAE08A35A2}"/>
    <cellStyle name="Note 9 7 2 24" xfId="22239" xr:uid="{A2467FA0-60E2-40D8-9CA8-A9B1FD1E7979}"/>
    <cellStyle name="Note 9 7 2 24 2" xfId="42116" xr:uid="{5556E0F7-F7DA-4DC1-89B2-7A1F00B2464D}"/>
    <cellStyle name="Note 9 7 2 25" xfId="29620" xr:uid="{CF91E096-73FF-44B2-853A-D1B8D7CE1B82}"/>
    <cellStyle name="Note 9 7 2 25 2" xfId="47011" xr:uid="{AC6BFA89-0759-42EE-BB3A-30F97BE55A88}"/>
    <cellStyle name="Note 9 7 2 26" xfId="21119" xr:uid="{BBFBFC2F-AE4E-4BC1-9329-AA1F889E175F}"/>
    <cellStyle name="Note 9 7 2 26 2" xfId="41326" xr:uid="{F772B444-040F-425C-9ADC-213F3B4B9263}"/>
    <cellStyle name="Note 9 7 2 27" xfId="26950" xr:uid="{660BD2EB-1FE1-4DF2-B9C4-7205CCFD5721}"/>
    <cellStyle name="Note 9 7 2 27 2" xfId="45357" xr:uid="{DB53A4C9-5DC8-422D-8094-77277723DBDF}"/>
    <cellStyle name="Note 9 7 2 28" xfId="6633" xr:uid="{7F3FD131-7FA6-4B32-8E6B-5E2D77A2A5B8}"/>
    <cellStyle name="Note 9 7 2 3" xfId="9519" xr:uid="{B521B273-9CAB-4610-87FA-F419426F4281}"/>
    <cellStyle name="Note 9 7 2 3 2" xfId="33458" xr:uid="{C40A82B7-7336-4FD7-B67A-651C2D2ED897}"/>
    <cellStyle name="Note 9 7 2 4" xfId="12011" xr:uid="{45B448DA-C2B1-4773-AA83-E1E06B840E0F}"/>
    <cellStyle name="Note 9 7 2 4 2" xfId="34569" xr:uid="{00B46B80-5BF0-4C3F-869B-AAE035B24E69}"/>
    <cellStyle name="Note 9 7 2 5" xfId="8694" xr:uid="{8EA45208-4161-463C-AFD0-34C7B610C67E}"/>
    <cellStyle name="Note 9 7 2 5 2" xfId="32824" xr:uid="{FB1F49E9-B3E2-4E80-8939-C27C4012E0A0}"/>
    <cellStyle name="Note 9 7 2 6" xfId="12973" xr:uid="{1ED4343E-3003-44FE-9F6D-644DE3F8A39B}"/>
    <cellStyle name="Note 9 7 2 6 2" xfId="35321" xr:uid="{7A860397-14EC-4652-8104-697CBBD65C67}"/>
    <cellStyle name="Note 9 7 2 7" xfId="11967" xr:uid="{77B534FC-57DB-41FA-8D75-DC391E743FA2}"/>
    <cellStyle name="Note 9 7 2 7 2" xfId="34539" xr:uid="{48B165D3-216D-4A06-BABE-F53E347D48CD}"/>
    <cellStyle name="Note 9 7 2 8" xfId="14804" xr:uid="{4B7FC7BE-E1A0-4A46-BED6-C9A0A09EDB11}"/>
    <cellStyle name="Note 9 7 2 8 2" xfId="36679" xr:uid="{E9671050-9792-4DD5-8313-3DA1D661BEA6}"/>
    <cellStyle name="Note 9 7 2 9" xfId="7001" xr:uid="{B8F7B5D6-F1F5-42D0-955C-F1F192D2AB2A}"/>
    <cellStyle name="Note 9 7 2 9 2" xfId="31368" xr:uid="{88961671-CF49-4899-9B8A-00EBB41AEBA0}"/>
    <cellStyle name="Note 9 7 20" xfId="26684" xr:uid="{7668B078-30C3-4E35-8CBD-8D0F1EAB2248}"/>
    <cellStyle name="Note 9 7 20 2" xfId="45231" xr:uid="{EB368C42-D5FD-4AC6-AA2F-308C20B9E637}"/>
    <cellStyle name="Note 9 7 21" xfId="19856" xr:uid="{F981430D-0957-4B33-A0ED-127263103258}"/>
    <cellStyle name="Note 9 7 21 2" xfId="40469" xr:uid="{3C2560AE-CE68-4980-A080-8E07B09BE90D}"/>
    <cellStyle name="Note 9 7 22" xfId="27946" xr:uid="{98D3D90E-ECF4-4C24-BBE7-8E8D288E5AA3}"/>
    <cellStyle name="Note 9 7 22 2" xfId="46018" xr:uid="{91499986-1D05-4B50-BEB7-61B16ACC34E4}"/>
    <cellStyle name="Note 9 7 23" xfId="16909" xr:uid="{BE9E5497-7CE9-4E5B-A63F-028257A81F3F}"/>
    <cellStyle name="Note 9 7 23 2" xfId="38293" xr:uid="{DFD63A26-D2E6-4ADA-B1CB-DD3582221C5F}"/>
    <cellStyle name="Note 9 7 24" xfId="28538" xr:uid="{45FAE79E-8E38-4A58-8BCE-B481368BF078}"/>
    <cellStyle name="Note 9 7 24 2" xfId="46295" xr:uid="{AE42D923-09DA-4B7B-A0A3-0D8CA241A2AB}"/>
    <cellStyle name="Note 9 7 25" xfId="29980" xr:uid="{7B0147B6-D4F4-4313-B06C-4E1262542383}"/>
    <cellStyle name="Note 9 7 25 2" xfId="47232" xr:uid="{F1BD6873-6588-4422-AF8C-C6200D9BD448}"/>
    <cellStyle name="Note 9 7 26" xfId="30027" xr:uid="{15383590-21FA-4FC8-875C-B0098387596B}"/>
    <cellStyle name="Note 9 7 26 2" xfId="47258" xr:uid="{6FCA87A4-BB15-4AAA-9CE0-C6ACBD23AB58}"/>
    <cellStyle name="Note 9 7 27" xfId="26648" xr:uid="{E75FC84E-4D40-48FF-9E6D-3847D91BFD73}"/>
    <cellStyle name="Note 9 7 27 2" xfId="45197" xr:uid="{0B98F6B2-9262-4617-9EB9-30800C815BF9}"/>
    <cellStyle name="Note 9 7 28" xfId="30057" xr:uid="{A071D279-77BC-487E-94B0-3CA84835CB4D}"/>
    <cellStyle name="Note 9 7 28 2" xfId="47270" xr:uid="{5B59F860-F3EC-435E-820C-9EA536B95D7F}"/>
    <cellStyle name="Note 9 7 29" xfId="6632" xr:uid="{13AA08C4-1DC6-4331-9B8E-4036FC45552F}"/>
    <cellStyle name="Note 9 7 3" xfId="7899" xr:uid="{A914D013-AB6A-4EC4-A4E5-8134D83E6DAB}"/>
    <cellStyle name="Note 9 7 3 2" xfId="32148" xr:uid="{D99A3665-44AB-4012-9986-7B4B85EC1122}"/>
    <cellStyle name="Note 9 7 4" xfId="9552" xr:uid="{E2C28EB9-4E72-4C9B-A616-07A4D97048D5}"/>
    <cellStyle name="Note 9 7 4 2" xfId="33484" xr:uid="{DFDCB53E-8D20-4336-98CD-F72D8C12D0E4}"/>
    <cellStyle name="Note 9 7 5" xfId="7607" xr:uid="{8D56CA01-BFDE-4244-B55E-FA54E89CF6E4}"/>
    <cellStyle name="Note 9 7 5 2" xfId="31907" xr:uid="{9FE2908B-B799-4EA6-B31D-BBAB2D66BE02}"/>
    <cellStyle name="Note 9 7 6" xfId="8695" xr:uid="{E1998E5E-372E-4054-8297-0E5E24367D4D}"/>
    <cellStyle name="Note 9 7 6 2" xfId="32825" xr:uid="{491101A4-2F0E-40FD-B8AB-91456043FAEA}"/>
    <cellStyle name="Note 9 7 7" xfId="15000" xr:uid="{A8521976-FA5A-4E14-B1FB-ED50DE29248D}"/>
    <cellStyle name="Note 9 7 7 2" xfId="36858" xr:uid="{4DC56700-C66E-405D-80E3-BEB8B4A51ED1}"/>
    <cellStyle name="Note 9 7 8" xfId="7559" xr:uid="{B1C24712-CD06-41AC-B3B7-A556FDE3541F}"/>
    <cellStyle name="Note 9 7 8 2" xfId="31877" xr:uid="{5374C710-82E1-4855-A1DA-0B0BDEBDD95C}"/>
    <cellStyle name="Note 9 7 9" xfId="15979" xr:uid="{1BE5346B-3B1D-46E3-8130-BDB59D695319}"/>
    <cellStyle name="Note 9 7 9 2" xfId="37570" xr:uid="{8A745113-AFA7-416A-BF02-DC45F6070F36}"/>
    <cellStyle name="Note 9 8" xfId="3125" xr:uid="{132E3B6F-130A-4AC2-84C6-8725EA83B744}"/>
    <cellStyle name="Note 9 8 10" xfId="13833" xr:uid="{8B64C07B-9D28-46B6-95E3-CA3F27A8C2E9}"/>
    <cellStyle name="Note 9 8 10 2" xfId="35958" xr:uid="{B49C77D9-246C-4E0B-8A68-4A0BAE826377}"/>
    <cellStyle name="Note 9 8 11" xfId="15884" xr:uid="{D5895804-F34D-4DA6-8E65-AF7A71D5ACC7}"/>
    <cellStyle name="Note 9 8 11 2" xfId="37475" xr:uid="{14558760-3C6A-4BDD-A9E5-32B23F6E9138}"/>
    <cellStyle name="Note 9 8 12" xfId="20772" xr:uid="{F7CABBB7-C97B-4FCE-BE7C-77DE5AD64F38}"/>
    <cellStyle name="Note 9 8 12 2" xfId="41132" xr:uid="{D036B6FD-C87A-4E38-B56D-ECD6168C2DE3}"/>
    <cellStyle name="Note 9 8 13" xfId="9940" xr:uid="{6D0285C2-B52A-45C0-B166-396057AB9962}"/>
    <cellStyle name="Note 9 8 13 2" xfId="33685" xr:uid="{67BAD3A1-2B63-44C3-940F-E84E4F6E4A1B}"/>
    <cellStyle name="Note 9 8 14" xfId="19689" xr:uid="{FB3DB66D-EA32-4B66-AE83-63511BC70AE8}"/>
    <cellStyle name="Note 9 8 14 2" xfId="40306" xr:uid="{DB99F5F9-7BCF-44F2-9DD9-CD8BE1B4FCB1}"/>
    <cellStyle name="Note 9 8 15" xfId="17281" xr:uid="{13F1CCB5-6887-4DBD-904E-CCD331953BC3}"/>
    <cellStyle name="Note 9 8 15 2" xfId="38582" xr:uid="{62BEC0CC-ADD7-4D52-91D8-79C456D4167E}"/>
    <cellStyle name="Note 9 8 16" xfId="17002" xr:uid="{80FA7B3A-07DD-4651-BBC2-47CF7CDE72EF}"/>
    <cellStyle name="Note 9 8 16 2" xfId="38362" xr:uid="{A79CBF15-3D0A-4064-8345-F8AC192B9AD0}"/>
    <cellStyle name="Note 9 8 17" xfId="18219" xr:uid="{69AA7D1F-60B6-4ED4-8992-6BBC9BDA6C69}"/>
    <cellStyle name="Note 9 8 17 2" xfId="39251" xr:uid="{3C275593-B0CF-41DB-BC6E-D7D69F55FD1C}"/>
    <cellStyle name="Note 9 8 18" xfId="19215" xr:uid="{A2281B22-BF7B-4D99-8664-7BD8BE8A57E6}"/>
    <cellStyle name="Note 9 8 18 2" xfId="40023" xr:uid="{0FB17D75-55F1-4BA4-984B-EF5711C4F491}"/>
    <cellStyle name="Note 9 8 19" xfId="24665" xr:uid="{9B360D0F-045D-4AD8-8DF2-2F3889FDBB9F}"/>
    <cellStyle name="Note 9 8 19 2" xfId="43810" xr:uid="{4E068482-C22A-4CEA-8EB0-F7EA07982E08}"/>
    <cellStyle name="Note 9 8 2" xfId="7897" xr:uid="{3141F8A6-0E45-4D6D-A846-E2731B82B86B}"/>
    <cellStyle name="Note 9 8 2 2" xfId="32146" xr:uid="{2DBDE617-7958-4B05-8392-108A59EBEF7B}"/>
    <cellStyle name="Note 9 8 20" xfId="19855" xr:uid="{A0F3C8FA-454A-48BE-887D-788F6A4C4E9F}"/>
    <cellStyle name="Note 9 8 20 2" xfId="40468" xr:uid="{CEF5E75A-969F-49C2-930B-514CD3E7A17A}"/>
    <cellStyle name="Note 9 8 21" xfId="26395" xr:uid="{D39CC62C-7FB9-48E1-A557-9DF067188B5A}"/>
    <cellStyle name="Note 9 8 21 2" xfId="45060" xr:uid="{890A3B9E-5A1E-4DFD-B5DB-C0C6FE0B71AC}"/>
    <cellStyle name="Note 9 8 22" xfId="26933" xr:uid="{65D61AC5-655D-4DD2-9C07-1570B89B845F}"/>
    <cellStyle name="Note 9 8 22 2" xfId="45348" xr:uid="{92760EB4-0C6C-448B-9777-2E70F5C2E471}"/>
    <cellStyle name="Note 9 8 23" xfId="27125" xr:uid="{429AFB77-C80D-47A6-B02F-052EB6F20373}"/>
    <cellStyle name="Note 9 8 23 2" xfId="45477" xr:uid="{A88DCAF3-C6BD-431B-A058-19832025DA09}"/>
    <cellStyle name="Note 9 8 24" xfId="29981" xr:uid="{25C7B7B2-B216-4D49-88D7-C5C30259A308}"/>
    <cellStyle name="Note 9 8 24 2" xfId="47233" xr:uid="{3DA79BB0-4092-4C41-8540-D438D9DF506C}"/>
    <cellStyle name="Note 9 8 25" xfId="29053" xr:uid="{54B66D7A-FB41-4FF7-BEDC-F76D6B99399F}"/>
    <cellStyle name="Note 9 8 25 2" xfId="46635" xr:uid="{00AC90DC-DD3C-4958-8E5B-E03797D5610F}"/>
    <cellStyle name="Note 9 8 26" xfId="25403" xr:uid="{649AC0C3-EB08-4BDA-A3E8-B58ACA6061A6}"/>
    <cellStyle name="Note 9 8 26 2" xfId="44296" xr:uid="{CEDAAACD-39C4-4890-9217-56140BE76D11}"/>
    <cellStyle name="Note 9 8 27" xfId="31218" xr:uid="{B5A569FC-9BAC-4BA7-B678-7E25EFAB7B26}"/>
    <cellStyle name="Note 9 8 27 2" xfId="47849" xr:uid="{8376EEA8-AFB4-4CEF-A02B-21CA05A6C2C8}"/>
    <cellStyle name="Note 9 8 28" xfId="6634" xr:uid="{20F0F977-C41B-4E8C-AFC5-D1BB5A4AE7F2}"/>
    <cellStyle name="Note 9 8 3" xfId="9520" xr:uid="{DDDE1BEB-5E8E-44C0-8948-8042245D7FA8}"/>
    <cellStyle name="Note 9 8 3 2" xfId="33459" xr:uid="{0FDA89B4-3B97-484B-873F-1ED18393890E}"/>
    <cellStyle name="Note 9 8 4" xfId="7606" xr:uid="{3D2C62DE-A42A-4D8F-9202-F5AA4D6E8C87}"/>
    <cellStyle name="Note 9 8 4 2" xfId="31906" xr:uid="{BE118CEC-3EA3-4C4B-ABC1-3E6B79E4C1CA}"/>
    <cellStyle name="Note 9 8 5" xfId="8693" xr:uid="{CB077335-F72B-4AEA-A1C9-232D1B594276}"/>
    <cellStyle name="Note 9 8 5 2" xfId="32823" xr:uid="{7205E599-0DB3-412A-9323-8466263330C1}"/>
    <cellStyle name="Note 9 8 6" xfId="14999" xr:uid="{43439FC7-EFC4-4F86-A79E-152EF4B34791}"/>
    <cellStyle name="Note 9 8 6 2" xfId="36857" xr:uid="{8C24219B-8425-4481-9524-E48C5A192897}"/>
    <cellStyle name="Note 9 8 7" xfId="7558" xr:uid="{1CA1F47F-2595-4333-A290-9A1F0CFB57DC}"/>
    <cellStyle name="Note 9 8 7 2" xfId="31876" xr:uid="{AE491B94-8F99-4C04-8846-C6D663B361DE}"/>
    <cellStyle name="Note 9 8 8" xfId="17827" xr:uid="{C9C4B2E6-6401-4665-B740-3893EC68BA98}"/>
    <cellStyle name="Note 9 8 8 2" xfId="38947" xr:uid="{B3BBEA0F-B997-4DAE-8860-DAE9EEF83C2C}"/>
    <cellStyle name="Note 9 8 9" xfId="18673" xr:uid="{D80D93C1-156E-4B18-9976-A75F5ACF5475}"/>
    <cellStyle name="Note 9 8 9 2" xfId="39556" xr:uid="{DF7E72C8-52BB-4B7A-8339-B25D50BA4D06}"/>
    <cellStyle name="Note 9 9" xfId="7912" xr:uid="{FC9C7232-6084-4382-B033-C543459ACC2F}"/>
    <cellStyle name="Note 9 9 2" xfId="32161" xr:uid="{0740FFEE-7087-465F-88C6-CF42270C4DAC}"/>
    <cellStyle name="Note 9_Sheet2" xfId="3126" xr:uid="{FBBB9929-AB56-4F66-96FF-52056693F4A2}"/>
    <cellStyle name="nPlosion" xfId="3127" xr:uid="{723EF6D2-6BAB-484A-9862-1BCE6BF3BF5B}"/>
    <cellStyle name="nPlosion 10" xfId="3128" xr:uid="{291D7197-AAB3-4145-9432-3321A2FA4F32}"/>
    <cellStyle name="nPlosion 2" xfId="3129" xr:uid="{FA6F1FE3-EF47-4C04-9908-9E007BFB83CD}"/>
    <cellStyle name="nPlosion 2 2" xfId="3130" xr:uid="{45ADA9BF-8CF4-4D6B-B853-79C54D7422A6}"/>
    <cellStyle name="nPlosion 2 2 2" xfId="3131" xr:uid="{C5A07D94-53C8-4A9C-8BCA-D6ABF3B5158A}"/>
    <cellStyle name="nPlosion 2 2 3" xfId="3132" xr:uid="{A581EBC6-0A01-40FF-91B1-FEEACC802151}"/>
    <cellStyle name="nPlosion 2 3" xfId="3133" xr:uid="{15D78B27-57F8-44A8-ACA5-C3F47421CA68}"/>
    <cellStyle name="nPlosion 2 4" xfId="3134" xr:uid="{1C59A0EF-A2B8-4698-808E-4C519DC283E7}"/>
    <cellStyle name="nPlosion 3" xfId="3135" xr:uid="{69BE2701-4941-4906-B1EC-0072A1C2CFED}"/>
    <cellStyle name="nPlosion 3 2" xfId="3136" xr:uid="{08C006DC-AF2A-4C32-8BD5-71C8FDBE3063}"/>
    <cellStyle name="nPlosion 3 3" xfId="3137" xr:uid="{C45A66FD-E434-4F11-9830-17A8285B33FE}"/>
    <cellStyle name="nPlosion 4" xfId="3138" xr:uid="{41E54405-AA9E-4957-91CD-02D5766259B5}"/>
    <cellStyle name="nPlosion 4 2" xfId="3139" xr:uid="{0AB99239-84DB-4733-9245-EC1C339AC2B4}"/>
    <cellStyle name="nPlosion 4 3" xfId="3140" xr:uid="{C7214420-91B5-4793-8800-84C015FC0F39}"/>
    <cellStyle name="nPlosion 5" xfId="3141" xr:uid="{4A39AD97-EC6F-4CDF-B339-5106E1C6D401}"/>
    <cellStyle name="nPlosion 5 2" xfId="3142" xr:uid="{5723EC11-2704-41F7-B725-D417795AA7F3}"/>
    <cellStyle name="nPlosion 5 3" xfId="3143" xr:uid="{91D4DAAF-16DB-4329-8F04-AAC1BF01D630}"/>
    <cellStyle name="nPlosion 6" xfId="3144" xr:uid="{2C35666C-0B77-4137-97DD-48FE317EEFCE}"/>
    <cellStyle name="nPlosion 6 2" xfId="3145" xr:uid="{987CBEBC-06F7-4F2C-9899-00F75DAFDD9E}"/>
    <cellStyle name="nPlosion 6 3" xfId="3146" xr:uid="{4625741E-1C06-4612-8FDC-99EE81EE53BA}"/>
    <cellStyle name="nPlosion 7" xfId="3147" xr:uid="{2230B18A-C958-4FAC-B208-BB75916CD6A8}"/>
    <cellStyle name="nPlosion 7 2" xfId="3148" xr:uid="{BD52C376-839C-4898-B2C4-C60C20FB951B}"/>
    <cellStyle name="nPlosion 7 3" xfId="3149" xr:uid="{B28A0988-521A-44B2-A684-D25D97050AF9}"/>
    <cellStyle name="nPlosion 8" xfId="3150" xr:uid="{4EED0BD3-647C-484C-99A5-09A2F2B71B58}"/>
    <cellStyle name="nPlosion 8 2" xfId="3151" xr:uid="{F1BE75BD-9AF9-4BA4-96F3-D00B6A24C349}"/>
    <cellStyle name="nPlosion 8 3" xfId="3152" xr:uid="{667DED5F-59DA-4D92-9017-DD234658224B}"/>
    <cellStyle name="nPlosion 9" xfId="3153" xr:uid="{F8007309-ED35-4FE6-8692-2D1566DD9F9E}"/>
    <cellStyle name="Number_#,###" xfId="35" xr:uid="{00000000-0005-0000-0000-00004A000000}"/>
    <cellStyle name="Number_#,### 2" xfId="79" xr:uid="{00000000-0005-0000-0000-00004B000000}"/>
    <cellStyle name="Output" xfId="67" builtinId="21" customBuiltin="1"/>
    <cellStyle name="Output 10" xfId="3155" xr:uid="{8927853D-60EB-4685-BA48-20277B56ADF4}"/>
    <cellStyle name="Output 10 10" xfId="14164" xr:uid="{E37828D3-4F35-4C9F-A6EB-EFDE7FCBB49B}"/>
    <cellStyle name="Output 10 11" xfId="16759" xr:uid="{AC3A497F-000B-4B16-A02C-14D53618BAB8}"/>
    <cellStyle name="Output 10 12" xfId="20270" xr:uid="{B1026734-221C-4EB7-BEC7-95202AE16D2C}"/>
    <cellStyle name="Output 10 13" xfId="17346" xr:uid="{76B062AD-523C-4080-94E0-379C4B92AE19}"/>
    <cellStyle name="Output 10 14" xfId="15311" xr:uid="{D9AE7EC9-8576-4D9A-81E7-D361F0C2FCB6}"/>
    <cellStyle name="Output 10 15" xfId="19683" xr:uid="{3D2E0C0D-7FA6-441B-9086-CF46AAF3F570}"/>
    <cellStyle name="Output 10 16" xfId="13774" xr:uid="{F40C13A4-60F2-494A-B994-4093BE4A0072}"/>
    <cellStyle name="Output 10 17" xfId="19584" xr:uid="{80862D79-246A-4A75-AF6C-606EE9669CDC}"/>
    <cellStyle name="Output 10 18" xfId="21904" xr:uid="{96D52D68-B4EA-4E37-A145-8BF2EB016231}"/>
    <cellStyle name="Output 10 19" xfId="16153" xr:uid="{007E858E-D64C-45C7-A236-E9B14F6F6F5C}"/>
    <cellStyle name="Output 10 2" xfId="9712" xr:uid="{388FFA51-0EC7-4955-98E1-48FF57B40954}"/>
    <cellStyle name="Output 10 20" xfId="19210" xr:uid="{207C7485-F749-4E6A-9EB3-6A30D36B5B62}"/>
    <cellStyle name="Output 10 21" xfId="24653" xr:uid="{F0269CCE-96CD-4EEE-90A6-752D811EFE29}"/>
    <cellStyle name="Output 10 22" xfId="26320" xr:uid="{80F58F88-7BFF-4D1D-9A8D-C08E33413F68}"/>
    <cellStyle name="Output 10 23" xfId="21863" xr:uid="{2C160D1D-A884-4804-AD10-0BAB78B558E8}"/>
    <cellStyle name="Output 10 24" xfId="20441" xr:uid="{512D071B-2060-4BE7-A336-7BAF920E395A}"/>
    <cellStyle name="Output 10 25" xfId="26704" xr:uid="{F1D9167F-A0E9-45FB-881B-3172A8F68866}"/>
    <cellStyle name="Output 10 26" xfId="23540" xr:uid="{FC7468AB-7304-42E2-9F24-F911EE5EE0D1}"/>
    <cellStyle name="Output 10 27" xfId="22409" xr:uid="{A762CB9E-CA7A-4B32-B33C-83327C68E6F8}"/>
    <cellStyle name="Output 10 28" xfId="26211" xr:uid="{13797019-78FE-44CF-8A77-303C7A26B2B6}"/>
    <cellStyle name="Output 10 29" xfId="29654" xr:uid="{697A8F11-A458-4801-899B-44DD15687447}"/>
    <cellStyle name="Output 10 3" xfId="7871" xr:uid="{33C5CC47-7AB1-4C78-B319-5A018FC6450D}"/>
    <cellStyle name="Output 10 30" xfId="29313" xr:uid="{926D13CE-E958-47E4-BE12-707A86E2704C}"/>
    <cellStyle name="Output 10 31" xfId="25434" xr:uid="{0A59AC58-CD11-476A-A6DA-F08D78627E7D}"/>
    <cellStyle name="Output 10 32" xfId="29218" xr:uid="{7206FD65-17FC-4E9C-8DF1-89067EB2BE02}"/>
    <cellStyle name="Output 10 33" xfId="6636" xr:uid="{1EC109E4-F61E-430F-B2CD-46D8410DAFED}"/>
    <cellStyle name="Output 10 4" xfId="9546" xr:uid="{AF3DA435-F0DF-4B87-8E8B-28F933B9A544}"/>
    <cellStyle name="Output 10 5" xfId="14287" xr:uid="{1EDA39FD-4DBF-4A56-B43E-9701DCA88E0D}"/>
    <cellStyle name="Output 10 6" xfId="8666" xr:uid="{810E7E6B-7A7A-47FD-806B-A6113A174130}"/>
    <cellStyle name="Output 10 7" xfId="14989" xr:uid="{CEB4A7BD-9292-42E6-A95F-E6B5072E8CA1}"/>
    <cellStyle name="Output 10 8" xfId="7547" xr:uid="{04B8F435-F0BF-4E1C-9B01-4AB992E924C7}"/>
    <cellStyle name="Output 10 9" xfId="12164" xr:uid="{E8A17AD6-C7AF-417E-84AD-75EAE07E0EB4}"/>
    <cellStyle name="Output 11" xfId="3156" xr:uid="{3A6572AD-92F4-4255-94D2-FA09C78E35F5}"/>
    <cellStyle name="Output 11 10" xfId="12401" xr:uid="{3AC6AFA4-7AA2-48DB-BAB1-E4F4C780F0EA}"/>
    <cellStyle name="Output 11 11" xfId="19248" xr:uid="{02469242-5637-4EF5-8BBB-282B927EEF3C}"/>
    <cellStyle name="Output 11 12" xfId="20012" xr:uid="{2A973AF4-9CF3-4D85-BBB6-7F22BD8F859C}"/>
    <cellStyle name="Output 11 13" xfId="15652" xr:uid="{1553DCFC-6A9D-4E9A-BEB4-4E7436CFF128}"/>
    <cellStyle name="Output 11 14" xfId="9992" xr:uid="{C4886058-663A-43F7-9B87-CF746FE230F4}"/>
    <cellStyle name="Output 11 15" xfId="21554" xr:uid="{09928435-8227-41DD-A209-294AC40B13F4}"/>
    <cellStyle name="Output 11 16" xfId="17288" xr:uid="{68098EB2-1140-4747-9FB8-ECDC4D7256F7}"/>
    <cellStyle name="Output 11 17" xfId="21342" xr:uid="{A59B1240-0D63-4188-BF83-FCDE6B9F1B69}"/>
    <cellStyle name="Output 11 18" xfId="21611" xr:uid="{CAEADC23-AC8E-476F-93C3-23F83A816118}"/>
    <cellStyle name="Output 11 19" xfId="24866" xr:uid="{45B80789-3D0B-4D4E-97D5-63228FB0680A}"/>
    <cellStyle name="Output 11 2" xfId="9713" xr:uid="{C83D248C-EFE5-4B91-90E7-996D02BA7BB3}"/>
    <cellStyle name="Output 11 20" xfId="19228" xr:uid="{0304FB6F-5C2A-4715-B5CE-9ABB478F619B}"/>
    <cellStyle name="Output 11 21" xfId="20381" xr:uid="{4ABAE562-5B89-4C6A-B156-51EAE4BC569B}"/>
    <cellStyle name="Output 11 22" xfId="21297" xr:uid="{B73083A5-F143-42F5-88ED-6490C7FC03A8}"/>
    <cellStyle name="Output 11 23" xfId="21968" xr:uid="{A17A2039-E93A-4744-ACB7-7E9652DE0659}"/>
    <cellStyle name="Output 11 24" xfId="23084" xr:uid="{DC7A722B-73E5-429A-AA2E-7B48274F02CD}"/>
    <cellStyle name="Output 11 25" xfId="26707" xr:uid="{89CE0762-B983-4F03-9246-598F419893CC}"/>
    <cellStyle name="Output 11 26" xfId="28533" xr:uid="{44B31E1F-1453-4105-824B-6D2CF2441622}"/>
    <cellStyle name="Output 11 27" xfId="15408" xr:uid="{099B13B7-1CD6-4510-A67F-A02D5A3B88E2}"/>
    <cellStyle name="Output 11 28" xfId="27374" xr:uid="{5902C21D-4180-4CFE-AD2A-E2269340B8C9}"/>
    <cellStyle name="Output 11 29" xfId="27839" xr:uid="{8C11B421-1328-4A9D-94F8-CD3A69220B24}"/>
    <cellStyle name="Output 11 3" xfId="7870" xr:uid="{3B4F07E4-A75B-4F4F-9EC9-AD8901268110}"/>
    <cellStyle name="Output 11 30" xfId="28473" xr:uid="{9C597712-B2CA-44AF-93B7-4BF8968E0665}"/>
    <cellStyle name="Output 11 31" xfId="25966" xr:uid="{2349F540-7801-48B3-99B6-AE0D799C694F}"/>
    <cellStyle name="Output 11 32" xfId="21914" xr:uid="{8CAFD1BF-589C-4FA9-B9E3-E0E67E4CE8C3}"/>
    <cellStyle name="Output 11 33" xfId="6637" xr:uid="{85C4021B-4A8B-47B7-81C3-BE7C93F8B109}"/>
    <cellStyle name="Output 11 4" xfId="9547" xr:uid="{231E8CF6-4958-4EC1-860D-868254D209BE}"/>
    <cellStyle name="Output 11 5" xfId="11997" xr:uid="{FC2B9F81-ED46-4E60-8584-837DCE496DEE}"/>
    <cellStyle name="Output 11 6" xfId="8665" xr:uid="{0DE39A9D-6F13-446A-88FD-29496CEC1BA1}"/>
    <cellStyle name="Output 11 7" xfId="15463" xr:uid="{AD59F3D2-840A-4B12-AE68-09E8B5863783}"/>
    <cellStyle name="Output 11 8" xfId="11957" xr:uid="{DD5006FC-CE18-4A73-9BBB-221F1192EA77}"/>
    <cellStyle name="Output 11 9" xfId="14794" xr:uid="{D00E477E-F5BF-4601-81BF-BDF3E617A726}"/>
    <cellStyle name="Output 12" xfId="3157" xr:uid="{C2C76E06-F965-48DE-AF89-1C09574A3212}"/>
    <cellStyle name="Output 12 10" xfId="14163" xr:uid="{21C66BF2-B741-411D-86F8-716F1282BDFA}"/>
    <cellStyle name="Output 12 11" xfId="15560" xr:uid="{247F022E-5FF1-442B-94B5-28BABDC779A7}"/>
    <cellStyle name="Output 12 12" xfId="20000" xr:uid="{C968935A-76D8-456A-B15C-7662160F9B09}"/>
    <cellStyle name="Output 12 13" xfId="17345" xr:uid="{32920415-41BF-4CFA-BED9-0525DC33B3E5}"/>
    <cellStyle name="Output 12 14" xfId="15040" xr:uid="{F1D97AA5-B500-47F1-A058-D3BEF4843D86}"/>
    <cellStyle name="Output 12 15" xfId="15706" xr:uid="{7CD1B030-CBB7-4DE7-9FB8-04B15680E717}"/>
    <cellStyle name="Output 12 16" xfId="12678" xr:uid="{4C7368D8-99D9-455A-A63C-81184B9DE8DF}"/>
    <cellStyle name="Output 12 17" xfId="17009" xr:uid="{655C85CC-F081-4B21-B20C-ABBD692AAA09}"/>
    <cellStyle name="Output 12 18" xfId="18196" xr:uid="{9A81EF95-2351-426D-9E23-4947F63FEBC9}"/>
    <cellStyle name="Output 12 19" xfId="25922" xr:uid="{DF664CE8-5183-4574-9A02-337B9388D7B0}"/>
    <cellStyle name="Output 12 2" xfId="9714" xr:uid="{656E13E5-FF41-4F1D-8CC6-BE3E87DAF031}"/>
    <cellStyle name="Output 12 20" xfId="16048" xr:uid="{AEF2817D-F7A1-47B2-AF48-3F00F3CCC351}"/>
    <cellStyle name="Output 12 21" xfId="24637" xr:uid="{6BFC9F20-7CBE-4A0A-89C8-B1D95BB5FFC2}"/>
    <cellStyle name="Output 12 22" xfId="26319" xr:uid="{27CACA06-1565-4F5C-8E45-F61670BC03A1}"/>
    <cellStyle name="Output 12 23" xfId="24482" xr:uid="{09EAAFDE-E930-4E32-BDC9-D73A2FACEB71}"/>
    <cellStyle name="Output 12 24" xfId="21780" xr:uid="{49AA17E1-C67D-4963-9351-25C86605404B}"/>
    <cellStyle name="Output 12 25" xfId="29293" xr:uid="{E59C6312-9FBD-47A5-BB1F-9F8CBF25E5AE}"/>
    <cellStyle name="Output 12 26" xfId="26526" xr:uid="{98BC482C-E0DB-4687-99F0-1F6F73AF6322}"/>
    <cellStyle name="Output 12 27" xfId="28691" xr:uid="{379963A5-1ED4-4C65-A2CB-2A797D7FB854}"/>
    <cellStyle name="Output 12 28" xfId="29976" xr:uid="{1D8E53E1-136F-4810-8605-B9FF028B4646}"/>
    <cellStyle name="Output 12 29" xfId="29139" xr:uid="{39863FF4-E49F-4261-AB8B-8E456A847248}"/>
    <cellStyle name="Output 12 3" xfId="7869" xr:uid="{3953E2AE-ADF9-4BE5-A135-2A1C4AC0109D}"/>
    <cellStyle name="Output 12 30" xfId="25632" xr:uid="{6238AEB9-B9F1-4F7E-83A8-A04FA7F26863}"/>
    <cellStyle name="Output 12 31" xfId="22674" xr:uid="{6CF290E3-6595-439B-9976-C5011319C1F6}"/>
    <cellStyle name="Output 12 32" xfId="25996" xr:uid="{FCA50F32-343E-4123-9AF9-A1F8708E9E36}"/>
    <cellStyle name="Output 12 33" xfId="6638" xr:uid="{44571043-A985-4F87-AE30-D6943E5D834B}"/>
    <cellStyle name="Output 12 4" xfId="9548" xr:uid="{20FCD19D-80C7-4487-B01E-41023630893F}"/>
    <cellStyle name="Output 12 5" xfId="7591" xr:uid="{A40D2734-D4D4-4F1F-945E-E47B3A03532D}"/>
    <cellStyle name="Output 12 6" xfId="8664" xr:uid="{40FBB09F-917D-4A48-AC90-F7E16028A6B1}"/>
    <cellStyle name="Output 12 7" xfId="10508" xr:uid="{2EA232AC-2AB7-4C06-BE60-78FFAA292E25}"/>
    <cellStyle name="Output 12 8" xfId="7546" xr:uid="{B56BE7E1-42A9-4731-8587-8F00549A94E8}"/>
    <cellStyle name="Output 12 9" xfId="12165" xr:uid="{C365F361-4631-4094-B7E4-C02EB3CF39A9}"/>
    <cellStyle name="Output 13" xfId="3158" xr:uid="{C24CBD62-D815-4A4F-9117-C245EDAE5C79}"/>
    <cellStyle name="Output 13 10" xfId="14145" xr:uid="{6999DA59-F589-43CF-83B6-1EC82098235F}"/>
    <cellStyle name="Output 13 11" xfId="13646" xr:uid="{B271E6D8-045F-4669-8FFA-52A0065CA5B4}"/>
    <cellStyle name="Output 13 12" xfId="20011" xr:uid="{BD2F5E1C-6BBC-4050-A81F-141849736619}"/>
    <cellStyle name="Output 13 13" xfId="13756" xr:uid="{B0B3FD73-9F9E-4157-8650-F5F3A3A9875C}"/>
    <cellStyle name="Output 13 14" xfId="9993" xr:uid="{1A222C8F-4EA9-4337-A0BB-62A835AA6EA0}"/>
    <cellStyle name="Output 13 15" xfId="21553" xr:uid="{734E9733-5538-476C-9789-395EA328C4CD}"/>
    <cellStyle name="Output 13 16" xfId="17287" xr:uid="{C61FE184-9EF9-4C3B-AE6A-6370D50054A9}"/>
    <cellStyle name="Output 13 17" xfId="21325" xr:uid="{227B4F4D-0E19-4AB0-805E-EC44A01C4876}"/>
    <cellStyle name="Output 13 18" xfId="21614" xr:uid="{82E3C479-0E59-4211-84B5-68D7B9B38855}"/>
    <cellStyle name="Output 13 19" xfId="22938" xr:uid="{8B68549E-CFCD-402F-9F78-1C95293EBE29}"/>
    <cellStyle name="Output 13 2" xfId="9715" xr:uid="{2B299DA5-E188-4CF8-A59C-2485BDC2A7ED}"/>
    <cellStyle name="Output 13 20" xfId="19229" xr:uid="{65C527D9-0F1C-4073-82E6-1E7503273161}"/>
    <cellStyle name="Output 13 21" xfId="25766" xr:uid="{A57D9D0C-3CB0-4369-A803-FFE0512BA920}"/>
    <cellStyle name="Output 13 22" xfId="27614" xr:uid="{9DC06F04-CE2E-4FEC-A4D4-38615031EA6E}"/>
    <cellStyle name="Output 13 23" xfId="20352" xr:uid="{ADA3EC0F-1298-4A7E-992D-5D70D3C19F8B}"/>
    <cellStyle name="Output 13 24" xfId="23083" xr:uid="{6F2EFE6B-DC75-4984-9C91-483E8FACA67E}"/>
    <cellStyle name="Output 13 25" xfId="29296" xr:uid="{ADE5B315-5438-4B94-97CA-AD290FFE5A75}"/>
    <cellStyle name="Output 13 26" xfId="27121" xr:uid="{759C2473-368B-470F-9A85-9CCF7EB60C92}"/>
    <cellStyle name="Output 13 27" xfId="18793" xr:uid="{256BCFDA-05F4-4F8D-9022-73C281FECDF8}"/>
    <cellStyle name="Output 13 28" xfId="29957" xr:uid="{804F5334-00C9-4C64-AB2A-1C3B17C01E1E}"/>
    <cellStyle name="Output 13 29" xfId="28925" xr:uid="{E9BD83C6-1125-4E32-9BCF-D8EC5523786E}"/>
    <cellStyle name="Output 13 3" xfId="7868" xr:uid="{C4ED801C-5D45-48B8-9726-180777D1D103}"/>
    <cellStyle name="Output 13 30" xfId="28455" xr:uid="{D6E100FC-4508-43D2-94AF-CEB6F428AF37}"/>
    <cellStyle name="Output 13 31" xfId="26613" xr:uid="{0BA7FE6B-7AC9-4D4F-B885-8393018FA24A}"/>
    <cellStyle name="Output 13 32" xfId="28120" xr:uid="{52987513-B6D5-4E4F-8550-949F779BC210}"/>
    <cellStyle name="Output 13 33" xfId="6639" xr:uid="{1A347CAE-82AE-49C3-96D6-B9B0EDF1A95D}"/>
    <cellStyle name="Output 13 4" xfId="9549" xr:uid="{2281A072-10BE-4351-9943-493ECCB7A1CA}"/>
    <cellStyle name="Output 13 5" xfId="14560" xr:uid="{201EF8DB-B033-48A7-B2E9-E646900E308B}"/>
    <cellStyle name="Output 13 6" xfId="8663" xr:uid="{6E36CE4B-AE6F-4BBD-8EC1-BED71B38EFA3}"/>
    <cellStyle name="Output 13 7" xfId="14988" xr:uid="{79B2EA91-B545-4F38-BFD2-3470D74545D3}"/>
    <cellStyle name="Output 13 8" xfId="11956" xr:uid="{FFFFD2B4-F99D-42C1-A762-EF4E057D6ABF}"/>
    <cellStyle name="Output 13 9" xfId="15981" xr:uid="{364CCE6F-2EB3-4EC4-865A-843DC1652EB5}"/>
    <cellStyle name="Output 14" xfId="3159" xr:uid="{0AE5F9DA-A7A4-40EC-B5D9-469AE8841F3A}"/>
    <cellStyle name="Output 14 10" xfId="12402" xr:uid="{E754CC04-9967-4E2F-A46B-B250B4F51BDD}"/>
    <cellStyle name="Output 14 11" xfId="19532" xr:uid="{8AA94027-B338-4B99-A610-5B8DD4A5B8F3}"/>
    <cellStyle name="Output 14 12" xfId="20001" xr:uid="{6D0DA5AA-49AE-48BB-96A2-9F481ED949E0}"/>
    <cellStyle name="Output 14 13" xfId="17344" xr:uid="{2B391D73-D442-4867-8331-65BD350453EA}"/>
    <cellStyle name="Output 14 14" xfId="9994" xr:uid="{45EA3968-C2F0-4E2C-8F3D-117BD0917551}"/>
    <cellStyle name="Output 14 15" xfId="13906" xr:uid="{AC1CBF9D-7902-4D42-A6AC-C9059EA465FE}"/>
    <cellStyle name="Output 14 16" xfId="14522" xr:uid="{506285BF-0CF4-4A68-B4F7-49F0CE862590}"/>
    <cellStyle name="Output 14 17" xfId="21341" xr:uid="{9752F8C0-11A3-4AC7-8E14-9159141FDA7B}"/>
    <cellStyle name="Output 14 18" xfId="16252" xr:uid="{2653BEFE-2399-49A5-BD32-A3333077E88C}"/>
    <cellStyle name="Output 14 19" xfId="25277" xr:uid="{A676F672-818B-41B3-825F-3B0E106D3C5F}"/>
    <cellStyle name="Output 14 2" xfId="9716" xr:uid="{11C840E3-A7E4-4EDF-A365-6EE032A4B1B8}"/>
    <cellStyle name="Output 14 20" xfId="17233" xr:uid="{EFC61544-B6A3-453D-AAB3-EA3F4ABCBBA7}"/>
    <cellStyle name="Output 14 21" xfId="24652" xr:uid="{8B79E02B-980F-4BE7-A284-87D5A8977655}"/>
    <cellStyle name="Output 14 22" xfId="27391" xr:uid="{ACAEE6F5-2AEF-4024-8D34-9B8D2AF7C258}"/>
    <cellStyle name="Output 14 23" xfId="25378" xr:uid="{8D79E03E-E0ED-4C1E-B2AE-A046C995FBA0}"/>
    <cellStyle name="Output 14 24" xfId="22435" xr:uid="{95C7E792-610D-418A-AD4B-976139C06C35}"/>
    <cellStyle name="Output 14 25" xfId="23178" xr:uid="{FE2E26C0-4F6E-4783-AF80-368C3418A2A8}"/>
    <cellStyle name="Output 14 26" xfId="26006" xr:uid="{C4D2719E-793C-4F10-A7CB-54AD5EE321E4}"/>
    <cellStyle name="Output 14 27" xfId="24896" xr:uid="{4FB11AFA-5CE7-4CB7-9BAC-D7CF54CF07D3}"/>
    <cellStyle name="Output 14 28" xfId="29974" xr:uid="{1D51F11E-94E2-44EB-B960-DBD789DA1F5E}"/>
    <cellStyle name="Output 14 29" xfId="25827" xr:uid="{CD412A51-2340-48CE-8599-348BC1DFF0DB}"/>
    <cellStyle name="Output 14 3" xfId="7867" xr:uid="{72CF1E7D-AADD-4F43-B7D8-DC96DEB44EAE}"/>
    <cellStyle name="Output 14 30" xfId="28472" xr:uid="{E8E06BC7-2C1A-456F-A6CA-355C646BB1ED}"/>
    <cellStyle name="Output 14 31" xfId="24237" xr:uid="{3BB286A3-D66B-4736-BBA0-808CDB274BE5}"/>
    <cellStyle name="Output 14 32" xfId="29601" xr:uid="{DE6B285B-197E-41CC-86CC-7B81C3DCE205}"/>
    <cellStyle name="Output 14 33" xfId="6640" xr:uid="{A4FB493A-4A24-46A9-A25D-8B77AA383995}"/>
    <cellStyle name="Output 14 4" xfId="9550" xr:uid="{327C0F0D-8978-4327-848B-7A02E1C63843}"/>
    <cellStyle name="Output 14 5" xfId="11996" xr:uid="{3C708D77-D8CC-472F-A8F4-3FE4CE0E3DD6}"/>
    <cellStyle name="Output 14 6" xfId="8662" xr:uid="{57015D7E-74A7-42AD-BF5D-5FB0E0AD5C03}"/>
    <cellStyle name="Output 14 7" xfId="16195" xr:uid="{125EBC20-0E3E-45E1-A3CF-21FFE5F6EE40}"/>
    <cellStyle name="Output 14 8" xfId="7545" xr:uid="{B261E60F-2C8E-4B71-B6BD-DB918CACDC69}"/>
    <cellStyle name="Output 14 9" xfId="14793" xr:uid="{4B19F9D5-069F-46F7-BCDD-AF51F05FE333}"/>
    <cellStyle name="Output 15" xfId="3160" xr:uid="{8BF62B9B-4A99-4A39-8BE5-B2D27C0BEF7D}"/>
    <cellStyle name="Output 15 10" xfId="14162" xr:uid="{26DE7B88-47A6-44ED-A909-D08382EB8889}"/>
    <cellStyle name="Output 15 11" xfId="19244" xr:uid="{D34CD5E1-27CD-4144-85F7-306D7CD16639}"/>
    <cellStyle name="Output 15 12" xfId="15874" xr:uid="{81D166F2-7D4A-4107-90C0-994F785D10D2}"/>
    <cellStyle name="Output 15 13" xfId="12721" xr:uid="{03A0DC37-7AE4-466C-A150-62D89B1D8C90}"/>
    <cellStyle name="Output 15 14" xfId="15325" xr:uid="{0960FFB0-84BB-47C2-A458-9BA757F176A7}"/>
    <cellStyle name="Output 15 15" xfId="21552" xr:uid="{F030D813-16AA-431C-895B-4B22F196BA89}"/>
    <cellStyle name="Output 15 16" xfId="17286" xr:uid="{3029A351-0CF4-4E6F-91B2-B3E193A113EF}"/>
    <cellStyle name="Output 15 17" xfId="19583" xr:uid="{9DC0DF9F-ADD6-4907-AECA-732576BDBD45}"/>
    <cellStyle name="Output 15 18" xfId="21613" xr:uid="{D360D79F-0E69-48A5-8CB3-9BF2D32D4FC6}"/>
    <cellStyle name="Output 15 19" xfId="24865" xr:uid="{C3C99194-2119-4FED-A937-B73062373E10}"/>
    <cellStyle name="Output 15 2" xfId="9717" xr:uid="{E0380B5B-65A5-456A-8CEA-6D9FA0F699FC}"/>
    <cellStyle name="Output 15 20" xfId="14535" xr:uid="{2CE34761-0F47-40CE-9978-52AD13EB2555}"/>
    <cellStyle name="Output 15 21" xfId="22836" xr:uid="{DB9C0B39-4E35-45C9-B69C-A098CAA5D471}"/>
    <cellStyle name="Output 15 22" xfId="27378" xr:uid="{59315596-0349-4687-8E0E-42E3C5A7D03F}"/>
    <cellStyle name="Output 15 23" xfId="22262" xr:uid="{2A551D3B-192C-4772-8EE3-6FB25D6E72C4}"/>
    <cellStyle name="Output 15 24" xfId="16917" xr:uid="{20D4895B-1D25-47CF-9222-337959DA7C9D}"/>
    <cellStyle name="Output 15 25" xfId="29295" xr:uid="{3A6867F3-064A-4F5F-A0CC-37E19CA37467}"/>
    <cellStyle name="Output 15 26" xfId="28532" xr:uid="{D70D0187-B96A-4A67-9484-7327AC18ED2D}"/>
    <cellStyle name="Output 15 27" xfId="29967" xr:uid="{ED773185-C3C3-48F4-B702-16B70C8ADFD1}"/>
    <cellStyle name="Output 15 28" xfId="29956" xr:uid="{35F8AB95-6739-487E-95F6-CB5FA16D1243}"/>
    <cellStyle name="Output 15 29" xfId="29052" xr:uid="{038DF4D0-A01B-4D39-9E65-1147B2D4B577}"/>
    <cellStyle name="Output 15 3" xfId="7866" xr:uid="{0DEA97DA-00EC-41D7-9BAC-F87B75D0D7EC}"/>
    <cellStyle name="Output 15 30" xfId="28471" xr:uid="{9667C340-86A0-4644-90CC-CEBF8C641836}"/>
    <cellStyle name="Output 15 31" xfId="26612" xr:uid="{6B3D8A59-ED1A-443E-8846-4988BE8139D9}"/>
    <cellStyle name="Output 15 32" xfId="26474" xr:uid="{176D17B0-3E9F-4B05-96B6-37EDEB9CBE16}"/>
    <cellStyle name="Output 15 33" xfId="6641" xr:uid="{55254C02-7389-4070-A0FC-629FE2CBB917}"/>
    <cellStyle name="Output 15 4" xfId="9551" xr:uid="{786A5462-6993-455D-8517-BFABECB5A948}"/>
    <cellStyle name="Output 15 5" xfId="14286" xr:uid="{F9C7B159-F525-4415-B2A1-E5E1F95DEB2C}"/>
    <cellStyle name="Output 15 6" xfId="8661" xr:uid="{42FA8A23-8E93-47FF-AB23-B0771857770F}"/>
    <cellStyle name="Output 15 7" xfId="15465" xr:uid="{3F538E78-386D-4480-9E01-29F194A7791B}"/>
    <cellStyle name="Output 15 8" xfId="11955" xr:uid="{3A445CBF-9A61-4DD7-89EF-F90042CAD93A}"/>
    <cellStyle name="Output 15 9" xfId="12179" xr:uid="{32CF19A1-3FA8-4AC4-AB06-BC930BFC646C}"/>
    <cellStyle name="Output 16" xfId="3161" xr:uid="{00AC3070-60EC-47EB-BC58-17007B760728}"/>
    <cellStyle name="Output 16 10" xfId="12403" xr:uid="{C98E62CC-4F42-4A94-BFB5-9FFCD4384BA0}"/>
    <cellStyle name="Output 16 11" xfId="12731" xr:uid="{284715D7-D9B1-4721-9993-AEB7A2963B69}"/>
    <cellStyle name="Output 16 12" xfId="16440" xr:uid="{410B52B0-EC74-4D55-9F3F-45CF85D6FD83}"/>
    <cellStyle name="Output 16 13" xfId="17343" xr:uid="{3E7DFF93-B977-4DEE-ABC0-2A97988697F2}"/>
    <cellStyle name="Output 16 14" xfId="15036" xr:uid="{B54987CD-D663-4E99-A9AE-8B81EDCA10EE}"/>
    <cellStyle name="Output 16 15" xfId="19682" xr:uid="{394FE8BB-BC10-494B-958B-A27B41264B41}"/>
    <cellStyle name="Output 16 16" xfId="15665" xr:uid="{FCB1C7B2-D709-40C9-88D8-601A45142A65}"/>
    <cellStyle name="Output 16 17" xfId="21340" xr:uid="{167E92C6-2283-461C-ABE4-D104DC8119CF}"/>
    <cellStyle name="Output 16 18" xfId="18195" xr:uid="{628367B7-623E-47BF-A571-E3289C023F1C}"/>
    <cellStyle name="Output 16 19" xfId="22369" xr:uid="{4443DF45-707F-48D2-8B43-2423DA8854D9}"/>
    <cellStyle name="Output 16 2" xfId="9718" xr:uid="{9EE454D1-7635-434C-AA89-951409C10A11}"/>
    <cellStyle name="Output 16 20" xfId="12671" xr:uid="{0B08583B-2D84-4CDA-9CED-13C3DFA4D3EE}"/>
    <cellStyle name="Output 16 21" xfId="25765" xr:uid="{8AF30399-AF46-4403-9687-91B30AF992CB}"/>
    <cellStyle name="Output 16 22" xfId="27390" xr:uid="{CB6ACAA5-5A25-4052-9CA9-77679214F63A}"/>
    <cellStyle name="Output 16 23" xfId="23432" xr:uid="{337D403F-FAB1-4AEC-818B-909DAFA399A9}"/>
    <cellStyle name="Output 16 24" xfId="23082" xr:uid="{3286CCC4-B54C-42E1-B173-0331B930C010}"/>
    <cellStyle name="Output 16 25" xfId="16134" xr:uid="{58DB5E50-E83E-44B7-88EF-BFFD0B3904F2}"/>
    <cellStyle name="Output 16 26" xfId="26088" xr:uid="{0B44EF3A-0769-4060-ACB1-09923A8A695F}"/>
    <cellStyle name="Output 16 27" xfId="22954" xr:uid="{E42268FA-5C40-4D9F-B765-5D749D1A6324}"/>
    <cellStyle name="Output 16 28" xfId="25076" xr:uid="{810D8E4E-D2B7-4594-9EC2-AA201C60AC21}"/>
    <cellStyle name="Output 16 29" xfId="27838" xr:uid="{4A58AA8B-E3EE-4448-A782-E61BE79F946F}"/>
    <cellStyle name="Output 16 3" xfId="7865" xr:uid="{4275C75C-3F29-4412-9086-B5E89FBF5C20}"/>
    <cellStyle name="Output 16 30" xfId="26076" xr:uid="{0193F118-A786-4414-8219-95496F5044AF}"/>
    <cellStyle name="Output 16 31" xfId="25427" xr:uid="{0603408E-66BA-4EB5-939C-BF066DEFC933}"/>
    <cellStyle name="Output 16 32" xfId="28258" xr:uid="{EBA54369-6B53-4A1F-878B-4BF41C4E1C43}"/>
    <cellStyle name="Output 16 33" xfId="6642" xr:uid="{0E57E8E9-2157-46CB-AFEE-E5A91D6AAAE9}"/>
    <cellStyle name="Output 16 4" xfId="9553" xr:uid="{7CDDC3ED-8000-4BD6-9197-C73A1E65C2FB}"/>
    <cellStyle name="Output 16 5" xfId="11982" xr:uid="{5D847E22-492B-4CB4-A1D0-0E37BB25E82A}"/>
    <cellStyle name="Output 16 6" xfId="8660" xr:uid="{29CB4791-8D79-4D09-AEFC-E66AA55594B7}"/>
    <cellStyle name="Output 16 7" xfId="12966" xr:uid="{38014B76-35EE-4733-B5C1-80D4E340365B}"/>
    <cellStyle name="Output 16 8" xfId="7544" xr:uid="{7874DCC8-C053-41DE-BEC6-B5CE75F54B00}"/>
    <cellStyle name="Output 16 9" xfId="12166" xr:uid="{8F427277-3DA0-4274-847C-F307A080B7D0}"/>
    <cellStyle name="Output 17" xfId="3162" xr:uid="{3CDA8689-9528-4379-A96D-81BC96A2AEF8}"/>
    <cellStyle name="Output 17 10" xfId="14161" xr:uid="{06640B17-3AC0-47E5-9901-54405BC70E08}"/>
    <cellStyle name="Output 17 11" xfId="19247" xr:uid="{856917EA-9857-4BA2-B725-00C606563475}"/>
    <cellStyle name="Output 17 12" xfId="12575" xr:uid="{7602D456-BBE3-438F-8E8A-251C3B055CD5}"/>
    <cellStyle name="Output 17 13" xfId="13757" xr:uid="{128A095F-609D-4FB0-93CF-383CCDD2D35B}"/>
    <cellStyle name="Output 17 14" xfId="9995" xr:uid="{BF252D4F-DC2B-4F7B-ABE8-CE840600D58C}"/>
    <cellStyle name="Output 17 15" xfId="21551" xr:uid="{E76FB3BA-8531-4F70-8F03-6BC9B6074A23}"/>
    <cellStyle name="Output 17 16" xfId="17285" xr:uid="{55D220E9-ECEC-46B2-9778-0ACE27C050CE}"/>
    <cellStyle name="Output 17 17" xfId="20899" xr:uid="{3645D3B5-4F16-4EA8-BE99-704CE170BBAE}"/>
    <cellStyle name="Output 17 18" xfId="17673" xr:uid="{B790FA79-AED5-4590-9416-9601D2174051}"/>
    <cellStyle name="Output 17 19" xfId="25935" xr:uid="{614FC220-EE39-4826-89C4-209A44176572}"/>
    <cellStyle name="Output 17 2" xfId="9719" xr:uid="{ACEE4750-7518-4364-B50F-5560F36494EE}"/>
    <cellStyle name="Output 17 20" xfId="17234" xr:uid="{E6060A74-5F1A-4955-BB51-D243F04D764E}"/>
    <cellStyle name="Output 17 21" xfId="24651" xr:uid="{4DC65EC1-33DD-41A1-AAF4-547A98B900FB}"/>
    <cellStyle name="Output 17 22" xfId="27380" xr:uid="{0E9989F2-026A-4F3C-BA5F-3DBCCCFDB9DC}"/>
    <cellStyle name="Output 17 23" xfId="24481" xr:uid="{EE99A9EA-B250-47E2-8265-34DA0D59463C}"/>
    <cellStyle name="Output 17 24" xfId="25247" xr:uid="{6A1E49FD-DB30-41E2-B1C0-39C26855C60A}"/>
    <cellStyle name="Output 17 25" xfId="29294" xr:uid="{CB324422-9B25-48BF-8B2B-9F16FD5D2BF3}"/>
    <cellStyle name="Output 17 26" xfId="29693" xr:uid="{0E6F0D3B-7B44-4294-8161-8ADE0539CFB0}"/>
    <cellStyle name="Output 17 27" xfId="24895" xr:uid="{52814C97-F08F-417B-9A72-EF24A17E7B09}"/>
    <cellStyle name="Output 17 28" xfId="27373" xr:uid="{FF3EC969-77AE-4A67-83FE-26F6E60A39C5}"/>
    <cellStyle name="Output 17 29" xfId="29862" xr:uid="{43D363CC-EA22-4439-B22A-A7EF24A40071}"/>
    <cellStyle name="Output 17 3" xfId="7864" xr:uid="{FB7D23B6-C64B-4818-9A65-E63270EB1613}"/>
    <cellStyle name="Output 17 30" xfId="23760" xr:uid="{7A50D387-4498-437A-A6EE-E813F430F984}"/>
    <cellStyle name="Output 17 31" xfId="26611" xr:uid="{B2113E78-05E1-423E-AF2D-5850C7912FB8}"/>
    <cellStyle name="Output 17 32" xfId="30004" xr:uid="{40EAD963-E98C-42D7-B587-0EE92E4D77AE}"/>
    <cellStyle name="Output 17 33" xfId="6643" xr:uid="{83F6D10B-6F07-4E56-9A48-457339EFB8B2}"/>
    <cellStyle name="Output 17 4" xfId="9554" xr:uid="{779B2663-43CB-437D-98A1-3E5EBDD14D09}"/>
    <cellStyle name="Output 17 5" xfId="7576" xr:uid="{1C5353C5-3BA9-467D-A57E-31684266E33D}"/>
    <cellStyle name="Output 17 6" xfId="8659" xr:uid="{9665FC24-220C-4106-99E2-EE555B407D88}"/>
    <cellStyle name="Output 17 7" xfId="12783" xr:uid="{AC1195FB-F387-403E-B526-872826E54DB3}"/>
    <cellStyle name="Output 17 8" xfId="11954" xr:uid="{C28C3B16-5C53-49F5-B0E1-654B3BC3746F}"/>
    <cellStyle name="Output 17 9" xfId="15983" xr:uid="{A7AE5803-25AD-473F-9A0D-825AC737F044}"/>
    <cellStyle name="Output 18" xfId="3163" xr:uid="{23DBBA74-6150-4676-82AE-508A25CBED6D}"/>
    <cellStyle name="Output 18 10" xfId="13469" xr:uid="{D8A82126-A5BC-4279-A0AF-F339D6F42043}"/>
    <cellStyle name="Output 18 11" xfId="14605" xr:uid="{6F277256-36D7-4FE2-A5F1-AC6E363AF05C}"/>
    <cellStyle name="Output 18 12" xfId="16439" xr:uid="{5AC76DED-4A64-4A4B-AD19-27E17A0A7A25}"/>
    <cellStyle name="Output 18 13" xfId="17342" xr:uid="{99E74C92-D15F-4D2F-9C23-1E8B9D572B38}"/>
    <cellStyle name="Output 18 14" xfId="15039" xr:uid="{9D1422CD-95FF-40F5-82D1-76C1C9B74CCD}"/>
    <cellStyle name="Output 18 15" xfId="17698" xr:uid="{5D3DB725-1B99-488A-A020-749FFE4A0767}"/>
    <cellStyle name="Output 18 16" xfId="13775" xr:uid="{88FA7896-04F3-42A1-A1CE-AAAAC7BD3A0A}"/>
    <cellStyle name="Output 18 17" xfId="21339" xr:uid="{0B4D6818-1BA4-4F1A-ABFD-18C63FDFE96E}"/>
    <cellStyle name="Output 18 18" xfId="21612" xr:uid="{84F8E428-F347-4B4D-A59F-972958DC82B7}"/>
    <cellStyle name="Output 18 19" xfId="25279" xr:uid="{442B3847-6C7B-465A-9213-51F245BB222A}"/>
    <cellStyle name="Output 18 2" xfId="9720" xr:uid="{5A7D7FF8-CB18-4DC8-8D47-768909D94A1D}"/>
    <cellStyle name="Output 18 20" xfId="16182" xr:uid="{9555E64F-4D80-4B6A-AA83-3C411CFF9918}"/>
    <cellStyle name="Output 18 21" xfId="21788" xr:uid="{CC4CD035-117A-4309-B3D7-49716C94F518}"/>
    <cellStyle name="Output 18 22" xfId="19561" xr:uid="{C86E7CE4-C8C8-4265-A59A-6463BF4316BA}"/>
    <cellStyle name="Output 18 23" xfId="25379" xr:uid="{E30E2C3E-7D3B-4B8B-851E-54990485446B}"/>
    <cellStyle name="Output 18 24" xfId="23081" xr:uid="{E83F7F27-333E-47CD-AF5F-2727C05A2567}"/>
    <cellStyle name="Output 18 25" xfId="26706" xr:uid="{7B96FE11-D2AA-477C-82C1-DE3A112CAA65}"/>
    <cellStyle name="Output 18 26" xfId="29370" xr:uid="{B26A22A0-41E4-4AA9-9403-4233DA547EEC}"/>
    <cellStyle name="Output 18 27" xfId="29966" xr:uid="{2DD176B5-2D27-4162-ABDF-2A12AD1D13A9}"/>
    <cellStyle name="Output 18 28" xfId="27372" xr:uid="{DD1EE1AA-4C83-4607-8D73-3BF3326B22B0}"/>
    <cellStyle name="Output 18 29" xfId="23732" xr:uid="{AA462EC9-A7FA-4EC1-A4BE-72F9E029C22E}"/>
    <cellStyle name="Output 18 3" xfId="7863" xr:uid="{E33768FC-C76F-4226-B61C-285A2634BE31}"/>
    <cellStyle name="Output 18 30" xfId="28470" xr:uid="{59BCCCC2-CD38-4E30-80F1-4AEE05A9766C}"/>
    <cellStyle name="Output 18 31" xfId="29750" xr:uid="{CA6489A0-F5E9-4B06-9115-DB2D4316B1A8}"/>
    <cellStyle name="Output 18 32" xfId="27701" xr:uid="{F44A8F51-98B8-45E5-AC6F-26FE6F3387B1}"/>
    <cellStyle name="Output 18 33" xfId="6644" xr:uid="{601A3398-B109-4653-B602-CA17D4C6519F}"/>
    <cellStyle name="Output 18 4" xfId="9555" xr:uid="{7BC70980-110C-4555-BF09-5EABDDA7BE46}"/>
    <cellStyle name="Output 18 5" xfId="14573" xr:uid="{C030EFC3-2010-4448-A21B-AAF144AD8097}"/>
    <cellStyle name="Output 18 6" xfId="8658" xr:uid="{B9D2E3BD-16FD-40D8-BC5F-A13E7221571B}"/>
    <cellStyle name="Output 18 7" xfId="14987" xr:uid="{4E1D45AC-6F7E-41AA-84AF-FF0FA835FB33}"/>
    <cellStyle name="Output 18 8" xfId="7543" xr:uid="{B191883E-CAB2-469C-95C0-075CED4EDA12}"/>
    <cellStyle name="Output 18 9" xfId="12181" xr:uid="{EC26000E-FC8A-4C4A-91DB-CD331A350BCB}"/>
    <cellStyle name="Output 19" xfId="3164" xr:uid="{98EB4364-DC10-49AE-BD6B-2FC15D1B27C8}"/>
    <cellStyle name="Output 19 10" xfId="12404" xr:uid="{0CBD9D61-8B23-4CEC-8118-3335792987F5}"/>
    <cellStyle name="Output 19 11" xfId="19246" xr:uid="{8A1FE967-2511-48D3-B7B2-4649923DDF61}"/>
    <cellStyle name="Output 19 12" xfId="17627" xr:uid="{F388AAC5-BC39-49BB-B461-6000CCA0EC29}"/>
    <cellStyle name="Output 19 13" xfId="13758" xr:uid="{D7848C03-5376-4E52-ADD4-F261916E0FB5}"/>
    <cellStyle name="Output 19 14" xfId="9996" xr:uid="{60B46DBA-6150-4E72-98F9-1693F45B751C}"/>
    <cellStyle name="Output 19 15" xfId="19672" xr:uid="{20DC603B-AEEF-485B-AE25-8716D593F232}"/>
    <cellStyle name="Output 19 16" xfId="15677" xr:uid="{473323D6-6498-4C1A-B1B0-565EDC056718}"/>
    <cellStyle name="Output 19 17" xfId="21307" xr:uid="{86EA2EB3-28D2-40D8-8539-A653F96E9679}"/>
    <cellStyle name="Output 19 18" xfId="16236" xr:uid="{5DB55C92-73E8-410A-ACE8-8CC3F6350D4C}"/>
    <cellStyle name="Output 19 19" xfId="24864" xr:uid="{DF2B2D17-E827-42CC-B777-CD4EC39D0870}"/>
    <cellStyle name="Output 19 2" xfId="9721" xr:uid="{6F12DC43-B3F5-4EBC-B9A6-226EAFD1D962}"/>
    <cellStyle name="Output 19 20" xfId="17290" xr:uid="{A9A6FA84-9EBD-4980-93F1-B7A404B23D3B}"/>
    <cellStyle name="Output 19 21" xfId="24650" xr:uid="{C10548E4-1489-453F-8289-113DE3DF8F08}"/>
    <cellStyle name="Output 19 22" xfId="21296" xr:uid="{DE6E094F-1A76-4BDE-92B2-ADB970CA15E1}"/>
    <cellStyle name="Output 19 23" xfId="21113" xr:uid="{E7D1E67B-D8D1-4762-B5F1-820549470AB7}"/>
    <cellStyle name="Output 19 24" xfId="22434" xr:uid="{4825E465-1F31-4215-BB66-793EBC15B70E}"/>
    <cellStyle name="Output 19 25" xfId="15395" xr:uid="{51109B58-954B-4EBE-A7AC-3B46B20F4D0E}"/>
    <cellStyle name="Output 19 26" xfId="28531" xr:uid="{0BEF0723-8C18-4B0D-B83C-08819FFF8F60}"/>
    <cellStyle name="Output 19 27" xfId="26914" xr:uid="{5AE5902B-D399-4766-8719-3C1CB00A692A}"/>
    <cellStyle name="Output 19 28" xfId="29983" xr:uid="{D6572795-26B7-42A9-B741-D7F9431454CD}"/>
    <cellStyle name="Output 19 29" xfId="29653" xr:uid="{A17387C0-F319-43C2-B38E-62DA03CA79AE}"/>
    <cellStyle name="Output 19 3" xfId="7862" xr:uid="{B1F271BD-12CA-4643-B1E8-176A4043C82E}"/>
    <cellStyle name="Output 19 30" xfId="27091" xr:uid="{84FF43CF-65B5-46E4-AA1C-1F6243256E32}"/>
    <cellStyle name="Output 19 31" xfId="21955" xr:uid="{8CF787B9-5A7D-465B-89BB-939366B50294}"/>
    <cellStyle name="Output 19 32" xfId="29090" xr:uid="{60270622-F8D7-4656-8AE9-CB3C01118D99}"/>
    <cellStyle name="Output 19 33" xfId="6645" xr:uid="{EE5B38B8-6EBE-4954-A34C-A51FB668E93F}"/>
    <cellStyle name="Output 19 4" xfId="9556" xr:uid="{24838367-40D4-457F-B746-925470D83749}"/>
    <cellStyle name="Output 19 5" xfId="14282" xr:uid="{51E8ECD5-9D73-47E3-9329-ACB42A054379}"/>
    <cellStyle name="Output 19 6" xfId="8657" xr:uid="{1B18CBBC-F3EC-4750-A4C1-12C5BACE2BB7}"/>
    <cellStyle name="Output 19 7" xfId="15464" xr:uid="{7A437978-681C-483D-96F8-2DD41E32F925}"/>
    <cellStyle name="Output 19 8" xfId="15320" xr:uid="{3A883A5E-CF39-44A8-B7AC-8830B0B63F72}"/>
    <cellStyle name="Output 19 9" xfId="14792" xr:uid="{EF01B950-25BA-40C2-A80C-F2821C2B16A5}"/>
    <cellStyle name="Output 2" xfId="68" xr:uid="{00000000-0005-0000-0000-00004D000000}"/>
    <cellStyle name="Output 2 10" xfId="14409" xr:uid="{7DE14FD4-1DB2-40AB-A9BB-74D53D6F6DA9}"/>
    <cellStyle name="Output 2 11" xfId="14160" xr:uid="{844E367F-9C8B-404B-A7D1-5563E51E685B}"/>
    <cellStyle name="Output 2 12" xfId="15561" xr:uid="{89D4CBB7-BDE3-491D-8FFF-76A137F75AC6}"/>
    <cellStyle name="Output 2 13" xfId="20275" xr:uid="{28880F2A-572C-4371-8FE7-0F6761F76B6E}"/>
    <cellStyle name="Output 2 14" xfId="17341" xr:uid="{5C147B38-3C94-4F12-A411-01A27E2F5E66}"/>
    <cellStyle name="Output 2 15" xfId="15038" xr:uid="{5204EEB7-A74A-435A-898E-2D469DDA24E0}"/>
    <cellStyle name="Output 2 16" xfId="21550" xr:uid="{82785E2A-8E60-4095-8F2E-C0164E87347D}"/>
    <cellStyle name="Output 2 17" xfId="13890" xr:uid="{A52BD0D0-D05C-4C91-9B49-558B6E3F08C9}"/>
    <cellStyle name="Output 2 18" xfId="22543" xr:uid="{27178720-CDB7-4232-800E-0B897E704486}"/>
    <cellStyle name="Output 2 19" xfId="18194" xr:uid="{DAA2C5E0-EE40-43BD-9191-D4230D21D7A1}"/>
    <cellStyle name="Output 2 2" xfId="3166" xr:uid="{B5E84C8D-D625-482D-AFDB-ED7ADE3946B5}"/>
    <cellStyle name="Output 2 2 10" xfId="12405" xr:uid="{842CC9BE-5804-411F-847C-92D90BBEC3A7}"/>
    <cellStyle name="Output 2 2 11" xfId="13647" xr:uid="{3DF13224-0723-4668-B1FB-1BE9C690171A}"/>
    <cellStyle name="Output 2 2 12" xfId="15873" xr:uid="{625F2DA5-6280-4D20-8F62-842A8CCB6E7D}"/>
    <cellStyle name="Output 2 2 13" xfId="13759" xr:uid="{7BF501E9-9679-4E0A-8822-82FDC39B1AE8}"/>
    <cellStyle name="Output 2 2 14" xfId="9997" xr:uid="{71AEFD60-3985-4334-BE06-53AE6FD08AFE}"/>
    <cellStyle name="Output 2 2 15" xfId="19681" xr:uid="{AFC84852-05F5-466D-9D52-6B67F370644D}"/>
    <cellStyle name="Output 2 2 16" xfId="17283" xr:uid="{82744E75-9E05-459D-94D5-4A806920118A}"/>
    <cellStyle name="Output 2 2 17" xfId="17010" xr:uid="{81402BE4-64C4-4081-BB86-84A1A8163188}"/>
    <cellStyle name="Output 2 2 18" xfId="15784" xr:uid="{3A7056E1-6871-467A-8FEF-983D70C4525B}"/>
    <cellStyle name="Output 2 2 19" xfId="22937" xr:uid="{73380D8C-2442-47AB-93B6-792DE509891C}"/>
    <cellStyle name="Output 2 2 2" xfId="9723" xr:uid="{ED73263F-E57A-42BA-9EE1-4DED14C6B721}"/>
    <cellStyle name="Output 2 2 20" xfId="17291" xr:uid="{025B835A-ED0E-4B51-83BF-356D6EF5EF7D}"/>
    <cellStyle name="Output 2 2 21" xfId="24649" xr:uid="{C10428E6-FA19-4147-962C-806EF0F39A81}"/>
    <cellStyle name="Output 2 2 22" xfId="17783" xr:uid="{6EDE6081-8B5C-45CD-A56D-6EDBE1449129}"/>
    <cellStyle name="Output 2 2 23" xfId="24480" xr:uid="{E7621748-7C0C-42AF-8591-7DBFA828C9DE}"/>
    <cellStyle name="Output 2 2 24" xfId="20440" xr:uid="{C31D820F-73E0-47F2-BBBE-348DE9674565}"/>
    <cellStyle name="Output 2 2 25" xfId="27957" xr:uid="{1F8E945D-8BFE-4C97-A10B-EC7321D0ED9E}"/>
    <cellStyle name="Output 2 2 26" xfId="27120" xr:uid="{3153734E-322E-4739-B716-A5524D517E33}"/>
    <cellStyle name="Output 2 2 27" xfId="27620" xr:uid="{573B3B98-3304-46F1-95A9-EC64B743F3F3}"/>
    <cellStyle name="Output 2 2 28" xfId="29984" xr:uid="{229DF216-C08C-45F2-8416-71FAE2882950}"/>
    <cellStyle name="Output 2 2 29" xfId="25591" xr:uid="{17384E10-CBCC-49A2-A0AB-DC488EBF1E04}"/>
    <cellStyle name="Output 2 2 3" xfId="7860" xr:uid="{A174F1B4-9215-4919-AC83-CFABC7DDEE41}"/>
    <cellStyle name="Output 2 2 30" xfId="23761" xr:uid="{C75FAF28-DE79-439A-BCF0-3479AA9A6046}"/>
    <cellStyle name="Output 2 2 31" xfId="26610" xr:uid="{1F027925-40EB-4605-A8A9-0EBBED686B3D}"/>
    <cellStyle name="Output 2 2 32" xfId="29219" xr:uid="{F2EE19AE-6241-4608-A21D-73D57048A62B}"/>
    <cellStyle name="Output 2 2 33" xfId="6647" xr:uid="{AD02AAA7-44C3-4E89-A7D4-3C370A9A3D29}"/>
    <cellStyle name="Output 2 2 4" xfId="9558" xr:uid="{E09DE4BE-36D3-4B65-846B-DB9B0087FDD9}"/>
    <cellStyle name="Output 2 2 5" xfId="14285" xr:uid="{B2C19CE8-7905-457C-8D17-7A388E591A94}"/>
    <cellStyle name="Output 2 2 6" xfId="8655" xr:uid="{98C5AE59-351D-4EE3-A586-0EADC5013F99}"/>
    <cellStyle name="Output 2 2 7" xfId="14986" xr:uid="{0E4D972D-E663-4B29-8CB8-1CBAC6354B0E}"/>
    <cellStyle name="Output 2 2 8" xfId="7542" xr:uid="{2760E221-F136-45B3-BFE1-FF655FAC7030}"/>
    <cellStyle name="Output 2 2 9" xfId="14791" xr:uid="{FEDFF5BD-DF9F-4DE9-A7A7-97345E11D55D}"/>
    <cellStyle name="Output 2 20" xfId="23507" xr:uid="{EB3CCB60-47A3-4352-9EB1-F93522EFF03A}"/>
    <cellStyle name="Output 2 21" xfId="14521" xr:uid="{2577C7F1-3A7C-421E-BA06-41A7009CDA5C}"/>
    <cellStyle name="Output 2 22" xfId="22835" xr:uid="{53C94092-9056-40E5-8E5B-A090261CE5F1}"/>
    <cellStyle name="Output 2 23" xfId="26318" xr:uid="{B7A5C5BD-3E30-4E71-9259-B3247944BF9B}"/>
    <cellStyle name="Output 2 24" xfId="22686" xr:uid="{5615DD55-339A-4533-83F1-931C3FD63748}"/>
    <cellStyle name="Output 2 25" xfId="23080" xr:uid="{116C1732-21B6-4935-97FC-78A1BB81AAF0}"/>
    <cellStyle name="Output 2 26" xfId="27954" xr:uid="{0486842E-5D92-4D81-8FCE-F4FABCEC25BB}"/>
    <cellStyle name="Output 2 27" xfId="25229" xr:uid="{124B5700-3F98-42F5-A39F-E3624C7D0077}"/>
    <cellStyle name="Output 2 28" xfId="30122" xr:uid="{670AE4A9-876F-4D58-944E-9D697AF9E949}"/>
    <cellStyle name="Output 2 29" xfId="21022" xr:uid="{71E90F80-0C5B-462E-A9D7-23643D0BFD65}"/>
    <cellStyle name="Output 2 3" xfId="3165" xr:uid="{F47C013D-62BC-4DCC-9021-CAA06A2C01AD}"/>
    <cellStyle name="Output 2 3 2" xfId="9722" xr:uid="{7BE3E9D3-F447-44E5-9EBF-C9C1C05F2F31}"/>
    <cellStyle name="Output 2 30" xfId="27837" xr:uid="{51AEE8CC-320D-4A56-AF09-D3F25FDD3D9C}"/>
    <cellStyle name="Output 2 31" xfId="28469" xr:uid="{1DA0F8AC-7EF8-4D3B-A507-D7F7B750F960}"/>
    <cellStyle name="Output 2 32" xfId="21869" xr:uid="{51E8C5D4-1531-49EE-B67F-0EE0A3ADBACC}"/>
    <cellStyle name="Output 2 33" xfId="26949" xr:uid="{6AF35642-CDBD-40A7-A10E-E035AF6B8F54}"/>
    <cellStyle name="Output 2 34" xfId="6646" xr:uid="{999C2AC4-85C2-446A-B821-7A6ADDF0E6D1}"/>
    <cellStyle name="Output 2 4" xfId="7861" xr:uid="{E020F8CF-C379-478A-AF66-006B9CC3F35A}"/>
    <cellStyle name="Output 2 5" xfId="9557" xr:uid="{D39CA984-884E-457C-8407-A191FA1B3C50}"/>
    <cellStyle name="Output 2 6" xfId="11981" xr:uid="{532D356D-7024-48D4-A8AC-89BA8521E1D0}"/>
    <cellStyle name="Output 2 7" xfId="8656" xr:uid="{260558CA-0052-425E-B84D-CA537859BEA3}"/>
    <cellStyle name="Output 2 8" xfId="10509" xr:uid="{2ABA5715-AADE-43AB-9674-7030AF0D5C48}"/>
    <cellStyle name="Output 2 9" xfId="11953" xr:uid="{4266797F-41B2-43F2-9659-8AE244F83AB3}"/>
    <cellStyle name="Output 20" xfId="3167" xr:uid="{9833C4B0-46ED-457B-A3D3-2BAD1BE2C1FA}"/>
    <cellStyle name="Output 20 10" xfId="14159" xr:uid="{6A041B4F-7E88-4BF8-8F09-AA071D85CBD2}"/>
    <cellStyle name="Output 20 11" xfId="19245" xr:uid="{68D09741-7F40-4EC6-A8B0-BF617BFD01B7}"/>
    <cellStyle name="Output 20 12" xfId="16966" xr:uid="{4AC34B7D-A99A-40AD-9BC0-4666080A6973}"/>
    <cellStyle name="Output 20 13" xfId="15657" xr:uid="{06E37A58-B04D-4B74-B66C-33A137410272}"/>
    <cellStyle name="Output 20 14" xfId="9998" xr:uid="{341A1819-5866-4BD7-9422-5E375677A133}"/>
    <cellStyle name="Output 20 15" xfId="21549" xr:uid="{9F65D8DD-FDEA-47BC-8E6D-4A81E0327811}"/>
    <cellStyle name="Output 20 16" xfId="14523" xr:uid="{02419F73-BD2B-4F9F-BD60-2B27E975A3AD}"/>
    <cellStyle name="Output 20 17" xfId="17781" xr:uid="{D85D27A3-5A84-487D-9BCD-0E2C92485D76}"/>
    <cellStyle name="Output 20 18" xfId="21892" xr:uid="{BE85EACE-FA4B-49BF-A147-B3A7FD528007}"/>
    <cellStyle name="Output 20 19" xfId="25278" xr:uid="{BF7CD7A6-B78A-4843-920B-3E323D0556AB}"/>
    <cellStyle name="Output 20 2" xfId="9724" xr:uid="{A0AD26AF-19B3-4A3F-BDB0-EA2E916506C4}"/>
    <cellStyle name="Output 20 20" xfId="15664" xr:uid="{958EDD85-1ADD-411A-A2DE-B2226C7FEF9F}"/>
    <cellStyle name="Output 20 21" xfId="22316" xr:uid="{C85D7545-BB4E-4479-9306-CE044D71488D}"/>
    <cellStyle name="Output 20 22" xfId="21295" xr:uid="{C0030E80-5088-482A-9DD7-92411839D072}"/>
    <cellStyle name="Output 20 23" xfId="25380" xr:uid="{41B3EEBC-5CB3-4E96-8280-212131461AAA}"/>
    <cellStyle name="Output 20 24" xfId="23079" xr:uid="{2AB70857-D408-47A6-A56F-C0108F8755F6}"/>
    <cellStyle name="Output 20 25" xfId="29289" xr:uid="{DEE0DA9D-DCCD-4352-8A71-971147C7708B}"/>
    <cellStyle name="Output 20 26" xfId="29068" xr:uid="{F6D14D4A-EA4E-4932-979D-426C904B1F90}"/>
    <cellStyle name="Output 20 27" xfId="29965" xr:uid="{C9084E60-1FF9-4F83-8EF7-D7DB994930EE}"/>
    <cellStyle name="Output 20 28" xfId="29660" xr:uid="{C0EB06D5-38C5-49E4-9AF9-0F7704C5F3E8}"/>
    <cellStyle name="Output 20 29" xfId="28227" xr:uid="{F226D2B6-E768-423E-98D3-CA8775F59E52}"/>
    <cellStyle name="Output 20 3" xfId="7859" xr:uid="{4CB54707-F57B-4677-A19D-6FE3CD7F9ED4}"/>
    <cellStyle name="Output 20 30" xfId="28468" xr:uid="{B24E4EE0-A63B-4A99-913D-DBA8D42AA3A1}"/>
    <cellStyle name="Output 20 31" xfId="25428" xr:uid="{489062FF-9D77-4C2F-96F4-DFF40D3E2702}"/>
    <cellStyle name="Output 20 32" xfId="26832" xr:uid="{449568B4-5E9B-4A89-909C-966E97EB7658}"/>
    <cellStyle name="Output 20 33" xfId="6648" xr:uid="{0B4372BE-7B44-46DD-A6FE-BE4472B407B4}"/>
    <cellStyle name="Output 20 4" xfId="9559" xr:uid="{BBD51BB4-0B0F-4303-B840-473FA7FD8D19}"/>
    <cellStyle name="Output 20 5" xfId="7575" xr:uid="{5E373A2A-FEFE-4F0D-A5FC-759BD30F7F71}"/>
    <cellStyle name="Output 20 6" xfId="8654" xr:uid="{B9CDFD4D-E087-4C0A-A77B-F28C6F310653}"/>
    <cellStyle name="Output 20 7" xfId="13508" xr:uid="{F7289F35-5645-4F26-A890-382B86941962}"/>
    <cellStyle name="Output 20 8" xfId="11952" xr:uid="{C5A40721-6B78-48E7-8190-15E48C8F580C}"/>
    <cellStyle name="Output 20 9" xfId="12169" xr:uid="{B46C39E1-1152-4ABF-933B-F1F049564C4E}"/>
    <cellStyle name="Output 21" xfId="3168" xr:uid="{C475A60D-8F43-44A2-A49C-A7782A9D876A}"/>
    <cellStyle name="Output 21 10" xfId="12406" xr:uid="{EABEDE6E-3C6E-4FA7-A50E-15A16DE03308}"/>
    <cellStyle name="Output 21 11" xfId="13840" xr:uid="{6B35A578-D03D-4FEF-9115-4499890467FD}"/>
    <cellStyle name="Output 21 12" xfId="16438" xr:uid="{5378C080-5222-4E9D-BCB9-99548D803B99}"/>
    <cellStyle name="Output 21 13" xfId="17340" xr:uid="{EC4B4D35-289F-4322-9F6E-DC1660E7723B}"/>
    <cellStyle name="Output 21 14" xfId="15037" xr:uid="{A32BE41B-A677-4E79-98DF-3CC7D3168DF4}"/>
    <cellStyle name="Output 21 15" xfId="13604" xr:uid="{B4F51081-9A8F-4BA1-95BD-6DA6ED5EC635}"/>
    <cellStyle name="Output 21 16" xfId="17282" xr:uid="{37DF7191-85D5-4C70-AC9E-B77CF0F69422}"/>
    <cellStyle name="Output 21 17" xfId="21338" xr:uid="{DC6024CB-44B3-488B-AEC2-096C80A050ED}"/>
    <cellStyle name="Output 21 18" xfId="21623" xr:uid="{56567354-F7E9-4E45-A375-36A9E7E6043E}"/>
    <cellStyle name="Output 21 19" xfId="24863" xr:uid="{FD36C9BD-976C-4EFC-91C3-E35128EFAD28}"/>
    <cellStyle name="Output 21 2" xfId="9725" xr:uid="{DB399A7C-FDAB-4AB4-9285-02403F79C6BB}"/>
    <cellStyle name="Output 21 20" xfId="17292" xr:uid="{F83EC4E3-7C85-45F1-9206-EF91EA44F83A}"/>
    <cellStyle name="Output 21 21" xfId="24648" xr:uid="{2D9F063F-21D2-4B90-8F20-6BBFE02239A8}"/>
    <cellStyle name="Output 21 22" xfId="27619" xr:uid="{F8C0981D-185A-42B9-9549-C620222A8A0A}"/>
    <cellStyle name="Output 21 23" xfId="18550" xr:uid="{8094A327-0643-45B9-94A3-0362A9AA245E}"/>
    <cellStyle name="Output 21 24" xfId="24152" xr:uid="{E60AF829-D4FE-4BCC-B8A9-AC6833D56637}"/>
    <cellStyle name="Output 21 25" xfId="29292" xr:uid="{5A8EDF5D-2BD1-4952-BA4D-70F9555249C9}"/>
    <cellStyle name="Output 21 26" xfId="28530" xr:uid="{61473B04-BEC2-4C69-BE95-60C6C17A0A3B}"/>
    <cellStyle name="Output 21 27" xfId="20130" xr:uid="{C8918078-944B-4C02-812E-5F9BCC7F9F4D}"/>
    <cellStyle name="Output 21 28" xfId="23802" xr:uid="{2045D2A8-7274-4A7A-8BB9-ADDC4EC8CD8C}"/>
    <cellStyle name="Output 21 29" xfId="22637" xr:uid="{58B382A9-96F6-4B17-AC25-A0923ED3A239}"/>
    <cellStyle name="Output 21 3" xfId="7858" xr:uid="{79C2FF81-0225-4CC3-B69E-7CDA780BCFDC}"/>
    <cellStyle name="Output 21 30" xfId="28467" xr:uid="{33691F86-B5B5-42EF-89AA-C79ADB7E5C07}"/>
    <cellStyle name="Output 21 31" xfId="26609" xr:uid="{BF61A8C8-3496-4FFF-8352-1106203444A0}"/>
    <cellStyle name="Output 21 32" xfId="21916" xr:uid="{5E02415E-D8F0-46D4-A8AB-FC9385E839CA}"/>
    <cellStyle name="Output 21 33" xfId="6649" xr:uid="{0AB71C5E-EBB6-4F36-884F-098D7025B638}"/>
    <cellStyle name="Output 21 4" xfId="9560" xr:uid="{6B3572D6-3306-4191-B28A-260BA7B78B1B}"/>
    <cellStyle name="Output 21 5" xfId="14284" xr:uid="{35EBE7A9-73E0-40AB-AFE5-C1075A35632B}"/>
    <cellStyle name="Output 21 6" xfId="8653" xr:uid="{3045983C-520A-4C6C-BB3F-5770D17B319C}"/>
    <cellStyle name="Output 21 7" xfId="12965" xr:uid="{04ABA96B-6F27-4F78-B822-32EEF18FCED4}"/>
    <cellStyle name="Output 21 8" xfId="7541" xr:uid="{1C073979-9C28-4B7A-8011-39517DDB8F55}"/>
    <cellStyle name="Output 21 9" xfId="15985" xr:uid="{60F92D24-0C7A-44B0-B226-615C1D7949BB}"/>
    <cellStyle name="Output 22" xfId="3169" xr:uid="{599DE28C-B526-4CFB-8EAD-A7800F7B6236}"/>
    <cellStyle name="Output 22 10" xfId="14158" xr:uid="{D5F59BB1-9F5D-4914-88E9-865CCE2E4CEB}"/>
    <cellStyle name="Output 22 11" xfId="14604" xr:uid="{720DA3B3-E51A-4CB7-9472-60E038D8B090}"/>
    <cellStyle name="Output 22 12" xfId="15872" xr:uid="{B2894745-9830-4E5D-90DC-1F18AA0DBDE3}"/>
    <cellStyle name="Output 22 13" xfId="15653" xr:uid="{D2876202-FDD9-4992-B5EB-E0F7F70EE32D}"/>
    <cellStyle name="Output 22 14" xfId="9999" xr:uid="{64F875FB-682E-4EEF-BE2F-24697AEEF1BD}"/>
    <cellStyle name="Output 22 15" xfId="21548" xr:uid="{465B069A-3439-4701-88AB-2D05DEAB4F2B}"/>
    <cellStyle name="Output 22 16" xfId="15666" xr:uid="{9058B2B5-A0A9-40CE-82C2-B2CD537C3351}"/>
    <cellStyle name="Output 22 17" xfId="19582" xr:uid="{CD67B334-3A17-4CAE-98E9-037B572C21E7}"/>
    <cellStyle name="Output 22 18" xfId="21609" xr:uid="{6D3D0BD2-BDA8-4DE7-B17A-37B5F27CF05E}"/>
    <cellStyle name="Output 22 19" xfId="22368" xr:uid="{74E18407-0214-41A2-9B81-07F8624BC3E1}"/>
    <cellStyle name="Output 22 2" xfId="9726" xr:uid="{E263DD91-5298-409D-A0B6-4FB5B26FF9A5}"/>
    <cellStyle name="Output 22 20" xfId="16809" xr:uid="{25DDF1A0-49EE-4E32-A16C-AB1F5BBC0798}"/>
    <cellStyle name="Output 22 21" xfId="22834" xr:uid="{4B3C8614-4E47-4AF9-BFEF-DF09CC094A01}"/>
    <cellStyle name="Output 22 22" xfId="19560" xr:uid="{06C174D7-B4D5-4E56-B31B-91E43BFA8B12}"/>
    <cellStyle name="Output 22 23" xfId="23431" xr:uid="{6EB266E8-29B2-4F50-A33F-1A3BBA149D2C}"/>
    <cellStyle name="Output 22 24" xfId="22433" xr:uid="{D69ABD8C-959E-437A-8901-D174DAA48F49}"/>
    <cellStyle name="Output 22 25" xfId="26705" xr:uid="{3E538749-2C56-408F-9DBA-68FA9D35A935}"/>
    <cellStyle name="Output 22 26" xfId="23765" xr:uid="{EBB0A93D-F98D-4F1A-ADA8-F14A0231ED09}"/>
    <cellStyle name="Output 22 27" xfId="22776" xr:uid="{F12C4C18-D3CD-4826-8C4D-AB94A4B63523}"/>
    <cellStyle name="Output 22 28" xfId="29868" xr:uid="{8F38F25A-52B4-405C-A9DA-E2F72F1FD552}"/>
    <cellStyle name="Output 22 29" xfId="27501" xr:uid="{50F42DFA-36E2-4A61-B60C-CA695EC8444A}"/>
    <cellStyle name="Output 22 3" xfId="7857" xr:uid="{D64C9BE9-AF50-4C55-B865-6F679F89B958}"/>
    <cellStyle name="Output 22 30" xfId="26075" xr:uid="{58B03717-6843-4E0C-8529-1BE15660245F}"/>
    <cellStyle name="Output 22 31" xfId="26580" xr:uid="{9A5A675A-1E2C-4E20-8FC7-3B716C3CB5C6}"/>
    <cellStyle name="Output 22 32" xfId="29022" xr:uid="{4F6DB344-297C-46EE-B6B4-0B567AC79485}"/>
    <cellStyle name="Output 22 33" xfId="6650" xr:uid="{B7932138-7273-44D8-9E4F-EC6121B2A56D}"/>
    <cellStyle name="Output 22 4" xfId="9561" xr:uid="{D07B0CCD-BDA9-4185-91BC-95CF7C60A65B}"/>
    <cellStyle name="Output 22 5" xfId="11980" xr:uid="{C620888D-6599-47AF-82A6-21AA8E790C16}"/>
    <cellStyle name="Output 22 6" xfId="8652" xr:uid="{ACC35E30-BCBC-44BD-9DED-98F9FE868E2F}"/>
    <cellStyle name="Output 22 7" xfId="14985" xr:uid="{9D09E61B-C4EA-4C50-954F-979E86866BEF}"/>
    <cellStyle name="Output 22 8" xfId="11951" xr:uid="{CD5946BB-85D0-4F72-A46E-C3EFA9AB236F}"/>
    <cellStyle name="Output 22 9" xfId="14790" xr:uid="{AFAD0C19-2E6B-495F-93E3-80E3AD26D5B6}"/>
    <cellStyle name="Output 23" xfId="3170" xr:uid="{41B7AEA6-12DE-4649-B1DC-6B8012FC88D8}"/>
    <cellStyle name="Output 23 10" xfId="12408" xr:uid="{F30AEABB-6CD5-470C-A07E-8C5365939C0B}"/>
    <cellStyle name="Output 23 11" xfId="15562" xr:uid="{61B47770-ECDA-46EB-B7EC-BF82409C5ED3}"/>
    <cellStyle name="Output 23 12" xfId="17630" xr:uid="{818A7FB8-32F4-43B6-8993-463B4581C962}"/>
    <cellStyle name="Output 23 13" xfId="13760" xr:uid="{DDAAE6C7-7854-4B26-9491-7A872E056924}"/>
    <cellStyle name="Output 23 14" xfId="10000" xr:uid="{AED81622-2960-4FD9-86B2-17372C46135C}"/>
    <cellStyle name="Output 23 15" xfId="19680" xr:uid="{0BF35DA0-C925-419B-BB87-E4C1D2CFCDC9}"/>
    <cellStyle name="Output 23 16" xfId="13776" xr:uid="{D4549A6C-5518-404A-9A4B-A276605A31C0}"/>
    <cellStyle name="Output 23 17" xfId="22545" xr:uid="{BF46687B-2C19-49BD-925B-F5E8AB828CDD}"/>
    <cellStyle name="Output 23 18" xfId="21622" xr:uid="{227F6F9C-16A7-4DF6-970D-987144F255A5}"/>
    <cellStyle name="Output 23 19" xfId="22774" xr:uid="{DB84D985-DA61-4217-A8EE-95644643A1EA}"/>
    <cellStyle name="Output 23 2" xfId="9727" xr:uid="{4FF66FB1-D50C-4FC9-BF91-7E30C907BDB3}"/>
    <cellStyle name="Output 23 20" xfId="17293" xr:uid="{3BA0C461-4519-4F0F-8FB4-167291E09F87}"/>
    <cellStyle name="Output 23 21" xfId="24647" xr:uid="{3B3178EC-49CB-4921-8397-E75F759604D1}"/>
    <cellStyle name="Output 23 22" xfId="26558" xr:uid="{3C5219AB-FF6F-4F33-9099-9CE71D693DBF}"/>
    <cellStyle name="Output 23 23" xfId="24479" xr:uid="{FD91A82B-B18E-4421-B9A2-E1988BC6F289}"/>
    <cellStyle name="Output 23 24" xfId="23078" xr:uid="{1CD02FF3-A89A-471E-8644-D65121026C69}"/>
    <cellStyle name="Output 23 25" xfId="29291" xr:uid="{17894912-D2ED-4C2C-863A-B9C78D9018ED}"/>
    <cellStyle name="Output 23 26" xfId="25200" xr:uid="{62E1C79E-4B65-475E-846D-4C3DD9D11499}"/>
    <cellStyle name="Output 23 27" xfId="24894" xr:uid="{65B704E0-7789-4173-A111-450BDE78E9B6}"/>
    <cellStyle name="Output 23 28" xfId="30041" xr:uid="{5F9C7D2E-767F-46D0-BB6F-208C5A30BF10}"/>
    <cellStyle name="Output 23 29" xfId="29861" xr:uid="{C041E6DA-9373-4BCA-91B2-CE9375612502}"/>
    <cellStyle name="Output 23 3" xfId="7856" xr:uid="{271E8919-6C80-46F7-9AB4-979C2FF27D1E}"/>
    <cellStyle name="Output 23 30" xfId="28466" xr:uid="{362D9010-0DB5-4A09-AE28-C09B60E4B4B3}"/>
    <cellStyle name="Output 23 31" xfId="24238" xr:uid="{D8F708C9-2452-49A7-B82C-5BF008E42626}"/>
    <cellStyle name="Output 23 32" xfId="27698" xr:uid="{AE19655B-7C8D-4D11-AEFC-CF4AA095A713}"/>
    <cellStyle name="Output 23 33" xfId="6651" xr:uid="{E9B8AFB3-8A2C-4408-8342-AF3701549EB5}"/>
    <cellStyle name="Output 23 4" xfId="9562" xr:uid="{DF64E2A6-8CA5-4396-86F2-CF8B79D23090}"/>
    <cellStyle name="Output 23 5" xfId="7574" xr:uid="{088E5BF5-733E-4502-A6A2-96FE374496D5}"/>
    <cellStyle name="Output 23 6" xfId="8651" xr:uid="{58581DE6-0BC8-4815-A4C0-FCF5F2D82B31}"/>
    <cellStyle name="Output 23 7" xfId="10510" xr:uid="{9D90FA44-AF4B-4620-8452-5E92FD417953}"/>
    <cellStyle name="Output 23 8" xfId="7540" xr:uid="{E1026C2C-4C25-4D59-9F27-550B7B8B3908}"/>
    <cellStyle name="Output 23 9" xfId="12168" xr:uid="{F643788A-5D25-4DFA-9999-D8CC00674C8A}"/>
    <cellStyle name="Output 24" xfId="3171" xr:uid="{070805CD-E070-427C-AE11-7FBF0345133B}"/>
    <cellStyle name="Output 24 10" xfId="14157" xr:uid="{1A58E306-F7AA-4713-86D6-A3690832B18B}"/>
    <cellStyle name="Output 24 11" xfId="19521" xr:uid="{7968D5CB-7394-46CD-BE19-12CABF5A6C99}"/>
    <cellStyle name="Output 24 12" xfId="16437" xr:uid="{866BDD99-9100-47D0-ACAD-5337EF01AD8F}"/>
    <cellStyle name="Output 24 13" xfId="17338" xr:uid="{6C9B885A-2B60-458F-A3D8-A84616E7ECF7}"/>
    <cellStyle name="Output 24 14" xfId="10001" xr:uid="{135DA76A-2B32-4DF5-93E3-2BF5C0ED779D}"/>
    <cellStyle name="Output 24 15" xfId="21547" xr:uid="{FD441972-AF06-4F29-B5AF-4E7EC512E6F5}"/>
    <cellStyle name="Output 24 16" xfId="17280" xr:uid="{38CB8C13-6957-44DB-9CE7-1C7F71F59627}"/>
    <cellStyle name="Output 24 17" xfId="21337" xr:uid="{9E3E7E2C-2CA7-4097-BD5D-CE1204FDD731}"/>
    <cellStyle name="Output 24 18" xfId="21610" xr:uid="{ADB6F49A-A867-449E-A059-D8D4E6C71197}"/>
    <cellStyle name="Output 24 19" xfId="24862" xr:uid="{7D90DD2C-121B-477B-8643-4823AF1DA059}"/>
    <cellStyle name="Output 24 2" xfId="9728" xr:uid="{88109273-8C16-428C-BAB1-A50D651AE76C}"/>
    <cellStyle name="Output 24 20" xfId="13773" xr:uid="{4249333B-9198-46E2-BC5D-B1334FB60B56}"/>
    <cellStyle name="Output 24 21" xfId="18771" xr:uid="{6DCBD1D9-CF46-4E92-A876-21FCC5FA5840}"/>
    <cellStyle name="Output 24 22" xfId="26329" xr:uid="{0893F043-0BF7-45FA-8BE0-B5C9C1B9ECB1}"/>
    <cellStyle name="Output 24 23" xfId="25381" xr:uid="{0858B3FA-24BE-44D9-BC28-AE04BA49BEC1}"/>
    <cellStyle name="Output 24 24" xfId="18800" xr:uid="{76DEBBA6-C6D3-4F22-8A2A-DE5FF2CFCD09}"/>
    <cellStyle name="Output 24 25" xfId="27956" xr:uid="{4C902AC3-8C0E-4BBC-A9C6-BCE24A42F2ED}"/>
    <cellStyle name="Output 24 26" xfId="28529" xr:uid="{5694C44F-1C8D-4AD9-B9B6-0706474060D4}"/>
    <cellStyle name="Output 24 27" xfId="30129" xr:uid="{777809B9-24A4-46E1-9E2C-187792815C47}"/>
    <cellStyle name="Output 24 28" xfId="29991" xr:uid="{71B5E000-D520-4DE5-907D-404585FAE7D1}"/>
    <cellStyle name="Output 24 29" xfId="23636" xr:uid="{53FBBEC3-4910-4640-959A-6EB9DA3347ED}"/>
    <cellStyle name="Output 24 3" xfId="7855" xr:uid="{90EA083A-5444-400F-B72C-115199DDA996}"/>
    <cellStyle name="Output 24 30" xfId="27090" xr:uid="{940505D3-D2C4-4E65-A7D6-A009A7CCFE2F}"/>
    <cellStyle name="Output 24 31" xfId="26608" xr:uid="{9988D127-4A21-4260-8A80-6879503EEE10}"/>
    <cellStyle name="Output 24 32" xfId="28257" xr:uid="{7704B2C3-7DD6-4B8A-89BB-449C396C620B}"/>
    <cellStyle name="Output 24 33" xfId="6652" xr:uid="{C6FFBBE9-0B93-49B1-AF39-9B037372424B}"/>
    <cellStyle name="Output 24 4" xfId="9563" xr:uid="{8E2E39B6-4182-4014-A89B-A1D7AF794944}"/>
    <cellStyle name="Output 24 5" xfId="14283" xr:uid="{8E8483A5-F405-466A-9FD2-4F1D3E00871B}"/>
    <cellStyle name="Output 24 6" xfId="8650" xr:uid="{2C2EC05B-FAEB-456F-912C-A2A3B92D9948}"/>
    <cellStyle name="Output 24 7" xfId="15298" xr:uid="{B2024B11-EE30-4051-B9F5-CB31E97A069C}"/>
    <cellStyle name="Output 24 8" xfId="11950" xr:uid="{A2C827D7-5F30-4A3B-8B31-E62D1AB2867D}"/>
    <cellStyle name="Output 24 9" xfId="15984" xr:uid="{FE25A1C3-0437-4974-8A3B-ECB24D2E73E5}"/>
    <cellStyle name="Output 25" xfId="3172" xr:uid="{981ACB12-D44F-44C0-8676-3E7438818027}"/>
    <cellStyle name="Output 25 10" xfId="12409" xr:uid="{D5D3D3E9-F8D8-47E3-AB87-78152654E910}"/>
    <cellStyle name="Output 25 11" xfId="19255" xr:uid="{05FBE7B5-2313-40CE-B7FD-5ED091082DD9}"/>
    <cellStyle name="Output 25 12" xfId="12576" xr:uid="{EAB2EA0C-70F4-46F9-87CD-992B48A400D6}"/>
    <cellStyle name="Output 25 13" xfId="12685" xr:uid="{C7EFFD98-594D-4050-8859-06394158C513}"/>
    <cellStyle name="Output 25 14" xfId="15313" xr:uid="{F0BE4948-F265-4366-9A8D-B77946384F24}"/>
    <cellStyle name="Output 25 15" xfId="17699" xr:uid="{5E3218D4-B0DA-4616-9C1B-FFA5280AEAF9}"/>
    <cellStyle name="Output 25 16" xfId="15164" xr:uid="{1F843404-60F4-420B-822D-2A0A3125A910}"/>
    <cellStyle name="Output 25 17" xfId="17011" xr:uid="{5F594521-0E7E-462B-A460-F2580F2F0A9F}"/>
    <cellStyle name="Output 25 18" xfId="18193" xr:uid="{5E2653FC-6708-4CB1-90A8-CD6A307762E4}"/>
    <cellStyle name="Output 25 19" xfId="20403" xr:uid="{2983C300-5F1E-4B18-B13D-1222E6904A40}"/>
    <cellStyle name="Output 25 2" xfId="9729" xr:uid="{7A024B88-8CC9-427C-9399-1C94D817A715}"/>
    <cellStyle name="Output 25 20" xfId="17294" xr:uid="{1A9233CF-7CE1-4104-AD7D-A3DB9AB5A7FE}"/>
    <cellStyle name="Output 25 21" xfId="24646" xr:uid="{5EAEAA48-9FBB-4265-872F-18EE829BB05E}"/>
    <cellStyle name="Output 25 22" xfId="26315" xr:uid="{5A792B31-6F5F-477E-9433-85274399A6C1}"/>
    <cellStyle name="Output 25 23" xfId="21856" xr:uid="{B2B60D2D-015A-46F2-9334-A970F4C3ADF9}"/>
    <cellStyle name="Output 25 24" xfId="23077" xr:uid="{479982DE-72B0-411D-90CF-20941A809885}"/>
    <cellStyle name="Output 25 25" xfId="29290" xr:uid="{EE0FFF72-E859-4C96-B971-A05C9019D449}"/>
    <cellStyle name="Output 25 26" xfId="27119" xr:uid="{9A5C1D90-C2DD-41F1-8842-B61FA85558E4}"/>
    <cellStyle name="Output 25 27" xfId="29961" xr:uid="{7DEA8283-5C8A-47DF-B8DC-47F576AED021}"/>
    <cellStyle name="Output 25 28" xfId="29985" xr:uid="{879D3BF8-0C93-4216-ABE4-C4E33BE18A47}"/>
    <cellStyle name="Output 25 29" xfId="30035" xr:uid="{47735AF0-DEDB-48C2-8E51-5F14F61C1D55}"/>
    <cellStyle name="Output 25 3" xfId="7854" xr:uid="{37162474-7737-4A7A-84DB-2E26EF97ACAC}"/>
    <cellStyle name="Output 25 30" xfId="28465" xr:uid="{BCB51B23-04CD-47D0-8143-A0982F504EF2}"/>
    <cellStyle name="Output 25 31" xfId="23659" xr:uid="{F3BBCACB-4FF9-406A-B716-B63EA58F78E2}"/>
    <cellStyle name="Output 25 32" xfId="25883" xr:uid="{5A4F00B3-58E9-429F-A9ED-2A947F087048}"/>
    <cellStyle name="Output 25 33" xfId="6653" xr:uid="{DCEE0C6F-B700-4DF9-98D4-F416730F28B1}"/>
    <cellStyle name="Output 25 4" xfId="9564" xr:uid="{6CE34381-C58A-49AE-82B9-55A97F9B193B}"/>
    <cellStyle name="Output 25 5" xfId="7573" xr:uid="{055D19A3-BAD6-4F72-924A-158AD3577BF6}"/>
    <cellStyle name="Output 25 6" xfId="8649" xr:uid="{29446330-2C8D-464C-924B-D2164FDAC014}"/>
    <cellStyle name="Output 25 7" xfId="12785" xr:uid="{D9CA96B9-811A-404C-9677-7493A77F9690}"/>
    <cellStyle name="Output 25 8" xfId="7539" xr:uid="{F5431CD7-09EB-4517-BC51-3537D4A49ADA}"/>
    <cellStyle name="Output 25 9" xfId="14789" xr:uid="{466159E2-E751-420A-8855-196EF39E9F53}"/>
    <cellStyle name="Output 26" xfId="3173" xr:uid="{EBF42B6F-2047-45F5-B1BA-4131C34A47DF}"/>
    <cellStyle name="Output 26 10" xfId="14156" xr:uid="{9E9BFE3B-29CB-4060-999C-528855951E34}"/>
    <cellStyle name="Output 26 11" xfId="19241" xr:uid="{6EB3AD09-DE1D-484E-9980-39CE9F3AC74F}"/>
    <cellStyle name="Output 26 12" xfId="16436" xr:uid="{140CDECA-674B-4F58-B1F5-54781780E80C}"/>
    <cellStyle name="Output 26 13" xfId="17337" xr:uid="{162160E1-4623-4C08-A6C1-0B58D60333D7}"/>
    <cellStyle name="Output 26 14" xfId="15047" xr:uid="{BAC38F91-D3A6-497F-A94F-B5A1E4AA972E}"/>
    <cellStyle name="Output 26 15" xfId="21546" xr:uid="{A40F0DF3-D03D-453A-B585-F8031E876BDE}"/>
    <cellStyle name="Output 26 16" xfId="16042" xr:uid="{E6365A23-A0BE-43B2-94FF-2E021B9FA6EA}"/>
    <cellStyle name="Output 26 17" xfId="22544" xr:uid="{56BB48EE-389D-4419-91E5-BB9300480C9C}"/>
    <cellStyle name="Output 26 18" xfId="12622" xr:uid="{2712FAA5-E53A-4326-8C4F-53F365AA4D56}"/>
    <cellStyle name="Output 26 19" xfId="24861" xr:uid="{C2CFF410-8490-4DBA-93E4-F90828D9DF0C}"/>
    <cellStyle name="Output 26 2" xfId="9730" xr:uid="{0C327135-DC83-41EA-88D0-46C97C4CC871}"/>
    <cellStyle name="Output 26 20" xfId="12679" xr:uid="{4B94B59B-5F35-44B7-9AEE-DDB0CBCC23A6}"/>
    <cellStyle name="Output 26 21" xfId="22833" xr:uid="{6C090195-EC0D-4E3B-94BE-B1783DDBCEBC}"/>
    <cellStyle name="Output 26 22" xfId="26328" xr:uid="{6C966037-5D43-47BC-ADDB-BF2ACA750515}"/>
    <cellStyle name="Output 26 23" xfId="21967" xr:uid="{5449F444-7EA7-4E9A-9A8E-009C75823799}"/>
    <cellStyle name="Output 26 24" xfId="22432" xr:uid="{CDFA3F45-62DC-4081-A30C-80632711425B}"/>
    <cellStyle name="Output 26 25" xfId="23177" xr:uid="{114A2825-8E62-4EDD-8D17-F4A992DDC5F4}"/>
    <cellStyle name="Output 26 26" xfId="28528" xr:uid="{66B753A1-D34A-473E-9B0C-7F52CF542CC0}"/>
    <cellStyle name="Output 26 27" xfId="22953" xr:uid="{D65F31A6-B630-4F22-B8D5-4CC6E810B88E}"/>
    <cellStyle name="Output 26 28" xfId="29982" xr:uid="{649E8E80-D619-4C56-873B-78ACA55BE65D}"/>
    <cellStyle name="Output 26 29" xfId="27836" xr:uid="{B6CEE11F-3B47-4A63-8AFE-29B4B788628C}"/>
    <cellStyle name="Output 26 3" xfId="7853" xr:uid="{BBA606B0-8766-484A-ABF2-E21464AD1001}"/>
    <cellStyle name="Output 26 30" xfId="25629" xr:uid="{97C1325C-40D6-4B81-9308-CB5390B50EC5}"/>
    <cellStyle name="Output 26 31" xfId="29252" xr:uid="{19F91041-A800-4A84-A1BA-527F90815C55}"/>
    <cellStyle name="Output 26 32" xfId="30005" xr:uid="{2084EFCD-3C95-4BD1-89FB-5077AC8E17A9}"/>
    <cellStyle name="Output 26 33" xfId="6654" xr:uid="{CDF856B9-393E-45A5-8A13-3A2749C78464}"/>
    <cellStyle name="Output 26 4" xfId="9565" xr:uid="{E5DE4464-276E-4F60-89DF-612840D917B9}"/>
    <cellStyle name="Output 26 5" xfId="7572" xr:uid="{68C9F899-6781-4150-B15B-6ADECF49FB62}"/>
    <cellStyle name="Output 26 6" xfId="8648" xr:uid="{07C15A35-023A-41C2-A3F0-851D088C1969}"/>
    <cellStyle name="Output 26 7" xfId="13507" xr:uid="{C41E0C64-812F-4461-92A5-E1BC3D16014D}"/>
    <cellStyle name="Output 26 8" xfId="11949" xr:uid="{0E7F7782-F88B-4DA6-B3CE-2733766368F9}"/>
    <cellStyle name="Output 26 9" xfId="12167" xr:uid="{C33495C1-DC56-4FAF-B1A7-730E44C87A8F}"/>
    <cellStyle name="Output 27" xfId="3174" xr:uid="{8A4802E9-6E17-4BD4-B273-11D735DC6D1F}"/>
    <cellStyle name="Output 27 10" xfId="12410" xr:uid="{EC7822A7-AB10-4775-B56F-01B5B40F8C47}"/>
    <cellStyle name="Output 27 11" xfId="19254" xr:uid="{A3D36DF9-C970-46EF-BB50-A729D92319CD}"/>
    <cellStyle name="Output 27 12" xfId="15871" xr:uid="{AA33670A-2492-4275-99ED-9DEB0DCBAC67}"/>
    <cellStyle name="Output 27 13" xfId="14509" xr:uid="{C3F3710D-6FF0-40A1-B324-29A295D1CEDC}"/>
    <cellStyle name="Output 27 14" xfId="15033" xr:uid="{BE8CDE21-1A36-4F97-9000-F3950FC4636F}"/>
    <cellStyle name="Output 27 15" xfId="19679" xr:uid="{21964683-3348-47A0-9DD7-FABC9C1B2B1B}"/>
    <cellStyle name="Output 27 16" xfId="21668" xr:uid="{97B918D4-F0A5-43CA-A3FA-228ED6C2F7E9}"/>
    <cellStyle name="Output 27 17" xfId="21336" xr:uid="{28CA76CE-3A1B-4903-AD1D-9F0F8A259919}"/>
    <cellStyle name="Output 27 18" xfId="18192" xr:uid="{B09480F5-4599-4397-8C7E-0FEA02F49D2C}"/>
    <cellStyle name="Output 27 19" xfId="25924" xr:uid="{C179236F-37D0-406E-AF60-60AF9E44FA45}"/>
    <cellStyle name="Output 27 2" xfId="9731" xr:uid="{EC76A806-3FA7-457E-A033-5755F8221CC1}"/>
    <cellStyle name="Output 27 20" xfId="17295" xr:uid="{A2DD6785-271E-4741-92F7-78DAC76DEFE7}"/>
    <cellStyle name="Output 27 21" xfId="22315" xr:uid="{3C9A30B7-2E54-482C-96F4-FC11B0E22970}"/>
    <cellStyle name="Output 27 22" xfId="26317" xr:uid="{0B73C61B-494A-440F-AA78-6719E3A648C0}"/>
    <cellStyle name="Output 27 23" xfId="24478" xr:uid="{310D342F-8C91-4A2F-8979-FF5E6C19777B}"/>
    <cellStyle name="Output 27 24" xfId="23076" xr:uid="{20C914D1-883D-4443-8FC9-E9909321634C}"/>
    <cellStyle name="Output 27 25" xfId="27955" xr:uid="{CCEABA57-E593-421A-8AB1-59217B4BAEC3}"/>
    <cellStyle name="Output 27 26" xfId="29110" xr:uid="{349013DB-8F6C-48B2-BAE5-CB6362413B39}"/>
    <cellStyle name="Output 27 27" xfId="29964" xr:uid="{6D927F48-A392-44E0-9308-C10BA9C6BCF8}"/>
    <cellStyle name="Output 27 28" xfId="30042" xr:uid="{A215313D-7901-4B56-AF9E-D8AFE73A1811}"/>
    <cellStyle name="Output 27 29" xfId="29409" xr:uid="{ED6324FD-A91B-4FA2-9D1F-816C3E1B1B1F}"/>
    <cellStyle name="Output 27 3" xfId="7852" xr:uid="{AC59C69F-520A-4521-A99B-6C2AFA0990BE}"/>
    <cellStyle name="Output 27 30" xfId="25631" xr:uid="{5F3CB794-9686-4165-B6A6-05148838A135}"/>
    <cellStyle name="Output 27 31" xfId="26607" xr:uid="{A167328E-5A93-4636-BB1C-AA4672A62957}"/>
    <cellStyle name="Output 27 32" xfId="26948" xr:uid="{4F1A5461-701B-4EB3-B644-004D6380B46B}"/>
    <cellStyle name="Output 27 33" xfId="6655" xr:uid="{A9241BC6-E8A6-4961-AA82-6B42AD1AAE86}"/>
    <cellStyle name="Output 27 4" xfId="9566" xr:uid="{C480DA02-211D-4205-919F-67A761D3B08F}"/>
    <cellStyle name="Output 27 5" xfId="11979" xr:uid="{D0FF7DDD-1774-4BB5-A391-40F2B7F988B6}"/>
    <cellStyle name="Output 27 6" xfId="8646" xr:uid="{F2EC6C95-2EC4-4CBF-9FEC-B12BAD64706D}"/>
    <cellStyle name="Output 27 7" xfId="15461" xr:uid="{98501DE2-D6CF-429B-99DF-8EB4E28545D3}"/>
    <cellStyle name="Output 27 8" xfId="7538" xr:uid="{BC19BFC6-B68D-43F1-AA88-BDEFB7512537}"/>
    <cellStyle name="Output 27 9" xfId="14788" xr:uid="{32DEBC50-9A6A-4E1C-B6EF-A0984C12C18E}"/>
    <cellStyle name="Output 28" xfId="3175" xr:uid="{3A9FCA46-099A-497B-8645-D2C7F60ADAF5}"/>
    <cellStyle name="Output 28 10" xfId="14155" xr:uid="{79C7A040-0D17-465A-9A4B-CADF1070B803}"/>
    <cellStyle name="Output 28 11" xfId="19243" xr:uid="{58956EFA-DA29-494A-8843-81B03FF441E3}"/>
    <cellStyle name="Output 28 12" xfId="16435" xr:uid="{5040070B-1B25-49D8-B3D9-F1FA947595E2}"/>
    <cellStyle name="Output 28 13" xfId="14515" xr:uid="{90879337-C7DE-4A61-9BA1-BB15CBE23D59}"/>
    <cellStyle name="Output 28 14" xfId="15046" xr:uid="{1253E3FD-AFB7-4E78-8710-C6D4036E0F2B}"/>
    <cellStyle name="Output 28 15" xfId="21545" xr:uid="{00868670-D214-40DA-8133-7CD68A27474B}"/>
    <cellStyle name="Output 28 16" xfId="21901" xr:uid="{AB38843F-6D07-4326-9ADE-6D36B47689E3}"/>
    <cellStyle name="Output 28 17" xfId="19581" xr:uid="{9BBD4210-3582-4CBB-AE3D-1EC308C13DFB}"/>
    <cellStyle name="Output 28 18" xfId="15783" xr:uid="{199B0203-8C52-48D9-9938-17153C3AB79B}"/>
    <cellStyle name="Output 28 19" xfId="25273" xr:uid="{C7D4B2C0-9C9C-4D06-869A-03C8BE5784A2}"/>
    <cellStyle name="Output 28 2" xfId="9732" xr:uid="{D5EA69D2-C730-4F18-B810-23708EC3E113}"/>
    <cellStyle name="Output 28 20" xfId="14520" xr:uid="{EBD41262-D11F-4D96-A3E7-D3A220D30B27}"/>
    <cellStyle name="Output 28 21" xfId="22832" xr:uid="{F52164D3-3753-4CD1-8E3E-750AE0172834}"/>
    <cellStyle name="Output 28 22" xfId="21294" xr:uid="{910CBD57-E299-4610-9F35-AB7B8CA3826D}"/>
    <cellStyle name="Output 28 23" xfId="25382" xr:uid="{70BBBE54-2495-493A-857E-C36E82480827}"/>
    <cellStyle name="Output 28 24" xfId="20439" xr:uid="{AAC84CF9-1E98-4AC1-9E12-8197669F1568}"/>
    <cellStyle name="Output 28 25" xfId="29285" xr:uid="{95B5A396-9478-4F85-BB27-C8546066AB17}"/>
    <cellStyle name="Output 28 26" xfId="25223" xr:uid="{BD03A244-C1E5-4528-8D90-8D487D585B4C}"/>
    <cellStyle name="Output 28 27" xfId="24893" xr:uid="{BDBED5C6-3BA9-4D64-8116-5A40E38DE2C9}"/>
    <cellStyle name="Output 28 28" xfId="27371" xr:uid="{C24990FC-23AC-4BFF-888B-0798FA91E0F2}"/>
    <cellStyle name="Output 28 29" xfId="25964" xr:uid="{18170BD9-13DB-4B2D-AF39-3E371C066D44}"/>
    <cellStyle name="Output 28 3" xfId="7851" xr:uid="{77DF38FC-C3DE-430D-A4B8-BD9D476398C8}"/>
    <cellStyle name="Output 28 30" xfId="29314" xr:uid="{6053C868-3A8F-4491-9BCB-46021664884D}"/>
    <cellStyle name="Output 28 31" xfId="22249" xr:uid="{3B06CC49-A5B8-4AFA-BAB4-51C0DF7A8714}"/>
    <cellStyle name="Output 28 32" xfId="29220" xr:uid="{9E76E2AB-8CD3-4D39-8A03-2E86405D3D31}"/>
    <cellStyle name="Output 28 33" xfId="6656" xr:uid="{AB80F539-DFDD-4021-A6F5-37FFB033F11D}"/>
    <cellStyle name="Output 28 4" xfId="9567" xr:uid="{0EFE3832-01E2-4A5F-9C3F-8A3F1E1DA36B}"/>
    <cellStyle name="Output 28 5" xfId="14562" xr:uid="{EDDD890F-74EA-450C-83C9-D58A29550F6B}"/>
    <cellStyle name="Output 28 6" xfId="8645" xr:uid="{CDDFDCCC-72B2-400B-9D97-2395B8D34944}"/>
    <cellStyle name="Output 28 7" xfId="12782" xr:uid="{78541035-84D6-4985-B0A2-B384350F844B}"/>
    <cellStyle name="Output 28 8" xfId="11948" xr:uid="{ECE57B46-8204-4609-B800-8168F0120406}"/>
    <cellStyle name="Output 28 9" xfId="12170" xr:uid="{C28D12E1-5CE9-4D37-A9AE-8F0C5040A2BA}"/>
    <cellStyle name="Output 29" xfId="3176" xr:uid="{0D2E3667-0813-4C45-BECC-C5FFE2D0A487}"/>
    <cellStyle name="Output 29 10" xfId="12411" xr:uid="{D38FF321-96A6-440D-8820-9000570F6A7E}"/>
    <cellStyle name="Output 29 11" xfId="16758" xr:uid="{C5764F0E-C339-411D-A1F1-DD8990D0C038}"/>
    <cellStyle name="Output 29 12" xfId="13991" xr:uid="{4DA85B50-F0E5-4702-89E4-9B815FECED45}"/>
    <cellStyle name="Output 29 13" xfId="17336" xr:uid="{FC721AA0-1AD6-4E98-B4E5-894A05CC8B54}"/>
    <cellStyle name="Output 29 14" xfId="15035" xr:uid="{5FEC828D-757E-48D5-B2B9-5DE2EB608DCC}"/>
    <cellStyle name="Output 29 15" xfId="12661" xr:uid="{E7D9A8AC-179A-4C0A-BBF2-A6531A605335}"/>
    <cellStyle name="Output 29 16" xfId="15667" xr:uid="{8F2D8273-924D-4783-88E7-B98F74809BD0}"/>
    <cellStyle name="Output 29 17" xfId="21335" xr:uid="{FC2BAFC2-2A61-40F7-A236-8BACE7EB7C23}"/>
    <cellStyle name="Output 29 18" xfId="18191" xr:uid="{1055DB5E-9041-422B-BB53-5A79B0C34D35}"/>
    <cellStyle name="Output 29 19" xfId="22772" xr:uid="{CE090D95-4B7E-4D82-933E-B2EB2A394E73}"/>
    <cellStyle name="Output 29 2" xfId="9733" xr:uid="{0260F8D1-36AD-4F62-8CAC-18CE66E895AD}"/>
    <cellStyle name="Output 29 20" xfId="17296" xr:uid="{1F07E8EB-0873-433A-96D0-0B723DCF079B}"/>
    <cellStyle name="Output 29 21" xfId="24645" xr:uid="{116FAE93-4FEF-41F8-AC2C-7294C5F7BBF4}"/>
    <cellStyle name="Output 29 22" xfId="17029" xr:uid="{9CCE9E40-329E-412A-BF45-9F729B4DF88F}"/>
    <cellStyle name="Output 29 23" xfId="22261" xr:uid="{E1986B35-91A1-41A3-B078-9B9314A0BA12}"/>
    <cellStyle name="Output 29 24" xfId="22431" xr:uid="{1687BE27-10D4-4512-8A87-80B3BEF49F08}"/>
    <cellStyle name="Output 29 25" xfId="29288" xr:uid="{E36DCB6B-687E-4C07-A09F-0CA33E35B4A6}"/>
    <cellStyle name="Output 29 26" xfId="27675" xr:uid="{142A1858-7A93-447F-B729-B0B98D68BE24}"/>
    <cellStyle name="Output 29 27" xfId="29963" xr:uid="{013DC90A-87C8-4105-94FE-397B9D8C54BC}"/>
    <cellStyle name="Output 29 28" xfId="26209" xr:uid="{5BE0AAD7-BF9A-42A5-93EA-2CB9167449A7}"/>
    <cellStyle name="Output 29 29" xfId="29652" xr:uid="{50D6A4D0-2EFE-405F-879D-058176266D88}"/>
    <cellStyle name="Output 29 3" xfId="7850" xr:uid="{C12176F9-DE53-4177-B416-1D0B9EA83578}"/>
    <cellStyle name="Output 29 30" xfId="28464" xr:uid="{498F272B-D97F-40E2-8323-E551BE4C9508}"/>
    <cellStyle name="Output 29 31" xfId="25429" xr:uid="{3F58B37E-826D-431B-B726-6320E6A3C503}"/>
    <cellStyle name="Output 29 32" xfId="29602" xr:uid="{3E9F7706-6C74-4B7D-A0B3-8531098D06D3}"/>
    <cellStyle name="Output 29 33" xfId="6657" xr:uid="{39E6E130-FCDA-4940-94DF-859924BD37E3}"/>
    <cellStyle name="Output 29 4" xfId="9568" xr:uid="{538547D8-2FA7-4A87-B732-F6D4B59B9A4F}"/>
    <cellStyle name="Output 29 5" xfId="14293" xr:uid="{1D60637C-BB15-492C-834E-6593E5C54528}"/>
    <cellStyle name="Output 29 6" xfId="8644" xr:uid="{AA036EF6-D157-4BA1-9697-214BCF4E1B27}"/>
    <cellStyle name="Output 29 7" xfId="14984" xr:uid="{1E94F4F4-7677-4E52-925B-08A61F8A9579}"/>
    <cellStyle name="Output 29 8" xfId="7537" xr:uid="{E1A7B889-7591-434F-BBC6-416FAAC246D7}"/>
    <cellStyle name="Output 29 9" xfId="14787" xr:uid="{B27BE60F-F7B2-4B2E-BEBD-CF43648C6C80}"/>
    <cellStyle name="Output 3" xfId="3177" xr:uid="{C7224B27-EC4A-47CA-9C87-5DF2EB8754B3}"/>
    <cellStyle name="Output 3 10" xfId="14154" xr:uid="{B6B0E25E-DADA-4956-9A51-DA0584FCB228}"/>
    <cellStyle name="Output 3 11" xfId="13648" xr:uid="{CE5F20D2-FBA4-4165-8D36-033C9295AC0D}"/>
    <cellStyle name="Output 3 12" xfId="16434" xr:uid="{408E5062-722D-4210-A0A9-32F7026545D3}"/>
    <cellStyle name="Output 3 13" xfId="15654" xr:uid="{5B1DF49D-07D0-4153-9C75-18012B26078B}"/>
    <cellStyle name="Output 3 14" xfId="10002" xr:uid="{97CDB51B-78AE-4AD9-B6AB-D7AABDCECD6C}"/>
    <cellStyle name="Output 3 15" xfId="21544" xr:uid="{EB8763FC-6CB5-4799-95CC-F6961F545CF9}"/>
    <cellStyle name="Output 3 16" xfId="17261" xr:uid="{E179BEC0-9485-4593-8DF4-0A8061AE1B14}"/>
    <cellStyle name="Output 3 17" xfId="17012" xr:uid="{F597A5D8-A433-430B-916C-04663D879CA3}"/>
    <cellStyle name="Output 3 18" xfId="21897" xr:uid="{75AD6719-FFEE-492B-8E52-0FD18A85A538}"/>
    <cellStyle name="Output 3 19" xfId="23509" xr:uid="{9060D1A1-4298-43AA-B0C2-5387A6EA56D7}"/>
    <cellStyle name="Output 3 2" xfId="9734" xr:uid="{07F24E16-CA83-4F9E-BD9D-9DA18E0C84F6}"/>
    <cellStyle name="Output 3 20" xfId="15663" xr:uid="{3DBA2EC6-7620-4033-B0AE-EA915309634F}"/>
    <cellStyle name="Output 3 21" xfId="20380" xr:uid="{A3A631C7-0036-42D5-9209-2B4D320F9224}"/>
    <cellStyle name="Output 3 22" xfId="21293" xr:uid="{6B4E9E75-FFA2-4490-93D2-40C2D925B66A}"/>
    <cellStyle name="Output 3 23" xfId="23430" xr:uid="{EB5583B3-9604-4CC3-911A-C634710EB31E}"/>
    <cellStyle name="Output 3 24" xfId="23074" xr:uid="{7C9DF6E4-BC4B-45DA-A6A0-2F5B712FD475}"/>
    <cellStyle name="Output 3 25" xfId="20480" xr:uid="{F13036E9-99DF-421E-9EC9-EEAFB2727684}"/>
    <cellStyle name="Output 3 26" xfId="29067" xr:uid="{A3F88021-91B1-4958-9318-838FF816C6EA}"/>
    <cellStyle name="Output 3 27" xfId="22375" xr:uid="{6CF35C07-7AF2-4020-8712-EF87FE617A0A}"/>
    <cellStyle name="Output 3 28" xfId="29503" xr:uid="{ED19AF48-3F17-4C0A-9E89-0BE93DBC949B}"/>
    <cellStyle name="Output 3 29" xfId="27835" xr:uid="{02AE0E78-8D7F-4D70-8AEA-E7A13F7F2EAC}"/>
    <cellStyle name="Output 3 3" xfId="7849" xr:uid="{AF041615-C8BE-43F7-8A32-174F4B0D4A21}"/>
    <cellStyle name="Output 3 30" xfId="27089" xr:uid="{2DF4CD2A-3F2D-43DB-AB34-4CC21B9C00C6}"/>
    <cellStyle name="Output 3 31" xfId="26605" xr:uid="{65FD93B9-C861-4D82-AA18-1F150132AD0F}"/>
    <cellStyle name="Output 3 32" xfId="25022" xr:uid="{023F540B-1603-4B5C-B58D-E18BDAB3BAD8}"/>
    <cellStyle name="Output 3 33" xfId="6658" xr:uid="{626C1CEB-6838-4943-997F-7B99C925CAED}"/>
    <cellStyle name="Output 3 4" xfId="9569" xr:uid="{51756301-0E87-4742-896A-4AF1B1B408C9}"/>
    <cellStyle name="Output 3 5" xfId="14279" xr:uid="{6AEE0753-3D69-4964-A9D6-78C091C5BE70}"/>
    <cellStyle name="Output 3 6" xfId="8643" xr:uid="{7D340AF4-98B0-4AF0-BEA4-3A275E2D61E7}"/>
    <cellStyle name="Output 3 7" xfId="12964" xr:uid="{5A9EA3C6-3081-4342-A3F6-CD9E2AEF66C8}"/>
    <cellStyle name="Output 3 8" xfId="11947" xr:uid="{3A690549-20B0-4EA7-8DE5-590B6FA25BEF}"/>
    <cellStyle name="Output 3 9" xfId="12172" xr:uid="{F4BDB96B-1140-4FEA-B0B4-9BE855F64DD7}"/>
    <cellStyle name="Output 30" xfId="3178" xr:uid="{D6B51DF2-7879-4059-A94D-D307779DD99A}"/>
    <cellStyle name="Output 30 10" xfId="12412" xr:uid="{B56E1C9A-71A1-4F06-B1BF-DBB1C6B17AF4}"/>
    <cellStyle name="Output 30 11" xfId="15172" xr:uid="{424F2737-8EB4-4C62-8F03-B661B69899AA}"/>
    <cellStyle name="Output 30 12" xfId="15870" xr:uid="{D82B0FFB-0FB7-4A3E-A992-45CE0ABE5F31}"/>
    <cellStyle name="Output 30 13" xfId="17335" xr:uid="{7A0AEB6E-300E-4D13-890C-CD7ABF0FC21B}"/>
    <cellStyle name="Output 30 14" xfId="10003" xr:uid="{678C83A3-D57A-46F3-9F64-D95E45CCE126}"/>
    <cellStyle name="Output 30 15" xfId="19678" xr:uid="{2DA36F4E-A8E0-4CDD-B00E-E82CB8CDCA27}"/>
    <cellStyle name="Output 30 16" xfId="17279" xr:uid="{9E96256E-E374-4C90-98C2-C2D6A970A7EF}"/>
    <cellStyle name="Output 30 17" xfId="21334" xr:uid="{DAAC3233-24B2-415A-9CE3-9918C69F3316}"/>
    <cellStyle name="Output 30 18" xfId="16251" xr:uid="{4FF527CC-9375-4AF4-9D42-F51777EBFABA}"/>
    <cellStyle name="Output 30 19" xfId="25048" xr:uid="{58B1A56E-2938-4C12-B28A-92E899083EB5}"/>
    <cellStyle name="Output 30 2" xfId="9735" xr:uid="{9409D292-3FA9-4FCA-87D8-2481E44DFF27}"/>
    <cellStyle name="Output 30 20" xfId="16813" xr:uid="{480AE4D2-D3A7-4375-BA20-5F58EC98C4F0}"/>
    <cellStyle name="Output 30 21" xfId="24644" xr:uid="{4A1BFE2D-B9F7-4070-9467-C33C3459CAF5}"/>
    <cellStyle name="Output 30 22" xfId="20902" xr:uid="{12474F57-FDCF-43F8-BA4D-EE68DF026AC8}"/>
    <cellStyle name="Output 30 23" xfId="24477" xr:uid="{82D086E5-B870-46CF-BFE5-E6E697518728}"/>
    <cellStyle name="Output 30 24" xfId="18543" xr:uid="{0A28196B-112C-4FC5-A8FB-F07ABF28A9E4}"/>
    <cellStyle name="Output 30 25" xfId="29287" xr:uid="{8E8AE927-F57A-46CB-9028-06EB98C2013B}"/>
    <cellStyle name="Output 30 26" xfId="29172" xr:uid="{C4032C54-294B-43F8-A837-74AD3687B69F}"/>
    <cellStyle name="Output 30 27" xfId="24892" xr:uid="{7688F526-1C21-4F8D-B586-42B46A95C92D}"/>
    <cellStyle name="Output 30 28" xfId="29987" xr:uid="{2833A276-34C5-437A-8E54-5D204B8C55C7}"/>
    <cellStyle name="Output 30 29" xfId="29860" xr:uid="{27EA768B-2677-4FAF-9CA5-EC8E7EFC0C4E}"/>
    <cellStyle name="Output 30 3" xfId="7848" xr:uid="{25A566A8-7488-461B-8D0E-740177846A61}"/>
    <cellStyle name="Output 30 30" xfId="28463" xr:uid="{EDBD52CF-52BA-4617-97A4-9692F1A29E8F}"/>
    <cellStyle name="Output 30 31" xfId="24239" xr:uid="{AEFF8BE4-477D-41F9-AA14-69ACF4189B71}"/>
    <cellStyle name="Output 30 32" xfId="25608" xr:uid="{2DEE7E03-7DD9-4334-84D7-DF3522C72795}"/>
    <cellStyle name="Output 30 33" xfId="6659" xr:uid="{AD3C2530-AC03-4DB0-A2B8-B98AFFCE2A13}"/>
    <cellStyle name="Output 30 4" xfId="9570" xr:uid="{954026CF-0A8E-46EA-A162-AEC997829330}"/>
    <cellStyle name="Output 30 5" xfId="14292" xr:uid="{EF8621B6-752C-4618-9BEA-BAC198A16E13}"/>
    <cellStyle name="Output 30 6" xfId="8642" xr:uid="{8679B41B-DD92-440C-BB56-5D8F2101E13E}"/>
    <cellStyle name="Output 30 7" xfId="14983" xr:uid="{18C29420-B12F-46E7-AB0B-4CF793F6091D}"/>
    <cellStyle name="Output 30 8" xfId="7536" xr:uid="{750CD9EE-4211-4A6A-997B-CC8E988917EA}"/>
    <cellStyle name="Output 30 9" xfId="14786" xr:uid="{05C26B3C-66EC-4455-9C3D-CFE92371C42F}"/>
    <cellStyle name="Output 31" xfId="3179" xr:uid="{9D386F18-A532-4133-B242-94E348290E8C}"/>
    <cellStyle name="Output 31 10" xfId="14153" xr:uid="{C4283BD1-5889-45E9-836D-04F375CFBF4A}"/>
    <cellStyle name="Output 31 11" xfId="14603" xr:uid="{8E894155-C1DF-4208-BF67-2AA8430D0DE0}"/>
    <cellStyle name="Output 31 12" xfId="12820" xr:uid="{842E757F-C90C-4E7A-A02C-2F59C03B04DB}"/>
    <cellStyle name="Output 31 13" xfId="13722" xr:uid="{7B294872-618A-491B-9E48-1FD8EB70E67A}"/>
    <cellStyle name="Output 31 14" xfId="10004" xr:uid="{08A057F3-C152-4DAE-A337-47AE5BE30158}"/>
    <cellStyle name="Output 31 15" xfId="17700" xr:uid="{D44BE3BF-7B06-40E8-9B77-8211381A9E87}"/>
    <cellStyle name="Output 31 16" xfId="21140" xr:uid="{88A66398-3C13-4E26-80DC-150A46472DA9}"/>
    <cellStyle name="Output 31 17" xfId="19580" xr:uid="{7C244F12-7A61-4749-921C-97F7829EFF5E}"/>
    <cellStyle name="Output 31 18" xfId="18190" xr:uid="{E6C5678C-C018-471D-BBAA-38783EE3215B}"/>
    <cellStyle name="Output 31 19" xfId="22936" xr:uid="{83E2A3D1-A4A3-4518-99CF-39B39A47A7A0}"/>
    <cellStyle name="Output 31 2" xfId="9736" xr:uid="{3EE20EDD-71AE-4A76-9B75-642340C4F347}"/>
    <cellStyle name="Output 31 20" xfId="17297" xr:uid="{E1C3018C-A034-49D5-AF74-F922DCFC989B}"/>
    <cellStyle name="Output 31 21" xfId="22831" xr:uid="{1839C3F7-EA79-4FAE-9C7F-A9409007FFB6}"/>
    <cellStyle name="Output 31 22" xfId="21292" xr:uid="{0439F2C8-A6FF-4458-826B-1B6BB3C1A964}"/>
    <cellStyle name="Output 31 23" xfId="25383" xr:uid="{E31D01C7-5445-41D5-91FE-100214B88193}"/>
    <cellStyle name="Output 31 24" xfId="23073" xr:uid="{45C94D1C-41C8-4A4D-85A1-999F7D7C25C8}"/>
    <cellStyle name="Output 31 25" xfId="23176" xr:uid="{78F0BAE0-0D3D-4C52-A55A-202D25FCCAA4}"/>
    <cellStyle name="Output 31 26" xfId="26807" xr:uid="{C294CCB2-83C6-412B-891C-6F179EB7B7CB}"/>
    <cellStyle name="Output 31 27" xfId="29962" xr:uid="{283FADC4-6C35-4F1E-B33B-FD287A1118EB}"/>
    <cellStyle name="Output 31 28" xfId="27370" xr:uid="{DADC53D1-8188-48AC-ACD9-0E934E2678D7}"/>
    <cellStyle name="Output 31 29" xfId="25828" xr:uid="{6768941D-6376-4197-873D-57D386EE7BD0}"/>
    <cellStyle name="Output 31 3" xfId="7847" xr:uid="{67AA2C5C-69CE-45BA-9A2B-A8AA6CFDAA8F}"/>
    <cellStyle name="Output 31 30" xfId="26074" xr:uid="{ABC450F8-5651-4AC1-AFBF-DD6717840736}"/>
    <cellStyle name="Output 31 31" xfId="26604" xr:uid="{B6FAB52C-8D3E-44C9-9673-E8CF18B5B034}"/>
    <cellStyle name="Output 31 32" xfId="29023" xr:uid="{17388C23-744F-471D-9A37-8C3C347D52BC}"/>
    <cellStyle name="Output 31 33" xfId="6660" xr:uid="{A22B6E8B-9E7B-40A5-B15B-E89F95A29C61}"/>
    <cellStyle name="Output 31 4" xfId="9571" xr:uid="{5A054803-AC44-402A-84DB-E6DC2278D92E}"/>
    <cellStyle name="Output 31 5" xfId="14281" xr:uid="{17AA7F40-2F04-4F64-8218-DD882CF7AA7A}"/>
    <cellStyle name="Output 31 6" xfId="8641" xr:uid="{911680E2-E46F-4BF6-BADE-1F6190218D40}"/>
    <cellStyle name="Output 31 7" xfId="10511" xr:uid="{B6850751-4BA2-4424-841E-768F91DA4365}"/>
    <cellStyle name="Output 31 8" xfId="7535" xr:uid="{E10F6252-78CF-4D41-B657-77FBB577F5A5}"/>
    <cellStyle name="Output 31 9" xfId="12171" xr:uid="{A5C6189D-A282-4184-9333-D6D057819200}"/>
    <cellStyle name="Output 32" xfId="3180" xr:uid="{321B3158-7720-4091-897D-A69A06E7377B}"/>
    <cellStyle name="Output 32 10" xfId="12413" xr:uid="{45CA8984-0E35-4805-B903-50062A3288A3}"/>
    <cellStyle name="Output 32 11" xfId="15563" xr:uid="{CFE452BB-B0DF-4A79-B5DB-051FE1748794}"/>
    <cellStyle name="Output 32 12" xfId="17629" xr:uid="{0889ADD5-3AFE-4A26-81BF-66F6A27280B8}"/>
    <cellStyle name="Output 32 13" xfId="17334" xr:uid="{733BBF6E-7711-486A-8191-F5A382186C94}"/>
    <cellStyle name="Output 32 14" xfId="10005" xr:uid="{3D41B0C1-41A7-40FC-B705-57BF660FDC47}"/>
    <cellStyle name="Output 32 15" xfId="19677" xr:uid="{C8855CA0-3516-4D43-A0EB-EB823BEF51F1}"/>
    <cellStyle name="Output 32 16" xfId="21667" xr:uid="{E86217D3-6C14-4BA5-ABB7-9C299BA11929}"/>
    <cellStyle name="Output 32 17" xfId="21333" xr:uid="{81DC389A-7710-4EA8-A404-EBBAE81D147E}"/>
    <cellStyle name="Output 32 18" xfId="13946" xr:uid="{B05D7290-8B89-4BB4-99A6-FCC5DC2B4EC2}"/>
    <cellStyle name="Output 32 19" xfId="24860" xr:uid="{5D7C9E00-9C9C-40E9-B684-3BCA07FD9CE6}"/>
    <cellStyle name="Output 32 2" xfId="9737" xr:uid="{6AFA0A51-7128-4C07-B9A7-72E22AECB392}"/>
    <cellStyle name="Output 32 20" xfId="23557" xr:uid="{CFD6BB1A-D2D0-4DA3-BA9C-339822377384}"/>
    <cellStyle name="Output 32 21" xfId="24643" xr:uid="{7795A076-E925-41B9-AD94-03CF5E7BC8FA}"/>
    <cellStyle name="Output 32 22" xfId="26562" xr:uid="{E8F13D0F-048A-4347-AF47-23850527BB10}"/>
    <cellStyle name="Output 32 23" xfId="21114" xr:uid="{0E69B735-649A-48F4-841C-64DFF548D129}"/>
    <cellStyle name="Output 32 24" xfId="22430" xr:uid="{1DDA8BDD-5E05-4D43-8AE2-B7C19BF75796}"/>
    <cellStyle name="Output 32 25" xfId="29286" xr:uid="{E65C39F5-67D1-4144-9EF2-CC932B2F896E}"/>
    <cellStyle name="Output 32 26" xfId="28527" xr:uid="{3F8F5266-278D-4A67-A68A-0AB55BB89C94}"/>
    <cellStyle name="Output 32 27" xfId="22952" xr:uid="{3ACCB681-369A-4478-A3F3-886796038298}"/>
    <cellStyle name="Output 32 28" xfId="29988" xr:uid="{2706B1B6-1D85-4395-BB5A-F028863F6F27}"/>
    <cellStyle name="Output 32 29" xfId="28771" xr:uid="{263F388E-69CA-4A7F-A388-33D14F25D6D2}"/>
    <cellStyle name="Output 32 3" xfId="7846" xr:uid="{AB08E6D0-B500-4A6D-826C-10D15B77B4F2}"/>
    <cellStyle name="Output 32 30" xfId="28462" xr:uid="{09BD2A51-204E-40C7-A0E2-4FE607B87FEC}"/>
    <cellStyle name="Output 32 31" xfId="24256" xr:uid="{290B63CA-A957-427E-88E7-29A01D245EFF}"/>
    <cellStyle name="Output 32 32" xfId="29091" xr:uid="{79E32201-FE22-4090-B2D1-C78BF0D05BC2}"/>
    <cellStyle name="Output 32 33" xfId="6661" xr:uid="{0D110F74-64DF-4182-A050-9D56E678D20E}"/>
    <cellStyle name="Output 32 4" xfId="9572" xr:uid="{B30B498C-5A68-4E81-8AD2-6A1726D0343D}"/>
    <cellStyle name="Output 32 5" xfId="7571" xr:uid="{79B980E1-531B-4CDE-ABC8-691A8C5A5375}"/>
    <cellStyle name="Output 32 6" xfId="8640" xr:uid="{167F4030-5096-4D38-95CD-341774B79585}"/>
    <cellStyle name="Output 32 7" xfId="14982" xr:uid="{1150B843-1022-40DE-ABEA-F0FF069505D4}"/>
    <cellStyle name="Output 32 8" xfId="11945" xr:uid="{01206C04-DE02-4330-8FA6-3FD032BE1FD8}"/>
    <cellStyle name="Output 32 9" xfId="14785" xr:uid="{B67B1A35-B974-4BF5-B75B-B83435F1356D}"/>
    <cellStyle name="Output 33" xfId="3181" xr:uid="{BC04B198-D726-4D63-9B21-416DE1D3A064}"/>
    <cellStyle name="Output 33 10" xfId="15094" xr:uid="{4199E7E5-6B16-4389-945C-B7321E0F6477}"/>
    <cellStyle name="Output 33 11" xfId="19526" xr:uid="{50282595-4963-4540-A49A-1EE4D0789F2E}"/>
    <cellStyle name="Output 33 12" xfId="16433" xr:uid="{B55D4EB0-AF6A-49DC-91B9-EAD808FDF3A4}"/>
    <cellStyle name="Output 33 13" xfId="13884" xr:uid="{12509F4C-C780-4869-B5C9-39DF8E602293}"/>
    <cellStyle name="Output 33 14" xfId="10006" xr:uid="{6D5ED0D7-9941-4711-AE0F-D15A799FCD6C}"/>
    <cellStyle name="Output 33 15" xfId="21543" xr:uid="{63317517-14A1-464A-AAF9-E7DEDB63533E}"/>
    <cellStyle name="Output 33 16" xfId="21887" xr:uid="{35FE8AA6-E09B-48B4-9A67-91C8DF06D2BC}"/>
    <cellStyle name="Output 33 17" xfId="17013" xr:uid="{180001A6-D894-4D00-8543-BF56D8253C3D}"/>
    <cellStyle name="Output 33 18" xfId="18189" xr:uid="{E22126EE-31AC-45DB-9E54-3AF168C3BBF5}"/>
    <cellStyle name="Output 33 19" xfId="22367" xr:uid="{A2D40A66-C486-4473-880D-468B6558C14C}"/>
    <cellStyle name="Output 33 2" xfId="9738" xr:uid="{5F3790D5-3D69-4F5C-AF50-95EABCC47937}"/>
    <cellStyle name="Output 33 20" xfId="13772" xr:uid="{941BC45B-D9D5-4A64-B2B3-9EB53E425118}"/>
    <cellStyle name="Output 33 21" xfId="22314" xr:uid="{5EBDE980-38AE-4199-AE4D-D1060D5650CC}"/>
    <cellStyle name="Output 33 22" xfId="19559" xr:uid="{FC594F20-123A-4DE6-A3AF-AEFDEACDAF67}"/>
    <cellStyle name="Output 33 23" xfId="25041" xr:uid="{EC16D461-6C80-4BDB-804D-ADBC5B926784}"/>
    <cellStyle name="Output 33 24" xfId="22424" xr:uid="{E6CB712F-1943-4EF4-8610-C5045B74D078}"/>
    <cellStyle name="Output 33 25" xfId="20461" xr:uid="{BCEF8CF3-07DE-481A-9DAB-44683D94111C}"/>
    <cellStyle name="Output 33 26" xfId="27118" xr:uid="{B8F11B17-C4F2-438A-8546-D33152C0D962}"/>
    <cellStyle name="Output 33 27" xfId="24891" xr:uid="{3856AF07-F592-4B04-B053-283ACFC41DFA}"/>
    <cellStyle name="Output 33 28" xfId="23809" xr:uid="{2F3644C9-7B3D-4ADF-BFD3-E6D755DEFC0A}"/>
    <cellStyle name="Output 33 29" xfId="27834" xr:uid="{47DD6185-0987-4DD2-A76D-CCB0D25BD522}"/>
    <cellStyle name="Output 33 3" xfId="7845" xr:uid="{EBB5ECED-E9AE-4013-BC90-E1A766118BBF}"/>
    <cellStyle name="Output 33 30" xfId="27088" xr:uid="{47B71879-3A83-41B1-98B9-7DB429E418B0}"/>
    <cellStyle name="Output 33 31" xfId="24221" xr:uid="{6CF25F45-A0AF-4EEF-9FA1-6F8C7A4F7B40}"/>
    <cellStyle name="Output 33 32" xfId="30006" xr:uid="{1FAE5D96-3938-4A31-A839-B08316FE7E69}"/>
    <cellStyle name="Output 33 33" xfId="6662" xr:uid="{29A23ECE-17E7-4FE2-90BC-396BDA8EF911}"/>
    <cellStyle name="Output 33 4" xfId="9573" xr:uid="{D65752C5-9842-42AD-885F-77188A84D056}"/>
    <cellStyle name="Output 33 5" xfId="11978" xr:uid="{5CD06A12-0C33-4D63-8F23-25EA5A98C42C}"/>
    <cellStyle name="Output 33 6" xfId="8639" xr:uid="{DF31A0EC-341A-4145-837F-86E3F491179C}"/>
    <cellStyle name="Output 33 7" xfId="12888" xr:uid="{465FF494-0D26-4717-B8A4-0D0CAE1F3FBA}"/>
    <cellStyle name="Output 33 8" xfId="7534" xr:uid="{8EDCC918-A7D6-44FA-8B10-EB137B18FCAF}"/>
    <cellStyle name="Output 33 9" xfId="14410" xr:uid="{4B179D75-6DDD-485F-8E7E-B68FB1F83D63}"/>
    <cellStyle name="Output 34" xfId="3182" xr:uid="{C8CA553B-A061-4866-B10F-E2B387FAC866}"/>
    <cellStyle name="Output 34 10" xfId="14152" xr:uid="{0AA1FD42-69A3-4225-BD0B-6276F8BBE894}"/>
    <cellStyle name="Output 34 11" xfId="16761" xr:uid="{AFA189CE-008D-4196-A92D-4DD9EE8DD679}"/>
    <cellStyle name="Output 34 12" xfId="12577" xr:uid="{071B46F8-0E67-4F83-A617-0D522886A46D}"/>
    <cellStyle name="Output 34 13" xfId="17333" xr:uid="{FB8B6AC6-AE24-410A-A61B-283410E459DE}"/>
    <cellStyle name="Output 34 14" xfId="15318" xr:uid="{64F1E815-1DC9-48DB-A6DD-E5D007AF221A}"/>
    <cellStyle name="Output 34 15" xfId="15288" xr:uid="{BCAA5840-AAE5-4DC8-B351-2C970EF3C99B}"/>
    <cellStyle name="Output 34 16" xfId="21666" xr:uid="{64C36808-E7CC-4643-8541-8953FA172A53}"/>
    <cellStyle name="Output 34 17" xfId="21332" xr:uid="{D951B0F3-78AD-42AD-AAB5-1FDDF1CE12D7}"/>
    <cellStyle name="Output 34 18" xfId="18188" xr:uid="{4E39C036-675F-4774-BF78-6409A7AA6AE3}"/>
    <cellStyle name="Output 34 19" xfId="24859" xr:uid="{0A1E5D97-9424-4F33-9293-DE2B71752707}"/>
    <cellStyle name="Output 34 2" xfId="9739" xr:uid="{B8826F83-0FA1-47DB-B085-E214134C30CD}"/>
    <cellStyle name="Output 34 20" xfId="19223" xr:uid="{01D86A8C-8650-43DF-B210-488F8D856FAF}"/>
    <cellStyle name="Output 34 21" xfId="24642" xr:uid="{015B6CE3-635F-4633-B2BE-B5122A5CFFAA}"/>
    <cellStyle name="Output 34 22" xfId="21291" xr:uid="{DEF3AADF-B2AE-43A6-95D3-440FAC069C19}"/>
    <cellStyle name="Output 34 23" xfId="24476" xr:uid="{E8C3A675-7EE7-46AC-A635-2F62F0644DEE}"/>
    <cellStyle name="Output 34 24" xfId="23072" xr:uid="{FAB9B776-C52E-4C0B-96D4-DA9806DBAE86}"/>
    <cellStyle name="Output 34 25" xfId="27950" xr:uid="{C6084EF5-1177-4FBC-9FF4-AECD74F5153A}"/>
    <cellStyle name="Output 34 26" xfId="28526" xr:uid="{DA553107-8EBE-45ED-A2DB-24E432109533}"/>
    <cellStyle name="Output 34 27" xfId="18768" xr:uid="{32C7B301-A735-4008-B566-41F4D36FB9AA}"/>
    <cellStyle name="Output 34 28" xfId="29412" xr:uid="{47602640-A9D1-4DE2-BE9C-F8367118E41E}"/>
    <cellStyle name="Output 34 29" xfId="25201" xr:uid="{5FA1E050-64DC-45F2-BCA6-06BCA65685FD}"/>
    <cellStyle name="Output 34 3" xfId="7844" xr:uid="{FAE1E97A-B22F-4E83-B499-FE4360592C48}"/>
    <cellStyle name="Output 34 30" xfId="28461" xr:uid="{918AD4BE-88D6-425B-BA7A-37C01AA63ED8}"/>
    <cellStyle name="Output 34 31" xfId="26573" xr:uid="{4ED57D10-E071-4B35-99AC-CB6E8B437FFC}"/>
    <cellStyle name="Output 34 32" xfId="29221" xr:uid="{85B988F1-06A4-4286-92FB-DAEC47BA8E3A}"/>
    <cellStyle name="Output 34 33" xfId="6663" xr:uid="{D68BF550-EE5A-42BE-84D3-4357380F020C}"/>
    <cellStyle name="Output 34 4" xfId="9574" xr:uid="{B018C60C-8B26-44B4-89EF-1FFB4D1070C1}"/>
    <cellStyle name="Output 34 5" xfId="7570" xr:uid="{91743669-D678-457B-80E4-BA22DE58B736}"/>
    <cellStyle name="Output 34 6" xfId="8638" xr:uid="{5A4F31C7-878F-4040-90A4-90AF0BF7A932}"/>
    <cellStyle name="Output 34 7" xfId="12963" xr:uid="{D534A3C1-21F3-4F11-87C7-7588B99DFF1D}"/>
    <cellStyle name="Output 34 8" xfId="11944" xr:uid="{026AD763-D9C7-49DB-B6D2-B26C5E9A00C8}"/>
    <cellStyle name="Output 34 9" xfId="14784" xr:uid="{61A72DC8-BEC9-4FBB-B91C-5109B7C83F17}"/>
    <cellStyle name="Output 35" xfId="3183" xr:uid="{276E7019-A6B9-467B-81C1-199A71C3CF56}"/>
    <cellStyle name="Output 35 10" xfId="12414" xr:uid="{741BFDC0-6418-4F98-83AA-E7069495F01B}"/>
    <cellStyle name="Output 35 11" xfId="13649" xr:uid="{3ED0CEF4-1CAA-4ECD-8DBB-678024EE5776}"/>
    <cellStyle name="Output 35 12" xfId="16432" xr:uid="{5B8C589D-8524-4E6F-ABB1-6080E976A5DA}"/>
    <cellStyle name="Output 35 13" xfId="13761" xr:uid="{717DA5FA-F81F-43EC-A589-FD4B7D1E7680}"/>
    <cellStyle name="Output 35 14" xfId="10007" xr:uid="{0E4053BC-715A-4783-BC88-500F7C4BC6C9}"/>
    <cellStyle name="Output 35 15" xfId="21542" xr:uid="{35FE579C-6C8D-45D3-B08B-37D7210A17B7}"/>
    <cellStyle name="Output 35 16" xfId="21888" xr:uid="{8C7E964B-0F42-4587-B316-BF3ADFE9FF8A}"/>
    <cellStyle name="Output 35 17" xfId="19579" xr:uid="{437C6FFF-684F-47D0-A597-400D0B601821}"/>
    <cellStyle name="Output 35 18" xfId="15782" xr:uid="{2FFC0C18-9D11-4D28-8655-9D7D3FE089DF}"/>
    <cellStyle name="Output 35 19" xfId="22935" xr:uid="{27FA1C42-86CF-4FD4-A059-93E8B65EBCF8}"/>
    <cellStyle name="Output 35 2" xfId="9740" xr:uid="{8F3BF10B-621B-483F-8081-68A10712657E}"/>
    <cellStyle name="Output 35 20" xfId="17298" xr:uid="{E9141887-D325-4660-8DED-C03768E89CA0}"/>
    <cellStyle name="Output 35 21" xfId="25767" xr:uid="{E06DB4DC-62F6-4B04-A1D9-557225D5B8B8}"/>
    <cellStyle name="Output 35 22" xfId="17784" xr:uid="{53702DB4-F7EC-4383-B678-074280BA0C78}"/>
    <cellStyle name="Output 35 23" xfId="25384" xr:uid="{6D84C646-00AA-4EB2-AEEC-93D09B59463D}"/>
    <cellStyle name="Output 35 24" xfId="20438" xr:uid="{D0B563D2-160C-41BC-AF60-F00E7AAC995A}"/>
    <cellStyle name="Output 35 25" xfId="29281" xr:uid="{49546B75-49A4-42D8-85B5-AF367D8A4E21}"/>
    <cellStyle name="Output 35 26" xfId="26087" xr:uid="{5F13B306-4F62-4A17-89AF-4D234D3F3D25}"/>
    <cellStyle name="Output 35 27" xfId="30123" xr:uid="{492D7E56-FB0A-47FD-837D-8AE1F613DDCA}"/>
    <cellStyle name="Output 35 28" xfId="29989" xr:uid="{BB14A4A3-CFF9-4444-8782-AFF9F2932729}"/>
    <cellStyle name="Output 35 29" xfId="25578" xr:uid="{AF8FEE74-9148-4B7B-977F-3DBA790608AB}"/>
    <cellStyle name="Output 35 3" xfId="7843" xr:uid="{7405E9E2-6D75-4875-84E7-9985CAE4D55A}"/>
    <cellStyle name="Output 35 30" xfId="26073" xr:uid="{82388470-8AD4-443C-80FB-1A88356B1A73}"/>
    <cellStyle name="Output 35 31" xfId="29749" xr:uid="{D41355CE-3AAE-428A-BFF0-1CA5FC8800BD}"/>
    <cellStyle name="Output 35 32" xfId="26947" xr:uid="{C8CEB101-0576-44BA-B44C-9B437086999F}"/>
    <cellStyle name="Output 35 33" xfId="6664" xr:uid="{D72D7CB5-5236-493F-84BB-7971404A5EBF}"/>
    <cellStyle name="Output 35 4" xfId="9575" xr:uid="{3435C553-7173-4F20-A9D2-3381AF26ED63}"/>
    <cellStyle name="Output 35 5" xfId="11977" xr:uid="{D35B9E10-5454-4334-BF9B-A7D9C04EBA03}"/>
    <cellStyle name="Output 35 6" xfId="8637" xr:uid="{10A1E69C-E80B-4C3A-85F1-1B0A3AFC702C}"/>
    <cellStyle name="Output 35 7" xfId="14981" xr:uid="{4E774927-8A27-4DA9-BDC0-67965E7BF8FF}"/>
    <cellStyle name="Output 35 8" xfId="15272" xr:uid="{C9208691-8154-423D-94B6-B61DC959216D}"/>
    <cellStyle name="Output 35 9" xfId="12174" xr:uid="{E7C346C5-5504-4B4E-B08B-5028503CE42F}"/>
    <cellStyle name="Output 36" xfId="3184" xr:uid="{D95A1D36-D2F4-46B7-B8A9-9FC50BF781DB}"/>
    <cellStyle name="Output 36 10" xfId="14133" xr:uid="{BC32ECC8-6DAB-4757-9F7D-068854069988}"/>
    <cellStyle name="Output 36 11" xfId="12730" xr:uid="{B74E0DB9-E7ED-4307-8EBE-B72E42B6724E}"/>
    <cellStyle name="Output 36 12" xfId="15869" xr:uid="{BBC6EE39-61CA-4E1F-B575-59360145AC95}"/>
    <cellStyle name="Output 36 13" xfId="17332" xr:uid="{82A8097C-DCB3-4A76-BC62-76CC64049ABD}"/>
    <cellStyle name="Output 36 14" xfId="10008" xr:uid="{0A7F9BB0-1710-4D2B-A1DE-E38BB2C775BB}"/>
    <cellStyle name="Output 36 15" xfId="19676" xr:uid="{60914EAF-48D7-414A-B1EB-EF8C434B6DEC}"/>
    <cellStyle name="Output 36 16" xfId="21143" xr:uid="{9FE47132-5E1A-47FD-B1AF-EA6516313AE8}"/>
    <cellStyle name="Output 36 17" xfId="21331" xr:uid="{890D5F87-25CF-4A5C-BD9B-A18F0A9AC77F}"/>
    <cellStyle name="Output 36 18" xfId="18187" xr:uid="{1ADD8B82-3F5C-4ABF-990B-237B9E43BDA4}"/>
    <cellStyle name="Output 36 19" xfId="25929" xr:uid="{4AC809FD-CC7D-486E-91C9-9151E047A4FD}"/>
    <cellStyle name="Output 36 2" xfId="9741" xr:uid="{6C83D224-DF64-495D-A9C1-F071243A54E2}"/>
    <cellStyle name="Output 36 20" xfId="13888" xr:uid="{05E111D5-2E10-4808-9309-3418DCCB657B}"/>
    <cellStyle name="Output 36 21" xfId="22830" xr:uid="{380A7BF7-3F5F-4F30-93C8-6F85E2796DC6}"/>
    <cellStyle name="Output 36 22" xfId="21290" xr:uid="{7B901103-3976-4E5C-A60C-A4919474B46A}"/>
    <cellStyle name="Output 36 23" xfId="20355" xr:uid="{7DB1A042-384D-4D0B-BE6E-F4C10E61EB85}"/>
    <cellStyle name="Output 36 24" xfId="23071" xr:uid="{5E71FA0B-E27E-43DC-9B80-571C82F49D49}"/>
    <cellStyle name="Output 36 25" xfId="29284" xr:uid="{B882FF90-6A32-46D4-8B03-AEF923A1EC14}"/>
    <cellStyle name="Output 36 26" xfId="29505" xr:uid="{CF723A95-5B93-47EA-8A28-57743D9113FE}"/>
    <cellStyle name="Output 36 27" xfId="29973" xr:uid="{77A47958-DC97-44CD-9770-93E66FFC9D52}"/>
    <cellStyle name="Output 36 28" xfId="28064" xr:uid="{31CBEACC-E968-41E4-8085-0D05C23C3CCF}"/>
    <cellStyle name="Output 36 29" xfId="27833" xr:uid="{0EB1C262-7CB6-4A40-8EE6-37DDDE319467}"/>
    <cellStyle name="Output 36 3" xfId="7842" xr:uid="{5499E01F-E15A-4AC8-A805-2925483FF1A0}"/>
    <cellStyle name="Output 36 30" xfId="28460" xr:uid="{903EDF64-B7DB-4425-95E2-C3751F98C2AF}"/>
    <cellStyle name="Output 36 31" xfId="26603" xr:uid="{5C15441A-6D96-4BB5-8DB9-15ADD71C0D92}"/>
    <cellStyle name="Output 36 32" xfId="25213" xr:uid="{030B92C7-9AA6-4615-B8B2-6C80E71938AD}"/>
    <cellStyle name="Output 36 33" xfId="6665" xr:uid="{145787F1-E55A-40F8-BB53-F989EE5FB263}"/>
    <cellStyle name="Output 36 4" xfId="9576" xr:uid="{C5039447-8FB4-4C83-AA3D-56031A1C4572}"/>
    <cellStyle name="Output 36 5" xfId="7569" xr:uid="{4662F9A4-6955-49A5-96DB-2E4280669B05}"/>
    <cellStyle name="Output 36 6" xfId="8636" xr:uid="{7D6C8F3E-5224-47AC-A07A-E956002816A1}"/>
    <cellStyle name="Output 36 7" xfId="10512" xr:uid="{E96B79E7-FC3E-43E9-AB49-2A17591EE9B4}"/>
    <cellStyle name="Output 36 8" xfId="11925" xr:uid="{1C3053A4-2A0F-410E-A459-1D79B1B24FC3}"/>
    <cellStyle name="Output 36 9" xfId="14783" xr:uid="{60D521DC-7174-4274-8A8E-BEED8CEA4040}"/>
    <cellStyle name="Output 37" xfId="3185" xr:uid="{DE682105-9A31-475F-9BCE-0F9D47EAD17F}"/>
    <cellStyle name="Output 37 10" xfId="14151" xr:uid="{ED2DE675-BDC6-40E6-AC33-B4024E5D40B0}"/>
    <cellStyle name="Output 37 11" xfId="13650" xr:uid="{13CCC547-0556-43EE-938F-157B36DDD96B}"/>
    <cellStyle name="Output 37 12" xfId="13990" xr:uid="{69CBE989-7C71-4D96-976A-BDB1028854F8}"/>
    <cellStyle name="Output 37 13" xfId="15655" xr:uid="{F5F55F89-8F84-4D18-A584-4A16A71445F7}"/>
    <cellStyle name="Output 37 14" xfId="10009" xr:uid="{0BD75D5F-1FEF-48FC-9D2F-6C2947C9127A}"/>
    <cellStyle name="Output 37 15" xfId="21541" xr:uid="{FBC2314A-E2AE-47F7-A6C8-DD83F1F2396D}"/>
    <cellStyle name="Output 37 16" xfId="21891" xr:uid="{C70775AF-E8E9-4A1F-8BA7-70D8A0596184}"/>
    <cellStyle name="Output 37 17" xfId="17014" xr:uid="{1BEDC30E-9574-42E2-A1DC-25F965B90C6B}"/>
    <cellStyle name="Output 37 18" xfId="16249" xr:uid="{623C7908-8E0B-46D4-94F7-E860D3C32E10}"/>
    <cellStyle name="Output 37 19" xfId="22916" xr:uid="{9F66EB2A-F5CB-43CB-B5FA-740D8A02D64D}"/>
    <cellStyle name="Output 37 2" xfId="9742" xr:uid="{82214D8F-5345-4C13-915B-C2E4CCA33F90}"/>
    <cellStyle name="Output 37 20" xfId="17299" xr:uid="{9E1117CB-428B-439E-9FEB-7C4CC2290BBF}"/>
    <cellStyle name="Output 37 21" xfId="15414" xr:uid="{59DCDA5C-EB1C-4F7D-B863-D89B1D50FB34}"/>
    <cellStyle name="Output 37 22" xfId="19558" xr:uid="{E9E8C53C-EC9C-4E41-99A8-F65100C43B93}"/>
    <cellStyle name="Output 37 23" xfId="22685" xr:uid="{4B41DC9A-0149-44F8-8A08-8A1E22A030C9}"/>
    <cellStyle name="Output 37 24" xfId="22429" xr:uid="{C92C0C61-AF85-41CF-A9DF-FF95198F1C97}"/>
    <cellStyle name="Output 37 25" xfId="27953" xr:uid="{9B5F8F02-9845-4A91-83EA-9C97035846C1}"/>
    <cellStyle name="Output 37 26" xfId="28525" xr:uid="{3108234D-29AC-4ACD-99BF-DF3003F090A5}"/>
    <cellStyle name="Output 37 27" xfId="29958" xr:uid="{54B6912E-4F12-41F5-AFB9-2AC219DB3FC2}"/>
    <cellStyle name="Output 37 28" xfId="29986" xr:uid="{15590970-92AD-46B3-921F-3107A9704529}"/>
    <cellStyle name="Output 37 29" xfId="29247" xr:uid="{8F0B9C22-1E26-4A90-930B-07CA0290571D}"/>
    <cellStyle name="Output 37 3" xfId="7841" xr:uid="{BDB308CE-89F4-4A57-9E7E-AD7E7BFC6A97}"/>
    <cellStyle name="Output 37 30" xfId="29315" xr:uid="{022C2A58-452A-483B-979A-29FA1D1CE496}"/>
    <cellStyle name="Output 37 31" xfId="22673" xr:uid="{1E1FF892-8BD4-4F0D-BB38-BCF3BE70776E}"/>
    <cellStyle name="Output 37 32" xfId="26907" xr:uid="{FB98EEE9-202B-463F-91F6-9E744142755B}"/>
    <cellStyle name="Output 37 33" xfId="6666" xr:uid="{12ABB118-B851-43C6-A891-921E0E624A3F}"/>
    <cellStyle name="Output 37 4" xfId="9577" xr:uid="{BBE39BCE-A351-4957-95B4-61CBA5BD3086}"/>
    <cellStyle name="Output 37 5" xfId="14566" xr:uid="{7A7A7EFE-92F6-47EE-9FCE-690582E317CB}"/>
    <cellStyle name="Output 37 6" xfId="8635" xr:uid="{FC370B57-B955-43EB-876D-70F2985E7CC0}"/>
    <cellStyle name="Output 37 7" xfId="14980" xr:uid="{2ADF1635-EEA7-4C3B-B787-04D106BF3017}"/>
    <cellStyle name="Output 37 8" xfId="11943" xr:uid="{E39391F6-5544-46A7-A452-5C7F1EC93FF2}"/>
    <cellStyle name="Output 37 9" xfId="12173" xr:uid="{C00A4BB0-93F3-4A48-9089-0817B47E579C}"/>
    <cellStyle name="Output 38" xfId="3186" xr:uid="{47051059-E479-4FB5-944E-6A4347012097}"/>
    <cellStyle name="Output 38 10" xfId="12415" xr:uid="{B1BB5D97-68E2-4827-B808-2B75B32AA862}"/>
    <cellStyle name="Output 38 11" xfId="15564" xr:uid="{308F94D0-E9D5-43B6-98B2-2D50C2F04A02}"/>
    <cellStyle name="Output 38 12" xfId="16430" xr:uid="{DBEF63B4-5E8C-4CDA-A4D2-2BF3E890731E}"/>
    <cellStyle name="Output 38 13" xfId="17331" xr:uid="{C6E59AB5-ECB3-4901-9701-4C5A8BEE4637}"/>
    <cellStyle name="Output 38 14" xfId="10010" xr:uid="{93760A34-3E23-40CA-9769-68812AA0E994}"/>
    <cellStyle name="Output 38 15" xfId="17701" xr:uid="{1840AF89-30FF-4A4A-ABE2-AB63FD87C73B}"/>
    <cellStyle name="Output 38 16" xfId="13895" xr:uid="{541AE1C3-628A-4349-85B4-36179FE104B3}"/>
    <cellStyle name="Output 38 17" xfId="21330" xr:uid="{542BF1E3-434E-43FB-89EB-DE6DA5F900E3}"/>
    <cellStyle name="Output 38 18" xfId="18186" xr:uid="{24E456CA-B64D-45F6-A7ED-A8437AE2EE18}"/>
    <cellStyle name="Output 38 19" xfId="24858" xr:uid="{52292D47-FBCD-4848-9B77-C8C051636AF1}"/>
    <cellStyle name="Output 38 2" xfId="9743" xr:uid="{4A1F9AF1-67C2-48E9-8FC8-0DD97C1A40B2}"/>
    <cellStyle name="Output 38 20" xfId="25936" xr:uid="{ED159FB9-4831-42BA-8C2E-C26F558DF129}"/>
    <cellStyle name="Output 38 21" xfId="24640" xr:uid="{4C806CD6-F933-4156-91AC-561358F38680}"/>
    <cellStyle name="Output 38 22" xfId="21289" xr:uid="{926813F4-ED08-4212-AC49-EB6075046450}"/>
    <cellStyle name="Output 38 23" xfId="24475" xr:uid="{A622A76F-2951-428A-B6E0-806A4B2D3AC1}"/>
    <cellStyle name="Output 38 24" xfId="23070" xr:uid="{8EB8E19C-B8C1-44F5-AF20-F4E3BD5E18E7}"/>
    <cellStyle name="Output 38 25" xfId="29283" xr:uid="{EC88FD28-AD78-48D9-9117-E9BEA0DD8CBC}"/>
    <cellStyle name="Output 38 26" xfId="28030" xr:uid="{1C29F896-4405-4E1A-9F17-DD53828DB9E3}"/>
    <cellStyle name="Output 38 27" xfId="29972" xr:uid="{33D3ED0B-67EB-4CBF-8212-5DFE5533AD27}"/>
    <cellStyle name="Output 38 28" xfId="29869" xr:uid="{6D662009-DAEC-4137-8A1C-617A6771FEFA}"/>
    <cellStyle name="Output 38 29" xfId="29651" xr:uid="{5FA35496-D521-4C6F-A715-0C82081711E6}"/>
    <cellStyle name="Output 38 3" xfId="7840" xr:uid="{61C58A1B-2784-4C4F-92C3-BC7B60ABE38B}"/>
    <cellStyle name="Output 38 30" xfId="27087" xr:uid="{BF54E061-2D2A-42F7-9F37-8D830B7367F0}"/>
    <cellStyle name="Output 38 31" xfId="26602" xr:uid="{D0663669-B1D8-4A2C-AF6A-3491C4924F13}"/>
    <cellStyle name="Output 38 32" xfId="26833" xr:uid="{6B6EEA7A-E741-4DE5-92C2-3B6F977D31F9}"/>
    <cellStyle name="Output 38 33" xfId="6667" xr:uid="{BC485240-E9D7-480B-94D9-61008C59F4FB}"/>
    <cellStyle name="Output 38 4" xfId="9578" xr:uid="{7B22E01B-90F1-46C4-BAA3-3245442AF151}"/>
    <cellStyle name="Output 38 5" xfId="11976" xr:uid="{372D15D3-64DE-4DAD-9C1F-1B9861EB9099}"/>
    <cellStyle name="Output 38 6" xfId="8634" xr:uid="{E484CFFB-3C62-4D9C-8C7C-529CB5B0D6A3}"/>
    <cellStyle name="Output 38 7" xfId="12962" xr:uid="{07027B37-D7EF-4E7C-BB3A-33BBA6B1F7FC}"/>
    <cellStyle name="Output 38 8" xfId="15091" xr:uid="{6F035F6C-6233-4EC2-9A3B-3E209C5362F4}"/>
    <cellStyle name="Output 38 9" xfId="14782" xr:uid="{5DC5D3A0-66EB-4A1E-A480-6CA0CC987BA8}"/>
    <cellStyle name="Output 39" xfId="3187" xr:uid="{A20EDEBF-E0C5-429A-BE01-759CC2339C4E}"/>
    <cellStyle name="Output 39 10" xfId="14150" xr:uid="{9F3701BD-8016-4916-8187-BEFAFE7EAC0E}"/>
    <cellStyle name="Output 39 11" xfId="14601" xr:uid="{E852D663-87BC-4056-81ED-949C0CDDE703}"/>
    <cellStyle name="Output 39 12" xfId="12578" xr:uid="{4E3530E5-3845-4853-AB20-8CD8D451CDC1}"/>
    <cellStyle name="Output 39 13" xfId="13762" xr:uid="{D2F42EC5-8A63-4F3A-9833-9EBC56BFF6D6}"/>
    <cellStyle name="Output 39 14" xfId="10011" xr:uid="{4790D9D9-8DD9-4E27-BB23-1F7B8E25BBBB}"/>
    <cellStyle name="Output 39 15" xfId="21540" xr:uid="{D2E82433-2E53-4803-8CFD-01EB97E7CED1}"/>
    <cellStyle name="Output 39 16" xfId="17238" xr:uid="{359213A4-7BDB-4A77-941C-C3549968A4CC}"/>
    <cellStyle name="Output 39 17" xfId="19578" xr:uid="{CFA254BF-40B2-489E-A8A0-0E6566FB0076}"/>
    <cellStyle name="Output 39 18" xfId="18170" xr:uid="{F76BD9BB-E641-4AF7-A5D7-975AB6A67700}"/>
    <cellStyle name="Output 39 19" xfId="16924" xr:uid="{7B6F1965-CCA2-44A0-9113-E4944FC0275E}"/>
    <cellStyle name="Output 39 2" xfId="9744" xr:uid="{403FCF12-5388-405A-AC49-7A84815B41E1}"/>
    <cellStyle name="Output 39 20" xfId="18218" xr:uid="{97E90991-6C14-468A-B0E5-F47584F29619}"/>
    <cellStyle name="Output 39 21" xfId="25769" xr:uid="{21E28C72-CBB1-4865-94FF-9923BA03353D}"/>
    <cellStyle name="Output 39 22" xfId="21288" xr:uid="{D06E4E55-5DBC-40FE-B5C2-669235E54013}"/>
    <cellStyle name="Output 39 23" xfId="25385" xr:uid="{BB059B01-F210-4C91-8CDB-4838CFF3739D}"/>
    <cellStyle name="Output 39 24" xfId="18799" xr:uid="{68EF5F67-01C2-4A31-90C4-17EA60696476}"/>
    <cellStyle name="Output 39 25" xfId="27960" xr:uid="{037DB28E-46DD-4E6D-83AE-9FABA0EFC8D8}"/>
    <cellStyle name="Output 39 26" xfId="28524" xr:uid="{D4FE8A13-5732-4C0E-BF08-93A83A844CBF}"/>
    <cellStyle name="Output 39 27" xfId="29960" xr:uid="{72CF402F-A8A8-48B8-ADBE-DBDFB0DC0765}"/>
    <cellStyle name="Output 39 28" xfId="27369" xr:uid="{41566F97-D6C9-4FAA-AFFB-C9482AB9975C}"/>
    <cellStyle name="Output 39 29" xfId="21908" xr:uid="{E3EAFDEB-5F77-4877-AB65-A7A69C8898FD}"/>
    <cellStyle name="Output 39 3" xfId="7839" xr:uid="{358D66A0-BDC3-426C-8889-C4A5E5218347}"/>
    <cellStyle name="Output 39 30" xfId="28459" xr:uid="{B090786A-8BD8-4203-894E-33A0FC06D88D}"/>
    <cellStyle name="Output 39 31" xfId="21126" xr:uid="{83A358FB-7507-4324-98B7-7B2B78751A01}"/>
    <cellStyle name="Output 39 32" xfId="26024" xr:uid="{23B48928-D672-47B3-86BB-35D3208400FD}"/>
    <cellStyle name="Output 39 33" xfId="6668" xr:uid="{9FB620D2-3E30-4B55-9C1D-2431A2049738}"/>
    <cellStyle name="Output 39 4" xfId="9579" xr:uid="{E9D7E085-2001-448D-99B1-487C894227A0}"/>
    <cellStyle name="Output 39 5" xfId="7568" xr:uid="{C66CBACD-2E22-4ED9-9387-AC899D0CE24B}"/>
    <cellStyle name="Output 39 6" xfId="8633" xr:uid="{F4D54708-9AA9-43A7-9D7B-84BDA26D04B0}"/>
    <cellStyle name="Output 39 7" xfId="14979" xr:uid="{4C3F42FA-4521-428E-BA01-E398DE566CF7}"/>
    <cellStyle name="Output 39 8" xfId="15322" xr:uid="{FD400E5A-B9D2-4A98-8260-A6CA0A6C4A82}"/>
    <cellStyle name="Output 39 9" xfId="12175" xr:uid="{EDF3FE71-E892-4FAC-80D8-C435AEBED086}"/>
    <cellStyle name="Output 4" xfId="3188" xr:uid="{910280C7-A956-4234-892F-E3DD3C8D9AAD}"/>
    <cellStyle name="Output 4 10" xfId="12416" xr:uid="{079EE134-CDD6-4E75-8883-0D4AA24F3AD2}"/>
    <cellStyle name="Output 4 11" xfId="13841" xr:uid="{92201F60-7E87-416A-927F-A0B0E5835D67}"/>
    <cellStyle name="Output 4 12" xfId="16429" xr:uid="{6FF2F2A4-FEAA-42B9-9F28-C7B71F7FA812}"/>
    <cellStyle name="Output 4 13" xfId="17330" xr:uid="{1AE343FA-016A-4AE2-9B58-0ABF08068D3E}"/>
    <cellStyle name="Output 4 14" xfId="10012" xr:uid="{5D198006-2631-485D-B396-75A6471706EE}"/>
    <cellStyle name="Output 4 15" xfId="19675" xr:uid="{DACFD1A1-6437-4E23-B15B-8219C3DDD2AC}"/>
    <cellStyle name="Output 4 16" xfId="16046" xr:uid="{64B5344E-36AC-46DD-8412-C9D982B8C344}"/>
    <cellStyle name="Output 4 17" xfId="21329" xr:uid="{0F0E36B2-5E9B-4E3F-8483-E7B61E68A768}"/>
    <cellStyle name="Output 4 18" xfId="12623" xr:uid="{C1400353-2B6A-4628-AAD2-22281E0E70B8}"/>
    <cellStyle name="Output 4 19" xfId="24857" xr:uid="{8984A94E-15C6-4EBA-BA3D-A4B9B3F3A94A}"/>
    <cellStyle name="Output 4 2" xfId="9745" xr:uid="{DFF768E4-FB86-42FA-99D2-8FFC44C67C11}"/>
    <cellStyle name="Output 4 20" xfId="18217" xr:uid="{CD5653CA-2961-4F7E-B7AE-53CC2ACF7EEC}"/>
    <cellStyle name="Output 4 21" xfId="22829" xr:uid="{FFF2BFC2-42A6-4440-B1A7-9FF7AD1C31F3}"/>
    <cellStyle name="Output 4 22" xfId="22555" xr:uid="{D7521C04-DE60-4577-9205-967BDA04399F}"/>
    <cellStyle name="Output 4 23" xfId="21857" xr:uid="{70964EC2-98E3-4181-9626-8BBFCFFBD2EA}"/>
    <cellStyle name="Output 4 24" xfId="23069" xr:uid="{7B3B8651-586E-4EE4-B174-7DF90497EF1E}"/>
    <cellStyle name="Output 4 25" xfId="29282" xr:uid="{573FE196-8DBD-496A-A310-9A142DA6E5C4}"/>
    <cellStyle name="Output 4 26" xfId="27117" xr:uid="{12B2D91F-A2FC-4634-A9D6-A5B04783CE16}"/>
    <cellStyle name="Output 4 27" xfId="29107" xr:uid="{34377760-73F0-4E40-BA75-F20FD8C30F8E}"/>
    <cellStyle name="Output 4 28" xfId="26208" xr:uid="{A612183A-C436-4CDE-8396-630982BF003A}"/>
    <cellStyle name="Output 4 29" xfId="29859" xr:uid="{C213E89E-EA7A-42B9-8B3E-85118D760EBA}"/>
    <cellStyle name="Output 4 3" xfId="7838" xr:uid="{9339BF3B-0175-44A4-B5F4-770DCA057161}"/>
    <cellStyle name="Output 4 30" xfId="25630" xr:uid="{9745C7C7-B9E6-46DF-B8D1-72E91BF039D0}"/>
    <cellStyle name="Output 4 31" xfId="26601" xr:uid="{828BB263-24F9-4224-BC17-CAE55FC6D5F7}"/>
    <cellStyle name="Output 4 32" xfId="27699" xr:uid="{41878C33-7B3F-4A4A-B7A7-EBDDF6F25AC7}"/>
    <cellStyle name="Output 4 33" xfId="6669" xr:uid="{83E83F0E-802A-40F9-83E9-62BC299AF320}"/>
    <cellStyle name="Output 4 4" xfId="9580" xr:uid="{2144F992-0CD7-4966-9548-687CB66AB665}"/>
    <cellStyle name="Output 4 5" xfId="11975" xr:uid="{EF4940A1-4B0B-42D3-8D2C-AFC5D05D09AD}"/>
    <cellStyle name="Output 4 6" xfId="8632" xr:uid="{29673134-3789-499F-A6F8-1750DCA483A2}"/>
    <cellStyle name="Output 4 7" xfId="10513" xr:uid="{53587678-3A36-4A86-9FC7-A3155F7DD7ED}"/>
    <cellStyle name="Output 4 8" xfId="7532" xr:uid="{CC0F0249-3A29-47EB-9903-6F8E982CE8DB}"/>
    <cellStyle name="Output 4 9" xfId="14781" xr:uid="{A2E4C9DD-617C-4112-8671-376F53B7FEC9}"/>
    <cellStyle name="Output 40" xfId="3189" xr:uid="{75A2D311-0606-4EF5-A82D-5D4CB1AB63E0}"/>
    <cellStyle name="Output 40 10" xfId="14149" xr:uid="{60E43406-7692-4CCC-B072-79CEEE645395}"/>
    <cellStyle name="Output 40 11" xfId="13651" xr:uid="{024CB662-D451-46B5-AD38-92FBBABE92C9}"/>
    <cellStyle name="Output 40 12" xfId="13989" xr:uid="{575F80E9-A924-4818-A46E-33B0E337F41A}"/>
    <cellStyle name="Output 40 13" xfId="12684" xr:uid="{F70F7514-47E9-4904-BE6F-B6FE9189A080}"/>
    <cellStyle name="Output 40 14" xfId="10013" xr:uid="{4DD301E5-027D-427B-8AE6-DB4EC204E16F}"/>
    <cellStyle name="Output 40 15" xfId="21539" xr:uid="{E9D45A9E-61D5-4535-A03A-1209EE5E7847}"/>
    <cellStyle name="Output 40 16" xfId="21903" xr:uid="{B535B00E-97CA-443B-9174-6900E4F51A0F}"/>
    <cellStyle name="Output 40 17" xfId="17015" xr:uid="{0C796374-A124-4CE4-81A0-358673CD544B}"/>
    <cellStyle name="Output 40 18" xfId="18185" xr:uid="{B8823062-B13A-4E10-BF83-EEFA0EBA2673}"/>
    <cellStyle name="Output 40 19" xfId="22934" xr:uid="{7CFA7FD5-0182-40B2-AB74-045C761F497A}"/>
    <cellStyle name="Output 40 2" xfId="9746" xr:uid="{CAA3CD9C-9F03-4292-8687-2E133C5414CD}"/>
    <cellStyle name="Output 40 20" xfId="15790" xr:uid="{3C3E859C-9D76-4921-A01C-519437EFF613}"/>
    <cellStyle name="Output 40 21" xfId="24639" xr:uid="{5901963A-03B5-4C39-817C-C0346704816C}"/>
    <cellStyle name="Output 40 22" xfId="19557" xr:uid="{87A2F10D-04C0-4F5E-AEBC-1DFA07CAE798}"/>
    <cellStyle name="Output 40 23" xfId="23429" xr:uid="{8B39414F-9D35-4871-972F-03AFCF2D5F94}"/>
    <cellStyle name="Output 40 24" xfId="22428" xr:uid="{0645B216-7BF3-4774-B3E2-654D163F8CFF}"/>
    <cellStyle name="Output 40 25" xfId="26681" xr:uid="{2BC42275-C2A8-4263-94A2-CBE0808DB91C}"/>
    <cellStyle name="Output 40 26" xfId="28523" xr:uid="{7129C541-82EE-4232-BFF2-0178A0847EEC}"/>
    <cellStyle name="Output 40 27" xfId="24875" xr:uid="{24792FC5-189C-42A3-9195-914663B0D7CB}"/>
    <cellStyle name="Output 40 28" xfId="27368" xr:uid="{C8B86147-D1A9-4D41-9936-AF25AFC15A13}"/>
    <cellStyle name="Output 40 29" xfId="27832" xr:uid="{9E42C9E0-87BB-404F-9206-559BE3D4697F}"/>
    <cellStyle name="Output 40 3" xfId="7836" xr:uid="{17D3ADF2-DE60-463A-9EDB-FCAD3B661D5D}"/>
    <cellStyle name="Output 40 30" xfId="28458" xr:uid="{CA6F9401-DF7E-4858-A14A-6F0D2E224E82}"/>
    <cellStyle name="Output 40 31" xfId="25430" xr:uid="{6D3C0689-5FE2-4340-9BB7-819BE2518169}"/>
    <cellStyle name="Output 40 32" xfId="29024" xr:uid="{4CCCB5E4-C977-44FE-A5F1-C1A215CAB22A}"/>
    <cellStyle name="Output 40 33" xfId="6670" xr:uid="{E9CB722C-B63F-49DA-BB09-D0C9955EB749}"/>
    <cellStyle name="Output 40 4" xfId="9581" xr:uid="{966F823E-9CB9-4776-8DF5-F26AB21573AC}"/>
    <cellStyle name="Output 40 5" xfId="7567" xr:uid="{BBF2656C-FCD2-4675-BD28-79B076AE2BDA}"/>
    <cellStyle name="Output 40 6" xfId="8631" xr:uid="{99FC0C35-D9A7-41CF-9FD7-89150F1B161D}"/>
    <cellStyle name="Output 40 7" xfId="14978" xr:uid="{69EC577F-9460-4557-9CE3-86E10CDDAF88}"/>
    <cellStyle name="Output 40 8" xfId="11942" xr:uid="{DDE3EE40-D240-489B-AF4B-0F343A599DA6}"/>
    <cellStyle name="Output 40 9" xfId="12177" xr:uid="{18AE6CDD-1751-425F-AB98-370FC3CA0E13}"/>
    <cellStyle name="Output 41" xfId="3190" xr:uid="{FBDBA648-0D88-42E4-822E-F3359A6A7CD9}"/>
    <cellStyle name="Output 41 10" xfId="12417" xr:uid="{0BC7EFD5-BA31-4EB8-BD97-4A32A149C24C}"/>
    <cellStyle name="Output 41 11" xfId="15565" xr:uid="{376AF374-5E3A-4AB1-9607-744B27531ED8}"/>
    <cellStyle name="Output 41 12" xfId="15861" xr:uid="{7A7DB623-2B51-43BA-AA9E-EE4756618EC4}"/>
    <cellStyle name="Output 41 13" xfId="17329" xr:uid="{1F82F5F8-9E4D-443A-9409-6E3137A198FE}"/>
    <cellStyle name="Output 41 14" xfId="10014" xr:uid="{C0C416C8-CBEE-4102-A247-02CAC6BC97F8}"/>
    <cellStyle name="Output 41 15" xfId="15705" xr:uid="{811AF5F3-417F-40FD-ABC8-25E9B0F45980}"/>
    <cellStyle name="Output 41 16" xfId="21899" xr:uid="{0FE42760-3DDF-46B3-B605-4ABB26B2BC2A}"/>
    <cellStyle name="Output 41 17" xfId="21328" xr:uid="{973D0C40-6A2B-4F9A-AB3E-F6FC9C5599BF}"/>
    <cellStyle name="Output 41 18" xfId="16248" xr:uid="{95072DEC-4EEB-4A50-8AFB-C76F6F01D848}"/>
    <cellStyle name="Output 41 19" xfId="24856" xr:uid="{DC43F687-569D-45CA-A5B2-F651CE5C11C3}"/>
    <cellStyle name="Output 41 2" xfId="9747" xr:uid="{13B647A7-4B4E-4207-979D-272472210EB5}"/>
    <cellStyle name="Output 41 20" xfId="18216" xr:uid="{055BD7C6-DF57-47C6-80B1-3882440F3F3D}"/>
    <cellStyle name="Output 41 21" xfId="22822" xr:uid="{F00B12E2-BF19-40F9-9F89-5E02B76AF3F7}"/>
    <cellStyle name="Output 41 22" xfId="21287" xr:uid="{D8B2A6CE-0A87-4377-B8FC-E2535EFC964D}"/>
    <cellStyle name="Output 41 23" xfId="24474" xr:uid="{B1369B62-8DBB-4D83-A000-13555416922B}"/>
    <cellStyle name="Output 41 24" xfId="23068" xr:uid="{B42E6797-0A68-49DF-B424-1FD0667E6242}"/>
    <cellStyle name="Output 41 25" xfId="27952" xr:uid="{69647929-3083-4E27-9934-722D7DF9A7DB}"/>
    <cellStyle name="Output 41 26" xfId="25639" xr:uid="{8C0BA81A-CCAA-4DD7-9CF1-FB7C8F5284A7}"/>
    <cellStyle name="Output 41 27" xfId="22372" xr:uid="{F3ACB9C5-B873-4264-8DC9-4CEF423DB3A0}"/>
    <cellStyle name="Output 41 28" xfId="22240" xr:uid="{1463F8A7-9239-41AA-A3EB-ADCACB108B5E}"/>
    <cellStyle name="Output 41 29" xfId="28063" xr:uid="{E4295431-FD68-4BE1-9E06-19FEDBD96B86}"/>
    <cellStyle name="Output 41 3" xfId="7835" xr:uid="{F5260CA6-8744-4CD9-A33E-44747A1624B3}"/>
    <cellStyle name="Output 41 30" xfId="27086" xr:uid="{7AA13C19-22D9-4400-9A34-F59DBE462A5B}"/>
    <cellStyle name="Output 41 31" xfId="26600" xr:uid="{01A6E917-780B-4147-B21F-DDCE523C5725}"/>
    <cellStyle name="Output 41 32" xfId="27639" xr:uid="{2A071097-8518-403A-8B10-2FB1A7E3998F}"/>
    <cellStyle name="Output 41 33" xfId="6671" xr:uid="{C90715E4-F1F8-4629-B97F-B4E8F10BD8C1}"/>
    <cellStyle name="Output 41 4" xfId="9582" xr:uid="{EB4BE39C-F9E1-4A9C-9A15-87454036FC19}"/>
    <cellStyle name="Output 41 5" xfId="11974" xr:uid="{71BF165B-C8A3-41D5-9705-882AFC0E9727}"/>
    <cellStyle name="Output 41 6" xfId="8630" xr:uid="{DA5D75E7-621D-4AC9-B2D1-A9425AE1231A}"/>
    <cellStyle name="Output 41 7" xfId="12961" xr:uid="{7C5D8FED-2EF1-4DD3-B0AE-C90C7E54192A}"/>
    <cellStyle name="Output 41 8" xfId="7531" xr:uid="{E33A8ECD-4E96-44F6-A30F-8839CF2BEACB}"/>
    <cellStyle name="Output 41 9" xfId="14780" xr:uid="{E405335D-BAFB-488D-872B-67435858B86A}"/>
    <cellStyle name="Output 42" xfId="3191" xr:uid="{11E91EE2-F52A-4F0B-90F7-46804AF5445C}"/>
    <cellStyle name="Output 42 10" xfId="14148" xr:uid="{E70A3CCD-2D8D-401F-A895-4C04D3B6A2C2}"/>
    <cellStyle name="Output 42 11" xfId="14600" xr:uid="{F346C22D-AFD8-461D-8569-A6A0B960A8FC}"/>
    <cellStyle name="Output 42 12" xfId="16428" xr:uid="{EA2E41C9-D0B3-4DCF-AB43-35A7B2F0FC95}"/>
    <cellStyle name="Output 42 13" xfId="13763" xr:uid="{F4CA3760-29E2-47B1-BE39-6F00662C5712}"/>
    <cellStyle name="Output 42 14" xfId="10015" xr:uid="{9D66CCAA-5CFC-4A20-A3DC-00A7DB9CB2B7}"/>
    <cellStyle name="Output 42 15" xfId="21538" xr:uid="{D4DD87B6-EA5D-4D8B-B953-E39889B68D3C}"/>
    <cellStyle name="Output 42 16" xfId="13786" xr:uid="{5AF40377-2187-4CEC-8A1B-1FEF290F0836}"/>
    <cellStyle name="Output 42 17" xfId="19577" xr:uid="{25A0BB02-D397-41A9-BF0C-757D16BA97AF}"/>
    <cellStyle name="Output 42 18" xfId="18183" xr:uid="{300C78E1-3882-48A4-987E-115C37EF45B1}"/>
    <cellStyle name="Output 42 19" xfId="22366" xr:uid="{5E4668F9-D86C-4B79-AF5F-45A702206FAA}"/>
    <cellStyle name="Output 42 2" xfId="9748" xr:uid="{E6523600-021C-4CC6-953B-7467B3AFB974}"/>
    <cellStyle name="Output 42 20" xfId="16264" xr:uid="{B0B14A6B-658E-4A8C-99CE-E83381DC49FA}"/>
    <cellStyle name="Output 42 21" xfId="25768" xr:uid="{AC69AF32-1CCD-48E0-9919-D8B883D911B5}"/>
    <cellStyle name="Output 42 22" xfId="17785" xr:uid="{6E69B5D8-64D3-4A91-BA4F-4D897B7DBC07}"/>
    <cellStyle name="Output 42 23" xfId="15418" xr:uid="{07BB5965-3F60-4435-A7E3-02722391F542}"/>
    <cellStyle name="Output 42 24" xfId="20437" xr:uid="{986244FB-DBA4-4817-ADC3-84E5C8158604}"/>
    <cellStyle name="Output 42 25" xfId="29452" xr:uid="{8FF7C88A-B158-4CFC-8CCA-0EADF68AC96E}"/>
    <cellStyle name="Output 42 26" xfId="28522" xr:uid="{C94C1818-994B-4B60-AFC8-DBE23589569D}"/>
    <cellStyle name="Output 42 27" xfId="25274" xr:uid="{8EAD9AE5-C396-4DE9-B696-0E71F008D860}"/>
    <cellStyle name="Output 42 28" xfId="27367" xr:uid="{28747BCC-C2CB-4A41-9B6F-53B044BFB73F}"/>
    <cellStyle name="Output 42 29" xfId="25965" xr:uid="{17F9F27C-9D17-48A9-A3CA-675EDF9F3A57}"/>
    <cellStyle name="Output 42 3" xfId="7834" xr:uid="{47834F2A-3ECC-47EF-B44D-A2FAA12663D9}"/>
    <cellStyle name="Output 42 30" xfId="28457" xr:uid="{2224A4E3-02A2-414D-BFBF-BD99492B746C}"/>
    <cellStyle name="Output 42 31" xfId="30922" xr:uid="{5919E332-5DDD-4AB1-A97C-65A06818C928}"/>
    <cellStyle name="Output 42 32" xfId="28256" xr:uid="{43D5C58A-A6CE-4706-81B1-F3C01C44DECB}"/>
    <cellStyle name="Output 42 33" xfId="6672" xr:uid="{E21EFC39-B1EF-43F8-97EF-B3F0A279EE22}"/>
    <cellStyle name="Output 42 4" xfId="9583" xr:uid="{2F171D4F-E712-40A8-839B-E3BB27F41E4F}"/>
    <cellStyle name="Output 42 5" xfId="7566" xr:uid="{9D161C15-A9A3-4EBB-8D6B-CA9130AF4377}"/>
    <cellStyle name="Output 42 6" xfId="8629" xr:uid="{6E537DC0-1989-4230-876B-5E69D6F02E94}"/>
    <cellStyle name="Output 42 7" xfId="14977" xr:uid="{B2843418-AE48-472C-8F9E-50CC69A97EF0}"/>
    <cellStyle name="Output 42 8" xfId="11941" xr:uid="{52297A82-0FA5-46CD-9DDB-FF0A44A38A45}"/>
    <cellStyle name="Output 42 9" xfId="12176" xr:uid="{190BED14-A0BB-4FC9-96FC-5AEDF8FDD584}"/>
    <cellStyle name="Output 43" xfId="3192" xr:uid="{D15362ED-DB9C-429C-AA14-B68323D85BD2}"/>
    <cellStyle name="Output 43 10" xfId="12418" xr:uid="{FF340B3D-735A-4319-8169-65D4D9533A9F}"/>
    <cellStyle name="Output 43 11" xfId="16760" xr:uid="{85340425-20C5-404C-BF17-F94BBD183BD4}"/>
    <cellStyle name="Output 43 12" xfId="15868" xr:uid="{D234F5D9-DC08-4C49-9FE4-90990660A119}"/>
    <cellStyle name="Output 43 13" xfId="17328" xr:uid="{AD377694-19C1-4C0B-83F7-B6EC9E999DDA}"/>
    <cellStyle name="Output 43 14" xfId="10016" xr:uid="{C22C5E71-309F-481C-B41C-65A33204FD60}"/>
    <cellStyle name="Output 43 15" xfId="19674" xr:uid="{6E48BE20-052E-4E36-BEE8-C10C54D8862B}"/>
    <cellStyle name="Output 43 16" xfId="17237" xr:uid="{5C005215-84F5-47BC-BF70-92A39C7072CD}"/>
    <cellStyle name="Output 43 17" xfId="21327" xr:uid="{D66EBD99-D342-46DF-B578-10BD896CEA15}"/>
    <cellStyle name="Output 43 18" xfId="23294" xr:uid="{28E1D5C8-D49E-40C9-B73C-6FD24F429414}"/>
    <cellStyle name="Output 43 19" xfId="24855" xr:uid="{5E12C836-3B67-4499-864E-29D379920432}"/>
    <cellStyle name="Output 43 2" xfId="9749" xr:uid="{7A9BF58D-7345-4B77-9821-B690CCDFCA79}"/>
    <cellStyle name="Output 43 20" xfId="18215" xr:uid="{927DDFA8-975D-4B83-B105-6F131C37A4AE}"/>
    <cellStyle name="Output 43 21" xfId="24206" xr:uid="{C3C8A3D2-3800-413B-A878-EA5078026022}"/>
    <cellStyle name="Output 43 22" xfId="21270" xr:uid="{76D048A5-6E08-4D09-A2C9-13D2BC3EAE41}"/>
    <cellStyle name="Output 43 23" xfId="21966" xr:uid="{66CC59CB-4DD5-49B0-B821-0C4396EF9B18}"/>
    <cellStyle name="Output 43 24" xfId="23067" xr:uid="{025AAD1B-0409-4463-A506-5688EDFAA2EC}"/>
    <cellStyle name="Output 43 25" xfId="26696" xr:uid="{35D32918-183E-43E7-A52E-87064ABD0810}"/>
    <cellStyle name="Output 43 26" xfId="27116" xr:uid="{122EDC4A-1CAC-4436-9DBF-13B902593831}"/>
    <cellStyle name="Output 43 27" xfId="23508" xr:uid="{D55436F9-E531-4FE4-B82A-354633AA42A4}"/>
    <cellStyle name="Output 43 28" xfId="23537" xr:uid="{06015CA9-800B-48AC-AADD-6E43D9106F70}"/>
    <cellStyle name="Output 43 29" xfId="29650" xr:uid="{90D23E60-BFE8-4944-9D28-51EA298BD579}"/>
    <cellStyle name="Output 43 3" xfId="7833" xr:uid="{6C361627-A1F7-4320-ABF8-0F96A1C13107}"/>
    <cellStyle name="Output 43 30" xfId="26072" xr:uid="{6E4CB090-8164-4D50-B6ED-207117EA478E}"/>
    <cellStyle name="Output 43 31" xfId="29863" xr:uid="{7A38364A-BDCE-4211-AFCE-388439195F83}"/>
    <cellStyle name="Output 43 32" xfId="26473" xr:uid="{646C316D-0A78-4B4B-92E7-9ADD605DE52E}"/>
    <cellStyle name="Output 43 33" xfId="6673" xr:uid="{7C21FF61-2FD1-4172-BDCD-EC7140B0815E}"/>
    <cellStyle name="Output 43 4" xfId="9584" xr:uid="{96AC37D1-6F09-4B6E-9E9B-03D06B979F3E}"/>
    <cellStyle name="Output 43 5" xfId="11973" xr:uid="{66B583B4-6A2A-4EC0-B922-E01D16250D74}"/>
    <cellStyle name="Output 43 6" xfId="8628" xr:uid="{5AD567B6-9C66-4F4B-8207-FBE1BB60717C}"/>
    <cellStyle name="Output 43 7" xfId="10514" xr:uid="{5051F05B-C143-4D4F-9961-1D8BFD6EA6A4}"/>
    <cellStyle name="Output 43 8" xfId="15090" xr:uid="{E692630E-C686-4F1A-B46A-624FF6127FF4}"/>
    <cellStyle name="Output 43 9" xfId="14779" xr:uid="{0D8D3AC4-03A2-477B-A33B-AE437978A07D}"/>
    <cellStyle name="Output 44" xfId="5942" xr:uid="{58249E4C-BFB5-4E31-B1E2-4DC72E2C2773}"/>
    <cellStyle name="Output 44 10" xfId="13465" xr:uid="{4CF8BC24-F467-418E-B248-2D5BBE3A5315}"/>
    <cellStyle name="Output 44 11" xfId="19519" xr:uid="{5E1A4E2F-EC4F-42B8-AC8C-A0A378EE0765}"/>
    <cellStyle name="Output 44 12" xfId="16441" xr:uid="{622D686E-0098-487E-B5C7-D810ABFB0900}"/>
    <cellStyle name="Output 44 13" xfId="13787" xr:uid="{262094D1-6827-4FA9-B0C2-AA579AB4AD62}"/>
    <cellStyle name="Output 44 14" xfId="9991" xr:uid="{62EABBD9-4FC3-49DC-ABB0-1A5B11E4C2EE}"/>
    <cellStyle name="Output 44 15" xfId="21555" xr:uid="{8EADA5EA-358C-40F4-865C-97A2BA3E20E0}"/>
    <cellStyle name="Output 44 16" xfId="17289" xr:uid="{1E48A0F3-57FB-4ADC-84A2-7CAB509EC2D0}"/>
    <cellStyle name="Output 44 17" xfId="21343" xr:uid="{9E4BA0D0-00F3-4CA5-A65D-D5E2B7008A53}"/>
    <cellStyle name="Output 44 18" xfId="15151" xr:uid="{C842144E-15C1-4044-9757-CE6C2D82DB30}"/>
    <cellStyle name="Output 44 19" xfId="22775" xr:uid="{0CAAE7B0-03E8-4277-B650-2C7936333B46}"/>
    <cellStyle name="Output 44 2" xfId="9711" xr:uid="{E258375A-2E96-47C1-BF32-BFFA8C0A0CC8}"/>
    <cellStyle name="Output 44 20" xfId="17214" xr:uid="{12B5AF29-A6BA-49D7-BB3E-3C2DA538AA19}"/>
    <cellStyle name="Output 44 21" xfId="22837" xr:uid="{6B974250-BF1F-4017-9BB5-5B69C70C7625}"/>
    <cellStyle name="Output 44 22" xfId="27382" xr:uid="{554DAA0A-2EAB-45C8-90B1-66B501D6A8AF}"/>
    <cellStyle name="Output 44 23" xfId="25377" xr:uid="{6282991C-F856-4B5C-BFF7-B7074AD510EA}"/>
    <cellStyle name="Output 44 24" xfId="23085" xr:uid="{2B08ACA4-43B2-46EC-9EE6-F8361F94F46C}"/>
    <cellStyle name="Output 44 25" xfId="20481" xr:uid="{08EF4FE7-35FF-4574-A251-6843C79D2905}"/>
    <cellStyle name="Output 44 26" xfId="29171" xr:uid="{08968B48-3523-4FF9-AF91-92E597D2FF99}"/>
    <cellStyle name="Output 44 27" xfId="23023" xr:uid="{CEDEC4ED-A409-4E09-9D1F-B562C6B9290A}"/>
    <cellStyle name="Output 44 28" xfId="27375" xr:uid="{0B29B28C-6971-49BB-864E-8D6B6C0C0000}"/>
    <cellStyle name="Output 44 29" xfId="27853" xr:uid="{84ADADC9-62D8-48CD-B188-DBA56FFDF3EB}"/>
    <cellStyle name="Output 44 3" xfId="7872" xr:uid="{79CB2DAE-B48E-4F31-B3DB-54205D035E3A}"/>
    <cellStyle name="Output 44 30" xfId="27092" xr:uid="{21079CA5-C4FC-4BFB-A35B-6F02F326FD8A}"/>
    <cellStyle name="Output 44 31" xfId="26614" xr:uid="{82FF7900-91D3-4004-86B9-899AF50011D6}"/>
    <cellStyle name="Output 44 32" xfId="28259" xr:uid="{F99C2F51-AB49-42AB-86CC-42EBE36EEC4F}"/>
    <cellStyle name="Output 44 33" xfId="6957" xr:uid="{0D560BC1-BACF-4ABB-9CEF-DA6BA2F19EB0}"/>
    <cellStyle name="Output 44 4" xfId="9545" xr:uid="{ABB6F7A6-E347-426D-B3A4-6D0C1F6EF4A9}"/>
    <cellStyle name="Output 44 5" xfId="7592" xr:uid="{74535470-37FD-4D46-B97E-068957B57C28}"/>
    <cellStyle name="Output 44 6" xfId="8667" xr:uid="{BE81F4E7-85BF-41A1-8F84-446876AEC9ED}"/>
    <cellStyle name="Output 44 7" xfId="15297" xr:uid="{0DCEB418-1542-48F0-9D7D-13F40FD18B70}"/>
    <cellStyle name="Output 44 8" xfId="11958" xr:uid="{74B5C35C-5FE6-4E28-838E-9E3D895FD44B}"/>
    <cellStyle name="Output 44 9" xfId="12163" xr:uid="{A5BFC140-9A82-4B45-B3D5-2160580DA015}"/>
    <cellStyle name="Output 45" xfId="3154" xr:uid="{9EF747EE-0EFC-4856-8CCD-79E6D937E8E6}"/>
    <cellStyle name="Output 46" xfId="6635" xr:uid="{20A404F7-E26D-4AA7-9D06-0564D7347628}"/>
    <cellStyle name="Output 5" xfId="3193" xr:uid="{116C965F-698D-4902-AD0D-A27F84ECAC1F}"/>
    <cellStyle name="Output 5 10" xfId="14147" xr:uid="{AC056435-9842-4F6C-B5D1-5CD8F782B260}"/>
    <cellStyle name="Output 5 11" xfId="12729" xr:uid="{3DE97692-4A59-4CF4-A488-755E5A68FCBF}"/>
    <cellStyle name="Output 5 12" xfId="16409" xr:uid="{728953CA-E68D-4E0A-8B6C-E50AFC686B6D}"/>
    <cellStyle name="Output 5 13" xfId="15656" xr:uid="{54EACEA1-BE1E-4EC6-9FD7-346268EAF700}"/>
    <cellStyle name="Output 5 14" xfId="10017" xr:uid="{5728AB73-6829-40CA-80B3-28BEC04CDADF}"/>
    <cellStyle name="Output 5 15" xfId="21537" xr:uid="{883FDD2F-C2F5-4475-A6BB-9FDF9013081A}"/>
    <cellStyle name="Output 5 16" xfId="15676" xr:uid="{6FC8D8CE-3823-4BB2-AEA1-38DDFF751F41}"/>
    <cellStyle name="Output 5 17" xfId="17016" xr:uid="{CA135C83-71EF-4250-A190-01FED9F6A3C5}"/>
    <cellStyle name="Output 5 18" xfId="24924" xr:uid="{372D0C25-051D-472B-B06F-426A0A682C44}"/>
    <cellStyle name="Output 5 19" xfId="22933" xr:uid="{9CBE2088-BE27-4E92-8B33-EEBDA7AA03E2}"/>
    <cellStyle name="Output 5 2" xfId="9750" xr:uid="{E3A490B0-5B6A-4E88-9BEC-F349DF4B8268}"/>
    <cellStyle name="Output 5 20" xfId="18177" xr:uid="{3C7281A6-611F-448B-B368-108BEAB9FD72}"/>
    <cellStyle name="Output 5 21" xfId="24638" xr:uid="{8EF2EA85-CD5B-42D9-9595-E02B7B5660DB}"/>
    <cellStyle name="Output 5 22" xfId="21286" xr:uid="{5182A733-BD54-4656-B592-EF03162CC1C8}"/>
    <cellStyle name="Output 5 23" xfId="24473" xr:uid="{4D56646E-7CF2-41A5-90B3-1ED80254413C}"/>
    <cellStyle name="Output 5 24" xfId="22427" xr:uid="{2B7604D3-7FE6-471A-856C-7E9CFE415629}"/>
    <cellStyle name="Output 5 25" xfId="27951" xr:uid="{9505602A-9415-4198-A2F7-67477F4CEEC9}"/>
    <cellStyle name="Output 5 26" xfId="28521" xr:uid="{89F7A702-14C5-4032-BAC4-DB9AB4CDF3A1}"/>
    <cellStyle name="Output 5 27" xfId="30127" xr:uid="{FFA47B81-9C79-4D70-9EB2-C57A93D01EB6}"/>
    <cellStyle name="Output 5 28" xfId="27366" xr:uid="{507B55A5-BC3F-46EC-A2E7-6F494B3A11F1}"/>
    <cellStyle name="Output 5 29" xfId="27831" xr:uid="{4B4A30D7-242A-4C0D-82EC-ABADE493262B}"/>
    <cellStyle name="Output 5 3" xfId="7832" xr:uid="{2174AD41-7D64-4BF6-93DC-93DF8746A5AC}"/>
    <cellStyle name="Output 5 30" xfId="28456" xr:uid="{06E3FD83-2BA1-4261-8C89-396B4F632994}"/>
    <cellStyle name="Output 5 31" xfId="27855" xr:uid="{FCDD7C33-A05D-49A7-946D-20304FC084C0}"/>
    <cellStyle name="Output 5 32" xfId="30007" xr:uid="{6A1FDAF4-C2BC-4640-B5B1-BDE54580975D}"/>
    <cellStyle name="Output 5 33" xfId="6674" xr:uid="{3BC55527-2D06-46C4-90B2-FC34A6E5A715}"/>
    <cellStyle name="Output 5 4" xfId="9615" xr:uid="{1ED7E212-4597-4ED8-B577-5168E60F68CE}"/>
    <cellStyle name="Output 5 5" xfId="7565" xr:uid="{990997F5-F62F-4BEB-9B74-0025D938EAFE}"/>
    <cellStyle name="Output 5 6" xfId="8627" xr:uid="{14AA807F-8A96-4044-852A-EFF3313F4FD2}"/>
    <cellStyle name="Output 5 7" xfId="14976" xr:uid="{2DFC8A4B-7CE9-4724-BED2-CCB39DD2F11A}"/>
    <cellStyle name="Output 5 8" xfId="15308" xr:uid="{AA895DB3-CF21-47D5-9029-1A119A9DAECC}"/>
    <cellStyle name="Output 5 9" xfId="15986" xr:uid="{EC50205D-2319-4611-A59A-008FD555F75B}"/>
    <cellStyle name="Output 6" xfId="3194" xr:uid="{DEED2AE1-8B9C-4FFE-A029-8D19D4EF7144}"/>
    <cellStyle name="Output 6 10" xfId="12419" xr:uid="{63A5456A-11A1-46C9-96C3-1E1F9112C7B1}"/>
    <cellStyle name="Output 6 11" xfId="13652" xr:uid="{14A75FF1-6C95-410D-8745-B866D9D3905E}"/>
    <cellStyle name="Output 6 12" xfId="16427" xr:uid="{B3933E01-D161-45F2-8549-049D37942456}"/>
    <cellStyle name="Output 6 13" xfId="17327" xr:uid="{782DD9F1-34CA-49C0-83A2-325EB9A1BB80}"/>
    <cellStyle name="Output 6 14" xfId="10018" xr:uid="{1EC8AD5E-6EB1-4BB1-B32A-30A90CB1F128}"/>
    <cellStyle name="Output 6 15" xfId="19377" xr:uid="{E6C113E5-1667-426A-8ABE-B45C85324BD7}"/>
    <cellStyle name="Output 6 16" xfId="17236" xr:uid="{7C8B9A40-AB12-41DB-8F9C-E6A6EBB180FD}"/>
    <cellStyle name="Output 6 17" xfId="21326" xr:uid="{99E177B8-6A17-4280-94BF-1A062B5F910C}"/>
    <cellStyle name="Output 6 18" xfId="16247" xr:uid="{AE8AD177-9FC2-41EA-95BF-9F2E80469BCF}"/>
    <cellStyle name="Output 6 19" xfId="24854" xr:uid="{91F28B88-6FDA-4CE6-A070-3FA0BCCD9B34}"/>
    <cellStyle name="Output 6 2" xfId="9751" xr:uid="{532B239F-AA0D-4EB1-B428-1FD8AC742AEF}"/>
    <cellStyle name="Output 6 20" xfId="15153" xr:uid="{1C0B4A44-AC39-4679-AF7D-309D0B51352A}"/>
    <cellStyle name="Output 6 21" xfId="22313" xr:uid="{57C066EE-121C-48B7-B7E3-75F8711AAC32}"/>
    <cellStyle name="Output 6 22" xfId="20903" xr:uid="{B87B2C45-DF8A-41BC-8D73-65D9C487AE18}"/>
    <cellStyle name="Output 6 23" xfId="25387" xr:uid="{BE1AEE44-A52F-4F59-8EFE-00D163C26E24}"/>
    <cellStyle name="Output 6 24" xfId="23066" xr:uid="{18BF4504-EE2E-421E-AE8D-1B52D0EB03CC}"/>
    <cellStyle name="Output 6 25" xfId="26682" xr:uid="{68BAB56D-27A1-4A29-8552-5ED5A4F4BAD6}"/>
    <cellStyle name="Output 6 26" xfId="26086" xr:uid="{DF60A00C-DA71-4291-A408-17D4A6A14676}"/>
    <cellStyle name="Output 6 27" xfId="24890" xr:uid="{309A9FF3-84EA-453C-B941-40933897DD39}"/>
    <cellStyle name="Output 6 28" xfId="30128" xr:uid="{84E22054-D24B-4AA6-A514-4BA91BC78128}"/>
    <cellStyle name="Output 6 29" xfId="26012" xr:uid="{731CB819-CE44-46CF-B54E-0D676D8BB188}"/>
    <cellStyle name="Output 6 3" xfId="7831" xr:uid="{E453E6C7-EEF3-40DB-8143-BE0A4DCE5C23}"/>
    <cellStyle name="Output 6 30" xfId="27085" xr:uid="{A81FBB9F-8842-4B4A-A3AD-EA071449DD2E}"/>
    <cellStyle name="Output 6 31" xfId="30566" xr:uid="{56A81053-BE2A-491A-BAC0-9AD0022FD57C}"/>
    <cellStyle name="Output 6 32" xfId="26946" xr:uid="{E40B7939-4D39-4B42-ADFD-021CF4DD3AA0}"/>
    <cellStyle name="Output 6 33" xfId="6675" xr:uid="{49EE43D5-2DEC-434C-A267-22AAF8E479B6}"/>
    <cellStyle name="Output 6 4" xfId="9585" xr:uid="{0404475B-F60A-4B97-BA48-04544C3476BA}"/>
    <cellStyle name="Output 6 5" xfId="11972" xr:uid="{812773FD-B03B-47C4-8C4B-2CA87B7CC6C9}"/>
    <cellStyle name="Output 6 6" xfId="8626" xr:uid="{37C84F3E-EA7D-4E1E-A84E-61A61153B379}"/>
    <cellStyle name="Output 6 7" xfId="12960" xr:uid="{5E70B695-6E3D-414E-B6E1-E36646BAEAFD}"/>
    <cellStyle name="Output 6 8" xfId="15089" xr:uid="{CA960788-DC5F-456D-8EEA-3E6DC011E8A4}"/>
    <cellStyle name="Output 6 9" xfId="12178" xr:uid="{54B20A5B-D7EA-4660-A87B-32972DD33611}"/>
    <cellStyle name="Output 7" xfId="3195" xr:uid="{D374A6C7-418A-4A9F-82F7-C71873249FAC}"/>
    <cellStyle name="Output 7 10" xfId="14146" xr:uid="{5F7FF607-906F-4BEA-870D-B69A70697716}"/>
    <cellStyle name="Output 7 11" xfId="13667" xr:uid="{BDBA3F5A-9705-4443-B8BC-D36C19D33807}"/>
    <cellStyle name="Output 7 12" xfId="12579" xr:uid="{2D88BFCC-E2EE-4B5B-A556-BA29C5F58E5F}"/>
    <cellStyle name="Output 7 13" xfId="13764" xr:uid="{500D39F8-6A6B-4BDC-9A38-269C948F87C7}"/>
    <cellStyle name="Output 7 14" xfId="10019" xr:uid="{66C908C5-E02C-422C-AB42-7C0F4DAB2313}"/>
    <cellStyle name="Output 7 15" xfId="21536" xr:uid="{E8896005-30E4-4728-BF20-35B67F8B6EA2}"/>
    <cellStyle name="Output 7 16" xfId="14534" xr:uid="{B51E1961-6FD9-4E69-BECA-0E1294F80627}"/>
    <cellStyle name="Output 7 17" xfId="22546" xr:uid="{9485A956-8CDB-47D1-ADA4-ED8F143AA856}"/>
    <cellStyle name="Output 7 18" xfId="24925" xr:uid="{FC856DCD-4597-4DC8-9BA4-942C1286E558}"/>
    <cellStyle name="Output 7 19" xfId="20402" xr:uid="{08E592DA-F178-4DAF-9F46-25D238E5867D}"/>
    <cellStyle name="Output 7 2" xfId="9752" xr:uid="{E278C37F-A128-4768-A666-6CCD0A357186}"/>
    <cellStyle name="Output 7 20" xfId="18214" xr:uid="{0C73F3C9-8B1A-44E2-A8EB-4A6CEEBC1C65}"/>
    <cellStyle name="Output 7 21" xfId="22819" xr:uid="{075E9308-6411-407F-890E-A83C05C64EAA}"/>
    <cellStyle name="Output 7 22" xfId="21285" xr:uid="{BFAEEF39-330C-4730-B0D8-36411ABCA639}"/>
    <cellStyle name="Output 7 23" xfId="25806" xr:uid="{CF75E10D-74E9-452D-B30D-24822E49F8C3}"/>
    <cellStyle name="Output 7 24" xfId="16916" xr:uid="{E1FDF4C5-391A-43FC-A07F-6889F0A12749}"/>
    <cellStyle name="Output 7 25" xfId="26698" xr:uid="{5CE3F38C-F44E-4304-A5CE-5B1D68D8651B}"/>
    <cellStyle name="Output 7 26" xfId="28520" xr:uid="{B3626A34-F102-4A6B-9DC5-36FC913B1059}"/>
    <cellStyle name="Output 7 27" xfId="24487" xr:uid="{A0CA1DEB-097F-4094-AA86-DBD004AA3C59}"/>
    <cellStyle name="Output 7 28" xfId="23808" xr:uid="{F643BD69-EC50-437E-A11F-3D2A0C376D79}"/>
    <cellStyle name="Output 7 29" xfId="24332" xr:uid="{D49BFFCB-37E6-40CA-8179-E2A61D6AD2E7}"/>
    <cellStyle name="Output 7 3" xfId="7830" xr:uid="{03E93397-C52D-4131-A3F8-108665316465}"/>
    <cellStyle name="Output 7 30" xfId="29316" xr:uid="{216FD80F-1F66-427B-8F85-85E1F1437A6E}"/>
    <cellStyle name="Output 7 31" xfId="29655" xr:uid="{27F9682F-D39F-42FE-9AF5-BCC28B611EA7}"/>
    <cellStyle name="Output 7 32" xfId="30008" xr:uid="{54D2F12B-4650-437C-AE5B-1324EE49B0F3}"/>
    <cellStyle name="Output 7 33" xfId="6676" xr:uid="{F9E706AA-5B8C-4BA7-9299-D8A8F200FFB2}"/>
    <cellStyle name="Output 7 4" xfId="9586" xr:uid="{452F6E90-CAE8-4A82-BF2E-26CA4205A600}"/>
    <cellStyle name="Output 7 5" xfId="7564" xr:uid="{D201B333-8896-4BEB-8C17-BA233C1B1DED}"/>
    <cellStyle name="Output 7 6" xfId="8625" xr:uid="{AEDAAC63-EF4D-451B-A020-C8F6BA75DE29}"/>
    <cellStyle name="Output 7 7" xfId="14975" xr:uid="{8F7ED565-33A0-491E-ACC5-986283A184BC}"/>
    <cellStyle name="Output 7 8" xfId="15309" xr:uid="{C5C2FD21-0D36-4A35-92FE-EFB110A674E2}"/>
    <cellStyle name="Output 7 9" xfId="14778" xr:uid="{A1488063-4690-47C4-8DA3-190315E8BB74}"/>
    <cellStyle name="Output 8" xfId="3196" xr:uid="{88A5B172-B074-4417-A397-B4D78477FB76}"/>
    <cellStyle name="Output 8 10" xfId="12420" xr:uid="{4EB8AD0A-A215-42A0-8A4E-B1E9649C3445}"/>
    <cellStyle name="Output 8 11" xfId="15566" xr:uid="{7C0893E0-E9E4-4358-A82A-06A93A29F4DE}"/>
    <cellStyle name="Output 8 12" xfId="16426" xr:uid="{74C18EE3-2CAE-44C0-AFB2-1F876EAA5091}"/>
    <cellStyle name="Output 8 13" xfId="17326" xr:uid="{618813C0-D8EE-4C2F-8E84-BB0FF8D2332D}"/>
    <cellStyle name="Output 8 14" xfId="10020" xr:uid="{6007869E-2A18-4D73-A466-D9E917EC884C}"/>
    <cellStyle name="Output 8 15" xfId="19673" xr:uid="{8E0EDC95-D476-433C-AC6B-E3334BA92C8D}"/>
    <cellStyle name="Output 8 16" xfId="17235" xr:uid="{9714EC42-9EFB-4A75-9B0D-900A03F4BAAC}"/>
    <cellStyle name="Output 8 17" xfId="19576" xr:uid="{E07E404E-F8A5-4537-B8BF-836AAA40A272}"/>
    <cellStyle name="Output 8 18" xfId="23295" xr:uid="{F17147A4-2C07-4786-AEE8-DA0627308E01}"/>
    <cellStyle name="Output 8 19" xfId="24853" xr:uid="{F5A402B7-A2FF-41AF-90DC-7B1873822C6C}"/>
    <cellStyle name="Output 8 2" xfId="9753" xr:uid="{E161AECE-F2C1-4C91-B276-B05364B3DFAD}"/>
    <cellStyle name="Output 8 20" xfId="16263" xr:uid="{817D41E8-90A3-4026-AEEF-F744F5B2ACD6}"/>
    <cellStyle name="Output 8 21" xfId="24616" xr:uid="{CF612F4D-F957-4A09-915F-127872C5C57E}"/>
    <cellStyle name="Output 8 22" xfId="18630" xr:uid="{F40CA1C1-D06F-417C-94D7-A1FCCD0A94E0}"/>
    <cellStyle name="Output 8 23" xfId="22682" xr:uid="{FF0EE435-FF65-4FCF-9084-84A501DCE970}"/>
    <cellStyle name="Output 8 24" xfId="23065" xr:uid="{6B060312-38B2-45DC-B980-2D1782A76A5F}"/>
    <cellStyle name="Output 8 25" xfId="27615" xr:uid="{66ACACD8-F34C-4C4C-9A5F-C82F0F2F496A}"/>
    <cellStyle name="Output 8 26" xfId="27115" xr:uid="{C3857B2C-0309-48F3-A2EC-9C540F1DB31D}"/>
    <cellStyle name="Output 8 27" xfId="22951" xr:uid="{7C318D7C-3A51-45BE-A7C4-D5BDC9619E45}"/>
    <cellStyle name="Output 8 28" xfId="27365" xr:uid="{84E250FE-E0C3-499A-904F-A1A7AF3C499A}"/>
    <cellStyle name="Output 8 29" xfId="29853" xr:uid="{ADD80CF5-37DF-4532-A43B-45DCD7E666E3}"/>
    <cellStyle name="Output 8 3" xfId="7829" xr:uid="{879CA919-9C94-4E6C-9399-A94882CAC732}"/>
    <cellStyle name="Output 8 30" xfId="30278" xr:uid="{7CD97ABF-BBA9-4149-B357-7CB79DB7A546}"/>
    <cellStyle name="Output 8 31" xfId="24330" xr:uid="{CCCEADBD-39EB-4406-9257-2FFC0C0C33F5}"/>
    <cellStyle name="Output 8 32" xfId="30009" xr:uid="{13BA812E-5FC4-40C4-8C11-78BAFEE7F36E}"/>
    <cellStyle name="Output 8 33" xfId="6677" xr:uid="{24F62803-36FC-41BF-8B6B-2AC988619639}"/>
    <cellStyle name="Output 8 4" xfId="9587" xr:uid="{994A926C-AAD4-4C11-B7E0-4AD2E2972788}"/>
    <cellStyle name="Output 8 5" xfId="11971" xr:uid="{8F17820F-FD01-45C5-94AA-D8B81E48E12E}"/>
    <cellStyle name="Output 8 6" xfId="8624" xr:uid="{65FA2E34-FCEC-4DD0-B8F0-E33B475A41D8}"/>
    <cellStyle name="Output 8 7" xfId="10515" xr:uid="{71285DF2-489C-43FD-8A72-1652E8879C6B}"/>
    <cellStyle name="Output 8 8" xfId="14576" xr:uid="{099D3221-B70A-4E29-A356-699657CF1998}"/>
    <cellStyle name="Output 8 9" xfId="12180" xr:uid="{9789E74A-0E0B-4A7F-B581-D3E841BE5E54}"/>
    <cellStyle name="Output 9" xfId="3197" xr:uid="{C2055748-4570-475D-805B-7E2103556566}"/>
    <cellStyle name="Output 9 10" xfId="12421" xr:uid="{8B3D3114-578E-449B-85D8-1D111226ECF8}"/>
    <cellStyle name="Output 9 11" xfId="14599" xr:uid="{D2B0814F-35EB-4414-BF54-2757843F1FE1}"/>
    <cellStyle name="Output 9 12" xfId="15867" xr:uid="{A652782A-332A-4D08-8CF9-1C1CD121FD06}"/>
    <cellStyle name="Output 9 13" xfId="16806" xr:uid="{0FF44F6D-134E-4AD9-AD26-C6E61F0663B0}"/>
    <cellStyle name="Output 9 14" xfId="10021" xr:uid="{B48341D1-526E-48BB-9BBB-8D64587929ED}"/>
    <cellStyle name="Output 9 15" xfId="21535" xr:uid="{61A994DF-6BDB-47C8-81CD-189A18C9215C}"/>
    <cellStyle name="Output 9 16" xfId="12673" xr:uid="{45284579-49C2-4D57-82E8-B9EA49F10DD2}"/>
    <cellStyle name="Output 9 17" xfId="17017" xr:uid="{0F886A85-F682-4CB7-B7B2-B2CB3E27FBDC}"/>
    <cellStyle name="Output 9 18" xfId="24926" xr:uid="{85D7E4E6-5BDC-414A-9ECF-69FA6FDF4660}"/>
    <cellStyle name="Output 9 19" xfId="22932" xr:uid="{75C8E3C5-E5D4-4F00-9CBA-54F9CA8549BB}"/>
    <cellStyle name="Output 9 2" xfId="9754" xr:uid="{37EFC29C-087B-4D25-8560-808FBA7784D5}"/>
    <cellStyle name="Output 9 20" xfId="18213" xr:uid="{9EDFD606-07DC-46FF-BDB4-C56540142ACA}"/>
    <cellStyle name="Output 9 21" xfId="17925" xr:uid="{80F14DCD-81A7-4D7F-BC90-E2BA23B7EEA0}"/>
    <cellStyle name="Output 9 22" xfId="21259" xr:uid="{E01CD3F0-A57D-4324-9F78-48BCAF036BCA}"/>
    <cellStyle name="Output 9 23" xfId="21860" xr:uid="{E21E7108-CEBC-4784-A088-950286CF12F8}"/>
    <cellStyle name="Output 9 24" xfId="22426" xr:uid="{4DB83E1B-5135-4F78-B49A-10D1B469F4DC}"/>
    <cellStyle name="Output 9 25" xfId="23117" xr:uid="{8F57C655-C55E-49F5-969C-4D6407AF74A3}"/>
    <cellStyle name="Output 9 26" xfId="28519" xr:uid="{0FD27E0B-BA50-402E-8142-96FB5801B29F}"/>
    <cellStyle name="Output 9 27" xfId="24889" xr:uid="{404700EB-E2B0-41FF-803C-5D60DF0AA9FF}"/>
    <cellStyle name="Output 9 28" xfId="29990" xr:uid="{5B2ECB66-1BEF-4FFF-8F70-5E2DA47F7334}"/>
    <cellStyle name="Output 9 29" xfId="23641" xr:uid="{627E3D76-B7E7-41AD-BA0D-84DDABA8CC71}"/>
    <cellStyle name="Output 9 3" xfId="7828" xr:uid="{3A9D017A-3519-4706-A0EB-7252ACF0A9C9}"/>
    <cellStyle name="Output 9 30" xfId="27078" xr:uid="{45F5F281-9626-46A4-9387-A8F0E40BB8C2}"/>
    <cellStyle name="Output 9 31" xfId="27505" xr:uid="{9E6214ED-A368-4493-A37A-CCB10F784E6A}"/>
    <cellStyle name="Output 9 32" xfId="26025" xr:uid="{6C92CD0A-277F-4752-A4F3-448C94BFB88A}"/>
    <cellStyle name="Output 9 33" xfId="6678" xr:uid="{D0AB0C54-18C5-4207-A786-05A9E656D343}"/>
    <cellStyle name="Output 9 4" xfId="9588" xr:uid="{01D35BEE-4C9C-43E1-BE29-042F69B1B4A5}"/>
    <cellStyle name="Output 9 5" xfId="7563" xr:uid="{2E83B96F-E68C-4731-A49E-1C50BB72DB72}"/>
    <cellStyle name="Output 9 6" xfId="8623" xr:uid="{5427566B-F905-487E-9A0E-6B7BEBE71E4D}"/>
    <cellStyle name="Output 9 7" xfId="14974" xr:uid="{E855F1A8-20CD-4831-A546-F0C83C5BCE45}"/>
    <cellStyle name="Output 9 8" xfId="15312" xr:uid="{15872273-FE61-4000-919F-D5E769B23BB8}"/>
    <cellStyle name="Output 9 9" xfId="14777" xr:uid="{22C082C2-4FE3-4292-85A9-95D1C0502EA6}"/>
    <cellStyle name="pchya" xfId="3198" xr:uid="{B4127BCF-8F23-477B-BC8D-8B0BBB60412A}"/>
    <cellStyle name="pchya 2" xfId="3199" xr:uid="{4ABA62C6-968D-4529-9EEE-D516F94E477F}"/>
    <cellStyle name="pchya 2 2" xfId="3200" xr:uid="{339D6F05-6956-4385-B1DE-E7A4DDF39540}"/>
    <cellStyle name="pchya 3" xfId="3201" xr:uid="{D1FD16E6-CFC9-49B5-A342-9EC687366FAB}"/>
    <cellStyle name="pchya 4" xfId="3202" xr:uid="{F22C5DA9-6E92-4D91-956D-74B048093350}"/>
    <cellStyle name="pchya 5" xfId="3203" xr:uid="{35D033D3-A51D-4BFD-B515-C974AE3D62A1}"/>
    <cellStyle name="Percent" xfId="69" builtinId="5"/>
    <cellStyle name="Percent [1]" xfId="3204" xr:uid="{5A783AA8-D878-491F-A4E3-D02357E50511}"/>
    <cellStyle name="Percent [1] 2" xfId="3205" xr:uid="{3D035AE8-F75A-4B52-A736-36057EDBC33E}"/>
    <cellStyle name="Percent [1] 2 2" xfId="3206" xr:uid="{7B4B5922-804B-4A2C-8936-83F7DED027AA}"/>
    <cellStyle name="Percent [1] 2 2 2" xfId="3207" xr:uid="{26D56614-F948-4EBC-962F-6234E131C0C8}"/>
    <cellStyle name="Percent [1] 3" xfId="3208" xr:uid="{93666F33-C1FD-4F2D-8DCA-124721C24FB8}"/>
    <cellStyle name="Percent [1] 3 2" xfId="3209" xr:uid="{604A1392-AD0A-4079-8EAC-258CBF0C6FD7}"/>
    <cellStyle name="Percent [1] 4" xfId="3210" xr:uid="{254BEA82-9FA9-4822-9C96-CDD20A2F8EFB}"/>
    <cellStyle name="Percent [1] 4 2" xfId="3211" xr:uid="{64322C27-1C9C-454F-84B8-9AA1D7D8AB09}"/>
    <cellStyle name="Percent [1] 5" xfId="3212" xr:uid="{22AC57E3-D49A-4DD8-8228-D16AE752D57B}"/>
    <cellStyle name="Percent [1] 5 2" xfId="3213" xr:uid="{02A1D472-7E57-4998-9FB9-A5468DA63AF7}"/>
    <cellStyle name="Percent [1] 6" xfId="3214" xr:uid="{DBD17F22-04FA-4811-89B7-E8E511868552}"/>
    <cellStyle name="Percent [1] 7" xfId="3215" xr:uid="{DE49C396-A6A8-4B7B-BB2B-D052236D7106}"/>
    <cellStyle name="Percent [1] 8" xfId="3216" xr:uid="{2D6F7E35-9B1B-472C-8344-07102A543E0D}"/>
    <cellStyle name="Percent [2]" xfId="3217" xr:uid="{B8AE1E84-3604-4217-9A5E-1EAF6A8C2C75}"/>
    <cellStyle name="Percent [2] 10" xfId="3218" xr:uid="{5CBE5701-2968-4FC2-AAC0-A89A70B630BD}"/>
    <cellStyle name="Percent [2] 2" xfId="3219" xr:uid="{09255DAC-6C03-47E5-AAA6-B5440DCF22C0}"/>
    <cellStyle name="Percent [2] 2 2" xfId="3220" xr:uid="{FD8B7B2B-627B-4FCD-8D6A-D3592075D580}"/>
    <cellStyle name="Percent [2] 2 2 2" xfId="3221" xr:uid="{0876501A-568D-4BCC-81D2-7A815DAE9253}"/>
    <cellStyle name="Percent [2] 2 2 3" xfId="3222" xr:uid="{844694B8-2B56-4D76-A4B2-5AC7B9A77272}"/>
    <cellStyle name="Percent [2] 2 3" xfId="3223" xr:uid="{2B3BF947-2E7E-49CE-94F3-685306482948}"/>
    <cellStyle name="Percent [2] 2 4" xfId="3224" xr:uid="{F465A5A2-90D5-4324-952C-69B123E76035}"/>
    <cellStyle name="Percent [2] 3" xfId="3225" xr:uid="{E590A047-90DE-456F-B7CB-4067043E8F37}"/>
    <cellStyle name="Percent [2] 3 2" xfId="3226" xr:uid="{C4E29104-C138-473E-A0D6-B2312262566D}"/>
    <cellStyle name="Percent [2] 3 3" xfId="3227" xr:uid="{4AA88A77-5C8B-4B2A-B475-4AFD92896E1B}"/>
    <cellStyle name="Percent [2] 4" xfId="3228" xr:uid="{A586E596-7F24-455B-A4FD-FAF2017E7B14}"/>
    <cellStyle name="Percent [2] 4 2" xfId="3229" xr:uid="{FA5A776E-C651-4286-803D-68A4E6529862}"/>
    <cellStyle name="Percent [2] 4 3" xfId="3230" xr:uid="{3B83B729-BF2E-4DE6-B207-327687D25614}"/>
    <cellStyle name="Percent [2] 5" xfId="3231" xr:uid="{BC71C8AE-042A-4A73-82D5-AEF4C3314EE9}"/>
    <cellStyle name="Percent [2] 5 2" xfId="3232" xr:uid="{B565ABFD-79D1-4881-B06D-E309E4280C12}"/>
    <cellStyle name="Percent [2] 5 3" xfId="3233" xr:uid="{492B21CF-17AD-4584-A045-5494C5F00F18}"/>
    <cellStyle name="Percent [2] 6" xfId="3234" xr:uid="{9CA9157F-7620-43C2-B0C0-B727FB9D3C27}"/>
    <cellStyle name="Percent [2] 6 2" xfId="3235" xr:uid="{C22C39B1-6382-4B93-9001-B40615EB5A2F}"/>
    <cellStyle name="Percent [2] 6 3" xfId="3236" xr:uid="{7E04BF40-22A6-4A53-88C2-9FB7A5C19887}"/>
    <cellStyle name="Percent [2] 7" xfId="3237" xr:uid="{3AEE6267-C567-48D7-B019-9EE9D94B83E5}"/>
    <cellStyle name="Percent [2] 7 2" xfId="3238" xr:uid="{555E345E-E73E-4516-AE5B-2E4C665060DD}"/>
    <cellStyle name="Percent [2] 7 3" xfId="3239" xr:uid="{60921821-A1E0-4440-AAA0-5F97360EB586}"/>
    <cellStyle name="Percent [2] 8" xfId="3240" xr:uid="{25620787-D61B-45DE-8EDA-09D03AC41A2B}"/>
    <cellStyle name="Percent [2] 8 2" xfId="3241" xr:uid="{E398711D-78CB-4F26-8088-C3A1EB063AA5}"/>
    <cellStyle name="Percent [2] 8 3" xfId="3242" xr:uid="{0EB76374-AAF6-4EF1-BDB8-B7176DAC0496}"/>
    <cellStyle name="Percent [2] 9" xfId="3243" xr:uid="{026CD5AB-C52E-4D9C-82D6-BA2F3819189D}"/>
    <cellStyle name="Percent 10" xfId="3244" xr:uid="{62DBC89D-6469-4DDC-AB9D-B7B1B3AC5DA2}"/>
    <cellStyle name="Percent 11" xfId="3245" xr:uid="{2734BE53-E4FD-44F3-A80D-DB30F0F252C5}"/>
    <cellStyle name="Percent 12" xfId="3246" xr:uid="{B99A8D30-9169-46B9-8922-C84A03D76690}"/>
    <cellStyle name="Percent 13" xfId="3247" xr:uid="{785ABD95-51F5-4384-BC39-88C53B79B3CE}"/>
    <cellStyle name="Percent 14" xfId="3248" xr:uid="{B4F008D4-7208-4BFB-BA3A-58FE80CC9743}"/>
    <cellStyle name="Percent 15" xfId="3249" xr:uid="{2B202EDD-213F-4D3A-83BC-38DB2C793451}"/>
    <cellStyle name="Percent 16" xfId="3250" xr:uid="{9BAB4ECE-1F7A-4F14-9DB3-6868757236EA}"/>
    <cellStyle name="Percent 17" xfId="3251" xr:uid="{1A085623-8595-40C6-B9C0-09081EB77446}"/>
    <cellStyle name="Percent 18" xfId="3252" xr:uid="{C71325B0-6B69-44E3-83BB-AABE0E28C6C7}"/>
    <cellStyle name="Percent 19" xfId="3253" xr:uid="{8589ED42-865A-4184-AC1E-BAA783E7CC12}"/>
    <cellStyle name="Percent 2" xfId="3254" xr:uid="{94F8A08B-4A8C-4BE4-96A7-2238794B230A}"/>
    <cellStyle name="Percent 2 2" xfId="3255" xr:uid="{33DFCE65-BDED-4CA7-BF81-353948002FAF}"/>
    <cellStyle name="Percent 2 3" xfId="3256" xr:uid="{1F7C0655-B327-452B-B25A-0C90E6B59499}"/>
    <cellStyle name="Percent 2 4" xfId="3257" xr:uid="{174CCE6B-F71A-4D19-92E2-ADCA43A0F4DF}"/>
    <cellStyle name="Percent 2 5" xfId="5679" xr:uid="{398493D2-77E7-4E71-94FF-BE986C35D48D}"/>
    <cellStyle name="Percent 2 6" xfId="12374" xr:uid="{ED18A0DF-0A55-4FF0-8D36-4CD9168AE295}"/>
    <cellStyle name="Percent 20" xfId="3258" xr:uid="{9F8A4904-E016-4DCB-8DDF-526258CFD8C3}"/>
    <cellStyle name="Percent 21" xfId="3259" xr:uid="{B5BAE39B-92C2-41FD-B97A-21F0F8C4AF51}"/>
    <cellStyle name="Percent 22" xfId="3260" xr:uid="{B5933CF9-AF16-4EA6-AF4E-29F4BE905E9B}"/>
    <cellStyle name="Percent 23" xfId="3261" xr:uid="{7EC1A320-6EEE-4505-A2EA-E798E316340F}"/>
    <cellStyle name="Percent 23 2" xfId="9816" xr:uid="{D14D358A-E989-40CA-A132-843DFE408458}"/>
    <cellStyle name="Percent 24" xfId="5678" xr:uid="{CB8F684C-7EAE-4D70-BC49-4B650603D570}"/>
    <cellStyle name="Percent 25" xfId="5905" xr:uid="{055EC61E-7FB6-4D58-A3B8-E9BFA642DA26}"/>
    <cellStyle name="Percent 26" xfId="5677" xr:uid="{6EBFA415-7C98-42BB-BAFE-624B5FBE8FDB}"/>
    <cellStyle name="Percent 27" xfId="5906" xr:uid="{86B0A458-AAB0-409D-A567-668E73988ACC}"/>
    <cellStyle name="Percent 28" xfId="11614" xr:uid="{2B8C7690-61AB-4295-B43C-C6A6BF5FCBB0}"/>
    <cellStyle name="Percent 29" xfId="5910" xr:uid="{06DEAC7F-6E84-47C2-9BE7-CC08A78A2ADA}"/>
    <cellStyle name="Percent 29 2" xfId="12364" xr:uid="{34275146-F5B4-4F38-A139-0DB0B374D796}"/>
    <cellStyle name="Percent 29 3" xfId="6931" xr:uid="{08D95BB0-6519-4CF8-AA30-010BA190418F}"/>
    <cellStyle name="Percent 3" xfId="3262" xr:uid="{6788664C-5076-4A18-B72E-C48C4232D144}"/>
    <cellStyle name="Percent 3 2" xfId="3263" xr:uid="{941AD5B2-D73F-4588-B4AC-3265879D3A9D}"/>
    <cellStyle name="Percent 3 3" xfId="3264" xr:uid="{A128D211-30F8-4C65-9BFF-1416B43AE5D2}"/>
    <cellStyle name="Percent 3 4" xfId="12376" xr:uid="{DB0C44B5-361A-4D07-AA82-15F4E1DB5F69}"/>
    <cellStyle name="Percent 30" xfId="12372" xr:uid="{D7475182-374C-426D-A5D7-BA737BF40C6D}"/>
    <cellStyle name="Percent 4" xfId="3265" xr:uid="{5C487AE3-EC93-40AE-8A3C-ABB64BEBE98D}"/>
    <cellStyle name="Percent 4 2" xfId="3266" xr:uid="{8FD54CD6-51FE-4AEE-A390-D56F27F663B5}"/>
    <cellStyle name="Percent 4 3" xfId="3267" xr:uid="{79262097-A91E-4446-876A-14B0C20862CB}"/>
    <cellStyle name="Percent 5" xfId="3268" xr:uid="{D7839524-DF81-4C22-8294-DF39444B64F8}"/>
    <cellStyle name="Percent 5 2" xfId="3269" xr:uid="{BE26D699-62A0-448A-9086-446F939AFEA9}"/>
    <cellStyle name="Percent 6" xfId="3270" xr:uid="{3F5BA1B8-C7C6-42EE-AF62-2F8CEDAD1EBF}"/>
    <cellStyle name="Percent 6 2" xfId="3271" xr:uid="{48DDB761-41A8-4DE5-B98B-1946D56A4961}"/>
    <cellStyle name="Percent 7" xfId="3272" xr:uid="{FD2D5DB8-8BBF-4967-B211-9F3337725B33}"/>
    <cellStyle name="Percent 8" xfId="3273" xr:uid="{5DC58A7B-AADA-49F5-9F7C-97BD2DAD096F}"/>
    <cellStyle name="Percent 9" xfId="3274" xr:uid="{E8FCD2E4-BD7E-4D69-B42F-2DC0C487A7D8}"/>
    <cellStyle name="Priceheader" xfId="3275" xr:uid="{4E55E1EC-FAC4-47B4-8B3B-B50161FB6E3D}"/>
    <cellStyle name="PSChar" xfId="3276" xr:uid="{ADCE14B6-0059-411F-B552-94999EC0D528}"/>
    <cellStyle name="PSChar 2" xfId="3277" xr:uid="{7D83D148-81CA-4C3A-BD0F-90655062AAD0}"/>
    <cellStyle name="PSChar 2 2" xfId="3278" xr:uid="{5A40DA80-A165-486D-B2BC-7466ABDD16F9}"/>
    <cellStyle name="PSChar 2 2 2" xfId="3279" xr:uid="{84721B8A-BC39-4D3B-8F72-9945DA081003}"/>
    <cellStyle name="PSChar 3" xfId="3280" xr:uid="{96695FD5-88A4-42F4-9B5A-7266FA50CEDF}"/>
    <cellStyle name="PSChar 3 2" xfId="3281" xr:uid="{AF563B7E-D1A2-47FD-8420-324810451194}"/>
    <cellStyle name="PSChar 4" xfId="3282" xr:uid="{06598EE3-6463-43A8-AAF6-9CE552E8F4EA}"/>
    <cellStyle name="PSChar 4 2" xfId="3283" xr:uid="{01A2060F-8708-45D4-8CAB-0E62EDFA0F86}"/>
    <cellStyle name="PSChar 5" xfId="3284" xr:uid="{D5B7DA19-D2A5-4B43-9113-A16E8DC61421}"/>
    <cellStyle name="PSChar 5 2" xfId="3285" xr:uid="{64D2620B-2A57-4CC8-8749-26B314B1ECB0}"/>
    <cellStyle name="PSChar 6" xfId="3286" xr:uid="{AB7E7474-A44E-4545-9708-19AE3F4E4975}"/>
    <cellStyle name="PSChar 7" xfId="3287" xr:uid="{319C43F3-A2F8-4E20-BF48-431ADCB7B0DC}"/>
    <cellStyle name="PSChar 8" xfId="3288" xr:uid="{AB02D07A-902B-4749-8E00-8BD9A10656DE}"/>
    <cellStyle name="PSDate" xfId="3289" xr:uid="{AA5F3FC2-D649-429E-935D-62D81777D065}"/>
    <cellStyle name="PSDate 2" xfId="3290" xr:uid="{4F6BF7C5-C466-4F85-ACAE-CC242C9F5B9C}"/>
    <cellStyle name="PSDate 2 2" xfId="3291" xr:uid="{8ACECBCE-CF1D-4FA8-BE4E-7DF133148553}"/>
    <cellStyle name="PSDate 2 2 2" xfId="3292" xr:uid="{7A8AA7A2-58AB-4BF4-9B9F-93B5568F1509}"/>
    <cellStyle name="PSDate 3" xfId="3293" xr:uid="{3A244E34-9750-452D-BB4B-8202C15AEC99}"/>
    <cellStyle name="PSDate 3 2" xfId="3294" xr:uid="{DFCA1884-AEB1-417A-BC0B-0E9BDE7D8EAD}"/>
    <cellStyle name="PSDate 4" xfId="3295" xr:uid="{3939DA94-6958-487D-91F9-BEE53428DA5E}"/>
    <cellStyle name="PSDate 4 2" xfId="3296" xr:uid="{14048766-F533-4613-93A4-118E259866C3}"/>
    <cellStyle name="PSDate 5" xfId="3297" xr:uid="{321EA589-E2A9-4926-9CDD-FAA65035B5E6}"/>
    <cellStyle name="PSDate 5 2" xfId="3298" xr:uid="{744C989F-ED8F-449E-9369-18EF2415EB26}"/>
    <cellStyle name="PSDate 6" xfId="3299" xr:uid="{CDC9B9E7-798B-49C5-917F-ED4E02889125}"/>
    <cellStyle name="PSDate 7" xfId="3300" xr:uid="{2B42F3CB-AF4E-4782-BF6E-7C67680C2BA1}"/>
    <cellStyle name="PSDate 8" xfId="3301" xr:uid="{819C7248-F7F7-440A-8598-1DA8D3372490}"/>
    <cellStyle name="PSDec" xfId="3302" xr:uid="{2B12FCE3-00D9-45BD-8EBC-9AAD5EB4157D}"/>
    <cellStyle name="PSDec 2" xfId="3303" xr:uid="{48C0A533-C6A2-4C9C-BF07-4E9152C1E1AF}"/>
    <cellStyle name="PSDec 2 2" xfId="3304" xr:uid="{5D37D347-4BDB-445A-93C4-9D868181B186}"/>
    <cellStyle name="PSDec 2 2 2" xfId="3305" xr:uid="{24D187F7-38C1-4322-A22A-61FC42CE848E}"/>
    <cellStyle name="PSDec 3" xfId="3306" xr:uid="{1E8551B8-06C5-48FB-81FB-E417F99D0ECA}"/>
    <cellStyle name="PSDec 3 2" xfId="3307" xr:uid="{177FB5AF-DE37-4E85-9D5D-F46A081681DA}"/>
    <cellStyle name="PSDec 4" xfId="3308" xr:uid="{0BE6B343-ADD9-46B2-AFA4-F6DCAE6D46E5}"/>
    <cellStyle name="PSDec 4 2" xfId="3309" xr:uid="{EB6F8F7C-5737-411F-9381-443DE5BFF2B6}"/>
    <cellStyle name="PSDec 5" xfId="3310" xr:uid="{3FDC6E38-DCD0-4921-A38D-B1E588FA8645}"/>
    <cellStyle name="PSDec 5 2" xfId="3311" xr:uid="{3CE0B8B5-6F08-4327-9011-9A70031459BC}"/>
    <cellStyle name="PSDec 6" xfId="3312" xr:uid="{9958F918-BAB9-4A8F-8BA1-F69803B47184}"/>
    <cellStyle name="PSDec 7" xfId="3313" xr:uid="{D75DE501-BB5D-4CEB-8538-8FA1ED2C493E}"/>
    <cellStyle name="PSDec 8" xfId="3314" xr:uid="{59C303F5-937C-46AF-8453-B7FA134CF231}"/>
    <cellStyle name="PSHeading" xfId="3315" xr:uid="{DD96B2EF-6689-48D8-A1F2-8DA9F5C4CD61}"/>
    <cellStyle name="PSHeading 2" xfId="3316" xr:uid="{371A17CE-5DB5-4C67-A2AF-1878D736CE24}"/>
    <cellStyle name="PSHeading 2 2" xfId="3317" xr:uid="{F389C257-31E5-402E-A79C-A4A2951431AE}"/>
    <cellStyle name="PSHeading 2 2 2" xfId="9869" xr:uid="{E1A1BDAC-A467-4848-A502-FF24800E604E}"/>
    <cellStyle name="PSHeading 2 2 2 2" xfId="33615" xr:uid="{70561B35-E852-4020-963D-0634548D2FF9}"/>
    <cellStyle name="PSHeading 2 3" xfId="9868" xr:uid="{ECA628DA-3485-4CA2-A195-C96597277276}"/>
    <cellStyle name="PSHeading 2 3 2" xfId="33614" xr:uid="{89328EB1-8F32-4B81-8357-3283ECDB8CA8}"/>
    <cellStyle name="PSHeading 3" xfId="3318" xr:uid="{65BABA61-82C2-4FA7-B5FD-6985EBD3FA67}"/>
    <cellStyle name="PSHeading 3 2" xfId="9870" xr:uid="{17A951C1-2232-4845-895E-D23A162D6C0F}"/>
    <cellStyle name="PSHeading 3 2 2" xfId="33616" xr:uid="{9112A8BC-C199-4D9E-8169-4400CED9F1F1}"/>
    <cellStyle name="PSHeading 4" xfId="3319" xr:uid="{0500B3CD-BDDC-420C-B53B-F8463461EF66}"/>
    <cellStyle name="PSHeading 4 2" xfId="9871" xr:uid="{BAA5BDC5-4BD6-4159-9890-BE59888E381E}"/>
    <cellStyle name="PSHeading 4 2 2" xfId="33617" xr:uid="{82504D14-17BF-4F68-AC44-7AB48EC6CD5A}"/>
    <cellStyle name="PSHeading 5" xfId="3320" xr:uid="{B97733AF-541F-4124-A602-65DEE1D79BFE}"/>
    <cellStyle name="PSHeading 5 2" xfId="9872" xr:uid="{EA62FAC3-639C-4FA4-9C3C-48D6C73F1D8C}"/>
    <cellStyle name="PSHeading 5 2 2" xfId="33618" xr:uid="{993597B7-B5E5-4434-BE49-9E016AF45C23}"/>
    <cellStyle name="PSHeading 6" xfId="9867" xr:uid="{E34FEE1C-5ADA-402F-A6E0-BEEEDC1CC530}"/>
    <cellStyle name="PSHeading 6 2" xfId="33613" xr:uid="{813D4442-4A28-450C-94D2-5FCB48799006}"/>
    <cellStyle name="PSInt" xfId="3321" xr:uid="{831A94CB-DCDA-41EE-B7C7-760F5A4528A6}"/>
    <cellStyle name="PSInt 2" xfId="3322" xr:uid="{7CE6F085-80E8-43EB-8AEC-32650C19E6E3}"/>
    <cellStyle name="PSInt 2 2" xfId="3323" xr:uid="{B37FC405-729E-4190-9B6A-0698F2A7E87E}"/>
    <cellStyle name="PSInt 2 2 2" xfId="3324" xr:uid="{7B39F237-ADAE-4FDD-8154-30A506A19B8E}"/>
    <cellStyle name="PSInt 3" xfId="3325" xr:uid="{071BDD55-4857-4B56-AD75-96AB17AECCA2}"/>
    <cellStyle name="PSInt 3 2" xfId="3326" xr:uid="{21AE29FF-E683-492C-8252-EFE595DC8E33}"/>
    <cellStyle name="PSInt 4" xfId="3327" xr:uid="{64CBE610-FABA-4E06-BFEF-962DCABF99CA}"/>
    <cellStyle name="PSInt 4 2" xfId="3328" xr:uid="{11E778EE-CA17-490C-87F6-8CB4D86A0BB3}"/>
    <cellStyle name="PSInt 5" xfId="3329" xr:uid="{9087CCD5-7F2A-4190-AA64-34C03E548BB1}"/>
    <cellStyle name="PSInt 5 2" xfId="3330" xr:uid="{8F813196-188A-49D7-BB78-A608CB824E00}"/>
    <cellStyle name="PSInt 6" xfId="3331" xr:uid="{C768E6B8-F927-4BA5-B258-A3B22D3A3155}"/>
    <cellStyle name="PSInt 7" xfId="3332" xr:uid="{817E81F7-31BC-4AA3-8F70-02602AAB7782}"/>
    <cellStyle name="PSInt 8" xfId="3333" xr:uid="{981D7C05-2EE1-42D0-B996-634E622EA8DE}"/>
    <cellStyle name="PSSpacer" xfId="3334" xr:uid="{8E60560B-003F-4DB1-9EDB-9988A3558ACD}"/>
    <cellStyle name="PSSpacer 2" xfId="3335" xr:uid="{3A42000C-5796-4FD7-B564-2FAABC47EA08}"/>
    <cellStyle name="PSSpacer 2 2" xfId="3336" xr:uid="{3486B01E-F820-4FCB-8899-CB99FAC67063}"/>
    <cellStyle name="PSSpacer 2 2 2" xfId="3337" xr:uid="{DB557049-A719-4635-A4E2-9D443F269D1C}"/>
    <cellStyle name="PSSpacer 3" xfId="3338" xr:uid="{793F8FEC-5CAC-4F7D-B279-C598B7EB8658}"/>
    <cellStyle name="PSSpacer 3 2" xfId="3339" xr:uid="{D098A1BA-0E3B-4AF5-B2E4-CAA878DAFE0F}"/>
    <cellStyle name="PSSpacer 4" xfId="3340" xr:uid="{05941A91-9AE1-4F83-809C-97B8D72C9738}"/>
    <cellStyle name="PSSpacer 4 2" xfId="3341" xr:uid="{058E0C2A-95F7-477F-82FF-E0C5C364A325}"/>
    <cellStyle name="PSSpacer 5" xfId="3342" xr:uid="{63E9CEA8-5600-46E1-9A33-679E633146F8}"/>
    <cellStyle name="PSSpacer 5 2" xfId="3343" xr:uid="{82D5FF05-5E06-4CB4-8793-E4446587ADAE}"/>
    <cellStyle name="PSSpacer 6" xfId="3344" xr:uid="{325865D0-A12B-4657-8832-170013D8D3BC}"/>
    <cellStyle name="PSSpacer 7" xfId="3345" xr:uid="{4AD8033B-590D-49CD-A974-C80CAD1EC96F}"/>
    <cellStyle name="PSSpacer 8" xfId="3346" xr:uid="{BDE39A3C-C985-4BFD-9843-80EB3EEB8DEC}"/>
    <cellStyle name="RISKbigPercent" xfId="3347" xr:uid="{99116A4B-F6D6-46D4-9E97-959E693FDA55}"/>
    <cellStyle name="RISKbigPercent 10" xfId="3348" xr:uid="{DB423D36-9CE6-4E82-AE32-12A1D6109093}"/>
    <cellStyle name="RISKbigPercent 2" xfId="3349" xr:uid="{608F5757-F869-45C1-8E1F-C8E11B809720}"/>
    <cellStyle name="RISKbigPercent 2 2" xfId="3350" xr:uid="{3F15499A-5160-425F-B085-EEBC2C37D7FB}"/>
    <cellStyle name="RISKbigPercent 2 2 2" xfId="3351" xr:uid="{B5FE3B4F-A3F0-4FCD-8C5C-D68B71112F06}"/>
    <cellStyle name="RISKbigPercent 2 2 3" xfId="3352" xr:uid="{B1FC51F6-8013-4A68-84ED-0AE07D98E422}"/>
    <cellStyle name="RISKbigPercent 2 3" xfId="3353" xr:uid="{A846BFEF-52D2-4F3A-85EF-E5C9EB79F100}"/>
    <cellStyle name="RISKbigPercent 2 4" xfId="3354" xr:uid="{5205F288-3A58-474E-803C-34CA7C4B1708}"/>
    <cellStyle name="RISKbigPercent 3" xfId="3355" xr:uid="{05D14E05-2B4C-4473-B6E8-F4E8E23F2238}"/>
    <cellStyle name="RISKbigPercent 3 2" xfId="3356" xr:uid="{2CCD915B-3F53-4BB4-8B36-6C6326DBBEF9}"/>
    <cellStyle name="RISKbigPercent 3 3" xfId="3357" xr:uid="{387F1346-6CB1-4FA9-8DB0-81FAA8CFB115}"/>
    <cellStyle name="RISKbigPercent 4" xfId="3358" xr:uid="{ACC2815B-B73D-43D1-8F57-95F64E818860}"/>
    <cellStyle name="RISKbigPercent 4 2" xfId="3359" xr:uid="{D4F2B95F-3F47-44FA-B226-C90D6F969270}"/>
    <cellStyle name="RISKbigPercent 4 3" xfId="3360" xr:uid="{76D6E204-0F3E-42FB-B73D-73760E58CD6E}"/>
    <cellStyle name="RISKbigPercent 5" xfId="3361" xr:uid="{15534797-A710-4E18-9071-9CD820EB60E2}"/>
    <cellStyle name="RISKbigPercent 5 2" xfId="3362" xr:uid="{96CC1D28-229B-4562-A110-5DD9BA80C96D}"/>
    <cellStyle name="RISKbigPercent 5 3" xfId="3363" xr:uid="{7488B998-DA54-4463-9AC8-910CDE771366}"/>
    <cellStyle name="RISKbigPercent 6" xfId="3364" xr:uid="{E19881AB-FD26-4999-B3CD-BE5F2CC0D057}"/>
    <cellStyle name="RISKbigPercent 6 2" xfId="3365" xr:uid="{02DEB070-F811-4F09-9233-91326374A3C4}"/>
    <cellStyle name="RISKbigPercent 6 3" xfId="3366" xr:uid="{D01A0FEF-6A00-4CB0-8898-9132A5F814DD}"/>
    <cellStyle name="RISKbigPercent 7" xfId="3367" xr:uid="{75DFCF9F-E1C5-4FD2-A8BB-5E3C8DA66DBF}"/>
    <cellStyle name="RISKbigPercent 7 2" xfId="3368" xr:uid="{B6EBA021-9FBD-4503-B745-91BABC6B7E82}"/>
    <cellStyle name="RISKbigPercent 7 3" xfId="3369" xr:uid="{E2087C6E-6262-46BF-A33F-6629D930A5B9}"/>
    <cellStyle name="RISKbigPercent 8" xfId="3370" xr:uid="{882875EA-11CD-4B48-B031-C847CB32C7E9}"/>
    <cellStyle name="RISKbigPercent 8 2" xfId="3371" xr:uid="{7411EA21-93A8-4C69-BDD8-27CC672B8C0B}"/>
    <cellStyle name="RISKbigPercent 8 3" xfId="3372" xr:uid="{52859F07-D363-4903-9248-8A83E498EF0F}"/>
    <cellStyle name="RISKbigPercent 9" xfId="3373" xr:uid="{FEC35553-A99C-42A4-89E5-9A1E5759BC60}"/>
    <cellStyle name="RISKblandrEdge" xfId="3374" xr:uid="{BAF3DC54-AA9F-413D-A535-ACD0EDD93573}"/>
    <cellStyle name="RISKblandrEdge 10" xfId="3375" xr:uid="{7363C083-DFCA-408B-ABF2-02F4140AD527}"/>
    <cellStyle name="RISKblandrEdge 11" xfId="3376" xr:uid="{708DE9A1-9D6F-4D9A-BEA1-B93CCD3BFEB8}"/>
    <cellStyle name="RISKblandrEdge 2" xfId="3377" xr:uid="{290B41B9-FFD5-44E7-8195-D5199CC253EB}"/>
    <cellStyle name="RISKblandrEdge 2 2" xfId="3378" xr:uid="{64298DC2-BBF9-42CD-9E97-8FD51DD2CCD6}"/>
    <cellStyle name="RISKblandrEdge 2 2 2" xfId="3379" xr:uid="{3AEF855A-0511-48BD-91CD-78DB9B59FD69}"/>
    <cellStyle name="RISKblandrEdge 2 2 2 2" xfId="3380" xr:uid="{720DEC54-EBF8-494D-8E0D-74C3B8B6F603}"/>
    <cellStyle name="RISKblandrEdge 2 2 3" xfId="3381" xr:uid="{EC2F5F0C-C313-4F80-BEBE-FB8818B0F30E}"/>
    <cellStyle name="RISKblandrEdge 2 2 4" xfId="3382" xr:uid="{3D886FC4-08BA-45B0-BEE9-529AAC410B71}"/>
    <cellStyle name="RISKblandrEdge 2 3" xfId="3383" xr:uid="{3600FC91-F171-4010-94A1-0D1027E3A6B7}"/>
    <cellStyle name="RISKblandrEdge 2 3 2" xfId="3384" xr:uid="{DA52A424-1430-495C-A813-438BF857FBD4}"/>
    <cellStyle name="RISKblandrEdge 2 4" xfId="3385" xr:uid="{FD6C6803-341E-4F07-8DBF-AE871368662E}"/>
    <cellStyle name="RISKblandrEdge 2 5" xfId="3386" xr:uid="{8DC4DD1F-5098-4EB4-BA93-54D447A8B147}"/>
    <cellStyle name="RISKblandrEdge 3" xfId="3387" xr:uid="{DE93616B-73A2-4C74-A524-221B661B2FD8}"/>
    <cellStyle name="RISKblandrEdge 3 2" xfId="3388" xr:uid="{C39B8C2A-CEA4-4BC2-BAB6-F6E93963BF4E}"/>
    <cellStyle name="RISKblandrEdge 3 2 2" xfId="3389" xr:uid="{3676871E-01CD-45E0-BCFA-AD0E9BA09D2A}"/>
    <cellStyle name="RISKblandrEdge 3 3" xfId="3390" xr:uid="{450AB239-3F88-491D-8495-56BB333027A8}"/>
    <cellStyle name="RISKblandrEdge 3 4" xfId="3391" xr:uid="{CF3D21AC-0F54-4511-A358-0C99B7982F16}"/>
    <cellStyle name="RISKblandrEdge 4" xfId="3392" xr:uid="{6FDD4DEB-B9BB-4052-9985-4734D08FCC3D}"/>
    <cellStyle name="RISKblandrEdge 4 2" xfId="3393" xr:uid="{7ABD3F5D-995E-4F5F-A773-F90810362364}"/>
    <cellStyle name="RISKblandrEdge 4 2 2" xfId="3394" xr:uid="{A80A34AC-658C-48A7-97FE-AC0841F0B458}"/>
    <cellStyle name="RISKblandrEdge 4 3" xfId="3395" xr:uid="{CCF73481-5AC4-4A9C-BE1A-3D7E28FC428B}"/>
    <cellStyle name="RISKblandrEdge 4 4" xfId="3396" xr:uid="{DF6AB68E-BC00-48FB-8AC2-373E52D68694}"/>
    <cellStyle name="RISKblandrEdge 5" xfId="3397" xr:uid="{2B64C125-4F73-4E24-973C-C0A6CEFFA864}"/>
    <cellStyle name="RISKblandrEdge 5 2" xfId="3398" xr:uid="{A77C2069-9F84-4075-A3E7-156390031FCB}"/>
    <cellStyle name="RISKblandrEdge 5 2 2" xfId="3399" xr:uid="{104633A6-38F0-49F1-A18B-C7D7C059A3A8}"/>
    <cellStyle name="RISKblandrEdge 5 3" xfId="3400" xr:uid="{D568C6B9-376F-49C2-9AD1-8FB83ABC087E}"/>
    <cellStyle name="RISKblandrEdge 5 4" xfId="3401" xr:uid="{0DD28C36-2239-4BFB-A630-ED4A3995138A}"/>
    <cellStyle name="RISKblandrEdge 6" xfId="3402" xr:uid="{0EF62D59-6340-401A-B5E5-4B47B4FDD7C9}"/>
    <cellStyle name="RISKblandrEdge 6 2" xfId="3403" xr:uid="{3BA9A101-BBA0-4A05-A5B7-424956ECE302}"/>
    <cellStyle name="RISKblandrEdge 6 2 2" xfId="3404" xr:uid="{A96E146D-099C-4B79-B39A-765B836E8187}"/>
    <cellStyle name="RISKblandrEdge 6 3" xfId="3405" xr:uid="{D262B03B-302D-4692-8016-D704DF2D6CC3}"/>
    <cellStyle name="RISKblandrEdge 6 4" xfId="3406" xr:uid="{8BB9B31B-5128-4586-93A4-30C4FFC747D4}"/>
    <cellStyle name="RISKblandrEdge 7" xfId="3407" xr:uid="{49CDCB48-DC0A-4716-B1F1-5ADF47A30572}"/>
    <cellStyle name="RISKblandrEdge 7 2" xfId="3408" xr:uid="{EA853561-AEBD-4F87-9C27-EB9128760FCB}"/>
    <cellStyle name="RISKblandrEdge 7 2 2" xfId="3409" xr:uid="{F73E918B-973D-4F94-B234-392658EFCAF4}"/>
    <cellStyle name="RISKblandrEdge 7 3" xfId="3410" xr:uid="{01CAFA5C-9BB8-4E89-BD07-A9535FFCB6F4}"/>
    <cellStyle name="RISKblandrEdge 7 4" xfId="3411" xr:uid="{B86DEA7F-0E3B-47E8-A15C-1042CD4B34A2}"/>
    <cellStyle name="RISKblandrEdge 8" xfId="3412" xr:uid="{063B209A-FE35-44B0-AE75-220C34269142}"/>
    <cellStyle name="RISKblandrEdge 8 2" xfId="3413" xr:uid="{0C4A6618-7942-457B-86AC-D697106C9E47}"/>
    <cellStyle name="RISKblandrEdge 8 2 2" xfId="3414" xr:uid="{84D1523F-0E06-4A54-A046-4D07CEFD4BAF}"/>
    <cellStyle name="RISKblandrEdge 8 3" xfId="3415" xr:uid="{9F68A81C-34C8-45CE-9A5C-841191875544}"/>
    <cellStyle name="RISKblandrEdge 8 4" xfId="3416" xr:uid="{7DED77CB-A63F-4994-BF0E-D2F87A041356}"/>
    <cellStyle name="RISKblandrEdge 9" xfId="3417" xr:uid="{FA16451A-497B-4AAD-A573-E00EFEA8B93B}"/>
    <cellStyle name="RISKblandrEdge 9 2" xfId="3418" xr:uid="{08981AFA-33D5-4B4B-B076-274D9E9E82A5}"/>
    <cellStyle name="RISKblCorner" xfId="3419" xr:uid="{59EA0255-FD02-4BDD-B61C-0176951CDA06}"/>
    <cellStyle name="RISKblCorner 10" xfId="3420" xr:uid="{DC7C1A94-9959-48F9-93ED-001A8C07FEF5}"/>
    <cellStyle name="RISKblCorner 11" xfId="3421" xr:uid="{98E2E3F2-64AA-4C9A-B9A5-9B90F4BA9D75}"/>
    <cellStyle name="RISKblCorner 2" xfId="3422" xr:uid="{014A5062-0A28-47BC-A41D-2D0F8140C307}"/>
    <cellStyle name="RISKblCorner 2 2" xfId="3423" xr:uid="{09276D00-E1DA-4B83-A2F8-E3CCA0BCBF34}"/>
    <cellStyle name="RISKblCorner 2 2 2" xfId="3424" xr:uid="{1A36193E-57BC-4BF1-8A4C-E661B4A8340E}"/>
    <cellStyle name="RISKblCorner 2 2 2 2" xfId="3425" xr:uid="{1EDD7ABB-A317-44C0-A92A-0C3EB068B825}"/>
    <cellStyle name="RISKblCorner 2 2 3" xfId="3426" xr:uid="{6A2B5388-2E1D-43BA-BB1A-CD92B8D8C813}"/>
    <cellStyle name="RISKblCorner 2 2 4" xfId="3427" xr:uid="{31EA22E5-B38F-470B-9CB3-12D205571869}"/>
    <cellStyle name="RISKblCorner 2 3" xfId="3428" xr:uid="{0452E677-696F-4B99-AC42-6F93F35B0D07}"/>
    <cellStyle name="RISKblCorner 2 3 2" xfId="3429" xr:uid="{0921CE90-AD51-4069-B27C-86AB55CD44B6}"/>
    <cellStyle name="RISKblCorner 2 4" xfId="3430" xr:uid="{A0271B2C-4C0F-463F-8AB0-DA16413C7093}"/>
    <cellStyle name="RISKblCorner 2 5" xfId="3431" xr:uid="{D6EF5917-F641-41A4-9D42-C82D3A5C781D}"/>
    <cellStyle name="RISKblCorner 3" xfId="3432" xr:uid="{95301BBD-32AB-4927-A5EF-159DA0A6B68A}"/>
    <cellStyle name="RISKblCorner 3 2" xfId="3433" xr:uid="{63E02FF7-897D-43D0-A606-704960B0C490}"/>
    <cellStyle name="RISKblCorner 3 2 2" xfId="3434" xr:uid="{9641E9D9-4776-4E1C-A21C-48FB1B81F60F}"/>
    <cellStyle name="RISKblCorner 3 3" xfId="3435" xr:uid="{F4D5C064-13EC-4FE6-8001-BFD84A8C3849}"/>
    <cellStyle name="RISKblCorner 3 4" xfId="3436" xr:uid="{115D8D32-DED2-48BA-B07F-F8C2B3CB010E}"/>
    <cellStyle name="RISKblCorner 4" xfId="3437" xr:uid="{A3FBE6BB-0DD8-488F-BBF1-CEEEEC8CE7D1}"/>
    <cellStyle name="RISKblCorner 4 2" xfId="3438" xr:uid="{3B5A371C-4BA7-42B6-9643-79181F1C1349}"/>
    <cellStyle name="RISKblCorner 4 2 2" xfId="3439" xr:uid="{C4959453-1779-4586-8261-4934CFA192A2}"/>
    <cellStyle name="RISKblCorner 4 3" xfId="3440" xr:uid="{EC0BF58B-0F16-4049-8D2A-BF0D7121B04A}"/>
    <cellStyle name="RISKblCorner 4 4" xfId="3441" xr:uid="{E2099A01-76CD-46F7-9A78-DD8FDF53076C}"/>
    <cellStyle name="RISKblCorner 5" xfId="3442" xr:uid="{ACB9F58D-9BB2-4B53-8E7B-D6DE6FECCE2D}"/>
    <cellStyle name="RISKblCorner 5 2" xfId="3443" xr:uid="{8CE575A4-7675-4A73-8A69-A7C51D7B414B}"/>
    <cellStyle name="RISKblCorner 5 2 2" xfId="3444" xr:uid="{2D4EB6E2-038A-40BF-ABD2-59A5BCE7EBD2}"/>
    <cellStyle name="RISKblCorner 5 3" xfId="3445" xr:uid="{E92A456E-1598-4835-8A1D-50C1051E184E}"/>
    <cellStyle name="RISKblCorner 5 4" xfId="3446" xr:uid="{7F34861D-FC3F-46C7-B5EA-1593326B25B3}"/>
    <cellStyle name="RISKblCorner 6" xfId="3447" xr:uid="{8AF0B608-95B7-434D-9381-FB1D62F67C56}"/>
    <cellStyle name="RISKblCorner 6 2" xfId="3448" xr:uid="{C9687F5E-345C-4B2A-8F5D-3159398B6D58}"/>
    <cellStyle name="RISKblCorner 6 2 2" xfId="3449" xr:uid="{2DE369A2-3396-47C9-B514-BDCA6E5BCC50}"/>
    <cellStyle name="RISKblCorner 6 3" xfId="3450" xr:uid="{693838BF-A0FE-4CAA-8CDB-B8B29DB02B32}"/>
    <cellStyle name="RISKblCorner 6 4" xfId="3451" xr:uid="{B1A55498-781F-43D9-B7E8-3563653F347E}"/>
    <cellStyle name="RISKblCorner 7" xfId="3452" xr:uid="{584DA5E6-D84E-4957-921F-68A3F49259FF}"/>
    <cellStyle name="RISKblCorner 7 2" xfId="3453" xr:uid="{79344D1F-A002-426D-A372-6B4C6CF4130E}"/>
    <cellStyle name="RISKblCorner 7 2 2" xfId="3454" xr:uid="{CFB1B3EA-360E-4673-B138-BD08B65BE280}"/>
    <cellStyle name="RISKblCorner 7 3" xfId="3455" xr:uid="{B0015DE2-06C4-426F-BE0E-7029120C865C}"/>
    <cellStyle name="RISKblCorner 7 4" xfId="3456" xr:uid="{EAD8FF75-61E5-432A-A89D-F270627282CD}"/>
    <cellStyle name="RISKblCorner 8" xfId="3457" xr:uid="{887850B8-5BFA-40F8-AEC1-6EAD17F58B76}"/>
    <cellStyle name="RISKblCorner 8 2" xfId="3458" xr:uid="{F8456D8A-B627-4B9B-A41E-49C16CDEC694}"/>
    <cellStyle name="RISKblCorner 8 2 2" xfId="3459" xr:uid="{338E2B1D-7134-4080-A176-F03FE80FD18B}"/>
    <cellStyle name="RISKblCorner 8 3" xfId="3460" xr:uid="{CD816597-781D-4C0A-8E17-42CB6659CF59}"/>
    <cellStyle name="RISKblCorner 8 4" xfId="3461" xr:uid="{A8402FCE-E16D-46AE-B658-3CF6C80F8693}"/>
    <cellStyle name="RISKblCorner 9" xfId="3462" xr:uid="{E168E867-E61E-44FF-9302-2CC39F87DD6A}"/>
    <cellStyle name="RISKblCorner 9 2" xfId="3463" xr:uid="{9BA75CC5-5B3A-4EFD-B1E6-3FD0EA07DA97}"/>
    <cellStyle name="RISKbottomEdge" xfId="3464" xr:uid="{41DB3816-43A9-40D4-91C4-F9524729A98E}"/>
    <cellStyle name="RISKbottomEdge 10" xfId="3465" xr:uid="{708DD346-D871-4FF6-A53E-275A4ABB4148}"/>
    <cellStyle name="RISKbottomEdge 11" xfId="3466" xr:uid="{E16FFF18-430B-412A-BCD4-FFA6F5F1F7FC}"/>
    <cellStyle name="RISKbottomEdge 2" xfId="3467" xr:uid="{070BE3D8-26EC-46E6-AF2C-67792B3329C6}"/>
    <cellStyle name="RISKbottomEdge 2 2" xfId="3468" xr:uid="{6230D775-6459-4F84-9C92-F61AD38E3B9F}"/>
    <cellStyle name="RISKbottomEdge 2 2 2" xfId="3469" xr:uid="{AD4B3CB0-7DEE-46B5-AD24-18D63C80BD31}"/>
    <cellStyle name="RISKbottomEdge 2 2 2 2" xfId="3470" xr:uid="{A3ED60B0-7882-44CB-BE8C-80416D25C448}"/>
    <cellStyle name="RISKbottomEdge 2 2 3" xfId="3471" xr:uid="{883E0F53-3614-479E-B91E-AF8C987E91B8}"/>
    <cellStyle name="RISKbottomEdge 2 2 4" xfId="3472" xr:uid="{94ADBBF4-CAF7-4DFE-9DCA-E5500F426558}"/>
    <cellStyle name="RISKbottomEdge 2 3" xfId="3473" xr:uid="{CB677A78-E820-45AC-B29B-7AFFAC961DAE}"/>
    <cellStyle name="RISKbottomEdge 2 3 2" xfId="3474" xr:uid="{11F85F5A-ACFF-4717-9270-4E3E1F51C3A6}"/>
    <cellStyle name="RISKbottomEdge 2 4" xfId="3475" xr:uid="{830F4DC9-B730-4FDA-8974-FEFE7B6BCF11}"/>
    <cellStyle name="RISKbottomEdge 2 5" xfId="3476" xr:uid="{0AC88072-E2F7-4DE1-8785-E7A4EBA1334D}"/>
    <cellStyle name="RISKbottomEdge 3" xfId="3477" xr:uid="{85C900C4-28BD-418E-B773-4C6079CA5461}"/>
    <cellStyle name="RISKbottomEdge 3 2" xfId="3478" xr:uid="{8A512CF8-E5E7-4A7B-9FB6-D83A272FC573}"/>
    <cellStyle name="RISKbottomEdge 3 2 2" xfId="3479" xr:uid="{C2103498-F468-4A20-91FC-B5E016A1AED1}"/>
    <cellStyle name="RISKbottomEdge 3 3" xfId="3480" xr:uid="{2965F1ED-C563-4633-B3F9-CFA58C2BCEFF}"/>
    <cellStyle name="RISKbottomEdge 3 4" xfId="3481" xr:uid="{740C5FA4-7167-457F-8C69-17292E88A5F6}"/>
    <cellStyle name="RISKbottomEdge 4" xfId="3482" xr:uid="{3E3BDA91-108B-4D73-B028-43808247DD0A}"/>
    <cellStyle name="RISKbottomEdge 4 2" xfId="3483" xr:uid="{A2F28A79-2BD6-4236-B00E-BCD5803A8BD5}"/>
    <cellStyle name="RISKbottomEdge 4 2 2" xfId="3484" xr:uid="{6E3376BA-8518-44CB-8AB2-B57A208F2D7D}"/>
    <cellStyle name="RISKbottomEdge 4 3" xfId="3485" xr:uid="{152636E1-2BD0-47EE-8CE0-4A344EB78784}"/>
    <cellStyle name="RISKbottomEdge 4 4" xfId="3486" xr:uid="{28BB5F7F-5EED-4328-8AE3-333E15156507}"/>
    <cellStyle name="RISKbottomEdge 5" xfId="3487" xr:uid="{09FC7555-1D06-41C5-AAC0-FE3BD018F85D}"/>
    <cellStyle name="RISKbottomEdge 5 2" xfId="3488" xr:uid="{4FE57765-0191-4684-9C68-8C549330D1B8}"/>
    <cellStyle name="RISKbottomEdge 5 2 2" xfId="3489" xr:uid="{9A0F4E42-809D-4892-9BCD-90B42AA1C537}"/>
    <cellStyle name="RISKbottomEdge 5 3" xfId="3490" xr:uid="{6F68F32A-A58A-41EA-8896-FAF495131AC3}"/>
    <cellStyle name="RISKbottomEdge 5 4" xfId="3491" xr:uid="{21263E98-F920-45FB-BCAC-1AC1CA80BB48}"/>
    <cellStyle name="RISKbottomEdge 6" xfId="3492" xr:uid="{84AFFC14-368C-479B-AE30-E346FB7E4070}"/>
    <cellStyle name="RISKbottomEdge 6 2" xfId="3493" xr:uid="{BA9E54B1-6E92-472B-9D73-8A1DF4C5DE4A}"/>
    <cellStyle name="RISKbottomEdge 6 2 2" xfId="3494" xr:uid="{6663E961-6C37-4CF4-B2B2-A7962B17F6EB}"/>
    <cellStyle name="RISKbottomEdge 6 3" xfId="3495" xr:uid="{0FF77E8C-05D1-4DC9-B01F-637BE440968E}"/>
    <cellStyle name="RISKbottomEdge 6 4" xfId="3496" xr:uid="{EA1BE3BB-0E98-493E-B1DF-E3D48A7E4946}"/>
    <cellStyle name="RISKbottomEdge 7" xfId="3497" xr:uid="{970C0388-F027-48D1-A4FB-39FDDDCC2F51}"/>
    <cellStyle name="RISKbottomEdge 7 2" xfId="3498" xr:uid="{B5F2C311-E1CD-461D-B157-94144FF8730C}"/>
    <cellStyle name="RISKbottomEdge 7 2 2" xfId="3499" xr:uid="{3AA76BF8-6948-4919-8F8E-55AE15638804}"/>
    <cellStyle name="RISKbottomEdge 7 3" xfId="3500" xr:uid="{6F05530C-9779-48A8-9090-ED0E819556B9}"/>
    <cellStyle name="RISKbottomEdge 7 4" xfId="3501" xr:uid="{EE5EDEA8-5BC0-4DE7-AAEC-76B56D644691}"/>
    <cellStyle name="RISKbottomEdge 8" xfId="3502" xr:uid="{544CAA36-A8F8-4C7F-B627-6BAB2A41840B}"/>
    <cellStyle name="RISKbottomEdge 8 2" xfId="3503" xr:uid="{64FC9552-DD5E-44B0-9852-9C5BB56D87B1}"/>
    <cellStyle name="RISKbottomEdge 8 2 2" xfId="3504" xr:uid="{5C3B0B9A-A4E2-4AB3-B679-41E1AEDE7621}"/>
    <cellStyle name="RISKbottomEdge 8 3" xfId="3505" xr:uid="{8184A527-6536-4372-8636-454A6ECC17EC}"/>
    <cellStyle name="RISKbottomEdge 8 4" xfId="3506" xr:uid="{F26E757E-8B70-4CAC-94CE-0230AF3FF93F}"/>
    <cellStyle name="RISKbottomEdge 9" xfId="3507" xr:uid="{02BF15F0-8E24-46B1-8B36-E013DF93DB64}"/>
    <cellStyle name="RISKbottomEdge 9 2" xfId="3508" xr:uid="{46ACFB9A-3F18-4FF4-8E4C-86E0DF8F8378}"/>
    <cellStyle name="RISKbrCorner" xfId="3509" xr:uid="{F7DD4595-1D47-4762-AA56-112D6EEFA9E4}"/>
    <cellStyle name="RISKbrCorner 10" xfId="3510" xr:uid="{0D4EC934-3B15-4301-B729-2354F910A189}"/>
    <cellStyle name="RISKbrCorner 11" xfId="3511" xr:uid="{B8E2491D-3A55-4DFF-B9D1-974B44ADABA9}"/>
    <cellStyle name="RISKbrCorner 2" xfId="3512" xr:uid="{BA44A1A4-8BBC-4215-8E43-22143D7D4F79}"/>
    <cellStyle name="RISKbrCorner 2 2" xfId="3513" xr:uid="{712BA470-9D5D-4FD2-AC62-D9DD05DA73E4}"/>
    <cellStyle name="RISKbrCorner 2 2 2" xfId="3514" xr:uid="{B91AD693-1338-4471-8AA4-3715BAB586EF}"/>
    <cellStyle name="RISKbrCorner 2 2 2 2" xfId="3515" xr:uid="{D405639E-FE24-449D-86A1-8E71396C3F59}"/>
    <cellStyle name="RISKbrCorner 2 2 3" xfId="3516" xr:uid="{7DCB74A6-C88E-4897-9403-1AAF79E4C857}"/>
    <cellStyle name="RISKbrCorner 2 2 4" xfId="3517" xr:uid="{658ABC03-2CE6-488B-B860-A353195D7841}"/>
    <cellStyle name="RISKbrCorner 2 3" xfId="3518" xr:uid="{4F0B5303-EDA6-4414-A5F3-4FC0D44210A9}"/>
    <cellStyle name="RISKbrCorner 2 3 2" xfId="3519" xr:uid="{2778F6F4-6AEA-462C-8F6A-30FB0312AF5C}"/>
    <cellStyle name="RISKbrCorner 2 4" xfId="3520" xr:uid="{B7BD1EC0-8901-42F5-BC8D-398F089A4661}"/>
    <cellStyle name="RISKbrCorner 2 5" xfId="3521" xr:uid="{F5A4A84D-B2FC-4C58-9FA3-01EE85358375}"/>
    <cellStyle name="RISKbrCorner 3" xfId="3522" xr:uid="{F3BEE720-82A5-4B84-A2FA-FD023B3DD1B0}"/>
    <cellStyle name="RISKbrCorner 3 2" xfId="3523" xr:uid="{13B8ECE0-1458-4A32-80A1-A7D03B3BD820}"/>
    <cellStyle name="RISKbrCorner 3 2 2" xfId="3524" xr:uid="{65DA9169-50E8-44D0-8160-B7070A10E756}"/>
    <cellStyle name="RISKbrCorner 3 3" xfId="3525" xr:uid="{54612ACE-C81B-4A40-94CA-1036A317FEB4}"/>
    <cellStyle name="RISKbrCorner 3 4" xfId="3526" xr:uid="{4A897464-B723-4D16-96A5-298FDF60E9E8}"/>
    <cellStyle name="RISKbrCorner 4" xfId="3527" xr:uid="{954F9D47-90E8-4E13-A1D9-1F3723CB0FFE}"/>
    <cellStyle name="RISKbrCorner 4 2" xfId="3528" xr:uid="{569F4CA8-FF24-44DD-96EB-4820A5F53AD7}"/>
    <cellStyle name="RISKbrCorner 4 2 2" xfId="3529" xr:uid="{FD743AE8-3270-4BF8-9AEF-1A24F06658DF}"/>
    <cellStyle name="RISKbrCorner 4 3" xfId="3530" xr:uid="{17FD9464-B4F4-4566-B8A3-E6F46E65813D}"/>
    <cellStyle name="RISKbrCorner 4 4" xfId="3531" xr:uid="{F07D83E6-BA98-4A65-B617-0FBFDBE8C6C2}"/>
    <cellStyle name="RISKbrCorner 5" xfId="3532" xr:uid="{63193538-688B-4B34-9C95-B70C627CE174}"/>
    <cellStyle name="RISKbrCorner 5 2" xfId="3533" xr:uid="{08C16E7B-D5DB-4D38-90FA-E3707E49C449}"/>
    <cellStyle name="RISKbrCorner 5 2 2" xfId="3534" xr:uid="{961DC325-BC13-458D-A394-FF99841CE75F}"/>
    <cellStyle name="RISKbrCorner 5 3" xfId="3535" xr:uid="{D76A6D68-8F8A-47BD-AF68-9998981F3462}"/>
    <cellStyle name="RISKbrCorner 5 4" xfId="3536" xr:uid="{B8D79312-DAC7-43B8-9136-06562FE097C6}"/>
    <cellStyle name="RISKbrCorner 6" xfId="3537" xr:uid="{32045B49-C0C2-4A5A-892C-C9F19AD61ABA}"/>
    <cellStyle name="RISKbrCorner 6 2" xfId="3538" xr:uid="{2A6B7090-B0C7-41D9-A4B4-4C73295FDDAC}"/>
    <cellStyle name="RISKbrCorner 6 2 2" xfId="3539" xr:uid="{F49E4CDD-3FB0-4A51-A73E-50D4ECF48671}"/>
    <cellStyle name="RISKbrCorner 6 3" xfId="3540" xr:uid="{6F5D81AF-D8DB-42CC-B1DE-0011D12EC829}"/>
    <cellStyle name="RISKbrCorner 6 4" xfId="3541" xr:uid="{DA9D0543-FE90-4CDF-8A01-20D743B08765}"/>
    <cellStyle name="RISKbrCorner 7" xfId="3542" xr:uid="{C41AFA06-7C35-4F80-AFFA-83DB4F3F2312}"/>
    <cellStyle name="RISKbrCorner 7 2" xfId="3543" xr:uid="{8027E0C0-7E96-47F6-B99B-61F925D70D19}"/>
    <cellStyle name="RISKbrCorner 7 2 2" xfId="3544" xr:uid="{0A6BBB56-23A6-43AA-9917-B5E4C1691161}"/>
    <cellStyle name="RISKbrCorner 7 3" xfId="3545" xr:uid="{A87A921F-2248-4799-AB5B-4E2CF7962A65}"/>
    <cellStyle name="RISKbrCorner 7 4" xfId="3546" xr:uid="{B753BB8F-F0BE-41CD-973A-93E3400F770A}"/>
    <cellStyle name="RISKbrCorner 8" xfId="3547" xr:uid="{739AE1EA-30FC-431A-B64A-71D7FEB90308}"/>
    <cellStyle name="RISKbrCorner 8 2" xfId="3548" xr:uid="{44186C76-4983-4694-94F3-766263D357C6}"/>
    <cellStyle name="RISKbrCorner 8 2 2" xfId="3549" xr:uid="{615EB10A-1B01-4240-B1D0-B2D88BF1C43D}"/>
    <cellStyle name="RISKbrCorner 8 3" xfId="3550" xr:uid="{011BBDFD-241D-45B7-91DC-E8BA2136DB3E}"/>
    <cellStyle name="RISKbrCorner 8 4" xfId="3551" xr:uid="{7A1D71C6-C90A-4610-8E9D-BC6E639BA391}"/>
    <cellStyle name="RISKbrCorner 9" xfId="3552" xr:uid="{44FB3D31-5F0F-4105-9DFB-833BADB3AB47}"/>
    <cellStyle name="RISKbrCorner 9 2" xfId="3553" xr:uid="{AAA75315-2295-410F-B9E4-C4282ADEC053}"/>
    <cellStyle name="RISKdarkBoxed" xfId="3554" xr:uid="{8BE7E7EB-74DE-47BC-8100-BA8011F250D9}"/>
    <cellStyle name="RISKdarkBoxed 10" xfId="3555" xr:uid="{5F9424F1-49A2-43C9-8829-82EEE3A4FE44}"/>
    <cellStyle name="RISKdarkBoxed 10 10" xfId="16040" xr:uid="{965B40B6-AE63-4FAB-90F7-EDBDCC3EB07C}"/>
    <cellStyle name="RISKdarkBoxed 10 10 2" xfId="37623" xr:uid="{690A39A6-3B83-4BFD-91CA-54AFA05E6345}"/>
    <cellStyle name="RISKdarkBoxed 10 11" xfId="19305" xr:uid="{41AD54C5-293C-4703-A630-D2FE19920130}"/>
    <cellStyle name="RISKdarkBoxed 10 11 2" xfId="40078" xr:uid="{FFC9BDBE-ACD3-4398-BC12-9C93A7FAE47B}"/>
    <cellStyle name="RISKdarkBoxed 10 12" xfId="16821" xr:uid="{6D03E186-B51A-45CB-B335-E2BD63D77AAF}"/>
    <cellStyle name="RISKdarkBoxed 10 12 2" xfId="38249" xr:uid="{7DCEC296-FB6C-4681-8782-877D25C20773}"/>
    <cellStyle name="RISKdarkBoxed 10 13" xfId="13751" xr:uid="{121FE255-E641-4E60-9B51-1572AE5F2F6F}"/>
    <cellStyle name="RISKdarkBoxed 10 13 2" xfId="35906" xr:uid="{05E4E69E-675B-4D4B-BD2A-313AE94C5DEB}"/>
    <cellStyle name="RISKdarkBoxed 10 14" xfId="21371" xr:uid="{76691DCC-25EB-455E-AC43-EF1CFA76FC98}"/>
    <cellStyle name="RISKdarkBoxed 10 14 2" xfId="41500" xr:uid="{1E9E7049-D52D-4B2F-8414-E0C1B4F377E5}"/>
    <cellStyle name="RISKdarkBoxed 10 15" xfId="18911" xr:uid="{725A0CD3-1496-4EBC-813D-2EDF513E3107}"/>
    <cellStyle name="RISKdarkBoxed 10 15 2" xfId="39744" xr:uid="{98E4135C-163F-4030-A522-E923CB098F8A}"/>
    <cellStyle name="RISKdarkBoxed 10 16" xfId="20143" xr:uid="{49EC8931-BBF7-475D-99A3-E390F4ADC13E}"/>
    <cellStyle name="RISKdarkBoxed 10 16 2" xfId="40650" xr:uid="{C761C4FD-B786-4FD1-9E82-28E1F4C0B31B}"/>
    <cellStyle name="RISKdarkBoxed 10 17" xfId="21348" xr:uid="{934050CA-9C36-4FE6-841C-1009261E9B15}"/>
    <cellStyle name="RISKdarkBoxed 10 17 2" xfId="41477" xr:uid="{C78B982C-B237-4317-B07A-7E3924EE82E7}"/>
    <cellStyle name="RISKdarkBoxed 10 18" xfId="18774" xr:uid="{B98198EC-38B5-4347-89B2-DC28C87FFC60}"/>
    <cellStyle name="RISKdarkBoxed 10 18 2" xfId="39641" xr:uid="{9365F897-8DEF-4CE7-B06E-A3F443C3382E}"/>
    <cellStyle name="RISKdarkBoxed 10 19" xfId="19362" xr:uid="{5FBB111D-2DB2-4D97-897E-1D338B0922B3}"/>
    <cellStyle name="RISKdarkBoxed 10 19 2" xfId="40088" xr:uid="{90DDFB71-3377-4B2B-A85A-01EB67A76DE3}"/>
    <cellStyle name="RISKdarkBoxed 10 2" xfId="11995" xr:uid="{B6C81187-4B73-43DC-8494-6FB281528798}"/>
    <cellStyle name="RISKdarkBoxed 10 2 2" xfId="34555" xr:uid="{8AA586FA-B43A-4BAA-937A-BA402467DD1C}"/>
    <cellStyle name="RISKdarkBoxed 10 20" xfId="20359" xr:uid="{D3563D39-BA28-4A26-BF68-AB389455EF99}"/>
    <cellStyle name="RISKdarkBoxed 10 20 2" xfId="40786" xr:uid="{803190D7-B9FD-445C-A6FE-108A46A1F4F1}"/>
    <cellStyle name="RISKdarkBoxed 10 21" xfId="26740" xr:uid="{A71C0EA0-F02B-4570-B4CF-C3E16EE93550}"/>
    <cellStyle name="RISKdarkBoxed 10 21 2" xfId="45264" xr:uid="{D7F61234-A372-441F-A532-4833DAAC376D}"/>
    <cellStyle name="RISKdarkBoxed 10 22" xfId="25028" xr:uid="{A105E3D8-E637-4677-B549-192241BAAE38}"/>
    <cellStyle name="RISKdarkBoxed 10 22 2" xfId="44061" xr:uid="{D90619AF-1B1C-4246-83CA-E45E06715348}"/>
    <cellStyle name="RISKdarkBoxed 10 23" xfId="23019" xr:uid="{1FD96F7C-6482-46D3-8D7E-D5EE16F15B83}"/>
    <cellStyle name="RISKdarkBoxed 10 23 2" xfId="42654" xr:uid="{AD52DD4B-7D84-4B58-BE87-C886FFFF945A}"/>
    <cellStyle name="RISKdarkBoxed 10 24" xfId="25624" xr:uid="{757D0171-C94E-4414-AF5D-B685C770AFAB}"/>
    <cellStyle name="RISKdarkBoxed 10 24 2" xfId="44481" xr:uid="{A8D44E4F-6234-48F9-BAC5-BE894109BD71}"/>
    <cellStyle name="RISKdarkBoxed 10 25" xfId="25634" xr:uid="{9A4CADF6-3D8E-49BA-BD27-61955D1F3C89}"/>
    <cellStyle name="RISKdarkBoxed 10 25 2" xfId="44487" xr:uid="{8DF9BC7D-DF3A-4CF4-B8F7-50E3DBF026B8}"/>
    <cellStyle name="RISKdarkBoxed 10 26" xfId="30338" xr:uid="{A23C27A5-280C-475E-AB3A-E9B126618EFB}"/>
    <cellStyle name="RISKdarkBoxed 10 26 2" xfId="47470" xr:uid="{F370FB16-65AB-4D37-9956-75D38865BF25}"/>
    <cellStyle name="RISKdarkBoxed 10 27" xfId="30458" xr:uid="{31147179-A6A8-42D1-AF3F-80A6D71EA44B}"/>
    <cellStyle name="RISKdarkBoxed 10 27 2" xfId="47495" xr:uid="{7A810BA1-EDCE-4B0D-96B0-3700F7AF98DF}"/>
    <cellStyle name="RISKdarkBoxed 10 28" xfId="29642" xr:uid="{4604E266-B50A-40B8-8927-0DD1F6E9BC1E}"/>
    <cellStyle name="RISKdarkBoxed 10 28 2" xfId="47025" xr:uid="{0E1B76E3-37D2-4149-911C-A0754672CCAB}"/>
    <cellStyle name="RISKdarkBoxed 10 29" xfId="30217" xr:uid="{7F2A31CE-E1F4-4995-853D-FBA3F05256E6}"/>
    <cellStyle name="RISKdarkBoxed 10 29 2" xfId="47378" xr:uid="{09E0FD5E-1CC1-4863-89C1-18F92B9D4D30}"/>
    <cellStyle name="RISKdarkBoxed 10 3" xfId="9961" xr:uid="{AE9859F8-994C-4F77-93CA-C3B60FBA6850}"/>
    <cellStyle name="RISKdarkBoxed 10 3 2" xfId="33706" xr:uid="{AF5F085C-4484-4915-85BA-CDFBEC65ACD4}"/>
    <cellStyle name="RISKdarkBoxed 10 30" xfId="6151" xr:uid="{BBE890BD-E3D3-4E9C-BCFA-8B726EAFD1DA}"/>
    <cellStyle name="RISKdarkBoxed 10 4" xfId="11707" xr:uid="{9F8DF7EB-09D9-4B60-92B1-9949D552290A}"/>
    <cellStyle name="RISKdarkBoxed 10 4 2" xfId="34320" xr:uid="{A1C14D03-00EA-449F-9AC4-783D385A282A}"/>
    <cellStyle name="RISKdarkBoxed 10 5" xfId="15326" xr:uid="{24A09061-E3B5-4EF9-ABFD-269E91D785CD}"/>
    <cellStyle name="RISKdarkBoxed 10 5 2" xfId="37026" xr:uid="{394B3D2C-0642-4015-B9A0-E3D21E17BA3A}"/>
    <cellStyle name="RISKdarkBoxed 10 6" xfId="14819" xr:uid="{84D15631-99D8-4B63-A4B1-28A9C5BF494E}"/>
    <cellStyle name="RISKdarkBoxed 10 6 2" xfId="36694" xr:uid="{1663B543-732B-48ED-999B-11E9762CFC46}"/>
    <cellStyle name="RISKdarkBoxed 10 7" xfId="14248" xr:uid="{C314C073-B68A-470E-858F-5B7D937BD064}"/>
    <cellStyle name="RISKdarkBoxed 10 7 2" xfId="36301" xr:uid="{17081B5F-2DE9-489B-9A13-B2BA0B8B1F68}"/>
    <cellStyle name="RISKdarkBoxed 10 8" xfId="14610" xr:uid="{D43CD044-E39F-447B-96DA-F803A93A00BD}"/>
    <cellStyle name="RISKdarkBoxed 10 8 2" xfId="36522" xr:uid="{EFA95C65-F3F7-4A86-B997-19B27B6F4E74}"/>
    <cellStyle name="RISKdarkBoxed 10 9" xfId="16454" xr:uid="{3FABBB5A-EDD6-4F8A-8711-F2D84E93FE75}"/>
    <cellStyle name="RISKdarkBoxed 10 9 2" xfId="37947" xr:uid="{5E7DE7CD-1A30-494D-9E73-DD31A26024E2}"/>
    <cellStyle name="RISKdarkBoxed 11" xfId="7590" xr:uid="{CF67AD1B-9C05-41D7-822A-3F473A334864}"/>
    <cellStyle name="RISKdarkBoxed 11 2" xfId="31893" xr:uid="{6A3ADDC2-EBDA-45A9-985E-3019B8A1A52A}"/>
    <cellStyle name="RISKdarkBoxed 12" xfId="9960" xr:uid="{7145A505-4894-45F9-93D1-99F4EB6E0FDC}"/>
    <cellStyle name="RISKdarkBoxed 12 2" xfId="33705" xr:uid="{5800169E-18E5-426E-894A-BED19ECA72CC}"/>
    <cellStyle name="RISKdarkBoxed 13" xfId="7280" xr:uid="{53EAA11B-AC0C-4BB4-A400-089014789182}"/>
    <cellStyle name="RISKdarkBoxed 13 2" xfId="31644" xr:uid="{0580B2B0-A061-4C31-950C-EF14F54381EA}"/>
    <cellStyle name="RISKdarkBoxed 14" xfId="8354" xr:uid="{4469AA7D-4855-40E3-8C3B-3D9C198E71DA}"/>
    <cellStyle name="RISKdarkBoxed 14 2" xfId="32570" xr:uid="{D6E65D95-E5F9-4E97-9F9F-09851068C91C}"/>
    <cellStyle name="RISKdarkBoxed 15" xfId="10593" xr:uid="{F2C3ADAC-89A7-478D-9D50-422D15DF4AA6}"/>
    <cellStyle name="RISKdarkBoxed 15 2" xfId="34219" xr:uid="{04886EDF-B4B2-49DF-A656-795619A7AE28}"/>
    <cellStyle name="RISKdarkBoxed 16" xfId="7032" xr:uid="{08D7EE2E-8121-403B-8BF9-666BDAC398F3}"/>
    <cellStyle name="RISKdarkBoxed 16 2" xfId="31399" xr:uid="{C7AC679C-2EA7-4EC8-A9F1-8D16C7880474}"/>
    <cellStyle name="RISKdarkBoxed 17" xfId="15555" xr:uid="{176AA5D1-D004-48B5-84C0-3E263137C0FA}"/>
    <cellStyle name="RISKdarkBoxed 17 2" xfId="37220" xr:uid="{07C74F23-4FB5-488A-ABB9-81274AE0337F}"/>
    <cellStyle name="RISKdarkBoxed 18" xfId="12571" xr:uid="{8B035B98-8E75-4B9E-B0AB-EDA7E55443C0}"/>
    <cellStyle name="RISKdarkBoxed 18 2" xfId="35015" xr:uid="{B6E495EC-51B9-4525-B5CD-D97C461F2361}"/>
    <cellStyle name="RISKdarkBoxed 19" xfId="17369" xr:uid="{3B662EC6-F820-44E0-B85E-315F7ADD94D1}"/>
    <cellStyle name="RISKdarkBoxed 19 2" xfId="38616" xr:uid="{C70FD24B-633D-4A12-8892-E6D00CCE8BD3}"/>
    <cellStyle name="RISKdarkBoxed 2" xfId="3556" xr:uid="{BEECEDF9-5618-46CB-84A8-24A7F20D57DE}"/>
    <cellStyle name="RISKdarkBoxed 2 10" xfId="7031" xr:uid="{C10FEBAB-9D41-4377-8A06-3C7C6ADDAE57}"/>
    <cellStyle name="RISKdarkBoxed 2 10 2" xfId="31398" xr:uid="{6CE08783-34CD-4ABF-8BFA-18D2F74AEA43}"/>
    <cellStyle name="RISKdarkBoxed 2 11" xfId="13836" xr:uid="{4A817026-800C-4333-9105-8A585AA35B33}"/>
    <cellStyle name="RISKdarkBoxed 2 11 2" xfId="35961" xr:uid="{F4DE35FE-6F58-49CD-B999-8CC476A78975}"/>
    <cellStyle name="RISKdarkBoxed 2 12" xfId="15881" xr:uid="{3924FBBF-A9A8-48C8-8876-80B079AACF45}"/>
    <cellStyle name="RISKdarkBoxed 2 12 2" xfId="37472" xr:uid="{10D36551-4BAB-4FF4-93AD-D492ACB7BE0A}"/>
    <cellStyle name="RISKdarkBoxed 2 13" xfId="17368" xr:uid="{074F48DB-4702-442D-AE28-95184BB7BC5F}"/>
    <cellStyle name="RISKdarkBoxed 2 13 2" xfId="38615" xr:uid="{3D52A007-6E10-4F5B-AADD-9DE44211249B}"/>
    <cellStyle name="RISKdarkBoxed 2 14" xfId="18210" xr:uid="{131EB991-5E22-4DE9-B073-17D38413DB57}"/>
    <cellStyle name="RISKdarkBoxed 2 14 2" xfId="39248" xr:uid="{95035C36-F526-4D9A-8272-80864DB54854}"/>
    <cellStyle name="RISKdarkBoxed 2 15" xfId="19062" xr:uid="{D613E4FA-EDA6-4340-9027-615A266F207B}"/>
    <cellStyle name="RISKdarkBoxed 2 15 2" xfId="39894" xr:uid="{AE981444-5659-4C2D-93D3-9C223A654C0F}"/>
    <cellStyle name="RISKdarkBoxed 2 16" xfId="16808" xr:uid="{072222ED-921B-4C91-B5E2-226B8622BC2F}"/>
    <cellStyle name="RISKdarkBoxed 2 16 2" xfId="38239" xr:uid="{1ECFE55F-D546-431B-BC49-840FBD0CCE47}"/>
    <cellStyle name="RISKdarkBoxed 2 17" xfId="16995" xr:uid="{390A7ADE-F90A-4AF1-9C56-92633A012041}"/>
    <cellStyle name="RISKdarkBoxed 2 17 2" xfId="38355" xr:uid="{7C7F491D-B039-4E0B-9791-F9D95707DAE9}"/>
    <cellStyle name="RISKdarkBoxed 2 18" xfId="20675" xr:uid="{63766D12-250F-492A-8DAB-31ECF19788B1}"/>
    <cellStyle name="RISKdarkBoxed 2 18 2" xfId="41035" xr:uid="{F8905710-EEE3-4669-8819-8B06A801D874}"/>
    <cellStyle name="RISKdarkBoxed 2 19" xfId="17025" xr:uid="{C395F3A6-DF90-4AA6-A5AD-19E1E078C3E9}"/>
    <cellStyle name="RISKdarkBoxed 2 19 2" xfId="38370" xr:uid="{5219048A-CA88-452C-AED9-604AC58038A1}"/>
    <cellStyle name="RISKdarkBoxed 2 2" xfId="3557" xr:uid="{324872C1-AAF8-4B2C-BCEE-F59DA1617BBC}"/>
    <cellStyle name="RISKdarkBoxed 2 2 10" xfId="13642" xr:uid="{A5291695-DD0A-42EF-81A0-CAA8174F376E}"/>
    <cellStyle name="RISKdarkBoxed 2 2 10 2" xfId="35806" xr:uid="{796C3BA6-1606-4F78-8D67-05EA79E13021}"/>
    <cellStyle name="RISKdarkBoxed 2 2 11" xfId="16453" xr:uid="{9035A47B-65F1-46C9-B7D6-2A0C61807519}"/>
    <cellStyle name="RISKdarkBoxed 2 2 11 2" xfId="37946" xr:uid="{18CCDA2E-3251-4825-9BAE-4DE2CD8E9696}"/>
    <cellStyle name="RISKdarkBoxed 2 2 12" xfId="15646" xr:uid="{E288BA57-7BB2-4895-9813-2C88AFCB552F}"/>
    <cellStyle name="RISKdarkBoxed 2 2 12 2" xfId="37304" xr:uid="{105350F5-219D-4606-B654-D111B792FB7D}"/>
    <cellStyle name="RISKdarkBoxed 2 2 13" xfId="15152" xr:uid="{AB0B3261-DD99-462A-8EC6-8AAB617FAAF5}"/>
    <cellStyle name="RISKdarkBoxed 2 2 13 2" xfId="36945" xr:uid="{71D7D3AA-F8EF-4202-B989-F6BD5C594714}"/>
    <cellStyle name="RISKdarkBoxed 2 2 14" xfId="17132" xr:uid="{0A5F28E8-86A4-4B87-9939-52E104FFCD3D}"/>
    <cellStyle name="RISKdarkBoxed 2 2 14 2" xfId="38471" xr:uid="{6E93C712-25E5-42DA-A5C5-41251A6EE4D8}"/>
    <cellStyle name="RISKdarkBoxed 2 2 15" xfId="17355" xr:uid="{5F18227E-35BF-4EB9-832A-475735DD5776}"/>
    <cellStyle name="RISKdarkBoxed 2 2 15 2" xfId="38602" xr:uid="{7751FCE8-9A4A-4A35-8077-D11E43FB434E}"/>
    <cellStyle name="RISKdarkBoxed 2 2 16" xfId="21370" xr:uid="{030801EF-77D9-4BEF-9535-5F200263D62D}"/>
    <cellStyle name="RISKdarkBoxed 2 2 16 2" xfId="41499" xr:uid="{5D5B99F1-E779-4969-B507-3F48C282EE2F}"/>
    <cellStyle name="RISKdarkBoxed 2 2 17" xfId="16835" xr:uid="{95DD3D06-B853-442B-A392-2F4A62413191}"/>
    <cellStyle name="RISKdarkBoxed 2 2 17 2" xfId="38263" xr:uid="{8AE369DA-3145-41BE-A854-3058FD965248}"/>
    <cellStyle name="RISKdarkBoxed 2 2 18" xfId="22130" xr:uid="{4379EF0A-F45C-4617-A447-E6C4FEE64C1B}"/>
    <cellStyle name="RISKdarkBoxed 2 2 18 2" xfId="42015" xr:uid="{660A8977-A158-44CA-B289-EE1918715370}"/>
    <cellStyle name="RISKdarkBoxed 2 2 19" xfId="21347" xr:uid="{E907A96A-071B-4180-8724-9469A81F7BA3}"/>
    <cellStyle name="RISKdarkBoxed 2 2 19 2" xfId="41476" xr:uid="{4D34609A-0E76-4009-A43C-8F3701CC0B62}"/>
    <cellStyle name="RISKdarkBoxed 2 2 2" xfId="3558" xr:uid="{DF7801A4-9A08-4DF2-8794-A923C6E9D9DC}"/>
    <cellStyle name="RISKdarkBoxed 2 2 2 10" xfId="17367" xr:uid="{EEE3B657-6CC8-4926-B78B-2510AC3A913E}"/>
    <cellStyle name="RISKdarkBoxed 2 2 2 10 2" xfId="38614" xr:uid="{80F53DD9-91B3-4014-ADA7-F36E5BA4B3FA}"/>
    <cellStyle name="RISKdarkBoxed 2 2 2 11" xfId="18209" xr:uid="{71133FAE-9B96-4802-AA16-F079849A4C59}"/>
    <cellStyle name="RISKdarkBoxed 2 2 2 11 2" xfId="39247" xr:uid="{E79C1AF2-B083-4C7C-9980-5845E45A38ED}"/>
    <cellStyle name="RISKdarkBoxed 2 2 2 12" xfId="19061" xr:uid="{E92F8BA1-DDFA-4A5B-A9FB-C25E344590BD}"/>
    <cellStyle name="RISKdarkBoxed 2 2 2 12 2" xfId="39893" xr:uid="{C73C79DA-00F2-41A3-A364-24DDE05636D6}"/>
    <cellStyle name="RISKdarkBoxed 2 2 2 13" xfId="15650" xr:uid="{778EE543-19E1-4D1A-B815-CDD858DC399C}"/>
    <cellStyle name="RISKdarkBoxed 2 2 2 13 2" xfId="37308" xr:uid="{E48216BE-A650-4DD9-982A-BA89E973E3E4}"/>
    <cellStyle name="RISKdarkBoxed 2 2 2 14" xfId="19597" xr:uid="{EB44F33D-1FCA-4F88-AE55-9F27D043ADC9}"/>
    <cellStyle name="RISKdarkBoxed 2 2 2 14 2" xfId="40237" xr:uid="{EC3D9299-CA6E-41A7-A070-FDC8A2713F1B}"/>
    <cellStyle name="RISKdarkBoxed 2 2 2 15" xfId="20674" xr:uid="{5EDBA275-4554-462A-ADDE-8737D2F9972C}"/>
    <cellStyle name="RISKdarkBoxed 2 2 2 15 2" xfId="41034" xr:uid="{8FCA3216-D0FD-469A-AC4D-6211375A00F8}"/>
    <cellStyle name="RISKdarkBoxed 2 2 2 16" xfId="21166" xr:uid="{C7EC6226-22A3-4273-9F8D-0EB9804221CB}"/>
    <cellStyle name="RISKdarkBoxed 2 2 2 16 2" xfId="41359" xr:uid="{0475FC82-1026-4ED5-9652-2FB9D5E5CA81}"/>
    <cellStyle name="RISKdarkBoxed 2 2 2 17" xfId="17006" xr:uid="{9F86421F-E7D7-4C94-9767-E81B828C1561}"/>
    <cellStyle name="RISKdarkBoxed 2 2 2 17 2" xfId="38366" xr:uid="{E23D9FC9-CBD2-4553-85D4-5461869C7848}"/>
    <cellStyle name="RISKdarkBoxed 2 2 2 18" xfId="24700" xr:uid="{2377627D-FE9C-4D06-9090-85757B9BDF2F}"/>
    <cellStyle name="RISKdarkBoxed 2 2 2 18 2" xfId="43845" xr:uid="{E6C131F3-F4E0-472D-88E6-30CC969F1E8E}"/>
    <cellStyle name="RISKdarkBoxed 2 2 2 19" xfId="17999" xr:uid="{A4C51775-8C2B-491A-BB6D-46B636135A17}"/>
    <cellStyle name="RISKdarkBoxed 2 2 2 19 2" xfId="39095" xr:uid="{AF924B17-EFB5-4287-A185-6C7D0FE98509}"/>
    <cellStyle name="RISKdarkBoxed 2 2 2 2" xfId="7588" xr:uid="{D8B48683-9C0E-46E5-91B1-84A4A25C77EE}"/>
    <cellStyle name="RISKdarkBoxed 2 2 2 2 2" xfId="31891" xr:uid="{7EBD8036-007A-49FC-B022-B32C9320B2BA}"/>
    <cellStyle name="RISKdarkBoxed 2 2 2 20" xfId="24494" xr:uid="{E0928535-B116-4EDA-A07B-20BA930E9127}"/>
    <cellStyle name="RISKdarkBoxed 2 2 2 20 2" xfId="43677" xr:uid="{2A920902-313E-42C6-A649-77B47884A093}"/>
    <cellStyle name="RISKdarkBoxed 2 2 2 21" xfId="18759" xr:uid="{55191F53-2A90-4F68-BB5E-8DE3E4EFD8E1}"/>
    <cellStyle name="RISKdarkBoxed 2 2 2 21 2" xfId="39634" xr:uid="{1E3E880C-2D4A-4E8B-B5B5-9EB69A5AA587}"/>
    <cellStyle name="RISKdarkBoxed 2 2 2 22" xfId="23593" xr:uid="{013E7D94-CC77-4E63-82A2-B4E3E9E8D5A5}"/>
    <cellStyle name="RISKdarkBoxed 2 2 2 22 2" xfId="43028" xr:uid="{7CC3D6CB-5EAF-4BD9-A9FD-7F1FF22C918C}"/>
    <cellStyle name="RISKdarkBoxed 2 2 2 23" xfId="22407" xr:uid="{EE5249E8-A7FC-40DE-AF7C-7F49BD8DA31C}"/>
    <cellStyle name="RISKdarkBoxed 2 2 2 23 2" xfId="42222" xr:uid="{A4345FD3-1220-4BF3-BAE6-EB5C724F192C}"/>
    <cellStyle name="RISKdarkBoxed 2 2 2 24" xfId="28391" xr:uid="{0CEA34F5-E6D4-40D5-8D45-1D1F830D2630}"/>
    <cellStyle name="RISKdarkBoxed 2 2 2 24 2" xfId="46240" xr:uid="{E990334F-FF82-4248-8A97-B6722FA9803E}"/>
    <cellStyle name="RISKdarkBoxed 2 2 2 25" xfId="28482" xr:uid="{FC3F64A0-4C8F-4D73-BAD6-4545017ACDFC}"/>
    <cellStyle name="RISKdarkBoxed 2 2 2 25 2" xfId="46293" xr:uid="{AD737F0C-6C5B-472C-B1F2-1B3BADA2DFED}"/>
    <cellStyle name="RISKdarkBoxed 2 2 2 26" xfId="27769" xr:uid="{6BD9ABA9-B69E-4DD9-AFDE-7DDA3AD9E3D0}"/>
    <cellStyle name="RISKdarkBoxed 2 2 2 26 2" xfId="45864" xr:uid="{C6455BF3-20DD-46A7-A2D5-907C289115A9}"/>
    <cellStyle name="RISKdarkBoxed 2 2 2 27" xfId="28268" xr:uid="{DECD8C42-6F41-411C-834D-7A152DFA2875}"/>
    <cellStyle name="RISKdarkBoxed 2 2 2 27 2" xfId="46135" xr:uid="{E95E6750-AFB7-4DD4-A1A8-6054191D54B8}"/>
    <cellStyle name="RISKdarkBoxed 2 2 2 28" xfId="29954" xr:uid="{A9C3E4B7-53DA-4235-9F29-D7F6A7A9C0AD}"/>
    <cellStyle name="RISKdarkBoxed 2 2 2 28 2" xfId="47221" xr:uid="{28BAF0DC-9945-43CE-A2A3-7E79C4CEEA17}"/>
    <cellStyle name="RISKdarkBoxed 2 2 2 29" xfId="30660" xr:uid="{FAF6FAFB-87C5-419A-9E21-E7EAB3CE4AAF}"/>
    <cellStyle name="RISKdarkBoxed 2 2 2 29 2" xfId="47606" xr:uid="{32423D50-C192-4A3A-9F20-B44AE12DBEB6}"/>
    <cellStyle name="RISKdarkBoxed 2 2 2 3" xfId="9964" xr:uid="{153D1F65-3A71-4AC2-A4B4-CCD73569860C}"/>
    <cellStyle name="RISKdarkBoxed 2 2 2 3 2" xfId="33709" xr:uid="{09BFF146-6754-41DA-A05D-176DC9D9F13D}"/>
    <cellStyle name="RISKdarkBoxed 2 2 2 30" xfId="6148" xr:uid="{865412AF-F740-4FFB-8E77-0D54B53E4503}"/>
    <cellStyle name="RISKdarkBoxed 2 2 2 4" xfId="7278" xr:uid="{6BD58243-19AB-4756-86CF-156147D97367}"/>
    <cellStyle name="RISKdarkBoxed 2 2 2 4 2" xfId="31642" xr:uid="{A7643BDA-BDBF-4B25-814D-89815999C29A}"/>
    <cellStyle name="RISKdarkBoxed 2 2 2 5" xfId="12010" xr:uid="{B687B701-492F-455B-B587-2D611DFD96BB}"/>
    <cellStyle name="RISKdarkBoxed 2 2 2 5 2" xfId="34568" xr:uid="{F1ED90B7-51B4-4DE4-B7AD-0D6E2B2BCB17}"/>
    <cellStyle name="RISKdarkBoxed 2 2 2 6" xfId="10594" xr:uid="{BD2B9DD7-B136-41DA-A45C-BA3ABC5931A5}"/>
    <cellStyle name="RISKdarkBoxed 2 2 2 6 2" xfId="34220" xr:uid="{628D370D-CA32-4EDE-9202-8CA60576D1F7}"/>
    <cellStyle name="RISKdarkBoxed 2 2 2 7" xfId="7030" xr:uid="{F90BBFBC-9363-48E0-972D-3170832958C0}"/>
    <cellStyle name="RISKdarkBoxed 2 2 2 7 2" xfId="31397" xr:uid="{754E343E-BC8F-4842-BFC5-40CAB1D181E6}"/>
    <cellStyle name="RISKdarkBoxed 2 2 2 8" xfId="15556" xr:uid="{E72A34A7-81E1-4250-A88D-ECD906CB2DB9}"/>
    <cellStyle name="RISKdarkBoxed 2 2 2 8 2" xfId="37221" xr:uid="{DACF1768-9095-4A34-A8AE-B4B2EE221E59}"/>
    <cellStyle name="RISKdarkBoxed 2 2 2 9" xfId="13996" xr:uid="{98E679EB-FCCC-4204-BDDE-91757ABBA097}"/>
    <cellStyle name="RISKdarkBoxed 2 2 2 9 2" xfId="36090" xr:uid="{633B7D62-81EB-43E5-87BD-4D64243D16EC}"/>
    <cellStyle name="RISKdarkBoxed 2 2 20" xfId="22859" xr:uid="{EA694732-B8B1-4D35-B0C8-6742B2630C14}"/>
    <cellStyle name="RISKdarkBoxed 2 2 20 2" xfId="42577" xr:uid="{CE6C4C13-E333-4A01-BD20-092B6006E972}"/>
    <cellStyle name="RISKdarkBoxed 2 2 21" xfId="12852" xr:uid="{4D0277AA-89DC-4D00-8E51-5153A4C64106}"/>
    <cellStyle name="RISKdarkBoxed 2 2 21 2" xfId="35232" xr:uid="{39C5EF09-CDE8-4981-9693-75BA3ECD3A06}"/>
    <cellStyle name="RISKdarkBoxed 2 2 22" xfId="22690" xr:uid="{ABB854A9-9D47-4143-AB13-C202BE7B4B57}"/>
    <cellStyle name="RISKdarkBoxed 2 2 22 2" xfId="42451" xr:uid="{CD31A448-17C2-44D7-B5FA-3DD8A838A8A4}"/>
    <cellStyle name="RISKdarkBoxed 2 2 23" xfId="23876" xr:uid="{ED39C02C-EDC9-44E7-AB26-A1563720DDA3}"/>
    <cellStyle name="RISKdarkBoxed 2 2 23 2" xfId="43255" xr:uid="{66C32A02-3E6D-46E8-B796-E62700A35F1D}"/>
    <cellStyle name="RISKdarkBoxed 2 2 24" xfId="25541" xr:uid="{0690665E-A391-47FA-A094-9B6648B82E34}"/>
    <cellStyle name="RISKdarkBoxed 2 2 24 2" xfId="44415" xr:uid="{2F2252E8-6A17-4A75-8380-8408010DFFCB}"/>
    <cellStyle name="RISKdarkBoxed 2 2 25" xfId="28693" xr:uid="{148E8EA3-6FDD-44AD-8A36-A9A2F85FDE34}"/>
    <cellStyle name="RISKdarkBoxed 2 2 25 2" xfId="46426" xr:uid="{01E1277F-FFE2-499F-8538-16BF12F48B9F}"/>
    <cellStyle name="RISKdarkBoxed 2 2 26" xfId="27058" xr:uid="{6ECFF4C7-721C-4127-906E-CAC5447C3BE7}"/>
    <cellStyle name="RISKdarkBoxed 2 2 26 2" xfId="45452" xr:uid="{0C19EE00-2433-4180-A93A-61C88E2FFB67}"/>
    <cellStyle name="RISKdarkBoxed 2 2 27" xfId="30142" xr:uid="{8812F8C2-7F73-4D1F-AB9B-8793706E662B}"/>
    <cellStyle name="RISKdarkBoxed 2 2 27 2" xfId="47310" xr:uid="{904312A7-A897-4CE4-B10D-F70297E8A744}"/>
    <cellStyle name="RISKdarkBoxed 2 2 28" xfId="30339" xr:uid="{A0010B56-8730-443B-9520-AFBD4A148A5D}"/>
    <cellStyle name="RISKdarkBoxed 2 2 28 2" xfId="47471" xr:uid="{92C8C15A-3D31-4234-87A1-4BD65DA38352}"/>
    <cellStyle name="RISKdarkBoxed 2 2 29" xfId="30459" xr:uid="{DD6590BA-3FCB-451F-9CD2-F13557C35B0D}"/>
    <cellStyle name="RISKdarkBoxed 2 2 29 2" xfId="47496" xr:uid="{DE1878E1-DE29-43CB-9EC1-29D07C9CAA24}"/>
    <cellStyle name="RISKdarkBoxed 2 2 3" xfId="3559" xr:uid="{4D069D79-A0D7-4E44-A4CA-183774879890}"/>
    <cellStyle name="RISKdarkBoxed 2 2 3 10" xfId="13744" xr:uid="{78005A8B-65F8-4D3D-8651-8A3896C6AB6C}"/>
    <cellStyle name="RISKdarkBoxed 2 2 3 10 2" xfId="35899" xr:uid="{8073B22E-7372-4E73-8958-798CABCD943D}"/>
    <cellStyle name="RISKdarkBoxed 2 2 3 11" xfId="16260" xr:uid="{B9E4F305-A354-438B-88A6-3442929738EB}"/>
    <cellStyle name="RISKdarkBoxed 2 2 3 11 2" xfId="37799" xr:uid="{9A6AD2E4-67D5-4C96-9352-B787E99C044D}"/>
    <cellStyle name="RISKdarkBoxed 2 2 3 12" xfId="14550" xr:uid="{E207A962-443F-43CD-ABAB-90548C357013}"/>
    <cellStyle name="RISKdarkBoxed 2 2 3 12 2" xfId="36481" xr:uid="{1167D41A-C38D-4814-80A9-E810D2117D44}"/>
    <cellStyle name="RISKdarkBoxed 2 2 3 13" xfId="17354" xr:uid="{A3418D08-9B90-4393-9BBD-2E8BADAFCC5A}"/>
    <cellStyle name="RISKdarkBoxed 2 2 3 13 2" xfId="38601" xr:uid="{66A8176D-837C-445B-8CFE-B429760F31AE}"/>
    <cellStyle name="RISKdarkBoxed 2 2 3 14" xfId="21369" xr:uid="{513C1F93-80C5-44B5-B02C-4364B7CF2F0D}"/>
    <cellStyle name="RISKdarkBoxed 2 2 3 14 2" xfId="41498" xr:uid="{F798E4E9-B8F0-4CFC-8244-BB48B3196FD6}"/>
    <cellStyle name="RISKdarkBoxed 2 2 3 15" xfId="18910" xr:uid="{3509AF34-00E2-4019-97DD-9F16CFA9005C}"/>
    <cellStyle name="RISKdarkBoxed 2 2 3 15 2" xfId="39743" xr:uid="{E261FF74-1A70-48C0-A439-ED8B841A1E54}"/>
    <cellStyle name="RISKdarkBoxed 2 2 3 16" xfId="17845" xr:uid="{23035471-49AB-45DA-BF9C-740FCB07CF8E}"/>
    <cellStyle name="RISKdarkBoxed 2 2 3 16 2" xfId="38961" xr:uid="{1E353F04-3CB6-42A3-81AB-E63D21465C5F}"/>
    <cellStyle name="RISKdarkBoxed 2 2 3 17" xfId="21346" xr:uid="{7F3545A8-32C8-47EC-9B82-7F0C4F17C293}"/>
    <cellStyle name="RISKdarkBoxed 2 2 3 17 2" xfId="41475" xr:uid="{1A122783-5275-4517-8375-E926586D6740}"/>
    <cellStyle name="RISKdarkBoxed 2 2 3 18" xfId="22328" xr:uid="{82458220-A078-479F-9546-F95E54EB1AE8}"/>
    <cellStyle name="RISKdarkBoxed 2 2 3 18 2" xfId="42183" xr:uid="{0CDBE8FD-CC08-4063-9E5F-28211BDD5E6C}"/>
    <cellStyle name="RISKdarkBoxed 2 2 3 19" xfId="25195" xr:uid="{DFD066FE-2A20-4A91-819A-ED845A634B16}"/>
    <cellStyle name="RISKdarkBoxed 2 2 3 19 2" xfId="44137" xr:uid="{7E0FFEE4-137C-492B-96AF-3E7FA04037F2}"/>
    <cellStyle name="RISKdarkBoxed 2 2 3 2" xfId="11993" xr:uid="{8C354F9D-5DE4-46A2-B1CB-2E159929D74B}"/>
    <cellStyle name="RISKdarkBoxed 2 2 3 2 2" xfId="34553" xr:uid="{533C13E5-C88B-4C24-A208-DE7AE77F17CB}"/>
    <cellStyle name="RISKdarkBoxed 2 2 3 20" xfId="25367" xr:uid="{DCDF02ED-647F-4EDF-92C9-72EE84CA2DCE}"/>
    <cellStyle name="RISKdarkBoxed 2 2 3 20 2" xfId="44283" xr:uid="{9D1082EB-59A3-4F71-BB57-ADCB56B41616}"/>
    <cellStyle name="RISKdarkBoxed 2 2 3 21" xfId="23890" xr:uid="{83E3F628-7A0A-4986-B460-92D0F7B5B66E}"/>
    <cellStyle name="RISKdarkBoxed 2 2 3 21 2" xfId="43269" xr:uid="{57858C38-83B1-4442-A7C9-17F7EB30F767}"/>
    <cellStyle name="RISKdarkBoxed 2 2 3 22" xfId="21926" xr:uid="{EC2A28CF-D353-460A-8855-D54E624F17C9}"/>
    <cellStyle name="RISKdarkBoxed 2 2 3 22 2" xfId="41842" xr:uid="{4E5F4AD8-321D-466F-B935-40F04AA8F68E}"/>
    <cellStyle name="RISKdarkBoxed 2 2 3 23" xfId="28690" xr:uid="{7FA318D9-B803-4A20-BBEA-6C3CCABED176}"/>
    <cellStyle name="RISKdarkBoxed 2 2 3 23 2" xfId="46424" xr:uid="{80B0D774-B346-441C-A5A1-D0624D5CE290}"/>
    <cellStyle name="RISKdarkBoxed 2 2 3 24" xfId="26057" xr:uid="{EE5A29B1-90FB-4C86-966A-7BA8EF1BA940}"/>
    <cellStyle name="RISKdarkBoxed 2 2 3 24 2" xfId="44823" xr:uid="{0CF7C7D2-75C7-48A1-82B3-5004A15873B7}"/>
    <cellStyle name="RISKdarkBoxed 2 2 3 25" xfId="27099" xr:uid="{DAFBC73A-7ED2-4B11-995D-7B66B58A60CB}"/>
    <cellStyle name="RISKdarkBoxed 2 2 3 25 2" xfId="45476" xr:uid="{4BF36331-E669-468E-A359-381C5B2ABB43}"/>
    <cellStyle name="RISKdarkBoxed 2 2 3 26" xfId="29407" xr:uid="{9C509C7B-0225-48D2-ABDB-599054F6715E}"/>
    <cellStyle name="RISKdarkBoxed 2 2 3 26 2" xfId="46871" xr:uid="{B5332347-3FC0-47A7-A43D-8457B6E17017}"/>
    <cellStyle name="RISKdarkBoxed 2 2 3 27" xfId="29086" xr:uid="{0125A5D2-378D-4D0B-B055-7ED5E9E128D2}"/>
    <cellStyle name="RISKdarkBoxed 2 2 3 27 2" xfId="46659" xr:uid="{3991D08D-7F3F-4AC8-99AC-1A9CC2524E29}"/>
    <cellStyle name="RISKdarkBoxed 2 2 3 28" xfId="29638" xr:uid="{1DCA8B20-75B9-46CC-9AC3-1BEF93725080}"/>
    <cellStyle name="RISKdarkBoxed 2 2 3 28 2" xfId="47021" xr:uid="{80B3830E-0821-407F-BF02-41F7134DFF22}"/>
    <cellStyle name="RISKdarkBoxed 2 2 3 29" xfId="30216" xr:uid="{5CBC7B6A-C9E9-4C24-8ACC-642E32273017}"/>
    <cellStyle name="RISKdarkBoxed 2 2 3 29 2" xfId="47377" xr:uid="{72D56B50-58D7-4F90-ADC4-0BA69A2CE944}"/>
    <cellStyle name="RISKdarkBoxed 2 2 3 3" xfId="9965" xr:uid="{4857AD84-0B81-49EF-B594-15A1BFF6357B}"/>
    <cellStyle name="RISKdarkBoxed 2 2 3 3 2" xfId="33710" xr:uid="{560633F7-BD6E-48BD-A3B0-0FFD3068E4A8}"/>
    <cellStyle name="RISKdarkBoxed 2 2 3 30" xfId="6147" xr:uid="{69B9B17D-9602-4BB0-AE18-9B36764D341B}"/>
    <cellStyle name="RISKdarkBoxed 2 2 3 4" xfId="11705" xr:uid="{0578CCFF-6977-4CCD-983A-671A56257DB9}"/>
    <cellStyle name="RISKdarkBoxed 2 2 3 4 2" xfId="34318" xr:uid="{8475BC5A-7EB8-4241-BC0B-C9966D7786DA}"/>
    <cellStyle name="RISKdarkBoxed 2 2 3 5" xfId="7603" xr:uid="{F1C38C9F-B2F0-4D2C-8B28-A2AB38C3DC21}"/>
    <cellStyle name="RISKdarkBoxed 2 2 3 5 2" xfId="31904" xr:uid="{60050BED-5E7E-4914-8968-3BD7CA2A32BC}"/>
    <cellStyle name="RISKdarkBoxed 2 2 3 6" xfId="14817" xr:uid="{B519A32A-6B07-461C-A534-AF5472BAFB04}"/>
    <cellStyle name="RISKdarkBoxed 2 2 3 6 2" xfId="36692" xr:uid="{C6D49C88-1AC5-43EE-ADC0-4B330C74AED5}"/>
    <cellStyle name="RISKdarkBoxed 2 2 3 7" xfId="14246" xr:uid="{915C771A-939C-43A2-8406-0313188460C6}"/>
    <cellStyle name="RISKdarkBoxed 2 2 3 7 2" xfId="36299" xr:uid="{60E98904-A121-4D17-9848-4BC74F86F054}"/>
    <cellStyle name="RISKdarkBoxed 2 2 3 8" xfId="14609" xr:uid="{B4B4D01E-89B5-49A6-8295-20428A2C1F15}"/>
    <cellStyle name="RISKdarkBoxed 2 2 3 8 2" xfId="36521" xr:uid="{A5D0CC4A-BD54-4AD7-8762-A6A504088695}"/>
    <cellStyle name="RISKdarkBoxed 2 2 3 9" xfId="16452" xr:uid="{EA1A8627-601A-41EE-80FC-EA3C3FC4783A}"/>
    <cellStyle name="RISKdarkBoxed 2 2 3 9 2" xfId="37945" xr:uid="{3D3D1CBC-E4B2-45FB-8737-E9B92BD588C9}"/>
    <cellStyle name="RISKdarkBoxed 2 2 30" xfId="29851" xr:uid="{674E04CA-B0A3-42FB-819B-055AF0D55B29}"/>
    <cellStyle name="RISKdarkBoxed 2 2 30 2" xfId="47158" xr:uid="{06C50187-6A3F-48B7-BAED-E04C096A24B8}"/>
    <cellStyle name="RISKdarkBoxed 2 2 31" xfId="30020" xr:uid="{38601627-4810-4356-9F05-261869D18783}"/>
    <cellStyle name="RISKdarkBoxed 2 2 31 2" xfId="47251" xr:uid="{C379319E-A8A9-42CB-A90B-1B8A94AEC482}"/>
    <cellStyle name="RISKdarkBoxed 2 2 32" xfId="6149" xr:uid="{388B5754-64C7-4F74-890B-95BDFEE7F4A8}"/>
    <cellStyle name="RISKdarkBoxed 2 2 4" xfId="11994" xr:uid="{D7988442-0875-4DB1-8870-DF2AF20FDE0D}"/>
    <cellStyle name="RISKdarkBoxed 2 2 4 2" xfId="34554" xr:uid="{4CC95D15-5E70-4BD8-8085-3CB74E376DB0}"/>
    <cellStyle name="RISKdarkBoxed 2 2 5" xfId="9963" xr:uid="{9FC3B737-EC38-44CC-8E8F-C1C3C5A9F939}"/>
    <cellStyle name="RISKdarkBoxed 2 2 5 2" xfId="33708" xr:uid="{95E24A19-2F1E-48DB-965E-816158386913}"/>
    <cellStyle name="RISKdarkBoxed 2 2 6" xfId="11706" xr:uid="{C1479177-3B1C-4546-8BAF-FDCD2A594CEB}"/>
    <cellStyle name="RISKdarkBoxed 2 2 6 2" xfId="34319" xr:uid="{612B0886-CBC4-4B01-92E5-3603008D6D8D}"/>
    <cellStyle name="RISKdarkBoxed 2 2 7" xfId="7605" xr:uid="{39A490A1-800D-4116-AE36-B8CB8124365F}"/>
    <cellStyle name="RISKdarkBoxed 2 2 7 2" xfId="31905" xr:uid="{D477EBDA-7B2E-4BF3-9E0C-55FBDE32E62F}"/>
    <cellStyle name="RISKdarkBoxed 2 2 8" xfId="14818" xr:uid="{1D548425-AB83-4144-9965-BEE753C7C7EB}"/>
    <cellStyle name="RISKdarkBoxed 2 2 8 2" xfId="36693" xr:uid="{6C4FCAB4-E47A-4118-84F7-C755D7127B1A}"/>
    <cellStyle name="RISKdarkBoxed 2 2 9" xfId="14247" xr:uid="{BCFA19C4-86F5-4554-BA33-83CEBD7D3609}"/>
    <cellStyle name="RISKdarkBoxed 2 2 9 2" xfId="36300" xr:uid="{CA2D1927-FF5E-49EB-BF86-2960008B1498}"/>
    <cellStyle name="RISKdarkBoxed 2 20" xfId="17005" xr:uid="{D293F05D-EDD9-464E-8CD9-A3789BB50813}"/>
    <cellStyle name="RISKdarkBoxed 2 20 2" xfId="38365" xr:uid="{E491CCEF-645B-4CF1-9F79-D479AAFDFBC8}"/>
    <cellStyle name="RISKdarkBoxed 2 21" xfId="24701" xr:uid="{4CABAE7B-ED2E-45B1-8EC3-3238298C3D0A}"/>
    <cellStyle name="RISKdarkBoxed 2 21 2" xfId="43846" xr:uid="{5C91CBF6-5E2F-4CF2-BA25-D08DCAA9C01E}"/>
    <cellStyle name="RISKdarkBoxed 2 22" xfId="19850" xr:uid="{4B384D13-93DB-40CB-B3C9-9FA7F42E626C}"/>
    <cellStyle name="RISKdarkBoxed 2 22 2" xfId="40463" xr:uid="{98773B91-C0A2-48FA-B138-70B75C22F6D6}"/>
    <cellStyle name="RISKdarkBoxed 2 23" xfId="26390" xr:uid="{26053165-75B4-44A8-A404-B3D47A3352C6}"/>
    <cellStyle name="RISKdarkBoxed 2 23 2" xfId="45056" xr:uid="{CDA47AEB-47DC-4195-87D5-D162E40169B4}"/>
    <cellStyle name="RISKdarkBoxed 2 24" xfId="23891" xr:uid="{10DBE72C-5C00-48D5-B3ED-5E1F94FAC8EF}"/>
    <cellStyle name="RISKdarkBoxed 2 24 2" xfId="43270" xr:uid="{FC613901-987A-47E8-AF1C-16578EB806A2}"/>
    <cellStyle name="RISKdarkBoxed 2 25" xfId="23677" xr:uid="{F5C3A16B-17F0-45A1-AC62-E6567DBE96A8}"/>
    <cellStyle name="RISKdarkBoxed 2 25 2" xfId="43099" xr:uid="{D4A4EB71-7196-4B60-B2BD-CCF39661EE42}"/>
    <cellStyle name="RISKdarkBoxed 2 26" xfId="25280" xr:uid="{12B88C54-D43E-46EC-8BF1-E7234C5538FC}"/>
    <cellStyle name="RISKdarkBoxed 2 26 2" xfId="44196" xr:uid="{B84002AD-4ADB-4F35-9281-2D1FC71EBAAF}"/>
    <cellStyle name="RISKdarkBoxed 2 27" xfId="28392" xr:uid="{62A4A351-E9F6-4EBE-BD7D-3469C1807039}"/>
    <cellStyle name="RISKdarkBoxed 2 27 2" xfId="46241" xr:uid="{6E8D5D8C-1818-4750-92D6-44E0A86D1E0E}"/>
    <cellStyle name="RISKdarkBoxed 2 28" xfId="30143" xr:uid="{543FAA65-E3C4-40D5-B82B-AEB80AD4C18C}"/>
    <cellStyle name="RISKdarkBoxed 2 28 2" xfId="47311" xr:uid="{B5E44935-3E88-4A7F-A6AD-A08C20279094}"/>
    <cellStyle name="RISKdarkBoxed 2 29" xfId="29639" xr:uid="{C8A02564-8D8F-46D7-B6B7-4111B936EDA0}"/>
    <cellStyle name="RISKdarkBoxed 2 29 2" xfId="47022" xr:uid="{62E7C433-0452-457E-8E30-170250FBD0E8}"/>
    <cellStyle name="RISKdarkBoxed 2 3" xfId="3560" xr:uid="{B081A271-8D06-4A18-A1BD-1E056A9F880B}"/>
    <cellStyle name="RISKdarkBoxed 2 3 10" xfId="17366" xr:uid="{4EAE1453-ED22-4BC6-B919-A38463D48482}"/>
    <cellStyle name="RISKdarkBoxed 2 3 10 2" xfId="38613" xr:uid="{8E36BA71-8819-4FD1-BEB6-DBFE04393C16}"/>
    <cellStyle name="RISKdarkBoxed 2 3 11" xfId="15788" xr:uid="{FFDB3521-6147-49DD-A8AE-2F653DA88A55}"/>
    <cellStyle name="RISKdarkBoxed 2 3 11 2" xfId="37404" xr:uid="{A135D6AC-87D6-4A28-9A1A-B1B1E7D70D0A}"/>
    <cellStyle name="RISKdarkBoxed 2 3 12" xfId="19060" xr:uid="{E7A55EF9-7D55-4187-A2AA-EED47A0D4979}"/>
    <cellStyle name="RISKdarkBoxed 2 3 12 2" xfId="39892" xr:uid="{ABB454A2-14D6-427B-804C-4F679E300CC8}"/>
    <cellStyle name="RISKdarkBoxed 2 3 13" xfId="16804" xr:uid="{63023885-EBA8-48EE-92FF-EE8225E08805}"/>
    <cellStyle name="RISKdarkBoxed 2 3 13 2" xfId="38237" xr:uid="{BC472656-6E27-424E-92CB-FE49D9D6F75E}"/>
    <cellStyle name="RISKdarkBoxed 2 3 14" xfId="19382" xr:uid="{7D5B60A2-6DE2-4242-928D-434135C962BA}"/>
    <cellStyle name="RISKdarkBoxed 2 3 14 2" xfId="40105" xr:uid="{5C62C28D-22F5-4E72-8063-527DC8638ED2}"/>
    <cellStyle name="RISKdarkBoxed 2 3 15" xfId="20673" xr:uid="{CF524EEB-063A-4A58-B892-1BD1AFA653B3}"/>
    <cellStyle name="RISKdarkBoxed 2 3 15 2" xfId="41033" xr:uid="{47987626-0941-4BA3-8D6A-07A512500524}"/>
    <cellStyle name="RISKdarkBoxed 2 3 16" xfId="19423" xr:uid="{41739140-DADE-4DDA-8527-3D28DFD7E1D9}"/>
    <cellStyle name="RISKdarkBoxed 2 3 16 2" xfId="40144" xr:uid="{D515F6E5-4C4A-4EA8-AC33-BC1535C54667}"/>
    <cellStyle name="RISKdarkBoxed 2 3 17" xfId="20898" xr:uid="{AD30879A-CA0D-4FAC-94EC-7A53FFB9DC1A}"/>
    <cellStyle name="RISKdarkBoxed 2 3 17 2" xfId="41206" xr:uid="{B8A46780-6F3A-4657-A63B-3AE2583BB997}"/>
    <cellStyle name="RISKdarkBoxed 2 3 18" xfId="24699" xr:uid="{920F53C1-846C-42DF-8DA8-A56986098E38}"/>
    <cellStyle name="RISKdarkBoxed 2 3 18 2" xfId="43844" xr:uid="{87046346-9D0C-4FDB-B35A-BCA5964FFBD9}"/>
    <cellStyle name="RISKdarkBoxed 2 3 19" xfId="24094" xr:uid="{EE68712E-E76A-4AF6-8585-7F99C9F200EF}"/>
    <cellStyle name="RISKdarkBoxed 2 3 19 2" xfId="43470" xr:uid="{2CB20AEA-CF2A-4308-A882-655F4C95AB6B}"/>
    <cellStyle name="RISKdarkBoxed 2 3 2" xfId="7587" xr:uid="{137C2B1B-6618-4BC6-AEF2-2CD988AB5A97}"/>
    <cellStyle name="RISKdarkBoxed 2 3 2 2" xfId="31890" xr:uid="{085A0013-56C8-4DCA-BABF-E2A6B1895444}"/>
    <cellStyle name="RISKdarkBoxed 2 3 20" xfId="26393" xr:uid="{B789E761-F0DA-4B65-B320-3F9313043C3C}"/>
    <cellStyle name="RISKdarkBoxed 2 3 20 2" xfId="45059" xr:uid="{C3332A5A-CE86-4578-892A-54A8640F2A5A}"/>
    <cellStyle name="RISKdarkBoxed 2 3 21" xfId="22221" xr:uid="{5A44C8DC-C97D-42C5-9BC0-2880DCB7640F}"/>
    <cellStyle name="RISKdarkBoxed 2 3 21 2" xfId="42100" xr:uid="{62A4666E-AC10-46D5-9AE7-2649ED161AE4}"/>
    <cellStyle name="RISKdarkBoxed 2 3 22" xfId="25465" xr:uid="{8CE4C037-1FD2-477B-99C5-E6919AF74FFD}"/>
    <cellStyle name="RISKdarkBoxed 2 3 22 2" xfId="44349" xr:uid="{3E0A84C5-AC67-4A97-B7B7-6B5DD76A1157}"/>
    <cellStyle name="RISKdarkBoxed 2 3 23" xfId="20423" xr:uid="{BF5C555B-F35C-4F2B-A422-175FF2B47C89}"/>
    <cellStyle name="RISKdarkBoxed 2 3 23 2" xfId="40825" xr:uid="{00583E6C-03EB-4790-B5FF-30FDFD07AEE6}"/>
    <cellStyle name="RISKdarkBoxed 2 3 24" xfId="29552" xr:uid="{51162D03-448D-4FB3-9E3B-C94BF41BA5EC}"/>
    <cellStyle name="RISKdarkBoxed 2 3 24 2" xfId="46952" xr:uid="{A52CF6BD-D459-47D7-9D9E-6ED05C47FE5F}"/>
    <cellStyle name="RISKdarkBoxed 2 3 25" xfId="28481" xr:uid="{454C2FEA-5A5C-4A98-87DB-906FFCA081B4}"/>
    <cellStyle name="RISKdarkBoxed 2 3 25 2" xfId="46292" xr:uid="{4DA91369-5D98-41DC-9244-F1D2656CA4E4}"/>
    <cellStyle name="RISKdarkBoxed 2 3 26" xfId="29949" xr:uid="{8384262E-2619-440A-82FF-14A46D1FB759}"/>
    <cellStyle name="RISKdarkBoxed 2 3 26 2" xfId="47216" xr:uid="{AB0E9915-EC10-4E8F-A385-8EAFCDC1775B}"/>
    <cellStyle name="RISKdarkBoxed 2 3 27" xfId="26956" xr:uid="{33E4E06D-64A5-4EA0-BCFC-C9C6091A4A93}"/>
    <cellStyle name="RISKdarkBoxed 2 3 27 2" xfId="45363" xr:uid="{44ACCAE8-7F4B-4D0E-8988-0FF204972CE5}"/>
    <cellStyle name="RISKdarkBoxed 2 3 28" xfId="26544" xr:uid="{141717E4-74BD-482C-997D-CB0146267C5D}"/>
    <cellStyle name="RISKdarkBoxed 2 3 28 2" xfId="45118" xr:uid="{E2FE5F30-B5EE-4F20-ACB2-43445E300366}"/>
    <cellStyle name="RISKdarkBoxed 2 3 29" xfId="30967" xr:uid="{E62AFF02-3026-4559-98FB-312BCC871CE1}"/>
    <cellStyle name="RISKdarkBoxed 2 3 29 2" xfId="47778" xr:uid="{E32612BB-3473-46B8-9F3E-E6EEB3830BEC}"/>
    <cellStyle name="RISKdarkBoxed 2 3 3" xfId="9966" xr:uid="{FF90D586-EA6D-4311-92F9-285C6634D9F5}"/>
    <cellStyle name="RISKdarkBoxed 2 3 3 2" xfId="33711" xr:uid="{BF26BC8A-78F1-438A-97A8-DD9B08923BDC}"/>
    <cellStyle name="RISKdarkBoxed 2 3 30" xfId="6146" xr:uid="{2452FE34-F3E3-41D5-A478-5E6C2BB154DB}"/>
    <cellStyle name="RISKdarkBoxed 2 3 4" xfId="7277" xr:uid="{552D427D-1FEB-45D9-85BA-51485B887FCA}"/>
    <cellStyle name="RISKdarkBoxed 2 3 4 2" xfId="31641" xr:uid="{A6F4410C-5F66-4758-B04E-3DDFE90E17CC}"/>
    <cellStyle name="RISKdarkBoxed 2 3 5" xfId="12009" xr:uid="{C3096ED6-0340-452C-9E03-E28A71A95312}"/>
    <cellStyle name="RISKdarkBoxed 2 3 5 2" xfId="34567" xr:uid="{3D4FE797-D273-4AE2-983B-6953CFCBF157}"/>
    <cellStyle name="RISKdarkBoxed 2 3 6" xfId="14407" xr:uid="{00849780-1A59-4D93-8671-6F55856688CF}"/>
    <cellStyle name="RISKdarkBoxed 2 3 6 2" xfId="36400" xr:uid="{D1D240E2-FDA3-4FEA-A164-6A7963C35E20}"/>
    <cellStyle name="RISKdarkBoxed 2 3 7" xfId="7029" xr:uid="{DD4778E9-D1B7-40CF-B9B5-52172D9B940C}"/>
    <cellStyle name="RISKdarkBoxed 2 3 7 2" xfId="31396" xr:uid="{EE5CDABE-AF90-49F1-85FB-DA6273DCB8DF}"/>
    <cellStyle name="RISKdarkBoxed 2 3 8" xfId="16752" xr:uid="{D9191BC5-DA89-4A57-B14B-94998945BA60}"/>
    <cellStyle name="RISKdarkBoxed 2 3 8 2" xfId="38223" xr:uid="{BFA4768D-6804-4A54-BDA1-091EBDC00AD7}"/>
    <cellStyle name="RISKdarkBoxed 2 3 9" xfId="15880" xr:uid="{C5C5E90C-C59F-4623-9268-9A3232488253}"/>
    <cellStyle name="RISKdarkBoxed 2 3 9 2" xfId="37471" xr:uid="{E6E07BAC-628F-4CDD-BE22-69250056CD2E}"/>
    <cellStyle name="RISKdarkBoxed 2 30" xfId="26476" xr:uid="{8ED66CF2-3076-4352-BDDD-9B8F1C033B57}"/>
    <cellStyle name="RISKdarkBoxed 2 30 2" xfId="45099" xr:uid="{F0A69430-3E69-4D8C-941D-5D4F057AC769}"/>
    <cellStyle name="RISKdarkBoxed 2 31" xfId="27772" xr:uid="{F2C849DB-7555-442A-BDEC-A5971901ABEA}"/>
    <cellStyle name="RISKdarkBoxed 2 31 2" xfId="45867" xr:uid="{94D9A4BC-4187-4C67-A313-44EEFD2B7A20}"/>
    <cellStyle name="RISKdarkBoxed 2 32" xfId="30661" xr:uid="{94AD7900-CC6A-4862-BF09-2766EF49355F}"/>
    <cellStyle name="RISKdarkBoxed 2 32 2" xfId="47607" xr:uid="{DBBF8A94-3B96-4FAA-A332-3992AC38DB91}"/>
    <cellStyle name="RISKdarkBoxed 2 33" xfId="6150" xr:uid="{4FB1FAAC-D249-4C04-8AB9-047C23868A2F}"/>
    <cellStyle name="RISKdarkBoxed 2 4" xfId="3561" xr:uid="{C877477B-A907-4900-ACC4-039D460A321D}"/>
    <cellStyle name="RISKdarkBoxed 2 4 10" xfId="12688" xr:uid="{21EF8799-08C1-4FF7-8656-EBEE42FC8156}"/>
    <cellStyle name="RISKdarkBoxed 2 4 10 2" xfId="35102" xr:uid="{E09DF753-D689-4D58-91D0-78B5BE70C658}"/>
    <cellStyle name="RISKdarkBoxed 2 4 11" xfId="18208" xr:uid="{245E8BEC-5F43-4D3A-B24D-2E0B04D2A271}"/>
    <cellStyle name="RISKdarkBoxed 2 4 11 2" xfId="39246" xr:uid="{6A5B3231-E0D5-431E-8756-4B0DCFBCBF66}"/>
    <cellStyle name="RISKdarkBoxed 2 4 12" xfId="17131" xr:uid="{7BF2D591-0F93-4019-96B6-31711E338C83}"/>
    <cellStyle name="RISKdarkBoxed 2 4 12 2" xfId="38470" xr:uid="{078CB271-26B3-4546-89E3-6D5A5E2FC5E7}"/>
    <cellStyle name="RISKdarkBoxed 2 4 13" xfId="21046" xr:uid="{B05A1FE4-4A36-4635-927A-66B29833F23B}"/>
    <cellStyle name="RISKdarkBoxed 2 4 13 2" xfId="41294" xr:uid="{4727B57A-48E3-49AE-83B5-3F09A19FFAD8}"/>
    <cellStyle name="RISKdarkBoxed 2 4 14" xfId="21368" xr:uid="{6247C0C6-583C-43B5-BA87-7C103B33935D}"/>
    <cellStyle name="RISKdarkBoxed 2 4 14 2" xfId="41497" xr:uid="{55158AB4-DB46-4608-8256-AAF41267B0F4}"/>
    <cellStyle name="RISKdarkBoxed 2 4 15" xfId="21984" xr:uid="{CCD5A4C0-A817-4896-A0B9-1842DB19B289}"/>
    <cellStyle name="RISKdarkBoxed 2 4 15 2" xfId="41889" xr:uid="{15AB79F6-C968-401E-B1E6-E7C4CB1B27E9}"/>
    <cellStyle name="RISKdarkBoxed 2 4 16" xfId="23350" xr:uid="{BDD6B10C-E626-4939-B70F-412D95C9E544}"/>
    <cellStyle name="RISKdarkBoxed 2 4 16 2" xfId="42906" xr:uid="{1F2E3401-BF85-428F-8C48-32B08E7C1FC4}"/>
    <cellStyle name="RISKdarkBoxed 2 4 17" xfId="21345" xr:uid="{2ADC5B64-8B1C-4094-97E0-9649E75BA73D}"/>
    <cellStyle name="RISKdarkBoxed 2 4 17 2" xfId="41474" xr:uid="{03033803-7A51-4714-8614-0C88F72BE835}"/>
    <cellStyle name="RISKdarkBoxed 2 4 18" xfId="25749" xr:uid="{442422CA-A19E-4335-A842-9F54FF781C35}"/>
    <cellStyle name="RISKdarkBoxed 2 4 18 2" xfId="44586" xr:uid="{A9251FDC-F0DE-4082-8ABE-91F85485F6D5}"/>
    <cellStyle name="RISKdarkBoxed 2 4 19" xfId="24079" xr:uid="{346C9408-3E11-499E-B812-B9A40A38E16F}"/>
    <cellStyle name="RISKdarkBoxed 2 4 19 2" xfId="43455" xr:uid="{18F06941-059D-455E-A52D-9A97BF1ACB68}"/>
    <cellStyle name="RISKdarkBoxed 2 4 2" xfId="11992" xr:uid="{516DCA82-4314-4CD3-A132-9FD0EBA60174}"/>
    <cellStyle name="RISKdarkBoxed 2 4 2 2" xfId="34552" xr:uid="{311CC8D8-7A19-4ADB-8157-3EF366B3A2A3}"/>
    <cellStyle name="RISKdarkBoxed 2 4 20" xfId="26392" xr:uid="{C5CBC4F6-7BAE-465C-AA5E-7B4E4814398E}"/>
    <cellStyle name="RISKdarkBoxed 2 4 20 2" xfId="45058" xr:uid="{93F4D47F-1C16-431A-A83B-7671B4947368}"/>
    <cellStyle name="RISKdarkBoxed 2 4 21" xfId="23889" xr:uid="{284228F4-9DFD-437D-9F8F-7E5AB9741C35}"/>
    <cellStyle name="RISKdarkBoxed 2 4 21 2" xfId="43268" xr:uid="{45D837A0-453C-4C1E-AC00-E3CAD6293EBF}"/>
    <cellStyle name="RISKdarkBoxed 2 4 22" xfId="25542" xr:uid="{473EC1BA-94B1-4C49-A971-94CBE656737A}"/>
    <cellStyle name="RISKdarkBoxed 2 4 22 2" xfId="44416" xr:uid="{6EDC2B86-862B-4B57-B736-2C282492F7A5}"/>
    <cellStyle name="RISKdarkBoxed 2 4 23" xfId="22406" xr:uid="{37C923E6-7CB7-41CF-8E7F-39E634933937}"/>
    <cellStyle name="RISKdarkBoxed 2 4 23 2" xfId="42221" xr:uid="{B7907FE6-73DF-42E3-9E85-635C08D31676}"/>
    <cellStyle name="RISKdarkBoxed 2 4 24" xfId="28390" xr:uid="{F5ECEE6F-73A9-44AD-87C7-D49E19220EA0}"/>
    <cellStyle name="RISKdarkBoxed 2 4 24 2" xfId="46239" xr:uid="{782A968F-7D93-4B31-8597-E113A7354A07}"/>
    <cellStyle name="RISKdarkBoxed 2 4 25" xfId="26808" xr:uid="{19C83357-7563-4DDE-B044-4E0583DA1213}"/>
    <cellStyle name="RISKdarkBoxed 2 4 25 2" xfId="45281" xr:uid="{6DED7D9F-CA27-4232-8726-2B09AA96CDBB}"/>
    <cellStyle name="RISKdarkBoxed 2 4 26" xfId="30342" xr:uid="{14A25738-77D2-4D71-A896-5AB7FE5284E8}"/>
    <cellStyle name="RISKdarkBoxed 2 4 26 2" xfId="47474" xr:uid="{524CBE04-897B-4469-BA2A-B820EEA0DADB}"/>
    <cellStyle name="RISKdarkBoxed 2 4 27" xfId="30462" xr:uid="{F1877EDF-04CF-4348-8F6A-1B8D2152D9CE}"/>
    <cellStyle name="RISKdarkBoxed 2 4 27 2" xfId="47499" xr:uid="{8F0310D5-A90A-4E7A-BD83-ACED3EF53043}"/>
    <cellStyle name="RISKdarkBoxed 2 4 28" xfId="24337" xr:uid="{8C4F7A79-ACA9-4478-B293-EF6BFFBA8B83}"/>
    <cellStyle name="RISKdarkBoxed 2 4 28 2" xfId="43599" xr:uid="{896180FF-A6A8-4CF0-B2D6-0FF0D0431009}"/>
    <cellStyle name="RISKdarkBoxed 2 4 29" xfId="30659" xr:uid="{2EFC9411-B3A1-447C-9D71-5D766D9D121F}"/>
    <cellStyle name="RISKdarkBoxed 2 4 29 2" xfId="47605" xr:uid="{1443A3E9-A1C6-49FB-962F-10DA3E767FD6}"/>
    <cellStyle name="RISKdarkBoxed 2 4 3" xfId="9967" xr:uid="{E1F4A6EF-0A59-4FE1-9E20-FFF7A33941DC}"/>
    <cellStyle name="RISKdarkBoxed 2 4 3 2" xfId="33712" xr:uid="{71404CB5-3CE1-4AC0-8FFB-B350BD92E706}"/>
    <cellStyle name="RISKdarkBoxed 2 4 30" xfId="6145" xr:uid="{22478377-5987-43E6-B4F7-212E9D206738}"/>
    <cellStyle name="RISKdarkBoxed 2 4 4" xfId="11704" xr:uid="{756640F9-A270-4664-8875-5174FF77B966}"/>
    <cellStyle name="RISKdarkBoxed 2 4 4 2" xfId="34317" xr:uid="{7A42F00F-756B-4212-AB24-90EF49E3B227}"/>
    <cellStyle name="RISKdarkBoxed 2 4 5" xfId="7602" xr:uid="{FDD1AB46-F32C-4398-B373-5F1985686563}"/>
    <cellStyle name="RISKdarkBoxed 2 4 5 2" xfId="31903" xr:uid="{2D228B67-5753-4528-A344-C807D72B758E}"/>
    <cellStyle name="RISKdarkBoxed 2 4 6" xfId="15972" xr:uid="{52E3786D-A01E-48CE-9B2A-1CE2DAC8CE9B}"/>
    <cellStyle name="RISKdarkBoxed 2 4 6 2" xfId="37563" xr:uid="{C0CC1DBE-FC18-4277-8BFC-83246286E824}"/>
    <cellStyle name="RISKdarkBoxed 2 4 7" xfId="14245" xr:uid="{6CF386DF-C7C5-4609-BBF8-D12F18370175}"/>
    <cellStyle name="RISKdarkBoxed 2 4 7 2" xfId="36298" xr:uid="{6705B244-BDC8-48B2-B849-0111F2A92865}"/>
    <cellStyle name="RISKdarkBoxed 2 4 8" xfId="12733" xr:uid="{F4D4BC30-B48F-4597-AD83-41DA234F560C}"/>
    <cellStyle name="RISKdarkBoxed 2 4 8 2" xfId="35142" xr:uid="{4F85ACD5-4B68-48BD-9F89-597822B75139}"/>
    <cellStyle name="RISKdarkBoxed 2 4 9" xfId="17621" xr:uid="{9DF73F10-F6F0-4605-8FBC-74C5B463F814}"/>
    <cellStyle name="RISKdarkBoxed 2 4 9 2" xfId="38850" xr:uid="{26EB7C21-BA6A-4142-9957-B207B351896B}"/>
    <cellStyle name="RISKdarkBoxed 2 5" xfId="7589" xr:uid="{7C9F826A-5351-4CDD-987D-E6B7510F2203}"/>
    <cellStyle name="RISKdarkBoxed 2 5 2" xfId="31892" xr:uid="{5D30FF41-6384-46CB-92AE-D3C1CD2C707F}"/>
    <cellStyle name="RISKdarkBoxed 2 6" xfId="9962" xr:uid="{EC25BAB9-93F4-466C-A25C-C2B924DBEB25}"/>
    <cellStyle name="RISKdarkBoxed 2 6 2" xfId="33707" xr:uid="{102FC07B-A42B-4F63-AA9F-CAFC40A9AD51}"/>
    <cellStyle name="RISKdarkBoxed 2 7" xfId="7279" xr:uid="{71A36D99-86FE-4026-9645-465A533E7B25}"/>
    <cellStyle name="RISKdarkBoxed 2 7 2" xfId="31643" xr:uid="{EC8BCFCF-E314-4F0D-B8B0-21ACC1E970A8}"/>
    <cellStyle name="RISKdarkBoxed 2 8" xfId="11964" xr:uid="{DC3324B0-DACC-4C4F-93D6-749F805FDE0A}"/>
    <cellStyle name="RISKdarkBoxed 2 8 2" xfId="34536" xr:uid="{2E0D11D8-1B22-417B-8374-CDFC6AC5DE66}"/>
    <cellStyle name="RISKdarkBoxed 2 9" xfId="12894" xr:uid="{5A250229-E8DB-4094-92F5-28722EC918A9}"/>
    <cellStyle name="RISKdarkBoxed 2 9 2" xfId="35250" xr:uid="{6B1B1CCF-8045-48C6-A02E-0A38E7FB833A}"/>
    <cellStyle name="RISKdarkBoxed 20" xfId="16261" xr:uid="{06E1D4CE-5766-45C5-99F4-771D9E5A91C3}"/>
    <cellStyle name="RISKdarkBoxed 20 2" xfId="37800" xr:uid="{BEBC7582-C695-409F-8508-049D52BD5F63}"/>
    <cellStyle name="RISKdarkBoxed 21" xfId="19063" xr:uid="{9A94147F-68A4-4314-B91A-833EA6FD7F24}"/>
    <cellStyle name="RISKdarkBoxed 21 2" xfId="39895" xr:uid="{F5A374B3-0DE4-4059-8ED4-5A4619EFA372}"/>
    <cellStyle name="RISKdarkBoxed 22" xfId="20770" xr:uid="{ADA0201B-25FD-4575-9356-44EABB4C3FB5}"/>
    <cellStyle name="RISKdarkBoxed 22 2" xfId="41130" xr:uid="{B9A17AF6-1730-427B-BF59-D3E3ADCC7C5A}"/>
    <cellStyle name="RISKdarkBoxed 23" xfId="19598" xr:uid="{9B974650-92C7-46DF-B303-4C06A4CAC1CA}"/>
    <cellStyle name="RISKdarkBoxed 23 2" xfId="40238" xr:uid="{ADA3FFB7-681A-404B-ADC8-0E01B5EA9968}"/>
    <cellStyle name="RISKdarkBoxed 24" xfId="20676" xr:uid="{840CB788-DA0F-41DF-8BE9-F9154FC4E8F7}"/>
    <cellStyle name="RISKdarkBoxed 24 2" xfId="41036" xr:uid="{0EFBC4CF-7CD4-4154-97C5-B8E143F12022}"/>
    <cellStyle name="RISKdarkBoxed 25" xfId="21167" xr:uid="{AAF42A58-B7E7-402B-87E8-667FDA2D5C7C}"/>
    <cellStyle name="RISKdarkBoxed 25 2" xfId="41360" xr:uid="{6B3F6022-FCDE-4B0F-B406-F37535D210B2}"/>
    <cellStyle name="RISKdarkBoxed 26" xfId="19586" xr:uid="{40539E6F-5D12-4AB1-8C62-411A57448E73}"/>
    <cellStyle name="RISKdarkBoxed 26 2" xfId="40226" xr:uid="{FEEEB1B9-0C84-4C61-AFCD-1C64365BC000}"/>
    <cellStyle name="RISKdarkBoxed 27" xfId="24702" xr:uid="{9377A8E9-7D2D-4AB7-8F6C-2DFD5647C28E}"/>
    <cellStyle name="RISKdarkBoxed 27 2" xfId="43847" xr:uid="{67B27B90-242C-46A7-8756-46737AE70B68}"/>
    <cellStyle name="RISKdarkBoxed 28" xfId="19851" xr:uid="{969D0D21-47DB-4392-9130-09A6A426F192}"/>
    <cellStyle name="RISKdarkBoxed 28 2" xfId="40464" xr:uid="{B040137B-1216-4AD9-890D-BCA5458FDCD5}"/>
    <cellStyle name="RISKdarkBoxed 29" xfId="26389" xr:uid="{C790CD39-F988-4A2A-9BBE-59514C3E1493}"/>
    <cellStyle name="RISKdarkBoxed 29 2" xfId="45055" xr:uid="{F3716AFC-1285-4959-81CB-318687FCBB01}"/>
    <cellStyle name="RISKdarkBoxed 3" xfId="3562" xr:uid="{96F4B4B2-0ED8-4674-8558-00CB99672D0E}"/>
    <cellStyle name="RISKdarkBoxed 3 10" xfId="16753" xr:uid="{C8A40D43-725A-484A-AE5E-1B6831BD3A8D}"/>
    <cellStyle name="RISKdarkBoxed 3 10 2" xfId="38224" xr:uid="{F3210D69-0ADF-4319-B8A0-DCD9BD43309E}"/>
    <cellStyle name="RISKdarkBoxed 3 11" xfId="16451" xr:uid="{893333EE-E581-4E7B-86F5-5D68A624CDBC}"/>
    <cellStyle name="RISKdarkBoxed 3 11 2" xfId="37944" xr:uid="{4FBB7447-34DF-4916-9192-853AB45867D5}"/>
    <cellStyle name="RISKdarkBoxed 3 12" xfId="17365" xr:uid="{64BE6862-131F-4582-A3E4-AB46D3E54A8B}"/>
    <cellStyle name="RISKdarkBoxed 3 12 2" xfId="38612" xr:uid="{2DE50596-BD9F-4D73-91DA-762D06FBB6AD}"/>
    <cellStyle name="RISKdarkBoxed 3 13" xfId="13948" xr:uid="{7006A44A-20B0-49C5-8882-8859789C6F4B}"/>
    <cellStyle name="RISKdarkBoxed 3 13 2" xfId="36054" xr:uid="{E0F6D069-151F-469F-99B0-9D2719D6BD18}"/>
    <cellStyle name="RISKdarkBoxed 3 14" xfId="19059" xr:uid="{429E110C-B1BC-4D8D-A3D5-CD0FC0C3A846}"/>
    <cellStyle name="RISKdarkBoxed 3 14 2" xfId="39891" xr:uid="{C018C1D4-87B7-47BA-A4BB-CC397B4CB622}"/>
    <cellStyle name="RISKdarkBoxed 3 15" xfId="17353" xr:uid="{CF3073E6-9C70-499C-A50D-98DC0EC1C01C}"/>
    <cellStyle name="RISKdarkBoxed 3 15 2" xfId="38600" xr:uid="{F88A5171-F873-49D2-8889-BBD31B4BE0DD}"/>
    <cellStyle name="RISKdarkBoxed 3 16" xfId="19596" xr:uid="{BDB292C4-E8F0-4932-8F9F-2F7AD319A6D7}"/>
    <cellStyle name="RISKdarkBoxed 3 16 2" xfId="40236" xr:uid="{E9A50A27-BBA7-4353-B60E-40082C49B1D8}"/>
    <cellStyle name="RISKdarkBoxed 3 17" xfId="18535" xr:uid="{70D203D7-82EB-4037-84A1-BEF1C4CE47AB}"/>
    <cellStyle name="RISKdarkBoxed 3 17 2" xfId="39487" xr:uid="{334CBCF8-B00E-4459-9014-7990E9E4B9C5}"/>
    <cellStyle name="RISKdarkBoxed 3 18" xfId="22131" xr:uid="{F37D45D4-61B6-43D9-8808-C5D9686C8261}"/>
    <cellStyle name="RISKdarkBoxed 3 18 2" xfId="42016" xr:uid="{61C9305D-7399-4FAA-9CAD-BA4A83439166}"/>
    <cellStyle name="RISKdarkBoxed 3 19" xfId="17007" xr:uid="{461D32F6-81BE-4597-84C1-78645B45BE36}"/>
    <cellStyle name="RISKdarkBoxed 3 19 2" xfId="38367" xr:uid="{D5AF21F7-3D4C-4B86-BA91-ADCFCF9C222D}"/>
    <cellStyle name="RISKdarkBoxed 3 2" xfId="3563" xr:uid="{F1A4698C-87B6-4B03-82C4-8F8541A35462}"/>
    <cellStyle name="RISKdarkBoxed 3 2 10" xfId="13745" xr:uid="{2C345678-AF2A-4D6D-B3EE-C3E531786D14}"/>
    <cellStyle name="RISKdarkBoxed 3 2 10 2" xfId="35900" xr:uid="{FE05B652-64F1-4472-BB49-32776EFF0FE4}"/>
    <cellStyle name="RISKdarkBoxed 3 2 11" xfId="18207" xr:uid="{CE3FD772-0640-4A24-842E-D425EB5ACCEB}"/>
    <cellStyle name="RISKdarkBoxed 3 2 11 2" xfId="39245" xr:uid="{417980D1-FD11-46F3-ADBA-98A2E4DD0526}"/>
    <cellStyle name="RISKdarkBoxed 3 2 12" xfId="18524" xr:uid="{68288C58-B5D7-40CC-8A56-EF6CFBD64C64}"/>
    <cellStyle name="RISKdarkBoxed 3 2 12 2" xfId="39476" xr:uid="{FA60C02B-DE86-4D4D-B107-B13F022FFBEE}"/>
    <cellStyle name="RISKdarkBoxed 3 2 13" xfId="13752" xr:uid="{7171C338-4F4B-4096-B60F-037E7D365FEB}"/>
    <cellStyle name="RISKdarkBoxed 3 2 13 2" xfId="35907" xr:uid="{B9FE5A6A-A9E9-4DBA-917D-342A00F9638B}"/>
    <cellStyle name="RISKdarkBoxed 3 2 14" xfId="21367" xr:uid="{5F165D3F-3010-4894-B27F-51FED4C06426}"/>
    <cellStyle name="RISKdarkBoxed 3 2 14 2" xfId="41496" xr:uid="{C1D50124-CCAE-4247-9D25-72147E80913D}"/>
    <cellStyle name="RISKdarkBoxed 3 2 15" xfId="17916" xr:uid="{C02B85A5-F3BA-4F98-A511-E2DC4765B8DC}"/>
    <cellStyle name="RISKdarkBoxed 3 2 15 2" xfId="39021" xr:uid="{D0EE8F35-76D3-45CF-9CC3-91943544D5F3}"/>
    <cellStyle name="RISKdarkBoxed 3 2 16" xfId="23351" xr:uid="{F50E7FAE-B497-4462-B8E1-85CE62E4BF9D}"/>
    <cellStyle name="RISKdarkBoxed 3 2 16 2" xfId="42907" xr:uid="{E8E25419-E5E4-4BBC-A53B-0AA52B332EFD}"/>
    <cellStyle name="RISKdarkBoxed 3 2 17" xfId="19585" xr:uid="{D05731D5-AC14-4B02-8863-B2D8148DE547}"/>
    <cellStyle name="RISKdarkBoxed 3 2 17 2" xfId="40225" xr:uid="{2F735F7D-B4E3-4F5A-95E9-DBB6CFA9F8BB}"/>
    <cellStyle name="RISKdarkBoxed 3 2 18" xfId="24698" xr:uid="{B7B9B92E-E1E5-488D-8BAD-6284CB835587}"/>
    <cellStyle name="RISKdarkBoxed 3 2 18 2" xfId="43843" xr:uid="{89FF556E-D750-417E-B6EA-86AD2D67523A}"/>
    <cellStyle name="RISKdarkBoxed 3 2 19" xfId="21299" xr:uid="{0398A253-B24C-47CC-BF04-B517321E92CB}"/>
    <cellStyle name="RISKdarkBoxed 3 2 19 2" xfId="41466" xr:uid="{B611D0E3-184A-4766-B3AB-C558E1101E33}"/>
    <cellStyle name="RISKdarkBoxed 3 2 2" xfId="11991" xr:uid="{68EC9F95-24CD-4456-9418-CF8690538E84}"/>
    <cellStyle name="RISKdarkBoxed 3 2 2 2" xfId="34551" xr:uid="{0E60A996-2EC5-499C-BAD4-74EEAEBA9613}"/>
    <cellStyle name="RISKdarkBoxed 3 2 20" xfId="23439" xr:uid="{732ADDC6-A50A-4E05-9EC3-E5DE8985CE1C}"/>
    <cellStyle name="RISKdarkBoxed 3 2 20 2" xfId="42945" xr:uid="{B841C5DD-B3D2-470D-9461-54C931384F14}"/>
    <cellStyle name="RISKdarkBoxed 3 2 21" xfId="23888" xr:uid="{CC93E641-0020-4F09-BCBB-061D88F34F2B}"/>
    <cellStyle name="RISKdarkBoxed 3 2 21 2" xfId="43267" xr:uid="{22A75A17-4CEF-467F-AC46-A614F0B18D34}"/>
    <cellStyle name="RISKdarkBoxed 3 2 22" xfId="23594" xr:uid="{093EA537-A7D2-4D76-83A0-A75BB03DCCFF}"/>
    <cellStyle name="RISKdarkBoxed 3 2 22 2" xfId="43029" xr:uid="{3C270E58-17F5-4201-A0EE-1B52D2E0B4F5}"/>
    <cellStyle name="RISKdarkBoxed 3 2 23" xfId="22398" xr:uid="{9D55FB0B-475D-4208-8935-046771116E48}"/>
    <cellStyle name="RISKdarkBoxed 3 2 23 2" xfId="42220" xr:uid="{A0762054-CA8D-48EA-A593-253BDE17AB80}"/>
    <cellStyle name="RISKdarkBoxed 3 2 24" xfId="28389" xr:uid="{DE773524-617B-411D-AF82-CE3ACA6D4011}"/>
    <cellStyle name="RISKdarkBoxed 3 2 24 2" xfId="46238" xr:uid="{AF3F7C8B-E7B8-4299-B982-61DF80EF9BB2}"/>
    <cellStyle name="RISKdarkBoxed 3 2 25" xfId="29310" xr:uid="{B0709C4C-27E9-461E-843B-B453F103EBE5}"/>
    <cellStyle name="RISKdarkBoxed 3 2 25 2" xfId="46800" xr:uid="{47C4D2FB-D0B1-4C6B-978C-CFBDB435E66A}"/>
    <cellStyle name="RISKdarkBoxed 3 2 26" xfId="27521" xr:uid="{1F835283-772E-4EED-B5D3-3BED8B06F88E}"/>
    <cellStyle name="RISKdarkBoxed 3 2 26 2" xfId="45715" xr:uid="{4FE6A264-1778-4AF5-87D4-BBC372CDA20E}"/>
    <cellStyle name="RISKdarkBoxed 3 2 27" xfId="29213" xr:uid="{DF09B1D8-C479-4DB3-9669-9F0F11E76D63}"/>
    <cellStyle name="RISKdarkBoxed 3 2 27 2" xfId="46739" xr:uid="{A9B768FA-831B-4B85-A127-648299A3C600}"/>
    <cellStyle name="RISKdarkBoxed 3 2 28" xfId="29953" xr:uid="{AD17D275-0CB9-46E5-AD98-DEBADBADC6E7}"/>
    <cellStyle name="RISKdarkBoxed 3 2 28 2" xfId="47220" xr:uid="{D0675CA0-5158-4125-91FB-C7043FC9E61C}"/>
    <cellStyle name="RISKdarkBoxed 3 2 29" xfId="29606" xr:uid="{AD3E1809-17E6-4709-BA62-70ACD8DCBB34}"/>
    <cellStyle name="RISKdarkBoxed 3 2 29 2" xfId="46998" xr:uid="{C0F4EE77-6AE8-4786-85CD-96B0280124D8}"/>
    <cellStyle name="RISKdarkBoxed 3 2 3" xfId="9969" xr:uid="{E96EA762-48A4-4138-8763-73D9AECE326B}"/>
    <cellStyle name="RISKdarkBoxed 3 2 3 2" xfId="33714" xr:uid="{F9AE4B59-6845-4251-AF29-340628828329}"/>
    <cellStyle name="RISKdarkBoxed 3 2 30" xfId="6143" xr:uid="{1D6072B8-BBDA-4C14-819B-F8686C4E7825}"/>
    <cellStyle name="RISKdarkBoxed 3 2 4" xfId="11703" xr:uid="{274CF497-678E-4575-911C-16BD1452A35F}"/>
    <cellStyle name="RISKdarkBoxed 3 2 4 2" xfId="34316" xr:uid="{6A5B72E2-63BD-4D08-B821-23CAC66F1361}"/>
    <cellStyle name="RISKdarkBoxed 3 2 5" xfId="7601" xr:uid="{24487445-233E-4709-80DD-D59D476FC34C}"/>
    <cellStyle name="RISKdarkBoxed 3 2 5 2" xfId="31902" xr:uid="{3AFA874B-537A-4EA5-8209-68A462138A50}"/>
    <cellStyle name="RISKdarkBoxed 3 2 6" xfId="12893" xr:uid="{D47845CE-25E2-4966-BB20-770A89C5624D}"/>
    <cellStyle name="RISKdarkBoxed 3 2 6 2" xfId="35249" xr:uid="{36A6BE62-AF95-4CF0-865E-5E6787CB9E61}"/>
    <cellStyle name="RISKdarkBoxed 3 2 7" xfId="14231" xr:uid="{217A5B98-7868-40C5-A860-E8ADA02FB2FD}"/>
    <cellStyle name="RISKdarkBoxed 3 2 7 2" xfId="36284" xr:uid="{3B8982DF-6D91-4C55-8E73-829477D9C23F}"/>
    <cellStyle name="RISKdarkBoxed 3 2 8" xfId="13643" xr:uid="{18D7A72F-3B9A-42B2-AC70-DB0050465E41}"/>
    <cellStyle name="RISKdarkBoxed 3 2 8 2" xfId="35807" xr:uid="{9BD6A15B-8FE5-415A-A0C4-7C40CA004446}"/>
    <cellStyle name="RISKdarkBoxed 3 2 9" xfId="17622" xr:uid="{489A187B-BAAB-4D19-B4FE-46046B8F09F3}"/>
    <cellStyle name="RISKdarkBoxed 3 2 9 2" xfId="38851" xr:uid="{DB71B9E0-6152-40B1-A335-B847BBC0EF22}"/>
    <cellStyle name="RISKdarkBoxed 3 20" xfId="22858" xr:uid="{0F4349E9-070D-46B3-9C63-94E94A1494CE}"/>
    <cellStyle name="RISKdarkBoxed 3 20 2" xfId="42576" xr:uid="{321F7F30-165F-4F45-AB3B-F3C9658D1CCE}"/>
    <cellStyle name="RISKdarkBoxed 3 21" xfId="24093" xr:uid="{1B59DB89-6362-4705-94CC-93CFAB6F8CDD}"/>
    <cellStyle name="RISKdarkBoxed 3 21 2" xfId="43469" xr:uid="{D28FE53D-D052-4D5B-839D-AD16FBFCE6C5}"/>
    <cellStyle name="RISKdarkBoxed 3 22" xfId="22268" xr:uid="{BDB6FC8E-28B9-4BCF-AC47-F967C0367F69}"/>
    <cellStyle name="RISKdarkBoxed 3 22 2" xfId="42133" xr:uid="{9A737485-ACB8-4EEA-8835-90614423B229}"/>
    <cellStyle name="RISKdarkBoxed 3 23" xfId="21009" xr:uid="{17671FC3-4E1C-41E0-AC87-9F20AF7334C8}"/>
    <cellStyle name="RISKdarkBoxed 3 23 2" xfId="41267" xr:uid="{7E387AB2-C192-4300-9970-FD84A721FF7C}"/>
    <cellStyle name="RISKdarkBoxed 3 24" xfId="27452" xr:uid="{AF0AF948-3867-413A-B399-B9BD8DDCA5AA}"/>
    <cellStyle name="RISKdarkBoxed 3 24 2" xfId="45684" xr:uid="{D76C87A2-C896-4860-9682-4A66C4B441C1}"/>
    <cellStyle name="RISKdarkBoxed 3 25" xfId="28694" xr:uid="{33692682-F32B-4416-851B-D750C46692FB}"/>
    <cellStyle name="RISKdarkBoxed 3 25 2" xfId="46427" xr:uid="{86A8912A-DFBF-4961-8704-38CE26E69823}"/>
    <cellStyle name="RISKdarkBoxed 3 26" xfId="27057" xr:uid="{C7A95DBD-BF48-4648-88E4-BEE72AEA3FBD}"/>
    <cellStyle name="RISKdarkBoxed 3 26 2" xfId="45451" xr:uid="{A2C23EAF-92B4-48C0-A97F-B14BD55C3569}"/>
    <cellStyle name="RISKdarkBoxed 3 27" xfId="28480" xr:uid="{283F219E-A9D8-481B-8C0B-C0E316D1D08D}"/>
    <cellStyle name="RISKdarkBoxed 3 27 2" xfId="46291" xr:uid="{4BBBA28A-0206-49F6-BE65-7742E73DAE95}"/>
    <cellStyle name="RISKdarkBoxed 3 28" xfId="30341" xr:uid="{BD06B405-5256-48F0-AFB0-8B4AC9481005}"/>
    <cellStyle name="RISKdarkBoxed 3 28 2" xfId="47473" xr:uid="{1DA137D9-076C-49D2-8721-7FB45B235D1E}"/>
    <cellStyle name="RISKdarkBoxed 3 29" xfId="30461" xr:uid="{D9431A72-412D-4FCE-9551-C150AA160432}"/>
    <cellStyle name="RISKdarkBoxed 3 29 2" xfId="47498" xr:uid="{7E16329A-2530-420A-AED2-5BD866B21095}"/>
    <cellStyle name="RISKdarkBoxed 3 3" xfId="3564" xr:uid="{0A013D36-9A23-4800-BB80-BD401FBFED65}"/>
    <cellStyle name="RISKdarkBoxed 3 3 10" xfId="17364" xr:uid="{882E6F04-DA5D-4809-AD2C-DA45709D941B}"/>
    <cellStyle name="RISKdarkBoxed 3 3 10 2" xfId="38611" xr:uid="{7C360476-B2A7-4D39-8CB1-F42F5E93D62C}"/>
    <cellStyle name="RISKdarkBoxed 3 3 11" xfId="16258" xr:uid="{01A0A92C-3738-49B6-B42F-4BE5E35BDB12}"/>
    <cellStyle name="RISKdarkBoxed 3 3 11 2" xfId="37797" xr:uid="{1FA3A583-E2C1-411A-A018-1C2BAE32DC71}"/>
    <cellStyle name="RISKdarkBoxed 3 3 12" xfId="19058" xr:uid="{98EEF393-496F-4326-92BC-C41200958269}"/>
    <cellStyle name="RISKdarkBoxed 3 3 12 2" xfId="39890" xr:uid="{D58FB577-003D-40B1-9A10-D2726566E527}"/>
    <cellStyle name="RISKdarkBoxed 3 3 13" xfId="17352" xr:uid="{AA7B6ACC-CE8D-4F70-800C-C1DB7315C1D5}"/>
    <cellStyle name="RISKdarkBoxed 3 3 13 2" xfId="38599" xr:uid="{B033E8E9-D56A-4F7F-9BB0-46E9DC9784F7}"/>
    <cellStyle name="RISKdarkBoxed 3 3 14" xfId="16996" xr:uid="{33C868B0-BA7A-42A4-A8B3-58C4F8769733}"/>
    <cellStyle name="RISKdarkBoxed 3 3 14 2" xfId="38356" xr:uid="{614EA7CA-ACCA-4BCF-B0AA-CB9228C4FABC}"/>
    <cellStyle name="RISKdarkBoxed 3 3 15" xfId="20672" xr:uid="{97A4D7A7-D77D-4431-A16C-AEEB5E847D20}"/>
    <cellStyle name="RISKdarkBoxed 3 3 15 2" xfId="41032" xr:uid="{AABD176B-8DCC-40E1-8EF9-EF1134121BB7}"/>
    <cellStyle name="RISKdarkBoxed 3 3 16" xfId="21165" xr:uid="{1C80CA42-1409-4D6A-A709-51EFF4827C51}"/>
    <cellStyle name="RISKdarkBoxed 3 3 16 2" xfId="41358" xr:uid="{E4DAC10C-BE28-4E22-B771-3EE023015B01}"/>
    <cellStyle name="RISKdarkBoxed 3 3 17" xfId="21324" xr:uid="{70D9C62F-71F1-4CA2-9A28-E1CE10BAD828}"/>
    <cellStyle name="RISKdarkBoxed 3 3 17 2" xfId="41472" xr:uid="{F527905E-7AF1-4D8F-BB5B-A64145041EC5}"/>
    <cellStyle name="RISKdarkBoxed 3 3 18" xfId="20383" xr:uid="{CDB9BF28-DA1D-44E7-BD30-6D54BE11E157}"/>
    <cellStyle name="RISKdarkBoxed 3 3 18 2" xfId="40805" xr:uid="{04AEA1CB-83C7-4F01-B67D-B1EEBC930C31}"/>
    <cellStyle name="RISKdarkBoxed 3 3 19" xfId="24081" xr:uid="{FCFD847F-244F-419E-9D92-11D1C6E688DE}"/>
    <cellStyle name="RISKdarkBoxed 3 3 19 2" xfId="43457" xr:uid="{17CFA562-EAD6-4E1D-B765-EF188B29EC1F}"/>
    <cellStyle name="RISKdarkBoxed 3 3 2" xfId="7585" xr:uid="{868C879C-2DBC-4156-BC23-64969A920DCE}"/>
    <cellStyle name="RISKdarkBoxed 3 3 2 2" xfId="31888" xr:uid="{B2C71A00-B236-48D4-AF24-6A63C526B76D}"/>
    <cellStyle name="RISKdarkBoxed 3 3 20" xfId="24493" xr:uid="{A9DC10D8-0F17-41B5-94F0-BF4E83CC4062}"/>
    <cellStyle name="RISKdarkBoxed 3 3 20 2" xfId="43676" xr:uid="{00185721-B1EF-4B45-AE02-89062EBC696D}"/>
    <cellStyle name="RISKdarkBoxed 3 3 21" xfId="23887" xr:uid="{5E295791-CA7C-49BD-B4CB-CEFC78AA3C20}"/>
    <cellStyle name="RISKdarkBoxed 3 3 21 2" xfId="43266" xr:uid="{A9F78965-F973-4404-8E7B-2BA1FDCE17AE}"/>
    <cellStyle name="RISKdarkBoxed 3 3 22" xfId="27453" xr:uid="{170C0668-9301-4340-8123-7D163E84A178}"/>
    <cellStyle name="RISKdarkBoxed 3 3 22 2" xfId="45685" xr:uid="{37C9FE5B-E852-48FF-8814-4D292749D906}"/>
    <cellStyle name="RISKdarkBoxed 3 3 23" xfId="23000" xr:uid="{8B151C31-9295-4152-8F88-63A7061C28CF}"/>
    <cellStyle name="RISKdarkBoxed 3 3 23 2" xfId="42652" xr:uid="{22537AC1-9EA4-4946-9E9A-94A560CDB63F}"/>
    <cellStyle name="RISKdarkBoxed 3 3 24" xfId="21911" xr:uid="{4F160370-3BBD-4BCF-B362-A37C8052CFC8}"/>
    <cellStyle name="RISKdarkBoxed 3 3 24 2" xfId="41832" xr:uid="{77A0E0E8-D618-42C8-9E7C-0DBBC8713745}"/>
    <cellStyle name="RISKdarkBoxed 3 3 25" xfId="27098" xr:uid="{78A3BD3E-5C18-4F69-AEBF-C74A11A6BF01}"/>
    <cellStyle name="RISKdarkBoxed 3 3 25 2" xfId="45475" xr:uid="{9C40864A-628E-438C-B10C-903F6768A1A8}"/>
    <cellStyle name="RISKdarkBoxed 3 3 26" xfId="25838" xr:uid="{3086708B-C4A1-4D49-9ECF-AF9FB6814130}"/>
    <cellStyle name="RISKdarkBoxed 3 3 26 2" xfId="44660" xr:uid="{D126331C-3470-4425-8B70-CB6F99153F91}"/>
    <cellStyle name="RISKdarkBoxed 3 3 27" xfId="28049" xr:uid="{600F47A4-A209-46FB-A672-3971B0908DF1}"/>
    <cellStyle name="RISKdarkBoxed 3 3 27 2" xfId="46044" xr:uid="{C465D3C1-AE6D-481C-91B0-993D9A1AA872}"/>
    <cellStyle name="RISKdarkBoxed 3 3 28" xfId="28060" xr:uid="{4D30633A-4C7F-422D-8647-796AE60E9FDB}"/>
    <cellStyle name="RISKdarkBoxed 3 3 28 2" xfId="46052" xr:uid="{9B504023-5188-4455-A61F-D4B60D9D2F18}"/>
    <cellStyle name="RISKdarkBoxed 3 3 29" xfId="30215" xr:uid="{C5D77664-A92F-466C-A5AE-FC7EBC2D1ADD}"/>
    <cellStyle name="RISKdarkBoxed 3 3 29 2" xfId="47376" xr:uid="{62E1F969-0DC2-4133-9774-C82D7A4CBF85}"/>
    <cellStyle name="RISKdarkBoxed 3 3 3" xfId="9970" xr:uid="{7D072913-4F63-4A4D-8DD8-A2E768EF31A1}"/>
    <cellStyle name="RISKdarkBoxed 3 3 3 2" xfId="33715" xr:uid="{96686886-EB6B-49EE-9C74-E19FA309A2DC}"/>
    <cellStyle name="RISKdarkBoxed 3 3 30" xfId="6142" xr:uid="{DF57E6CA-C252-4E0F-A764-D6FE92396E0F}"/>
    <cellStyle name="RISKdarkBoxed 3 3 4" xfId="7275" xr:uid="{3CD71506-A41E-4098-8CBD-9FC463E4598F}"/>
    <cellStyle name="RISKdarkBoxed 3 3 4 2" xfId="31639" xr:uid="{1E8467CD-F7F4-4C06-8EF0-1D5CD24D6FF8}"/>
    <cellStyle name="RISKdarkBoxed 3 3 5" xfId="12007" xr:uid="{E22901B2-83E7-4828-8FCD-12ABB06AFAED}"/>
    <cellStyle name="RISKdarkBoxed 3 3 5 2" xfId="34565" xr:uid="{3A5CBBEF-A8EB-490F-8CE3-D1CA6E8F0829}"/>
    <cellStyle name="RISKdarkBoxed 3 3 6" xfId="14815" xr:uid="{3DCFDF4D-279B-4AD6-9FA9-036D3294B7A3}"/>
    <cellStyle name="RISKdarkBoxed 3 3 6 2" xfId="36690" xr:uid="{F808D022-81EF-4B5B-88A4-9DADDF4F61FA}"/>
    <cellStyle name="RISKdarkBoxed 3 3 7" xfId="7013" xr:uid="{7B8C5F31-ED1B-47E9-B573-4A50096A34EC}"/>
    <cellStyle name="RISKdarkBoxed 3 3 7 2" xfId="31380" xr:uid="{5C4D0FA7-8B28-4560-AAE5-40F0AAF51A08}"/>
    <cellStyle name="RISKdarkBoxed 3 3 8" xfId="13837" xr:uid="{FD17A30B-D0B4-4BB0-AA00-5F76C2F3E1AA}"/>
    <cellStyle name="RISKdarkBoxed 3 3 8 2" xfId="35962" xr:uid="{DAA5BB0C-430B-451B-8747-6775F7CA8972}"/>
    <cellStyle name="RISKdarkBoxed 3 3 9" xfId="12572" xr:uid="{AA1B3444-BD90-46BA-A4A5-E1F9C4B5A815}"/>
    <cellStyle name="RISKdarkBoxed 3 3 9 2" xfId="35016" xr:uid="{EB956B9B-EB3E-4F86-8ED4-BA75083EB3FC}"/>
    <cellStyle name="RISKdarkBoxed 3 30" xfId="27737" xr:uid="{7632594C-81EC-457C-BE1C-3B49B6FD06FE}"/>
    <cellStyle name="RISKdarkBoxed 3 30 2" xfId="45840" xr:uid="{47E9BBCB-7056-41EF-90B8-91EFB55691FE}"/>
    <cellStyle name="RISKdarkBoxed 3 31" xfId="30968" xr:uid="{3BA57B84-50B3-417B-A726-2F63D10B18CB}"/>
    <cellStyle name="RISKdarkBoxed 3 31 2" xfId="47779" xr:uid="{D30ECADC-86C8-422F-B8E3-78C41EBE38C5}"/>
    <cellStyle name="RISKdarkBoxed 3 32" xfId="6144" xr:uid="{0E531AF7-0B63-4865-A32E-828603775995}"/>
    <cellStyle name="RISKdarkBoxed 3 4" xfId="7586" xr:uid="{788B1495-5840-42E0-820B-76EDCC5F40EF}"/>
    <cellStyle name="RISKdarkBoxed 3 4 2" xfId="31889" xr:uid="{7A5CFC9D-B705-4907-AD6B-3AA08952856E}"/>
    <cellStyle name="RISKdarkBoxed 3 5" xfId="9968" xr:uid="{33E8CBF2-692C-42C3-AC07-6A3BAB5BBA56}"/>
    <cellStyle name="RISKdarkBoxed 3 5 2" xfId="33713" xr:uid="{9D45C424-1343-4B3B-98A4-1115926A3FA2}"/>
    <cellStyle name="RISKdarkBoxed 3 6" xfId="7276" xr:uid="{0B233B28-493F-4FF3-BBB9-D27C1606D7DD}"/>
    <cellStyle name="RISKdarkBoxed 3 6 2" xfId="31640" xr:uid="{841A276E-23F0-4030-AF15-9D13DBF5F68A}"/>
    <cellStyle name="RISKdarkBoxed 3 7" xfId="12008" xr:uid="{A82C65CD-F40D-4761-971D-1F4308F8F494}"/>
    <cellStyle name="RISKdarkBoxed 3 7 2" xfId="34566" xr:uid="{33FF8C48-7018-46B7-808F-5B4C549861F0}"/>
    <cellStyle name="RISKdarkBoxed 3 8" xfId="14816" xr:uid="{E15905AF-2470-4440-B76F-9BB2AF2D7120}"/>
    <cellStyle name="RISKdarkBoxed 3 8 2" xfId="36691" xr:uid="{61D4BBDB-2DCF-4CA2-B35E-0CFB434C1248}"/>
    <cellStyle name="RISKdarkBoxed 3 9" xfId="7028" xr:uid="{72208E51-7671-42A5-BE16-B0D4B44B5C92}"/>
    <cellStyle name="RISKdarkBoxed 3 9 2" xfId="31395" xr:uid="{21D2863A-8E97-427B-95A1-2799C77F0170}"/>
    <cellStyle name="RISKdarkBoxed 30" xfId="16944" xr:uid="{DA762003-29DC-47AD-BAAD-47B3B8FF2C3C}"/>
    <cellStyle name="RISKdarkBoxed 30 2" xfId="38314" xr:uid="{78920793-B22C-49BF-8AF3-070D0A6D4EA9}"/>
    <cellStyle name="RISKdarkBoxed 31" xfId="23592" xr:uid="{ABFFA63B-F501-444D-8A13-04115BD47900}"/>
    <cellStyle name="RISKdarkBoxed 31 2" xfId="43027" xr:uid="{1524D6F7-D68D-4DC5-B000-C070CAC24229}"/>
    <cellStyle name="RISKdarkBoxed 32" xfId="28692" xr:uid="{E032ED7B-2BEB-4091-9EC1-5FE186C65CE1}"/>
    <cellStyle name="RISKdarkBoxed 32 2" xfId="46425" xr:uid="{D47F1D7D-7085-42DA-81F8-9266F03A0739}"/>
    <cellStyle name="RISKdarkBoxed 33" xfId="28393" xr:uid="{6E2C50F4-7A5C-4DBA-903C-CA8065D832CA}"/>
    <cellStyle name="RISKdarkBoxed 33 2" xfId="46242" xr:uid="{3E4829B1-8AEB-4902-BFDC-FF0E3C50DAA9}"/>
    <cellStyle name="RISKdarkBoxed 34" xfId="28483" xr:uid="{CF0C523D-EDF8-4E5F-9451-FD753BEC037C}"/>
    <cellStyle name="RISKdarkBoxed 34 2" xfId="46294" xr:uid="{70179F76-6692-4682-A7B9-C46E0D114D38}"/>
    <cellStyle name="RISKdarkBoxed 35" xfId="28204" xr:uid="{6BDA0773-01ED-4777-9B07-C87C211DCBBE}"/>
    <cellStyle name="RISKdarkBoxed 35 2" xfId="46094" xr:uid="{776D091A-908A-4EE0-B5CE-80F5F3FF2EBD}"/>
    <cellStyle name="RISKdarkBoxed 36" xfId="29014" xr:uid="{E1C62720-FFA5-460A-9636-0E258DF0A272}"/>
    <cellStyle name="RISKdarkBoxed 36 2" xfId="46608" xr:uid="{E235624E-1E84-4960-BD79-64277C319322}"/>
    <cellStyle name="RISKdarkBoxed 37" xfId="29955" xr:uid="{D84D726B-5C8E-4287-963D-F1A34190EC13}"/>
    <cellStyle name="RISKdarkBoxed 37 2" xfId="47222" xr:uid="{FB9199B4-E771-4899-BEF2-D34F4B3D1574}"/>
    <cellStyle name="RISKdarkBoxed 38" xfId="30662" xr:uid="{5BA43263-12A4-4DFE-84FF-9D6DCC3B4363}"/>
    <cellStyle name="RISKdarkBoxed 38 2" xfId="47608" xr:uid="{171D6B5B-C026-4331-964B-882C2119592E}"/>
    <cellStyle name="RISKdarkBoxed 39" xfId="6152" xr:uid="{CECD3BE3-F802-4CCF-B46B-6FE4BDE2ACB3}"/>
    <cellStyle name="RISKdarkBoxed 4" xfId="3565" xr:uid="{326C52F2-31AD-47B7-94F4-ED09224A468B}"/>
    <cellStyle name="RISKdarkBoxed 4 10" xfId="16025" xr:uid="{1CFF4F6A-358C-4C6A-8B7B-B13295CB3A2C}"/>
    <cellStyle name="RISKdarkBoxed 4 10 2" xfId="37608" xr:uid="{2CCB4391-911F-4EEF-9853-EFB4975A309E}"/>
    <cellStyle name="RISKdarkBoxed 4 11" xfId="16450" xr:uid="{22A08991-F086-4A67-8105-3C8F7C530707}"/>
    <cellStyle name="RISKdarkBoxed 4 11 2" xfId="37943" xr:uid="{E1F9C3EC-1692-427F-BEDA-7E5FE7BD3F01}"/>
    <cellStyle name="RISKdarkBoxed 4 12" xfId="15647" xr:uid="{013E289D-E135-4EBE-A48C-4F1CDDFAF4A7}"/>
    <cellStyle name="RISKdarkBoxed 4 12 2" xfId="37305" xr:uid="{52E41211-10C5-46D0-BB4B-EAA1FA161324}"/>
    <cellStyle name="RISKdarkBoxed 4 13" xfId="18206" xr:uid="{D6692F5B-AFF8-4041-B87F-80AE2AC98EA5}"/>
    <cellStyle name="RISKdarkBoxed 4 13 2" xfId="39244" xr:uid="{BE47766D-DC3A-4609-8CD3-B052FEE8EEDE}"/>
    <cellStyle name="RISKdarkBoxed 4 14" xfId="16075" xr:uid="{C5C99047-6C87-4692-9910-7611D56AF1FC}"/>
    <cellStyle name="RISKdarkBoxed 4 14 2" xfId="37646" xr:uid="{B5A073C5-D7B1-4844-8E40-EC7816D04DF5}"/>
    <cellStyle name="RISKdarkBoxed 4 15" xfId="12686" xr:uid="{37F0B8AE-96F5-4BFA-ABA8-565C2B769028}"/>
    <cellStyle name="RISKdarkBoxed 4 15 2" xfId="35100" xr:uid="{1ECD014E-22BD-4A9E-9C6A-B52AC4C9E295}"/>
    <cellStyle name="RISKdarkBoxed 4 16" xfId="21366" xr:uid="{E9FD1D2A-EE6B-454C-921C-AFB360711F91}"/>
    <cellStyle name="RISKdarkBoxed 4 16 2" xfId="41495" xr:uid="{63ED9A4C-F956-4444-A42A-F8E105BB6037}"/>
    <cellStyle name="RISKdarkBoxed 4 17" xfId="18909" xr:uid="{6BAD9118-42DF-4FDB-B802-28789FC375D8}"/>
    <cellStyle name="RISKdarkBoxed 4 17 2" xfId="39742" xr:uid="{2A7AD0F1-619F-4FBB-8FC2-3C2C1F164AD3}"/>
    <cellStyle name="RISKdarkBoxed 4 18" xfId="21745" xr:uid="{66C4265F-01A0-4943-A7FB-754290DE17CF}"/>
    <cellStyle name="RISKdarkBoxed 4 18 2" xfId="41766" xr:uid="{AAA4DDA5-1BCB-4F17-8BC5-AC0090958FE8}"/>
    <cellStyle name="RISKdarkBoxed 4 19" xfId="22548" xr:uid="{427A804E-0488-4131-8540-5069410CE260}"/>
    <cellStyle name="RISKdarkBoxed 4 19 2" xfId="42342" xr:uid="{C1A9C803-626E-4603-B188-931F51A79B9F}"/>
    <cellStyle name="RISKdarkBoxed 4 2" xfId="3566" xr:uid="{85233078-6A53-4C0E-9291-9A81BDC026C3}"/>
    <cellStyle name="RISKdarkBoxed 4 2 10" xfId="17363" xr:uid="{B68E2792-524A-4E77-8113-72FAD8EA0B85}"/>
    <cellStyle name="RISKdarkBoxed 4 2 10 2" xfId="38610" xr:uid="{10FFD752-F738-4BD2-99DA-EF003EF93565}"/>
    <cellStyle name="RISKdarkBoxed 4 2 11" xfId="16250" xr:uid="{8D38EE80-F037-41A0-8323-97B3DCD263C7}"/>
    <cellStyle name="RISKdarkBoxed 4 2 11 2" xfId="37791" xr:uid="{5FDC7EC0-826A-4E40-A6DA-44E402A4E844}"/>
    <cellStyle name="RISKdarkBoxed 4 2 12" xfId="19057" xr:uid="{20830DD2-64A4-426B-8514-78D38C0015BC}"/>
    <cellStyle name="RISKdarkBoxed 4 2 12 2" xfId="39889" xr:uid="{18ECBC9D-D408-4BFB-A8CC-CB5BB8617ED5}"/>
    <cellStyle name="RISKdarkBoxed 4 2 13" xfId="17351" xr:uid="{090BAE3A-8174-4B1F-B822-71704FFBD5FC}"/>
    <cellStyle name="RISKdarkBoxed 4 2 13 2" xfId="38598" xr:uid="{C7D4D1C8-26CA-450D-B789-FE9F4CA389DD}"/>
    <cellStyle name="RISKdarkBoxed 4 2 14" xfId="20897" xr:uid="{14AFF0BD-8CFC-4A5E-BAD0-7B54C322C836}"/>
    <cellStyle name="RISKdarkBoxed 4 2 14 2" xfId="41205" xr:uid="{E5F6C932-931E-4ABF-824D-24A6591B6E03}"/>
    <cellStyle name="RISKdarkBoxed 4 2 15" xfId="20671" xr:uid="{7761C0A8-808D-4AD9-979E-029C45015C6B}"/>
    <cellStyle name="RISKdarkBoxed 4 2 15 2" xfId="41031" xr:uid="{71C41587-1A61-4053-8326-B02D0AA4202E}"/>
    <cellStyle name="RISKdarkBoxed 4 2 16" xfId="20911" xr:uid="{0DA90980-54AD-4C4B-A938-43D985579910}"/>
    <cellStyle name="RISKdarkBoxed 4 2 16 2" xfId="41214" xr:uid="{563DAC82-9959-4F88-8D53-CF869CCD6358}"/>
    <cellStyle name="RISKdarkBoxed 4 2 17" xfId="19575" xr:uid="{C0636569-249D-436C-94F7-43771F4AA2A7}"/>
    <cellStyle name="RISKdarkBoxed 4 2 17 2" xfId="40224" xr:uid="{6BF02145-5563-47B9-92A1-C2B3E56732A5}"/>
    <cellStyle name="RISKdarkBoxed 4 2 18" xfId="22857" xr:uid="{D8F50B5C-EE89-411E-9C80-0F3386F87DCA}"/>
    <cellStyle name="RISKdarkBoxed 4 2 18 2" xfId="42575" xr:uid="{E411FD1D-595F-4D5B-8F11-CC1A1B726129}"/>
    <cellStyle name="RISKdarkBoxed 4 2 19" xfId="19588" xr:uid="{149BE685-6A12-4341-9DF7-084B2AA214DB}"/>
    <cellStyle name="RISKdarkBoxed 4 2 19 2" xfId="40228" xr:uid="{FC4389DB-F35B-478E-8F45-413C0E8C61B1}"/>
    <cellStyle name="RISKdarkBoxed 4 2 2" xfId="7584" xr:uid="{52D2F0C5-FADE-4AC4-A541-0C29712EDC87}"/>
    <cellStyle name="RISKdarkBoxed 4 2 2 2" xfId="31887" xr:uid="{94BEE1FD-147E-4356-948D-12AE097171CD}"/>
    <cellStyle name="RISKdarkBoxed 4 2 20" xfId="25368" xr:uid="{695CCDC5-FC1A-4A3D-88EF-74D9BFC8ABEA}"/>
    <cellStyle name="RISKdarkBoxed 4 2 20 2" xfId="44284" xr:uid="{C92772D7-F422-4D84-BF22-5D928C01E004}"/>
    <cellStyle name="RISKdarkBoxed 4 2 21" xfId="23886" xr:uid="{038E8C51-544F-4113-8479-C25C4C914AEC}"/>
    <cellStyle name="RISKdarkBoxed 4 2 21 2" xfId="43265" xr:uid="{710C29A9-85C4-448E-B144-4F99FF84C725}"/>
    <cellStyle name="RISKdarkBoxed 4 2 22" xfId="26443" xr:uid="{E132C5F0-2DD9-4C7A-8D39-8028A08BBB56}"/>
    <cellStyle name="RISKdarkBoxed 4 2 22 2" xfId="45074" xr:uid="{EB660124-4E04-4F7D-BD9C-EBCB96F91253}"/>
    <cellStyle name="RISKdarkBoxed 4 2 23" xfId="23018" xr:uid="{24FCEAAD-0775-421F-BF79-A606187ED299}"/>
    <cellStyle name="RISKdarkBoxed 4 2 23 2" xfId="42653" xr:uid="{19F0660C-A2BD-469D-A361-01FE4E789E7A}"/>
    <cellStyle name="RISKdarkBoxed 4 2 24" xfId="28388" xr:uid="{616C9910-75C1-49CF-BC1B-E20528A85C29}"/>
    <cellStyle name="RISKdarkBoxed 4 2 24 2" xfId="46237" xr:uid="{A2880156-FDA0-4061-8704-C035C7CD5629}"/>
    <cellStyle name="RISKdarkBoxed 4 2 25" xfId="26078" xr:uid="{92E7C304-28AF-4112-90A8-153021A47284}"/>
    <cellStyle name="RISKdarkBoxed 4 2 25 2" xfId="44835" xr:uid="{AE957753-E409-4781-92C1-DEE4290B02D0}"/>
    <cellStyle name="RISKdarkBoxed 4 2 26" xfId="30340" xr:uid="{1D06F4BC-C235-4202-A8A0-9C46EFC4D28D}"/>
    <cellStyle name="RISKdarkBoxed 4 2 26 2" xfId="47472" xr:uid="{61111C06-341A-4E26-9998-E8C3ACA179A8}"/>
    <cellStyle name="RISKdarkBoxed 4 2 27" xfId="30460" xr:uid="{3A17E065-94EE-4500-9A81-7FADE9079F2B}"/>
    <cellStyle name="RISKdarkBoxed 4 2 27 2" xfId="47497" xr:uid="{DD799FC2-F9F2-4A2D-AF4F-B57826D6B775}"/>
    <cellStyle name="RISKdarkBoxed 4 2 28" xfId="29850" xr:uid="{B5058B48-BE42-4569-AD4B-4E5AD418560D}"/>
    <cellStyle name="RISKdarkBoxed 4 2 28 2" xfId="47157" xr:uid="{FE73143F-0367-4A58-BE3C-8B4B97FCCA87}"/>
    <cellStyle name="RISKdarkBoxed 4 2 29" xfId="30971" xr:uid="{F1955D4A-15E2-4859-B9F1-F35ACC2D1E7C}"/>
    <cellStyle name="RISKdarkBoxed 4 2 29 2" xfId="47782" xr:uid="{5F8C3172-F76E-43B9-8BEC-B2FA1CAD4F27}"/>
    <cellStyle name="RISKdarkBoxed 4 2 3" xfId="9972" xr:uid="{9D0594DE-C20B-4E6B-9982-2669666649CC}"/>
    <cellStyle name="RISKdarkBoxed 4 2 3 2" xfId="33717" xr:uid="{9D09D9C8-64A9-4F77-AF66-2CA1293E4A11}"/>
    <cellStyle name="RISKdarkBoxed 4 2 30" xfId="6140" xr:uid="{89562C09-0B8C-4A36-8091-5DAFD20C71BA}"/>
    <cellStyle name="RISKdarkBoxed 4 2 4" xfId="7273" xr:uid="{B4194F47-15AC-4F14-BCF3-E068AF582DC4}"/>
    <cellStyle name="RISKdarkBoxed 4 2 4 2" xfId="31637" xr:uid="{F5D84441-C7AD-4A96-9BC2-C2700448F943}"/>
    <cellStyle name="RISKdarkBoxed 4 2 5" xfId="12006" xr:uid="{25871C8D-85B2-4C2D-BEDF-920C18DC6A8A}"/>
    <cellStyle name="RISKdarkBoxed 4 2 5 2" xfId="34564" xr:uid="{17D2D311-E910-45D3-865E-13DEDA33CAA4}"/>
    <cellStyle name="RISKdarkBoxed 4 2 6" xfId="14814" xr:uid="{53996C77-96C2-4119-B564-73FD7FCF02BA}"/>
    <cellStyle name="RISKdarkBoxed 4 2 6 2" xfId="36689" xr:uid="{E682E8AD-4539-453D-A68F-653845180428}"/>
    <cellStyle name="RISKdarkBoxed 4 2 7" xfId="14230" xr:uid="{19B5EEE3-93A5-49EC-8D51-34C6587059FA}"/>
    <cellStyle name="RISKdarkBoxed 4 2 7 2" xfId="36283" xr:uid="{DD6DD527-99E5-4CFA-933E-CCDBA72E2EB4}"/>
    <cellStyle name="RISKdarkBoxed 4 2 8" xfId="16756" xr:uid="{B607EC39-A1A6-4E32-A143-A753B85B7E91}"/>
    <cellStyle name="RISKdarkBoxed 4 2 8 2" xfId="38227" xr:uid="{D02390C2-29D4-45DD-B037-EC82D897F846}"/>
    <cellStyle name="RISKdarkBoxed 4 2 9" xfId="15879" xr:uid="{64C817CD-BC57-4531-92E3-22925B2F9040}"/>
    <cellStyle name="RISKdarkBoxed 4 2 9 2" xfId="37470" xr:uid="{C37AB0AE-6BCA-47EB-B976-A2BF306A9ABA}"/>
    <cellStyle name="RISKdarkBoxed 4 20" xfId="24697" xr:uid="{8B9675D1-6AD6-4B22-A15F-2BBDB693BB42}"/>
    <cellStyle name="RISKdarkBoxed 4 20 2" xfId="43842" xr:uid="{3FC45BCB-BB02-48D9-823C-F999A947ADC2}"/>
    <cellStyle name="RISKdarkBoxed 4 21" xfId="21353" xr:uid="{FC41453F-BDCC-4575-91CB-7C091496A399}"/>
    <cellStyle name="RISKdarkBoxed 4 21 2" xfId="41482" xr:uid="{58113E2C-53FD-46F5-B35E-60C85598FA76}"/>
    <cellStyle name="RISKdarkBoxed 4 22" xfId="26391" xr:uid="{30F853EC-5022-46BE-9135-E4385A97A49F}"/>
    <cellStyle name="RISKdarkBoxed 4 22 2" xfId="45057" xr:uid="{95B71A23-F549-4C26-B0A9-C808E0AEB83D}"/>
    <cellStyle name="RISKdarkBoxed 4 23" xfId="19507" xr:uid="{08FFD51C-23CD-481F-ACED-78F437A51E04}"/>
    <cellStyle name="RISKdarkBoxed 4 23 2" xfId="40184" xr:uid="{894658EF-CB64-439A-98FB-07072715A154}"/>
    <cellStyle name="RISKdarkBoxed 4 24" xfId="25034" xr:uid="{2A1BEAB7-CF7B-4B80-8C31-AC5C38ED2F43}"/>
    <cellStyle name="RISKdarkBoxed 4 24 2" xfId="44067" xr:uid="{3D57BC69-3179-41B5-9751-F3C7DBED8600}"/>
    <cellStyle name="RISKdarkBoxed 4 25" xfId="28695" xr:uid="{5D8D0EAA-4724-46AA-8219-AC3BCE26242B}"/>
    <cellStyle name="RISKdarkBoxed 4 25 2" xfId="46428" xr:uid="{3C86A94D-3C71-4A7C-B0B2-FE4621C6A582}"/>
    <cellStyle name="RISKdarkBoxed 4 26" xfId="29554" xr:uid="{661D0751-6C71-4BD7-A724-97C67AA64A7F}"/>
    <cellStyle name="RISKdarkBoxed 4 26 2" xfId="46954" xr:uid="{C0C5C528-5218-45A1-8744-66F3B10F135F}"/>
    <cellStyle name="RISKdarkBoxed 4 27" xfId="28479" xr:uid="{8AF79296-EACB-44D7-9988-09545E31766F}"/>
    <cellStyle name="RISKdarkBoxed 4 27 2" xfId="46290" xr:uid="{B34A3877-7FAC-4903-98FF-41A7E5AA4CF2}"/>
    <cellStyle name="RISKdarkBoxed 4 28" xfId="29848" xr:uid="{83272C84-ADD5-4A75-8CED-B9D7C9A47D82}"/>
    <cellStyle name="RISKdarkBoxed 4 28 2" xfId="47155" xr:uid="{B7A93E2C-6F9A-413E-94C2-36C347E0CEF4}"/>
    <cellStyle name="RISKdarkBoxed 4 29" xfId="29995" xr:uid="{69514D7E-0FAB-4D3A-B716-BF12FC606A4A}"/>
    <cellStyle name="RISKdarkBoxed 4 29 2" xfId="47237" xr:uid="{AB009A5A-36B2-4F0A-9524-166B5D0BE331}"/>
    <cellStyle name="RISKdarkBoxed 4 3" xfId="3567" xr:uid="{0014A8CE-BD82-44CB-AAAF-7E240FF31F9D}"/>
    <cellStyle name="RISKdarkBoxed 4 3 10" xfId="13746" xr:uid="{31BF1042-DD9A-48C2-B3B5-AEB40325F9CE}"/>
    <cellStyle name="RISKdarkBoxed 4 3 10 2" xfId="35901" xr:uid="{AD840A30-5294-49CB-819A-14844B07C24E}"/>
    <cellStyle name="RISKdarkBoxed 4 3 11" xfId="15787" xr:uid="{090FFCFD-2487-4C32-88BD-66E21DB8E0EE}"/>
    <cellStyle name="RISKdarkBoxed 4 3 11 2" xfId="37403" xr:uid="{559E7ECA-0581-4B00-A39B-41AB259A50E9}"/>
    <cellStyle name="RISKdarkBoxed 4 3 12" xfId="17130" xr:uid="{D983BA78-9A1E-43C1-AA74-75F9055FDD6C}"/>
    <cellStyle name="RISKdarkBoxed 4 3 12 2" xfId="38469" xr:uid="{79FD22CC-E368-45FE-A80B-48B5ED539641}"/>
    <cellStyle name="RISKdarkBoxed 4 3 13" xfId="15651" xr:uid="{68671902-2D89-4DB4-97A9-6D30532D1D07}"/>
    <cellStyle name="RISKdarkBoxed 4 3 13 2" xfId="37309" xr:uid="{AE745ACE-E309-443F-8786-2A088600EF84}"/>
    <cellStyle name="RISKdarkBoxed 4 3 14" xfId="21365" xr:uid="{2BEA6E9F-4ADD-4302-AC3E-EA8996F92AA9}"/>
    <cellStyle name="RISKdarkBoxed 4 3 14 2" xfId="41494" xr:uid="{16A6E078-4EE0-44FD-9154-70760F7FB260}"/>
    <cellStyle name="RISKdarkBoxed 4 3 15" xfId="22709" xr:uid="{2B66E369-1120-4A92-9DC8-E54492CB1CBC}"/>
    <cellStyle name="RISKdarkBoxed 4 3 15 2" xfId="42468" xr:uid="{7887E51B-BC78-4347-A1A7-8303372F689C}"/>
    <cellStyle name="RISKdarkBoxed 4 3 16" xfId="23354" xr:uid="{D76F0C24-96CE-4138-9596-B5A6E79CF1D2}"/>
    <cellStyle name="RISKdarkBoxed 4 3 16 2" xfId="42910" xr:uid="{6A49C662-3CC6-4019-A7A9-A361FA858022}"/>
    <cellStyle name="RISKdarkBoxed 4 3 17" xfId="21323" xr:uid="{23D1F1C8-966E-4001-B0B1-99BAE8B638F7}"/>
    <cellStyle name="RISKdarkBoxed 4 3 17 2" xfId="41471" xr:uid="{681A3CA3-1C38-4DEA-91AC-D4512A88C175}"/>
    <cellStyle name="RISKdarkBoxed 4 3 18" xfId="24696" xr:uid="{A4584742-9D15-4E99-AF3F-232D394AF7AA}"/>
    <cellStyle name="RISKdarkBoxed 4 3 18 2" xfId="43841" xr:uid="{E3B69BA7-AE18-4B65-BCF9-95DCD3C01720}"/>
    <cellStyle name="RISKdarkBoxed 4 3 19" xfId="22540" xr:uid="{5208A301-76BE-4915-A258-49E4D3BB3E96}"/>
    <cellStyle name="RISKdarkBoxed 4 3 19 2" xfId="42339" xr:uid="{05AB6541-C044-417F-BB41-608411511DC0}"/>
    <cellStyle name="RISKdarkBoxed 4 3 2" xfId="11989" xr:uid="{AA989051-444C-446A-AF4B-647EA88AEA31}"/>
    <cellStyle name="RISKdarkBoxed 4 3 2 2" xfId="34549" xr:uid="{D691F807-A48F-4C24-8656-7123382513FB}"/>
    <cellStyle name="RISKdarkBoxed 4 3 20" xfId="21971" xr:uid="{B2DD2505-9B50-4660-BBD3-8F6331DC9F26}"/>
    <cellStyle name="RISKdarkBoxed 4 3 20 2" xfId="41878" xr:uid="{5CEB9AF8-54CD-47B8-BE94-55B314EA5A45}"/>
    <cellStyle name="RISKdarkBoxed 4 3 21" xfId="20337" xr:uid="{7A49635E-40B2-4159-8D59-43E5BA8C5570}"/>
    <cellStyle name="RISKdarkBoxed 4 3 21 2" xfId="40770" xr:uid="{E524BBE6-DF12-4EF6-AC44-6E3985029475}"/>
    <cellStyle name="RISKdarkBoxed 4 3 22" xfId="24399" xr:uid="{657AAC79-626A-4C53-85E2-1A041AAC62A5}"/>
    <cellStyle name="RISKdarkBoxed 4 3 22 2" xfId="43640" xr:uid="{4A2C7790-0D0E-4BD7-9744-ECAC347F0202}"/>
    <cellStyle name="RISKdarkBoxed 4 3 23" xfId="22998" xr:uid="{A92680EF-B6E3-4FFD-AE6D-4202D5E11CBD}"/>
    <cellStyle name="RISKdarkBoxed 4 3 23 2" xfId="42651" xr:uid="{2D8009CE-A399-4B2B-A268-F43B5598A9E9}"/>
    <cellStyle name="RISKdarkBoxed 4 3 24" xfId="27056" xr:uid="{6C44200D-2B8A-4E55-8958-CC4CEC5A4D16}"/>
    <cellStyle name="RISKdarkBoxed 4 3 24 2" xfId="45450" xr:uid="{EF732C4C-84EE-48EE-9D0E-CC3EDFFA6611}"/>
    <cellStyle name="RISKdarkBoxed 4 3 25" xfId="28478" xr:uid="{DD962EE6-812B-4FD1-8271-E9831AD21DE6}"/>
    <cellStyle name="RISKdarkBoxed 4 3 25 2" xfId="46289" xr:uid="{1DA8E829-4AC7-4F7C-BAD8-E26713846425}"/>
    <cellStyle name="RISKdarkBoxed 4 3 26" xfId="29948" xr:uid="{F2341E57-3379-417C-8414-57769767CAC3}"/>
    <cellStyle name="RISKdarkBoxed 4 3 26 2" xfId="47215" xr:uid="{6EE64489-5915-4EE4-85B7-F105DEC9DE76}"/>
    <cellStyle name="RISKdarkBoxed 4 3 27" xfId="29015" xr:uid="{9B450631-F35D-44B2-9DEC-F9C6FFC8A648}"/>
    <cellStyle name="RISKdarkBoxed 4 3 27 2" xfId="46609" xr:uid="{9F8EAEC9-F4D2-4C47-8F2F-1B7E3169DA25}"/>
    <cellStyle name="RISKdarkBoxed 4 3 28" xfId="29952" xr:uid="{5B87BAA2-C2EB-4701-83DA-B9F570BB6BFC}"/>
    <cellStyle name="RISKdarkBoxed 4 3 28 2" xfId="47219" xr:uid="{0DF929BC-1610-41D5-891A-79BBCD29FF2B}"/>
    <cellStyle name="RISKdarkBoxed 4 3 29" xfId="30970" xr:uid="{D1D841E2-405A-4166-99E5-7D0338B0E829}"/>
    <cellStyle name="RISKdarkBoxed 4 3 29 2" xfId="47781" xr:uid="{F9742FBF-4755-417C-9B15-1A98BD8B459A}"/>
    <cellStyle name="RISKdarkBoxed 4 3 3" xfId="9973" xr:uid="{F63CDC26-C768-4154-A206-066A75ABEDE4}"/>
    <cellStyle name="RISKdarkBoxed 4 3 3 2" xfId="33718" xr:uid="{8CBF8E79-807C-4332-A881-6C37B9F1F88B}"/>
    <cellStyle name="RISKdarkBoxed 4 3 30" xfId="6139" xr:uid="{BBDAF9BA-4C34-4DB8-930F-915229426649}"/>
    <cellStyle name="RISKdarkBoxed 4 3 4" xfId="11702" xr:uid="{99450C80-3D31-4ACE-872C-7A9D050A97BD}"/>
    <cellStyle name="RISKdarkBoxed 4 3 4 2" xfId="34315" xr:uid="{6E3DEAB0-A0A4-4F6B-A3EB-371C4C19D7A8}"/>
    <cellStyle name="RISKdarkBoxed 4 3 5" xfId="7599" xr:uid="{C077ED45-1AC7-448A-B567-CB1133AA7D6C}"/>
    <cellStyle name="RISKdarkBoxed 4 3 5 2" xfId="31900" xr:uid="{8DDE53EE-3777-4F58-8751-39987C864673}"/>
    <cellStyle name="RISKdarkBoxed 4 3 6" xfId="13627" xr:uid="{683C31C9-F1F8-4C8D-952E-74E549FA622A}"/>
    <cellStyle name="RISKdarkBoxed 4 3 6 2" xfId="35792" xr:uid="{C5C10973-5F5E-439F-BD78-47CC737A1357}"/>
    <cellStyle name="RISKdarkBoxed 4 3 7" xfId="13526" xr:uid="{2D6AC75F-D9AC-4BC2-B8CE-4D388F5AD49A}"/>
    <cellStyle name="RISKdarkBoxed 4 3 7 2" xfId="35769" xr:uid="{9FA9AA40-BC32-4420-925B-AA2F161047B8}"/>
    <cellStyle name="RISKdarkBoxed 4 3 8" xfId="16755" xr:uid="{6A77E3E1-BBBD-4889-BA7F-B980FB2161A3}"/>
    <cellStyle name="RISKdarkBoxed 4 3 8 2" xfId="38226" xr:uid="{07ABB304-8C11-4766-999D-DE2906B6D018}"/>
    <cellStyle name="RISKdarkBoxed 4 3 9" xfId="17625" xr:uid="{3DF71458-A046-4FED-A422-171B7CDBBE86}"/>
    <cellStyle name="RISKdarkBoxed 4 3 9 2" xfId="38854" xr:uid="{779DC1BE-78EF-4BA1-A2E5-6D56A1C265AA}"/>
    <cellStyle name="RISKdarkBoxed 4 30" xfId="27771" xr:uid="{01699EE8-4CBB-4D15-984E-ACFFB7FD5A0B}"/>
    <cellStyle name="RISKdarkBoxed 4 30 2" xfId="45866" xr:uid="{CC424E6C-BB87-4B1C-848F-91A14B26801B}"/>
    <cellStyle name="RISKdarkBoxed 4 31" xfId="30505" xr:uid="{B0773C72-F9DF-498C-A369-69DCC17FC82D}"/>
    <cellStyle name="RISKdarkBoxed 4 31 2" xfId="47508" xr:uid="{9171FF8D-2AC9-4F64-913F-F0C7055FAB1D}"/>
    <cellStyle name="RISKdarkBoxed 4 32" xfId="6141" xr:uid="{CC2C56C8-221D-4062-A32F-DB36279BCAB2}"/>
    <cellStyle name="RISKdarkBoxed 4 4" xfId="11990" xr:uid="{CFE1B936-60CE-44CE-952A-2D45F4CBCACA}"/>
    <cellStyle name="RISKdarkBoxed 4 4 2" xfId="34550" xr:uid="{25A456DA-6DF8-4C88-9173-3F6FB6013BDB}"/>
    <cellStyle name="RISKdarkBoxed 4 5" xfId="9971" xr:uid="{7243B4FB-CCBB-422D-B884-C33DC749923F}"/>
    <cellStyle name="RISKdarkBoxed 4 5 2" xfId="33716" xr:uid="{A594243C-7EFC-4726-BCBB-464C8CDC480C}"/>
    <cellStyle name="RISKdarkBoxed 4 6" xfId="7274" xr:uid="{67738F47-A5AA-4984-B521-16BBD817863E}"/>
    <cellStyle name="RISKdarkBoxed 4 6 2" xfId="31638" xr:uid="{7BA6C567-875D-45B7-862B-67F9CA82ABFA}"/>
    <cellStyle name="RISKdarkBoxed 4 7" xfId="7600" xr:uid="{A4769D2E-5464-4D9A-81F5-F65AF603962E}"/>
    <cellStyle name="RISKdarkBoxed 4 7 2" xfId="31901" xr:uid="{E90AD7C7-720B-41C9-90FA-9F14043686C4}"/>
    <cellStyle name="RISKdarkBoxed 4 8" xfId="10595" xr:uid="{34641FEE-C2A6-4117-957C-DD6F8B5B69FF}"/>
    <cellStyle name="RISKdarkBoxed 4 8 2" xfId="34221" xr:uid="{E53253E9-DC6C-4007-BCB8-8CAD6598B463}"/>
    <cellStyle name="RISKdarkBoxed 4 9" xfId="15430" xr:uid="{6874F91C-682C-4D9A-9464-3A4CF0EBA346}"/>
    <cellStyle name="RISKdarkBoxed 4 9 2" xfId="37116" xr:uid="{2E300EE1-03B0-4C52-B72F-3E21C92CDAFE}"/>
    <cellStyle name="RISKdarkBoxed 5" xfId="3568" xr:uid="{F42FBCA0-71FB-49CC-AEB3-9123139012ED}"/>
    <cellStyle name="RISKdarkBoxed 5 10" xfId="12732" xr:uid="{010D549C-1B1A-40A2-B743-B92F1AFB8C2D}"/>
    <cellStyle name="RISKdarkBoxed 5 10 2" xfId="35141" xr:uid="{E5A67E32-1AFA-455C-931E-280CDF73E3C3}"/>
    <cellStyle name="RISKdarkBoxed 5 11" xfId="17624" xr:uid="{FF034FD0-2C6E-4914-BBA3-4C333D3775B4}"/>
    <cellStyle name="RISKdarkBoxed 5 11 2" xfId="38853" xr:uid="{1A043D8F-929F-4AAF-8745-0A968BDF87EB}"/>
    <cellStyle name="RISKdarkBoxed 5 12" xfId="18463" xr:uid="{D8CA3086-E0C0-4C2F-AEDA-483E94D60780}"/>
    <cellStyle name="RISKdarkBoxed 5 12 2" xfId="39467" xr:uid="{F594794C-1952-4274-B0A3-C726920ABF86}"/>
    <cellStyle name="RISKdarkBoxed 5 13" xfId="18205" xr:uid="{486C0610-B14C-436C-BFC9-4AF7BC909348}"/>
    <cellStyle name="RISKdarkBoxed 5 13 2" xfId="39243" xr:uid="{D0913A04-8EFF-4749-B9F3-5BCAE66B8C59}"/>
    <cellStyle name="RISKdarkBoxed 5 14" xfId="19056" xr:uid="{49854EF7-3D72-4561-B76D-CD34B21E23F4}"/>
    <cellStyle name="RISKdarkBoxed 5 14 2" xfId="39888" xr:uid="{1666C16A-8BEB-450F-B66B-E7E87BCFBD6B}"/>
    <cellStyle name="RISKdarkBoxed 5 15" xfId="17350" xr:uid="{92D1780F-9D37-4C0A-8F3E-4F7972B2B97D}"/>
    <cellStyle name="RISKdarkBoxed 5 15 2" xfId="38597" xr:uid="{C47E1591-80EA-4D42-8B0C-736929ADAE6D}"/>
    <cellStyle name="RISKdarkBoxed 5 16" xfId="22537" xr:uid="{7EB47737-3810-4B4D-997D-6E72673B9F1C}"/>
    <cellStyle name="RISKdarkBoxed 5 16 2" xfId="42336" xr:uid="{8B16D58A-A02C-4AF6-A0AA-E0F3262E60DD}"/>
    <cellStyle name="RISKdarkBoxed 5 17" xfId="20236" xr:uid="{85CAB7CC-87CE-431A-BA92-66DC67E9151C}"/>
    <cellStyle name="RISKdarkBoxed 5 17 2" xfId="40691" xr:uid="{D3CC7B13-6C1D-45DF-BB90-179847D3AD17}"/>
    <cellStyle name="RISKdarkBoxed 5 18" xfId="23353" xr:uid="{15093EE5-5D83-49A6-BEB9-55AF28E1637C}"/>
    <cellStyle name="RISKdarkBoxed 5 18 2" xfId="42909" xr:uid="{D42094D3-A37A-43DF-A048-327D47CBDBF1}"/>
    <cellStyle name="RISKdarkBoxed 5 19" xfId="17026" xr:uid="{0D92A0FF-9B72-4143-9963-3EACA5DA1F15}"/>
    <cellStyle name="RISKdarkBoxed 5 19 2" xfId="38371" xr:uid="{89FC8282-3819-42C0-81F6-0C65C31299AD}"/>
    <cellStyle name="RISKdarkBoxed 5 2" xfId="3569" xr:uid="{6F63E332-D979-468E-A541-9BEB6008EC15}"/>
    <cellStyle name="RISKdarkBoxed 5 2 10" xfId="17362" xr:uid="{21B6C8C3-8734-4F54-814D-4A232D4F7AAA}"/>
    <cellStyle name="RISKdarkBoxed 5 2 10 2" xfId="38609" xr:uid="{D0DBD62D-215D-4A94-B786-0BD3D3D1DC11}"/>
    <cellStyle name="RISKdarkBoxed 5 2 11" xfId="16257" xr:uid="{B57E728B-7681-47D0-9279-DE3EBC78CD5D}"/>
    <cellStyle name="RISKdarkBoxed 5 2 11 2" xfId="37796" xr:uid="{31E672D0-D90A-4035-97C2-91BE1217647B}"/>
    <cellStyle name="RISKdarkBoxed 5 2 12" xfId="13803" xr:uid="{180469F0-63DE-4799-9AC7-47B9BE35FC1C}"/>
    <cellStyle name="RISKdarkBoxed 5 2 12 2" xfId="35931" xr:uid="{1089BC7A-4582-4877-8D7F-D220E07FE437}"/>
    <cellStyle name="RISKdarkBoxed 5 2 13" xfId="13754" xr:uid="{57F555F0-B4DE-47CD-8002-071AD73824BC}"/>
    <cellStyle name="RISKdarkBoxed 5 2 13 2" xfId="35909" xr:uid="{010D14C7-CEAA-4F18-B117-D601E99F2CC3}"/>
    <cellStyle name="RISKdarkBoxed 5 2 14" xfId="19595" xr:uid="{E975F337-B5B2-481B-9FD1-329C373C92D3}"/>
    <cellStyle name="RISKdarkBoxed 5 2 14 2" xfId="40235" xr:uid="{5F3B35FF-3268-49F0-9685-2EC1AEB33F77}"/>
    <cellStyle name="RISKdarkBoxed 5 2 15" xfId="15366" xr:uid="{7AF138BC-0FFB-46F1-A06D-DAB630CFF00F}"/>
    <cellStyle name="RISKdarkBoxed 5 2 15 2" xfId="37066" xr:uid="{E0DA7AAE-6F7C-4CAD-A28C-EBCD2803D41A}"/>
    <cellStyle name="RISKdarkBoxed 5 2 16" xfId="22132" xr:uid="{6F66899A-76B7-41D0-84B5-B3E753371173}"/>
    <cellStyle name="RISKdarkBoxed 5 2 16 2" xfId="42017" xr:uid="{FAF70731-72CE-44DC-8BD3-AAD4FE093344}"/>
    <cellStyle name="RISKdarkBoxed 5 2 17" xfId="21303" xr:uid="{9F65F4FC-8464-4A0A-8F65-6D524AEE0C59}"/>
    <cellStyle name="RISKdarkBoxed 5 2 17 2" xfId="41470" xr:uid="{A49BD901-6705-476C-B633-D272B6463FDB}"/>
    <cellStyle name="RISKdarkBoxed 5 2 18" xfId="24695" xr:uid="{1E0A6DC3-BB40-4B85-8044-DEBEA9C38250}"/>
    <cellStyle name="RISKdarkBoxed 5 2 18 2" xfId="43840" xr:uid="{34F549B7-A229-4FD5-9054-16E14B114AF0}"/>
    <cellStyle name="RISKdarkBoxed 5 2 19" xfId="17003" xr:uid="{5EA280C5-F54A-4F43-A1E9-E7933E8AD4E4}"/>
    <cellStyle name="RISKdarkBoxed 5 2 19 2" xfId="38363" xr:uid="{49BCB32D-267E-47E0-9179-37C205BD0313}"/>
    <cellStyle name="RISKdarkBoxed 5 2 2" xfId="11988" xr:uid="{BC1187CD-4538-40E6-8B86-2DCF1D4B091F}"/>
    <cellStyle name="RISKdarkBoxed 5 2 2 2" xfId="34548" xr:uid="{78B00D05-EB1F-4CA1-A890-9F398374874B}"/>
    <cellStyle name="RISKdarkBoxed 5 2 20" xfId="25369" xr:uid="{E94200DA-1DAE-4E24-A9B8-1E773B09CADD}"/>
    <cellStyle name="RISKdarkBoxed 5 2 20 2" xfId="44285" xr:uid="{397A2A59-9BC2-4315-BFED-E392D27D39E5}"/>
    <cellStyle name="RISKdarkBoxed 5 2 21" xfId="22225" xr:uid="{2E7AE749-20C4-40C6-A522-C1570285E903}"/>
    <cellStyle name="RISKdarkBoxed 5 2 21 2" xfId="42104" xr:uid="{3E6C2D2E-A366-43BC-B8CC-995398D3CD47}"/>
    <cellStyle name="RISKdarkBoxed 5 2 22" xfId="23595" xr:uid="{D22D4634-6D38-46F5-A254-F865632D95CB}"/>
    <cellStyle name="RISKdarkBoxed 5 2 22 2" xfId="43030" xr:uid="{4DA393B7-CE32-46B8-B5E6-F8075C9C76FB}"/>
    <cellStyle name="RISKdarkBoxed 5 2 23" xfId="22976" xr:uid="{E67DF747-AED1-4340-A4E7-848846176CE1}"/>
    <cellStyle name="RISKdarkBoxed 5 2 23 2" xfId="42648" xr:uid="{30D1D2D7-D2E0-4A24-9050-6DE40ECB10A1}"/>
    <cellStyle name="RISKdarkBoxed 5 2 24" xfId="26056" xr:uid="{02BA3625-EAC6-4069-9B95-575AAAE5BBC3}"/>
    <cellStyle name="RISKdarkBoxed 5 2 24 2" xfId="44822" xr:uid="{1ECE1C6E-2C9D-408E-99EC-AD357FABB99E}"/>
    <cellStyle name="RISKdarkBoxed 5 2 25" xfId="28477" xr:uid="{97F4D8E6-0584-44BD-B59F-42AC2C3142FE}"/>
    <cellStyle name="RISKdarkBoxed 5 2 25 2" xfId="46288" xr:uid="{8A4DD7B7-0929-47A7-9075-A9F4A4851436}"/>
    <cellStyle name="RISKdarkBoxed 5 2 26" xfId="25848" xr:uid="{2D0B3EB0-3C31-4151-A0C8-2FB7DE83213D}"/>
    <cellStyle name="RISKdarkBoxed 5 2 26 2" xfId="44667" xr:uid="{B4C44038-F1A0-4408-AF9F-2DD1022C135E}"/>
    <cellStyle name="RISKdarkBoxed 5 2 27" xfId="27637" xr:uid="{888E3CC8-F63A-4B1A-A01C-BDD61DDD3628}"/>
    <cellStyle name="RISKdarkBoxed 5 2 27 2" xfId="45772" xr:uid="{9C15AB7C-C292-4B81-B865-1F08118A1046}"/>
    <cellStyle name="RISKdarkBoxed 5 2 28" xfId="28876" xr:uid="{90DD8C9D-F676-4B0B-A25A-08B707B9EEB2}"/>
    <cellStyle name="RISKdarkBoxed 5 2 28 2" xfId="46491" xr:uid="{DA0C7BA6-3151-41B5-9890-233F280BE022}"/>
    <cellStyle name="RISKdarkBoxed 5 2 29" xfId="26911" xr:uid="{1EECD5A3-45A3-4137-964A-D52F63DD0C0A}"/>
    <cellStyle name="RISKdarkBoxed 5 2 29 2" xfId="45332" xr:uid="{3E4920FF-AB09-4ED2-9D5E-D2F4CD7F1362}"/>
    <cellStyle name="RISKdarkBoxed 5 2 3" xfId="9975" xr:uid="{5FED1134-278C-4FC5-AD16-88837268473D}"/>
    <cellStyle name="RISKdarkBoxed 5 2 3 2" xfId="33720" xr:uid="{4E9A1996-EECF-4EEF-9C38-A19F145551C4}"/>
    <cellStyle name="RISKdarkBoxed 5 2 30" xfId="6137" xr:uid="{A76D268F-D430-4FC5-8B16-E03BEC6F7DC6}"/>
    <cellStyle name="RISKdarkBoxed 5 2 4" xfId="11701" xr:uid="{B61550D3-E40A-4EBF-924A-827FBB171F8A}"/>
    <cellStyle name="RISKdarkBoxed 5 2 4 2" xfId="34314" xr:uid="{2F0A1708-8A40-4D35-966B-80B400B542AB}"/>
    <cellStyle name="RISKdarkBoxed 5 2 5" xfId="7598" xr:uid="{174CB44B-FE77-410B-88E3-FF56F1B13074}"/>
    <cellStyle name="RISKdarkBoxed 5 2 5 2" xfId="31899" xr:uid="{676924CB-AD10-4CB8-937F-3FCE0AEE7713}"/>
    <cellStyle name="RISKdarkBoxed 5 2 6" xfId="10597" xr:uid="{65893417-714F-4E5E-B3B7-F3AF34B9AACF}"/>
    <cellStyle name="RISKdarkBoxed 5 2 6 2" xfId="34223" xr:uid="{588D0BF9-160C-4BB8-93F2-453367917C10}"/>
    <cellStyle name="RISKdarkBoxed 5 2 7" xfId="14229" xr:uid="{61430035-77BC-44EA-8A16-8D517E8A75F5}"/>
    <cellStyle name="RISKdarkBoxed 5 2 7 2" xfId="36282" xr:uid="{B951D7E1-18CA-4E62-BC1C-2B8F4479C052}"/>
    <cellStyle name="RISKdarkBoxed 5 2 8" xfId="14608" xr:uid="{8FD604C9-04B9-4531-B804-E56F154C2C15}"/>
    <cellStyle name="RISKdarkBoxed 5 2 8 2" xfId="36520" xr:uid="{EA304876-5379-4462-A3A7-D1B2DBA9CE21}"/>
    <cellStyle name="RISKdarkBoxed 5 2 9" xfId="16449" xr:uid="{3EF56888-6CFC-4DFF-AC81-8BEBE81B2F59}"/>
    <cellStyle name="RISKdarkBoxed 5 2 9 2" xfId="37942" xr:uid="{149FFD1F-5B3D-4A6F-8A39-81B14D94434B}"/>
    <cellStyle name="RISKdarkBoxed 5 20" xfId="22327" xr:uid="{278F3072-4794-410E-914F-6DF6529B358A}"/>
    <cellStyle name="RISKdarkBoxed 5 20 2" xfId="42182" xr:uid="{AEDBB30C-FC91-4FC2-BD65-426782FF2A39}"/>
    <cellStyle name="RISKdarkBoxed 5 21" xfId="21352" xr:uid="{E094B9E9-4CDC-436A-9EC4-A62286DDD39A}"/>
    <cellStyle name="RISKdarkBoxed 5 21 2" xfId="41481" xr:uid="{DF697E43-8AB4-42A6-AA0B-8F593050D4EC}"/>
    <cellStyle name="RISKdarkBoxed 5 22" xfId="24492" xr:uid="{45A62CE2-AD14-4C62-A2E1-EEC58B781A49}"/>
    <cellStyle name="RISKdarkBoxed 5 22 2" xfId="43675" xr:uid="{1C2F9291-DB33-4DF6-A09F-CFEE1211BE1C}"/>
    <cellStyle name="RISKdarkBoxed 5 23" xfId="23885" xr:uid="{27CA32AC-3C01-4984-A1B4-81C2184E50C4}"/>
    <cellStyle name="RISKdarkBoxed 5 23 2" xfId="43264" xr:uid="{762CAD1A-32EF-4268-B7BA-CF3812C372FC}"/>
    <cellStyle name="RISKdarkBoxed 5 24" xfId="27455" xr:uid="{93769ED4-960C-44EC-B2D0-9447088CC620}"/>
    <cellStyle name="RISKdarkBoxed 5 24 2" xfId="45687" xr:uid="{52CD1AB5-07F7-41B4-95F0-1B68AF619AED}"/>
    <cellStyle name="RISKdarkBoxed 5 25" xfId="27423" xr:uid="{E9BDB310-08ED-47A6-B7A4-AD5EA10AAAA7}"/>
    <cellStyle name="RISKdarkBoxed 5 25 2" xfId="45678" xr:uid="{08E1566E-DE9D-4D13-B846-D9AA5B80416A}"/>
    <cellStyle name="RISKdarkBoxed 5 26" xfId="28387" xr:uid="{9C4FAACE-BEA9-40A6-A927-0EEB781319DB}"/>
    <cellStyle name="RISKdarkBoxed 5 26 2" xfId="46236" xr:uid="{4FC9A0F6-BAB6-4EAD-8B6B-B53E249F811A}"/>
    <cellStyle name="RISKdarkBoxed 5 27" xfId="27097" xr:uid="{F1C82527-6FBD-46A6-ABD8-46796075AFB0}"/>
    <cellStyle name="RISKdarkBoxed 5 27 2" xfId="45474" xr:uid="{ED3E2C10-E9C9-4F78-8B51-130D74A01761}"/>
    <cellStyle name="RISKdarkBoxed 5 28" xfId="27768" xr:uid="{93C4F7D1-0CB3-43EE-994D-2ACFAE85D9B0}"/>
    <cellStyle name="RISKdarkBoxed 5 28 2" xfId="45863" xr:uid="{C7BB395D-113E-4207-BE44-F861295CF9B0}"/>
    <cellStyle name="RISKdarkBoxed 5 29" xfId="28267" xr:uid="{33A8663E-8481-44FD-B93E-73C77F9CD666}"/>
    <cellStyle name="RISKdarkBoxed 5 29 2" xfId="46134" xr:uid="{A7481CE3-1A48-4B25-90A3-ECEBEFD2EFE9}"/>
    <cellStyle name="RISKdarkBoxed 5 3" xfId="3570" xr:uid="{798AD56E-5A44-432E-948A-528C350E9E09}"/>
    <cellStyle name="RISKdarkBoxed 5 3 10" xfId="13881" xr:uid="{3DE1A739-B56C-4D88-8C80-1A86A6EFD7D0}"/>
    <cellStyle name="RISKdarkBoxed 5 3 10 2" xfId="36004" xr:uid="{7996D043-9F1D-4D1A-99DD-D5288E3240EB}"/>
    <cellStyle name="RISKdarkBoxed 5 3 11" xfId="18204" xr:uid="{98754087-F043-4EB7-9ABE-66B830F74BA0}"/>
    <cellStyle name="RISKdarkBoxed 5 3 11 2" xfId="39242" xr:uid="{D533E4F5-4BAB-4AE8-8929-CB5CDB6A06C0}"/>
    <cellStyle name="RISKdarkBoxed 5 3 12" xfId="19055" xr:uid="{0FBC7F54-4338-428E-832E-AAA19B7574E8}"/>
    <cellStyle name="RISKdarkBoxed 5 3 12 2" xfId="39887" xr:uid="{B4D3A677-7804-4EA8-B5CF-06B624C284B9}"/>
    <cellStyle name="RISKdarkBoxed 5 3 13" xfId="17349" xr:uid="{1BA6F006-2994-45B6-803B-E515BA3DCCC3}"/>
    <cellStyle name="RISKdarkBoxed 5 3 13 2" xfId="38596" xr:uid="{A2D539F8-AD88-442D-8619-4D3A668B130F}"/>
    <cellStyle name="RISKdarkBoxed 5 3 14" xfId="21364" xr:uid="{FA14133A-319A-49AB-B15E-42BD8CE78A4E}"/>
    <cellStyle name="RISKdarkBoxed 5 3 14 2" xfId="41493" xr:uid="{EBB35875-7FC4-4D2D-AE6E-CBD0DC506D74}"/>
    <cellStyle name="RISKdarkBoxed 5 3 15" xfId="20670" xr:uid="{64C0FDD1-311D-46C3-AC7B-B7920D2903B5}"/>
    <cellStyle name="RISKdarkBoxed 5 3 15 2" xfId="41030" xr:uid="{E1AB26F3-CF9E-45F5-AA2C-CD43D5A8B022}"/>
    <cellStyle name="RISKdarkBoxed 5 3 16" xfId="21164" xr:uid="{39C51472-E3FB-41DC-B3A1-0AA620CA9177}"/>
    <cellStyle name="RISKdarkBoxed 5 3 16 2" xfId="41357" xr:uid="{26ACF1B4-C3CC-49D5-A3CD-477940D0C0E9}"/>
    <cellStyle name="RISKdarkBoxed 5 3 17" xfId="19565" xr:uid="{DABDEAD8-28DE-4925-BF06-C85DD3059946}"/>
    <cellStyle name="RISKdarkBoxed 5 3 17 2" xfId="40223" xr:uid="{305BB6D7-0AE9-4979-B13A-66C9F92ECEC4}"/>
    <cellStyle name="RISKdarkBoxed 5 3 18" xfId="22856" xr:uid="{2025C39B-E1DE-438E-A0F3-9B14DA04FEFE}"/>
    <cellStyle name="RISKdarkBoxed 5 3 18 2" xfId="42574" xr:uid="{F2FCA77D-E49C-4041-9E39-296ECF13F9C4}"/>
    <cellStyle name="RISKdarkBoxed 5 3 19" xfId="24354" xr:uid="{611FC969-8682-4A9E-8F76-CB5611EE4F6B}"/>
    <cellStyle name="RISKdarkBoxed 5 3 19 2" xfId="43610" xr:uid="{CA975A70-C49F-4C87-A5AB-ECAA17EE5722}"/>
    <cellStyle name="RISKdarkBoxed 5 3 2" xfId="7582" xr:uid="{F42CBC52-DA00-4881-AF0B-82C85859BDF9}"/>
    <cellStyle name="RISKdarkBoxed 5 3 2 2" xfId="31885" xr:uid="{72F3E88E-B856-46B0-8F52-E47B4026D157}"/>
    <cellStyle name="RISKdarkBoxed 5 3 20" xfId="22267" xr:uid="{4A564E16-445F-46E3-A977-607C427104E2}"/>
    <cellStyle name="RISKdarkBoxed 5 3 20 2" xfId="42132" xr:uid="{649E8788-6C29-4823-899A-48FE43873DB5}"/>
    <cellStyle name="RISKdarkBoxed 5 3 21" xfId="22595" xr:uid="{51A16906-5B85-4CFD-BDD7-82F7B480E033}"/>
    <cellStyle name="RISKdarkBoxed 5 3 21 2" xfId="42381" xr:uid="{D77469DC-8ECE-4615-82FD-7F7C1E008B11}"/>
    <cellStyle name="RISKdarkBoxed 5 3 22" xfId="25543" xr:uid="{C39C0156-121B-44F2-A9B2-CBF9153939C1}"/>
    <cellStyle name="RISKdarkBoxed 5 3 22 2" xfId="44417" xr:uid="{D3CD1A22-CED5-4705-A30C-6E158F01E0D0}"/>
    <cellStyle name="RISKdarkBoxed 5 3 23" xfId="24899" xr:uid="{B41F6C5A-469F-4479-93C4-B25CA5E87A6C}"/>
    <cellStyle name="RISKdarkBoxed 5 3 23 2" xfId="43987" xr:uid="{0B042E8C-1BD4-46ED-A939-526A0E67E0DF}"/>
    <cellStyle name="RISKdarkBoxed 5 3 24" xfId="28386" xr:uid="{823B9709-A572-4846-84D8-44939F525DB8}"/>
    <cellStyle name="RISKdarkBoxed 5 3 24 2" xfId="46235" xr:uid="{613B201F-4605-46FA-8F5B-144AE3155C5F}"/>
    <cellStyle name="RISKdarkBoxed 5 3 25" xfId="22627" xr:uid="{002E00C3-595F-4EBD-A4A4-22E24D07AA65}"/>
    <cellStyle name="RISKdarkBoxed 5 3 25 2" xfId="42403" xr:uid="{CA5276C3-8145-4AD5-849E-32ABD9E7DB92}"/>
    <cellStyle name="RISKdarkBoxed 5 3 26" xfId="29947" xr:uid="{B080C8A4-FCA3-4D0F-A95C-F948209434D7}"/>
    <cellStyle name="RISKdarkBoxed 5 3 26 2" xfId="47214" xr:uid="{2C573FAC-B19F-42CB-B5AB-409ABF2197EC}"/>
    <cellStyle name="RISKdarkBoxed 5 3 27" xfId="29214" xr:uid="{7403CD71-7E09-4B87-AC48-530A794133D7}"/>
    <cellStyle name="RISKdarkBoxed 5 3 27 2" xfId="46740" xr:uid="{97001E2B-1D5B-496F-ADFD-DABBB28FC9FC}"/>
    <cellStyle name="RISKdarkBoxed 5 3 28" xfId="25852" xr:uid="{B3C2B8A0-5FCE-4724-91A7-CAAC60AD7952}"/>
    <cellStyle name="RISKdarkBoxed 5 3 28 2" xfId="44670" xr:uid="{E41F7D30-B7B2-4E92-B209-C40CAB7372C2}"/>
    <cellStyle name="RISKdarkBoxed 5 3 29" xfId="30657" xr:uid="{84E9EA17-0870-48F7-835D-675F588698CB}"/>
    <cellStyle name="RISKdarkBoxed 5 3 29 2" xfId="47603" xr:uid="{59FA72AE-BE60-4230-B5E0-BC91D6365808}"/>
    <cellStyle name="RISKdarkBoxed 5 3 3" xfId="9976" xr:uid="{2EC5C2ED-5EC9-462A-9954-566EF949CBEA}"/>
    <cellStyle name="RISKdarkBoxed 5 3 3 2" xfId="33721" xr:uid="{4F1B0909-E901-47CB-90AF-74D691342C09}"/>
    <cellStyle name="RISKdarkBoxed 5 3 30" xfId="6136" xr:uid="{8030A65D-90FF-4E5B-ADF8-1FDAEB7140FB}"/>
    <cellStyle name="RISKdarkBoxed 5 3 4" xfId="7271" xr:uid="{1756144A-93D3-42AF-A032-9697FF9D2F78}"/>
    <cellStyle name="RISKdarkBoxed 5 3 4 2" xfId="31635" xr:uid="{1143569B-087C-4E35-BBC0-48FB328E8798}"/>
    <cellStyle name="RISKdarkBoxed 5 3 5" xfId="12004" xr:uid="{F3823079-EB89-4338-9D6C-10573DD84BDF}"/>
    <cellStyle name="RISKdarkBoxed 5 3 5 2" xfId="34562" xr:uid="{C4ED70B2-5788-44FD-B18D-1568642154D7}"/>
    <cellStyle name="RISKdarkBoxed 5 3 6" xfId="14812" xr:uid="{668080D2-44FB-472F-8E78-FE1F33B82CBF}"/>
    <cellStyle name="RISKdarkBoxed 5 3 6 2" xfId="36687" xr:uid="{9C1BFF30-5E21-487A-BC18-1E9D29C367E5}"/>
    <cellStyle name="RISKdarkBoxed 5 3 7" xfId="7011" xr:uid="{1BD6C605-A683-4EAE-AC38-802929F448A6}"/>
    <cellStyle name="RISKdarkBoxed 5 3 7 2" xfId="31378" xr:uid="{03337F00-FE14-4AD9-819F-4E07A326EB70}"/>
    <cellStyle name="RISKdarkBoxed 5 3 8" xfId="15557" xr:uid="{64A0C157-576B-4324-A4AF-D85D7B725B04}"/>
    <cellStyle name="RISKdarkBoxed 5 3 8 2" xfId="37222" xr:uid="{67AA7691-CF52-4D35-904C-C037DD88F36D}"/>
    <cellStyle name="RISKdarkBoxed 5 3 9" xfId="12818" xr:uid="{5032C518-DCC2-47AD-A65F-F4375C03D96C}"/>
    <cellStyle name="RISKdarkBoxed 5 3 9 2" xfId="35207" xr:uid="{F98FA470-E8B9-497D-9F1D-019C7E7696D0}"/>
    <cellStyle name="RISKdarkBoxed 5 30" xfId="29641" xr:uid="{A18BA1C7-FFD5-4706-A478-0C257060D6E8}"/>
    <cellStyle name="RISKdarkBoxed 5 30 2" xfId="47024" xr:uid="{8CF398F0-67D0-4CCC-8796-94A9959E4402}"/>
    <cellStyle name="RISKdarkBoxed 5 31" xfId="30658" xr:uid="{54C72BBB-D324-439F-95C0-9247DFFD3A69}"/>
    <cellStyle name="RISKdarkBoxed 5 31 2" xfId="47604" xr:uid="{841E07B3-F502-407A-8C74-2C53F3554368}"/>
    <cellStyle name="RISKdarkBoxed 5 32" xfId="6138" xr:uid="{452D81E2-5F20-4C50-B9FB-5294A7B97C7D}"/>
    <cellStyle name="RISKdarkBoxed 5 4" xfId="7583" xr:uid="{62502E79-61A3-4D17-832E-2185241B06EE}"/>
    <cellStyle name="RISKdarkBoxed 5 4 2" xfId="31886" xr:uid="{12BC75DA-0FEA-4CC7-BC20-8D85D7DCF08E}"/>
    <cellStyle name="RISKdarkBoxed 5 5" xfId="9974" xr:uid="{2F331236-EA25-40B7-8BD1-511654336671}"/>
    <cellStyle name="RISKdarkBoxed 5 5 2" xfId="33719" xr:uid="{88FF9F86-B431-4DA9-AE06-99CDBB387380}"/>
    <cellStyle name="RISKdarkBoxed 5 6" xfId="7272" xr:uid="{5D1ECE6B-78CD-49D0-A7F4-D26370CEA53C}"/>
    <cellStyle name="RISKdarkBoxed 5 6 2" xfId="31636" xr:uid="{E81EB8AF-45EF-4C69-89C6-3281B48A354B}"/>
    <cellStyle name="RISKdarkBoxed 5 7" xfId="12005" xr:uid="{E11DB4FE-3F15-4273-B1AD-092F7E2F5F80}"/>
    <cellStyle name="RISKdarkBoxed 5 7 2" xfId="34563" xr:uid="{346924DA-4B75-4A73-A437-9B3BDF5E4731}"/>
    <cellStyle name="RISKdarkBoxed 5 8" xfId="14813" xr:uid="{92723609-B089-4255-815A-52DEAE5CF04A}"/>
    <cellStyle name="RISKdarkBoxed 5 8 2" xfId="36688" xr:uid="{49E8C48D-27F8-4809-A294-30BDB21C6E10}"/>
    <cellStyle name="RISKdarkBoxed 5 9" xfId="7012" xr:uid="{7D848E1C-4800-42DB-9B22-98EE205AEE5D}"/>
    <cellStyle name="RISKdarkBoxed 5 9 2" xfId="31379" xr:uid="{F0917E2B-5EC3-48F1-B788-38DF23FCBE80}"/>
    <cellStyle name="RISKdarkBoxed 6" xfId="3571" xr:uid="{7C2115ED-CA1B-44B4-B377-CDE326B60A08}"/>
    <cellStyle name="RISKdarkBoxed 6 10" xfId="16754" xr:uid="{FC7203BF-B1EC-45C3-85E8-56395D47F87F}"/>
    <cellStyle name="RISKdarkBoxed 6 10 2" xfId="38225" xr:uid="{7926A461-ACCC-4596-81B5-E94E5441987B}"/>
    <cellStyle name="RISKdarkBoxed 6 11" xfId="16448" xr:uid="{FEED38B5-E5FC-483F-9AB2-A7819C6E4BC8}"/>
    <cellStyle name="RISKdarkBoxed 6 11 2" xfId="37941" xr:uid="{F9E0AB77-EB53-4ECC-A49D-D253BEC8B595}"/>
    <cellStyle name="RISKdarkBoxed 6 12" xfId="17361" xr:uid="{D62D7CF2-2ED7-44F0-A14B-1D8F2434D8C7}"/>
    <cellStyle name="RISKdarkBoxed 6 12 2" xfId="38608" xr:uid="{75FBB5E8-A11C-4109-8AC6-C64B767CA508}"/>
    <cellStyle name="RISKdarkBoxed 6 13" xfId="12621" xr:uid="{92C7B2D5-75CD-41D5-9ED8-E3825C23B3C8}"/>
    <cellStyle name="RISKdarkBoxed 6 13 2" xfId="35053" xr:uid="{40BFCE90-4D7B-44DF-83BA-2E3196698BF9}"/>
    <cellStyle name="RISKdarkBoxed 6 14" xfId="17129" xr:uid="{3F187977-A2C6-418F-A750-0783D1956A0C}"/>
    <cellStyle name="RISKdarkBoxed 6 14 2" xfId="38468" xr:uid="{4DA36105-F455-4D88-9ADF-0C6A96CA51F1}"/>
    <cellStyle name="RISKdarkBoxed 6 15" xfId="13883" xr:uid="{05ACB0D7-CFB9-4CA5-B641-AE1B5BF21E2A}"/>
    <cellStyle name="RISKdarkBoxed 6 15 2" xfId="36006" xr:uid="{5BDC4CBA-2321-4BC7-9EEB-8C1E181EA07F}"/>
    <cellStyle name="RISKdarkBoxed 6 16" xfId="16997" xr:uid="{DD124808-E7CB-441C-8267-4DBFD1BDF4A6}"/>
    <cellStyle name="RISKdarkBoxed 6 16 2" xfId="38357" xr:uid="{30E6B235-AA7A-4EF8-8480-E34461F7B2FF}"/>
    <cellStyle name="RISKdarkBoxed 6 17" xfId="18908" xr:uid="{2126715F-C73A-4540-A461-7FD7ADBC010C}"/>
    <cellStyle name="RISKdarkBoxed 6 17 2" xfId="39741" xr:uid="{D0E23EEF-33CE-4CAF-A212-95884FF56D4F}"/>
    <cellStyle name="RISKdarkBoxed 6 18" xfId="20141" xr:uid="{37AB82F7-5762-4319-B5B5-FD095DBE8557}"/>
    <cellStyle name="RISKdarkBoxed 6 18 2" xfId="40648" xr:uid="{493C547B-878A-4D5F-BCB1-807677006CA6}"/>
    <cellStyle name="RISKdarkBoxed 6 19" xfId="21302" xr:uid="{A55CDF07-0F8C-4E7D-B4F1-F4DC69A53BD9}"/>
    <cellStyle name="RISKdarkBoxed 6 19 2" xfId="41469" xr:uid="{DF09B6D1-04BA-4280-9A58-133CA655B045}"/>
    <cellStyle name="RISKdarkBoxed 6 2" xfId="3572" xr:uid="{BE73BE11-B9F7-4846-8725-2F5E4BA593E5}"/>
    <cellStyle name="RISKdarkBoxed 6 2 10" xfId="13747" xr:uid="{74CDA51A-6CCA-4654-8F5A-CA3523941F1C}"/>
    <cellStyle name="RISKdarkBoxed 6 2 10 2" xfId="35902" xr:uid="{F952C173-A213-436D-8F2F-FB6A523B81FB}"/>
    <cellStyle name="RISKdarkBoxed 6 2 11" xfId="18203" xr:uid="{71D2A328-F81A-4BB4-B828-F7589CD30A19}"/>
    <cellStyle name="RISKdarkBoxed 6 2 11 2" xfId="39241" xr:uid="{590974E5-ABAA-405E-A254-59EA3A84119A}"/>
    <cellStyle name="RISKdarkBoxed 6 2 12" xfId="19054" xr:uid="{90D1B9A1-68B7-4533-BCBA-9410164540DA}"/>
    <cellStyle name="RISKdarkBoxed 6 2 12 2" xfId="39886" xr:uid="{D72F1D68-4853-4DB4-9BE4-0B735EE60C17}"/>
    <cellStyle name="RISKdarkBoxed 6 2 13" xfId="17348" xr:uid="{33EF5B0F-7EE0-4AAC-9AE0-393F7855FEFA}"/>
    <cellStyle name="RISKdarkBoxed 6 2 13 2" xfId="38595" xr:uid="{F520D6D6-BD93-4F79-8AD6-7CC1A065D1FD}"/>
    <cellStyle name="RISKdarkBoxed 6 2 14" xfId="21363" xr:uid="{6BC05F24-B585-45D1-BD4C-1ADF196E63E1}"/>
    <cellStyle name="RISKdarkBoxed 6 2 14 2" xfId="41492" xr:uid="{C21EE295-14F3-4DDE-919A-E3A4C1526F8B}"/>
    <cellStyle name="RISKdarkBoxed 6 2 15" xfId="21983" xr:uid="{D2A72254-B424-44C7-BEFE-BDCD464647B9}"/>
    <cellStyle name="RISKdarkBoxed 6 2 15 2" xfId="41888" xr:uid="{3C88B7A4-1F0B-4E4D-83D6-F60CD3275702}"/>
    <cellStyle name="RISKdarkBoxed 6 2 16" xfId="23352" xr:uid="{1284151B-6273-497C-8C05-A4FC7328F40F}"/>
    <cellStyle name="RISKdarkBoxed 6 2 16 2" xfId="42908" xr:uid="{34B20423-5377-4999-86C8-592EDC0ED1C8}"/>
    <cellStyle name="RISKdarkBoxed 6 2 17" xfId="19564" xr:uid="{A315B4BA-8F63-4EC1-AE79-998A8806A6AB}"/>
    <cellStyle name="RISKdarkBoxed 6 2 17 2" xfId="40222" xr:uid="{12C6BE39-6A18-4845-8378-094434A300ED}"/>
    <cellStyle name="RISKdarkBoxed 6 2 18" xfId="24694" xr:uid="{47989544-C100-4251-A49C-5F2E8A31E220}"/>
    <cellStyle name="RISKdarkBoxed 6 2 18 2" xfId="43839" xr:uid="{351B21C6-F981-43A1-BE83-7704B6EFF638}"/>
    <cellStyle name="RISKdarkBoxed 6 2 19" xfId="19587" xr:uid="{237D03A0-03EA-4652-A44E-A5C3E4A4347E}"/>
    <cellStyle name="RISKdarkBoxed 6 2 19 2" xfId="40227" xr:uid="{043C9E78-A448-4581-A311-95C2DD28BD48}"/>
    <cellStyle name="RISKdarkBoxed 6 2 2" xfId="7581" xr:uid="{D126C50B-7D9D-4A57-829F-F929D34301D0}"/>
    <cellStyle name="RISKdarkBoxed 6 2 2 2" xfId="31884" xr:uid="{48D9E3A8-F27F-4B04-8938-6EFAC20431B6}"/>
    <cellStyle name="RISKdarkBoxed 6 2 20" xfId="24466" xr:uid="{0D23F0CC-0215-4B0D-BE6F-ABAE2848CCDC}"/>
    <cellStyle name="RISKdarkBoxed 6 2 20 2" xfId="43669" xr:uid="{2FE446F9-B847-420D-8496-2167B0D13084}"/>
    <cellStyle name="RISKdarkBoxed 6 2 21" xfId="16163" xr:uid="{BA2887F0-13FA-478B-A0F6-71426A47A6F9}"/>
    <cellStyle name="RISKdarkBoxed 6 2 21 2" xfId="37725" xr:uid="{F0447E0F-54AE-429D-BC98-A8123830979A}"/>
    <cellStyle name="RISKdarkBoxed 6 2 22" xfId="27454" xr:uid="{20843E12-1822-4708-8E37-74A6E1414FBA}"/>
    <cellStyle name="RISKdarkBoxed 6 2 22 2" xfId="45686" xr:uid="{3BEE80FC-3CFA-4FDA-B6B2-8039CD7B3DD4}"/>
    <cellStyle name="RISKdarkBoxed 6 2 23" xfId="20408" xr:uid="{F0680042-1E14-4B86-A93E-5BEF63559D9A}"/>
    <cellStyle name="RISKdarkBoxed 6 2 23 2" xfId="40823" xr:uid="{D4A3FC9E-9194-47C6-BA31-C917699DFF62}"/>
    <cellStyle name="RISKdarkBoxed 6 2 24" xfId="28385" xr:uid="{7C7298CB-1F22-4FF7-83BA-B0B484B877A3}"/>
    <cellStyle name="RISKdarkBoxed 6 2 24 2" xfId="46234" xr:uid="{514ECEE3-C346-4176-BBCC-672161FE92EB}"/>
    <cellStyle name="RISKdarkBoxed 6 2 25" xfId="27096" xr:uid="{94E33D6E-85AB-42A5-B0AA-022D19D7CF33}"/>
    <cellStyle name="RISKdarkBoxed 6 2 25 2" xfId="45473" xr:uid="{4D1D797A-C7B5-4738-BEAD-B330951A9B31}"/>
    <cellStyle name="RISKdarkBoxed 6 2 26" xfId="23413" xr:uid="{14A4DF3F-226A-4541-840D-6A352CEC325D}"/>
    <cellStyle name="RISKdarkBoxed 6 2 26 2" xfId="42930" xr:uid="{A5F0B9E4-4F2A-4BC6-8BA8-666226E830D1}"/>
    <cellStyle name="RISKdarkBoxed 6 2 27" xfId="26828" xr:uid="{34873DF3-5985-41BD-9489-D8758D9789F4}"/>
    <cellStyle name="RISKdarkBoxed 6 2 27 2" xfId="45299" xr:uid="{57DE2FA7-EC79-4504-8EA5-B51A646DF649}"/>
    <cellStyle name="RISKdarkBoxed 6 2 28" xfId="29050" xr:uid="{B60C0F52-9EFF-4133-B20C-296FAE24436C}"/>
    <cellStyle name="RISKdarkBoxed 6 2 28 2" xfId="46634" xr:uid="{F5AE06D4-069C-405E-9908-AB78447286A4}"/>
    <cellStyle name="RISKdarkBoxed 6 2 29" xfId="30214" xr:uid="{1A8D7510-3EE9-47F2-88CC-D13ECB3EC777}"/>
    <cellStyle name="RISKdarkBoxed 6 2 29 2" xfId="47375" xr:uid="{EAB5BC92-2103-4F91-8D95-0C03DC8DA374}"/>
    <cellStyle name="RISKdarkBoxed 6 2 3" xfId="9978" xr:uid="{C24506CC-A087-4410-A2DD-125E9A37E5E4}"/>
    <cellStyle name="RISKdarkBoxed 6 2 3 2" xfId="33723" xr:uid="{A5A9B587-CDD1-40D8-B57A-144E45AEBBBF}"/>
    <cellStyle name="RISKdarkBoxed 6 2 30" xfId="6134" xr:uid="{85AE03BF-9401-4D32-B9BB-36D6A8F1288A}"/>
    <cellStyle name="RISKdarkBoxed 6 2 4" xfId="7270" xr:uid="{D641F18E-FC8D-4CF0-9454-1229E853A48C}"/>
    <cellStyle name="RISKdarkBoxed 6 2 4 2" xfId="31634" xr:uid="{D60ADD91-D203-4395-BDF6-D548ECF77B35}"/>
    <cellStyle name="RISKdarkBoxed 6 2 5" xfId="12003" xr:uid="{B8E2A3FA-4509-4017-A94D-2078A6BF71D9}"/>
    <cellStyle name="RISKdarkBoxed 6 2 5 2" xfId="34561" xr:uid="{200CBBE7-0270-468B-9136-74AFFA462A4B}"/>
    <cellStyle name="RISKdarkBoxed 6 2 6" xfId="10598" xr:uid="{981ACD2B-E36F-4806-B70C-663288D80AE5}"/>
    <cellStyle name="RISKdarkBoxed 6 2 6 2" xfId="34224" xr:uid="{3AAF5201-8FA7-4AA5-A999-2E8850E75B32}"/>
    <cellStyle name="RISKdarkBoxed 6 2 7" xfId="12800" xr:uid="{D8E7F3D6-DF73-46BF-8405-B7B904D0C890}"/>
    <cellStyle name="RISKdarkBoxed 6 2 7 2" xfId="35199" xr:uid="{AD560583-E67D-48CB-AEED-32ABD205F849}"/>
    <cellStyle name="RISKdarkBoxed 6 2 8" xfId="13644" xr:uid="{580D9FF6-147A-43AD-B6A3-AA2293D76D1B}"/>
    <cellStyle name="RISKdarkBoxed 6 2 8 2" xfId="35808" xr:uid="{F8CF3CD3-C7A7-4434-A07F-FE30E117F9B2}"/>
    <cellStyle name="RISKdarkBoxed 6 2 9" xfId="17623" xr:uid="{D7797349-02C8-49E6-9178-BC82AB3C2511}"/>
    <cellStyle name="RISKdarkBoxed 6 2 9 2" xfId="38852" xr:uid="{E99F59CA-54BD-4099-9BE2-44B709A38A89}"/>
    <cellStyle name="RISKdarkBoxed 6 20" xfId="25750" xr:uid="{56710CE5-0C7E-4BE9-9B1F-5023ABB51323}"/>
    <cellStyle name="RISKdarkBoxed 6 20 2" xfId="44587" xr:uid="{80FFBC95-2BA0-48DC-929F-D7947C11CD33}"/>
    <cellStyle name="RISKdarkBoxed 6 21" xfId="21351" xr:uid="{8AE1C131-6F7D-45EF-BEC5-B71D92AE22C6}"/>
    <cellStyle name="RISKdarkBoxed 6 21 2" xfId="41480" xr:uid="{8CE1E7C5-0A04-449C-A33C-E466431D7380}"/>
    <cellStyle name="RISKdarkBoxed 6 22" xfId="23438" xr:uid="{0363C04A-9B0F-40AB-A902-319D4E5772AD}"/>
    <cellStyle name="RISKdarkBoxed 6 22 2" xfId="42944" xr:uid="{5DB53637-25A2-4490-8D34-70ADF1F4A55D}"/>
    <cellStyle name="RISKdarkBoxed 6 23" xfId="23884" xr:uid="{DA444B9F-EB47-4742-B434-744AD7C9B83E}"/>
    <cellStyle name="RISKdarkBoxed 6 23 2" xfId="43263" xr:uid="{15B1F6EA-2582-491C-8341-7330EE7DC7F3}"/>
    <cellStyle name="RISKdarkBoxed 6 24" xfId="25466" xr:uid="{765718CF-03B2-4DCD-8FA2-DCE600CDD194}"/>
    <cellStyle name="RISKdarkBoxed 6 24 2" xfId="44350" xr:uid="{EF6F04C6-CF36-46D6-BD47-CDE7A1CC00E7}"/>
    <cellStyle name="RISKdarkBoxed 6 25" xfId="28160" xr:uid="{858AFAE3-BBAE-429C-B22E-F4C0CCBC7C2F}"/>
    <cellStyle name="RISKdarkBoxed 6 25 2" xfId="46091" xr:uid="{B91CA9C5-0BED-4463-AE96-1E9D16BB9510}"/>
    <cellStyle name="RISKdarkBoxed 6 26" xfId="27055" xr:uid="{14EA5B95-11D2-49AE-9659-7BDB388A3C3E}"/>
    <cellStyle name="RISKdarkBoxed 6 26 2" xfId="45449" xr:uid="{0012ACD9-36D2-4635-9E34-F4CEA88C9DCF}"/>
    <cellStyle name="RISKdarkBoxed 6 27" xfId="28476" xr:uid="{0953E595-BC6F-4649-9DBB-3CB3739E8EEF}"/>
    <cellStyle name="RISKdarkBoxed 6 27 2" xfId="46287" xr:uid="{C5F09AA6-7EB8-491F-AEA3-F8112AEE90F8}"/>
    <cellStyle name="RISKdarkBoxed 6 28" xfId="28059" xr:uid="{9ED58CF8-FACF-4AC3-A93C-8DECBFAAD5CD}"/>
    <cellStyle name="RISKdarkBoxed 6 28 2" xfId="46051" xr:uid="{FC684401-B822-4E5F-804B-694D9634D754}"/>
    <cellStyle name="RISKdarkBoxed 6 29" xfId="29667" xr:uid="{7D4FCBCA-962F-4ADE-9E8D-1E52E8A5FEFD}"/>
    <cellStyle name="RISKdarkBoxed 6 29 2" xfId="47031" xr:uid="{2F9B0255-F5FB-4492-8EE8-D958A7E555EF}"/>
    <cellStyle name="RISKdarkBoxed 6 3" xfId="3573" xr:uid="{65E4D0A8-EE52-4A24-A0E0-FB5ABD928FEA}"/>
    <cellStyle name="RISKdarkBoxed 6 3 10" xfId="15648" xr:uid="{0BAB02AD-79E6-41DD-BDEC-0C3FFA529E65}"/>
    <cellStyle name="RISKdarkBoxed 6 3 10 2" xfId="37306" xr:uid="{8B19B6F1-6332-4DDE-B772-FF5FCBA1C44A}"/>
    <cellStyle name="RISKdarkBoxed 6 3 11" xfId="16256" xr:uid="{0DE13052-8C0D-4998-862A-87B2B23D5BD4}"/>
    <cellStyle name="RISKdarkBoxed 6 3 11 2" xfId="37795" xr:uid="{0D024D1E-5624-45E9-8ED1-49D241222618}"/>
    <cellStyle name="RISKdarkBoxed 6 3 12" xfId="16076" xr:uid="{019B1F74-6AB9-4CEB-BFE3-971BE8FA2915}"/>
    <cellStyle name="RISKdarkBoxed 6 3 12 2" xfId="37647" xr:uid="{5FFB57F0-7D43-42B1-8655-950D5067A76C}"/>
    <cellStyle name="RISKdarkBoxed 6 3 13" xfId="16805" xr:uid="{9D2C7E65-1D06-4350-9289-E984D458740F}"/>
    <cellStyle name="RISKdarkBoxed 6 3 13 2" xfId="38238" xr:uid="{259BBF1C-5C88-4481-A95B-ADE248615E2D}"/>
    <cellStyle name="RISKdarkBoxed 6 3 14" xfId="22539" xr:uid="{621CF407-5A36-4DB2-A458-65DCC4D8C2E6}"/>
    <cellStyle name="RISKdarkBoxed 6 3 14 2" xfId="42338" xr:uid="{EEB8E8BD-E072-4F3B-980A-8AA925FEBCBB}"/>
    <cellStyle name="RISKdarkBoxed 6 3 15" xfId="20669" xr:uid="{A358955A-584F-40D6-A9D9-334759E3D7BA}"/>
    <cellStyle name="RISKdarkBoxed 6 3 15 2" xfId="41029" xr:uid="{D7650BF6-E246-489D-9981-4A01E32B30FF}"/>
    <cellStyle name="RISKdarkBoxed 6 3 16" xfId="17062" xr:uid="{C9161770-AF97-4CC5-8902-B27473F04F53}"/>
    <cellStyle name="RISKdarkBoxed 6 3 16 2" xfId="38404" xr:uid="{0E471843-036E-446E-8F08-098A57FF1785}"/>
    <cellStyle name="RISKdarkBoxed 6 3 17" xfId="21301" xr:uid="{1F84FD56-1107-4A69-9AE6-799D1AE31D58}"/>
    <cellStyle name="RISKdarkBoxed 6 3 17 2" xfId="41468" xr:uid="{E1424F28-417B-49FB-B866-12B448512CB1}"/>
    <cellStyle name="RISKdarkBoxed 6 3 18" xfId="16929" xr:uid="{3C4454D9-2A54-4941-8D5F-B445F3038849}"/>
    <cellStyle name="RISKdarkBoxed 6 3 18 2" xfId="38300" xr:uid="{ED4940DD-A1F0-456A-9568-AA065C66616A}"/>
    <cellStyle name="RISKdarkBoxed 6 3 19" xfId="22542" xr:uid="{93DA047D-C7F9-4BDD-83D2-FC1BEE9283C3}"/>
    <cellStyle name="RISKdarkBoxed 6 3 19 2" xfId="42341" xr:uid="{8616A6EA-9EC7-40A5-90D5-AFD535323E74}"/>
    <cellStyle name="RISKdarkBoxed 6 3 2" xfId="11986" xr:uid="{4F5C5665-643F-4D00-9D40-6062362C9148}"/>
    <cellStyle name="RISKdarkBoxed 6 3 2 2" xfId="34546" xr:uid="{4C60A5CE-B3D6-4A4C-A224-DE2AAF2D884F}"/>
    <cellStyle name="RISKdarkBoxed 6 3 20" xfId="24491" xr:uid="{B79A7CFF-738F-4968-899C-CBE5CBE6E335}"/>
    <cellStyle name="RISKdarkBoxed 6 3 20 2" xfId="43674" xr:uid="{53B5B730-6BB1-4DC9-BA4D-85F08FB274C7}"/>
    <cellStyle name="RISKdarkBoxed 6 3 21" xfId="23883" xr:uid="{DC8DF17C-DC92-4EC1-8DB1-E47FD7102080}"/>
    <cellStyle name="RISKdarkBoxed 6 3 21 2" xfId="43262" xr:uid="{86FC9F57-8293-4F9B-960B-8DB91E1F69C8}"/>
    <cellStyle name="RISKdarkBoxed 6 3 22" xfId="24391" xr:uid="{0606BBF6-8CA0-417F-AE1E-4E810B088812}"/>
    <cellStyle name="RISKdarkBoxed 6 3 22 2" xfId="43632" xr:uid="{500B14A1-8468-497E-BEF0-8758517E9AF1}"/>
    <cellStyle name="RISKdarkBoxed 6 3 23" xfId="24898" xr:uid="{40A0EB54-6FCE-4034-A5DC-EA1C929370BA}"/>
    <cellStyle name="RISKdarkBoxed 6 3 23 2" xfId="43986" xr:uid="{5722C366-706E-471D-A043-165A24B5AC81}"/>
    <cellStyle name="RISKdarkBoxed 6 3 24" xfId="25623" xr:uid="{47353C3D-7F24-494F-A9B1-262614431340}"/>
    <cellStyle name="RISKdarkBoxed 6 3 24 2" xfId="44480" xr:uid="{85F425FD-373A-4EA4-9304-ADBE4FFA758F}"/>
    <cellStyle name="RISKdarkBoxed 6 3 25" xfId="29311" xr:uid="{94314106-8759-498C-B3B2-544F08A2E383}"/>
    <cellStyle name="RISKdarkBoxed 6 3 25 2" xfId="46801" xr:uid="{B6B0CC9C-3304-4D9C-9AC2-A53938EBAA3E}"/>
    <cellStyle name="RISKdarkBoxed 6 3 26" xfId="27765" xr:uid="{9E42ECD8-D938-46A6-B50D-2BBF301DD0F2}"/>
    <cellStyle name="RISKdarkBoxed 6 3 26 2" xfId="45862" xr:uid="{192B51D5-FDB8-4D77-B55E-E083EEB56807}"/>
    <cellStyle name="RISKdarkBoxed 6 3 27" xfId="29018" xr:uid="{F2656983-B4B1-4443-865D-5724A2375204}"/>
    <cellStyle name="RISKdarkBoxed 6 3 27 2" xfId="46612" xr:uid="{4999B17B-9B0E-4809-A8C5-2901C1B5EAA2}"/>
    <cellStyle name="RISKdarkBoxed 6 3 28" xfId="29951" xr:uid="{9CE52227-42C6-471F-97EA-43F61CE8139F}"/>
    <cellStyle name="RISKdarkBoxed 6 3 28 2" xfId="47218" xr:uid="{2DEE64BE-7742-472C-AF8C-E3C8FB5D7E49}"/>
    <cellStyle name="RISKdarkBoxed 6 3 29" xfId="29365" xr:uid="{C82C8D76-E0BE-4312-856E-48803C778403}"/>
    <cellStyle name="RISKdarkBoxed 6 3 29 2" xfId="46836" xr:uid="{01EAC8E8-D878-4FC8-88F2-D6F3C71D5305}"/>
    <cellStyle name="RISKdarkBoxed 6 3 3" xfId="9979" xr:uid="{C5ECF875-5379-47DF-B03F-49FBAE7BC11A}"/>
    <cellStyle name="RISKdarkBoxed 6 3 3 2" xfId="33724" xr:uid="{5C3F3A8F-89A9-4C8C-A626-93D08EE088C5}"/>
    <cellStyle name="RISKdarkBoxed 6 3 30" xfId="6133" xr:uid="{4EADBF1F-27A5-41A0-9B73-55C5A31E24CE}"/>
    <cellStyle name="RISKdarkBoxed 6 3 4" xfId="11699" xr:uid="{9171C6A4-F3BB-4EB8-8E9F-1C316008A732}"/>
    <cellStyle name="RISKdarkBoxed 6 3 4 2" xfId="34312" xr:uid="{A2797264-2107-4D73-9D59-1FD4F3F2A154}"/>
    <cellStyle name="RISKdarkBoxed 6 3 5" xfId="7596" xr:uid="{642A3CFD-886E-4321-9AB7-A47532C027BC}"/>
    <cellStyle name="RISKdarkBoxed 6 3 5 2" xfId="31897" xr:uid="{6F9F6B32-0704-401F-8D86-59A8876C1023}"/>
    <cellStyle name="RISKdarkBoxed 6 3 6" xfId="15974" xr:uid="{A98FA08E-B96A-44F6-BB57-9A638B7BDC32}"/>
    <cellStyle name="RISKdarkBoxed 6 3 6 2" xfId="37565" xr:uid="{541ADB82-75FA-49F1-A55A-5438B07B038F}"/>
    <cellStyle name="RISKdarkBoxed 6 3 7" xfId="14228" xr:uid="{780A95CF-1FF2-45C4-9608-1E72388283FB}"/>
    <cellStyle name="RISKdarkBoxed 6 3 7 2" xfId="36281" xr:uid="{5BC7CB8A-BE85-4CEA-8988-66E07C129DAE}"/>
    <cellStyle name="RISKdarkBoxed 6 3 8" xfId="14607" xr:uid="{889C5AC3-6477-4803-A862-03CB16714111}"/>
    <cellStyle name="RISKdarkBoxed 6 3 8 2" xfId="36519" xr:uid="{AAFD9B37-194B-46E4-99CA-7FF3A6153549}"/>
    <cellStyle name="RISKdarkBoxed 6 3 9" xfId="15878" xr:uid="{12B6A67F-AB45-45D5-80EC-8B103F7985B9}"/>
    <cellStyle name="RISKdarkBoxed 6 3 9 2" xfId="37469" xr:uid="{056858C5-F6DA-4C53-A18D-9BFEFA9C6C64}"/>
    <cellStyle name="RISKdarkBoxed 6 30" xfId="27502" xr:uid="{0D84D3DF-7B79-42C0-B755-6F592BE244E9}"/>
    <cellStyle name="RISKdarkBoxed 6 30 2" xfId="45698" xr:uid="{C1B9AEEF-462E-4379-941E-104D0F705C87}"/>
    <cellStyle name="RISKdarkBoxed 6 31" xfId="30969" xr:uid="{68552B39-A9D9-42A4-93C0-4EA031C9BC35}"/>
    <cellStyle name="RISKdarkBoxed 6 31 2" xfId="47780" xr:uid="{BEC3D5B4-D6CE-4A7E-92F4-1A97C3ED3178}"/>
    <cellStyle name="RISKdarkBoxed 6 32" xfId="6135" xr:uid="{F2670CAC-1E21-46B4-89A7-12ADD183E2BF}"/>
    <cellStyle name="RISKdarkBoxed 6 4" xfId="11987" xr:uid="{5F72AE6F-447C-491C-8136-B91D3388F6D5}"/>
    <cellStyle name="RISKdarkBoxed 6 4 2" xfId="34547" xr:uid="{EA589FB7-142F-4033-A676-B412477ED9E7}"/>
    <cellStyle name="RISKdarkBoxed 6 5" xfId="9977" xr:uid="{62C2F973-F165-4918-8848-17C33230F2DE}"/>
    <cellStyle name="RISKdarkBoxed 6 5 2" xfId="33722" xr:uid="{70101DF3-0D75-475F-9795-EA7B4D6CBA79}"/>
    <cellStyle name="RISKdarkBoxed 6 6" xfId="11700" xr:uid="{C8B61559-E5A3-4D64-AC89-91CE90001BA5}"/>
    <cellStyle name="RISKdarkBoxed 6 6 2" xfId="34313" xr:uid="{0BB6EB5B-00E2-490C-B130-BC26077EEB9F}"/>
    <cellStyle name="RISKdarkBoxed 6 7" xfId="7597" xr:uid="{2E16A303-C1DF-432E-B626-EA47D864447E}"/>
    <cellStyle name="RISKdarkBoxed 6 7 2" xfId="31898" xr:uid="{790E0CAF-F5D1-44FB-BDFF-3EF2DA96B4D9}"/>
    <cellStyle name="RISKdarkBoxed 6 8" xfId="15973" xr:uid="{74E4B344-92BE-457C-92C5-281D849EAD0A}"/>
    <cellStyle name="RISKdarkBoxed 6 8 2" xfId="37564" xr:uid="{402219C0-FCF7-48AA-B62A-63DB81FFA51D}"/>
    <cellStyle name="RISKdarkBoxed 6 9" xfId="16181" xr:uid="{C083FEC0-9453-4196-B01A-1274DCCDBC73}"/>
    <cellStyle name="RISKdarkBoxed 6 9 2" xfId="37741" xr:uid="{060B37A4-7434-4BE6-B84A-5B9DD9E251CE}"/>
    <cellStyle name="RISKdarkBoxed 7" xfId="3574" xr:uid="{2007AAA7-3F4F-47F4-A4E9-7CA9FD872114}"/>
    <cellStyle name="RISKdarkBoxed 7 10" xfId="15558" xr:uid="{2C03C34A-1678-454A-8152-53711BA19711}"/>
    <cellStyle name="RISKdarkBoxed 7 10 2" xfId="37223" xr:uid="{E4B36F5A-4ED4-466D-AAFE-53CCD16BE914}"/>
    <cellStyle name="RISKdarkBoxed 7 11" xfId="12573" xr:uid="{2DA772A1-86BC-4E19-90D2-82353F370567}"/>
    <cellStyle name="RISKdarkBoxed 7 11 2" xfId="35017" xr:uid="{DE09514A-3130-460C-BF68-A8A339787A17}"/>
    <cellStyle name="RISKdarkBoxed 7 12" xfId="13748" xr:uid="{D5BFCCB4-3D50-4EB0-A839-C790E457E1ED}"/>
    <cellStyle name="RISKdarkBoxed 7 12 2" xfId="35903" xr:uid="{1F9CCEE3-0B35-4C4C-BB70-67C1A4DF2DFE}"/>
    <cellStyle name="RISKdarkBoxed 7 13" xfId="18202" xr:uid="{4B7CA0D2-3766-4B80-BA94-E27A492824B9}"/>
    <cellStyle name="RISKdarkBoxed 7 13 2" xfId="39240" xr:uid="{5D58E23F-E980-4583-9FE6-27DA0D988E8C}"/>
    <cellStyle name="RISKdarkBoxed 7 14" xfId="20071" xr:uid="{E2C36AE6-5066-4CF0-959C-D8EE8C2D14BA}"/>
    <cellStyle name="RISKdarkBoxed 7 14 2" xfId="40618" xr:uid="{D31AACBF-60DF-4712-B90C-53C22FBB5D59}"/>
    <cellStyle name="RISKdarkBoxed 7 15" xfId="17347" xr:uid="{3ED37243-29F5-42A2-8509-2408521CF873}"/>
    <cellStyle name="RISKdarkBoxed 7 15 2" xfId="38594" xr:uid="{AE945B9B-3795-4EBD-A00B-6C6AFFCF24FF}"/>
    <cellStyle name="RISKdarkBoxed 7 16" xfId="21362" xr:uid="{06F8CDB5-3E1D-49D5-8002-305ACB0F5EB2}"/>
    <cellStyle name="RISKdarkBoxed 7 16 2" xfId="41491" xr:uid="{C4B87563-05AE-4EF1-B2B2-78036C8F0A78}"/>
    <cellStyle name="RISKdarkBoxed 7 17" xfId="20668" xr:uid="{83E0361F-804D-45F4-B56C-A2906272EE8B}"/>
    <cellStyle name="RISKdarkBoxed 7 17 2" xfId="41028" xr:uid="{2AA39914-BA75-4CBB-BDF9-240BF04E0D5D}"/>
    <cellStyle name="RISKdarkBoxed 7 18" xfId="19424" xr:uid="{0E7A8269-4BE0-446F-853F-7B4F2F8EB6F8}"/>
    <cellStyle name="RISKdarkBoxed 7 18 2" xfId="40145" xr:uid="{F0CA9103-AF98-475A-8042-CB42D84322BA}"/>
    <cellStyle name="RISKdarkBoxed 7 19" xfId="22557" xr:uid="{7BB0A2E7-3E17-423D-801D-A8753247428C}"/>
    <cellStyle name="RISKdarkBoxed 7 19 2" xfId="42347" xr:uid="{103D76F9-2A1F-49DB-AC3C-B6F05ADA53EB}"/>
    <cellStyle name="RISKdarkBoxed 7 2" xfId="3575" xr:uid="{4D330DD6-294C-4757-9166-9CFD881EBCD6}"/>
    <cellStyle name="RISKdarkBoxed 7 2 10" xfId="17360" xr:uid="{5E350C22-06A2-4DCD-9DFD-39BA12FFD5F1}"/>
    <cellStyle name="RISKdarkBoxed 7 2 10 2" xfId="38607" xr:uid="{6A547A8D-A348-45D4-ABA5-AC69B8E9EF74}"/>
    <cellStyle name="RISKdarkBoxed 7 2 11" xfId="15786" xr:uid="{ACF38ACB-8692-476B-88E9-242ECC2E487E}"/>
    <cellStyle name="RISKdarkBoxed 7 2 11 2" xfId="37402" xr:uid="{7EE0F3A7-E72B-485E-8C6D-0BCE3F601D69}"/>
    <cellStyle name="RISKdarkBoxed 7 2 12" xfId="19053" xr:uid="{18287295-82EE-4284-B5A8-F799971CFC8D}"/>
    <cellStyle name="RISKdarkBoxed 7 2 12 2" xfId="39885" xr:uid="{70EEC973-9535-4D39-8B2B-579F4BAB394B}"/>
    <cellStyle name="RISKdarkBoxed 7 2 13" xfId="13755" xr:uid="{38B8E33A-B54D-486E-BB00-AAEE9DF73EB4}"/>
    <cellStyle name="RISKdarkBoxed 7 2 13 2" xfId="35910" xr:uid="{11D6AC7B-0141-47DC-A87F-FECEB64923A3}"/>
    <cellStyle name="RISKdarkBoxed 7 2 14" xfId="22538" xr:uid="{C508DAA9-DAF7-4ADF-B98F-F02416EF056E}"/>
    <cellStyle name="RISKdarkBoxed 7 2 14 2" xfId="42337" xr:uid="{2C44C84D-F251-43C4-8E21-C913E224295E}"/>
    <cellStyle name="RISKdarkBoxed 7 2 15" xfId="18907" xr:uid="{86882315-AAE5-413E-AACE-E17100716D42}"/>
    <cellStyle name="RISKdarkBoxed 7 2 15 2" xfId="39740" xr:uid="{0602E5D2-932D-4B38-A280-98C2F68513F8}"/>
    <cellStyle name="RISKdarkBoxed 7 2 16" xfId="22133" xr:uid="{6F98C03A-801A-45D5-9D9E-5D281967DBB9}"/>
    <cellStyle name="RISKdarkBoxed 7 2 16 2" xfId="42018" xr:uid="{8F45CF1F-673F-468D-8022-E19E63F64315}"/>
    <cellStyle name="RISKdarkBoxed 7 2 17" xfId="17027" xr:uid="{D23CF069-4097-4B6F-B861-C544040D04EE}"/>
    <cellStyle name="RISKdarkBoxed 7 2 17 2" xfId="38372" xr:uid="{61C2F2D4-0CEF-41E1-A457-4450E348758A}"/>
    <cellStyle name="RISKdarkBoxed 7 2 18" xfId="22855" xr:uid="{17858913-871B-4E1C-97BF-6F41363FE5E5}"/>
    <cellStyle name="RISKdarkBoxed 7 2 18 2" xfId="42573" xr:uid="{2CD7BCF1-FA0E-4977-A1CC-9BC12E4C425E}"/>
    <cellStyle name="RISKdarkBoxed 7 2 19" xfId="17004" xr:uid="{E03F1EDE-3ADC-496F-905D-B8E2B92EB8C3}"/>
    <cellStyle name="RISKdarkBoxed 7 2 19 2" xfId="38364" xr:uid="{D3A35F54-CF3E-42F9-916C-496350903370}"/>
    <cellStyle name="RISKdarkBoxed 7 2 2" xfId="11985" xr:uid="{89DBC0FE-F4DC-48AC-8B0E-1079CC1FB09D}"/>
    <cellStyle name="RISKdarkBoxed 7 2 2 2" xfId="34545" xr:uid="{E5D151CA-A30D-4BD9-A7E4-286DCB5DBC37}"/>
    <cellStyle name="RISKdarkBoxed 7 2 20" xfId="24490" xr:uid="{FB1EF666-77B9-4A6A-AEA5-8596FAB11044}"/>
    <cellStyle name="RISKdarkBoxed 7 2 20 2" xfId="43673" xr:uid="{46285BC9-09AC-4F29-BFDD-B6E54D41D93B}"/>
    <cellStyle name="RISKdarkBoxed 7 2 21" xfId="23882" xr:uid="{972C933C-8D83-42F1-972C-1E5943A05FBB}"/>
    <cellStyle name="RISKdarkBoxed 7 2 21 2" xfId="43261" xr:uid="{951F5A54-D809-43F2-8C11-F2CEE277050F}"/>
    <cellStyle name="RISKdarkBoxed 7 2 22" xfId="23596" xr:uid="{7FC475BD-9B77-4189-909E-74529B1EEA50}"/>
    <cellStyle name="RISKdarkBoxed 7 2 22 2" xfId="43031" xr:uid="{8A702659-363F-4228-BF63-BD8E98D51866}"/>
    <cellStyle name="RISKdarkBoxed 7 2 23" xfId="29457" xr:uid="{4CAF721B-5E7F-477C-BF3D-A372483BB061}"/>
    <cellStyle name="RISKdarkBoxed 7 2 23 2" xfId="46914" xr:uid="{4DDDCBB0-2983-4A16-B4AB-897EC3529C0F}"/>
    <cellStyle name="RISKdarkBoxed 7 2 24" xfId="29553" xr:uid="{A6E251DD-9154-46B8-A4E8-4A89EC8E5FD5}"/>
    <cellStyle name="RISKdarkBoxed 7 2 24 2" xfId="46953" xr:uid="{F893D1A6-A8FC-48D2-9265-B5F60EA5342D}"/>
    <cellStyle name="RISKdarkBoxed 7 2 25" xfId="29312" xr:uid="{FB963FE2-5035-4709-8766-C10059AE392C}"/>
    <cellStyle name="RISKdarkBoxed 7 2 25 2" xfId="46802" xr:uid="{F9B98599-FF32-43F5-BF6E-5BAE2AE2372D}"/>
    <cellStyle name="RISKdarkBoxed 7 2 26" xfId="24306" xr:uid="{C608F5F5-701C-4EB2-8CE9-CE9D9A86F3C3}"/>
    <cellStyle name="RISKdarkBoxed 7 2 26 2" xfId="43576" xr:uid="{C33D7480-69FC-4945-8A4D-F1BADA9EC64F}"/>
    <cellStyle name="RISKdarkBoxed 7 2 27" xfId="29996" xr:uid="{93632A2D-C8E4-4AAA-BD86-DA7E7E2A1444}"/>
    <cellStyle name="RISKdarkBoxed 7 2 27 2" xfId="47238" xr:uid="{29AED08F-12B6-4C86-A377-DC4E855DE01C}"/>
    <cellStyle name="RISKdarkBoxed 7 2 28" xfId="27770" xr:uid="{EFDD83F9-ECDE-4B81-A9D5-AE6BF3797EE9}"/>
    <cellStyle name="RISKdarkBoxed 7 2 28 2" xfId="45865" xr:uid="{B1E1267A-87AD-4A55-A9A7-AEA5658922A3}"/>
    <cellStyle name="RISKdarkBoxed 7 2 29" xfId="30213" xr:uid="{48D1BF54-1F84-49D6-B903-79D7CC884213}"/>
    <cellStyle name="RISKdarkBoxed 7 2 29 2" xfId="47374" xr:uid="{37E5E55B-AF56-4CE9-9FE0-7485988E2290}"/>
    <cellStyle name="RISKdarkBoxed 7 2 3" xfId="9982" xr:uid="{741DCF05-8F06-4AE2-9D9E-2C9F9B9A14AB}"/>
    <cellStyle name="RISKdarkBoxed 7 2 3 2" xfId="33727" xr:uid="{BE550533-0E54-485D-92A5-98881EC2D9E3}"/>
    <cellStyle name="RISKdarkBoxed 7 2 30" xfId="6131" xr:uid="{D2F92EE6-4FCD-4F77-83BF-B9A4A702DA48}"/>
    <cellStyle name="RISKdarkBoxed 7 2 4" xfId="11698" xr:uid="{A7E517E6-BA2E-4785-B396-6D89BDA1E9D2}"/>
    <cellStyle name="RISKdarkBoxed 7 2 4 2" xfId="34311" xr:uid="{687C4767-2829-4635-BCC7-BE1EDA7B1420}"/>
    <cellStyle name="RISKdarkBoxed 7 2 5" xfId="7595" xr:uid="{850587FE-32E0-4614-9186-D32149D66FE9}"/>
    <cellStyle name="RISKdarkBoxed 7 2 5 2" xfId="31896" xr:uid="{250AFA92-8F8F-4D35-ADC0-4BD948F72399}"/>
    <cellStyle name="RISKdarkBoxed 7 2 6" xfId="15975" xr:uid="{AA87ECAC-E92A-46D1-8FA9-C5115814BC55}"/>
    <cellStyle name="RISKdarkBoxed 7 2 6 2" xfId="37566" xr:uid="{3745B25E-F87A-406D-8454-B513A2AF1EF0}"/>
    <cellStyle name="RISKdarkBoxed 7 2 7" xfId="15429" xr:uid="{34821223-4D2F-4C0D-990F-48DCDF7DC84E}"/>
    <cellStyle name="RISKdarkBoxed 7 2 7 2" xfId="37115" xr:uid="{67DA0D5F-4C96-4B5E-BE9E-E8166CFA0232}"/>
    <cellStyle name="RISKdarkBoxed 7 2 8" xfId="14423" xr:uid="{80AA359E-8C3E-404A-A33C-56C55D87E62D}"/>
    <cellStyle name="RISKdarkBoxed 7 2 8 2" xfId="36412" xr:uid="{DAF9A40C-2EFC-4593-9BB0-0183AC624124}"/>
    <cellStyle name="RISKdarkBoxed 7 2 9" xfId="16447" xr:uid="{0767C5AF-BAB6-418E-9C5D-E749DF7770C0}"/>
    <cellStyle name="RISKdarkBoxed 7 2 9 2" xfId="37940" xr:uid="{E180E01B-9EF2-4FB5-AD58-AB6EA3797D3A}"/>
    <cellStyle name="RISKdarkBoxed 7 20" xfId="24693" xr:uid="{72AC336E-A8B1-414D-8307-4F2978142CD2}"/>
    <cellStyle name="RISKdarkBoxed 7 20 2" xfId="43838" xr:uid="{F99E9F31-EA81-413A-91E9-DA7C9218C715}"/>
    <cellStyle name="RISKdarkBoxed 7 21" xfId="21350" xr:uid="{9CACF1E4-EB76-442D-B747-8CD62E538EBA}"/>
    <cellStyle name="RISKdarkBoxed 7 21 2" xfId="41479" xr:uid="{16FE4BEF-C80E-40C1-96BE-43196DAA90B0}"/>
    <cellStyle name="RISKdarkBoxed 7 22" xfId="20358" xr:uid="{B71A9887-2DF6-4590-AB92-89179BE292D1}"/>
    <cellStyle name="RISKdarkBoxed 7 22 2" xfId="40785" xr:uid="{64CA11FE-3BC8-4280-AEA0-81EEC886138E}"/>
    <cellStyle name="RISKdarkBoxed 7 23" xfId="21010" xr:uid="{5AEA3477-DA1A-4264-A574-F0ED32C910D8}"/>
    <cellStyle name="RISKdarkBoxed 7 23 2" xfId="41268" xr:uid="{2B2B169E-11B8-46E1-A555-E020CC43404E}"/>
    <cellStyle name="RISKdarkBoxed 7 24" xfId="24398" xr:uid="{3460DD0B-86A1-47ED-9A4C-9C4150614416}"/>
    <cellStyle name="RISKdarkBoxed 7 24 2" xfId="43639" xr:uid="{F01AFF5A-1BE5-4D77-AD09-7F55F334330C}"/>
    <cellStyle name="RISKdarkBoxed 7 25" xfId="22955" xr:uid="{B0BD6FE4-AF12-42E7-B1EF-775E5764BBFC}"/>
    <cellStyle name="RISKdarkBoxed 7 25 2" xfId="42645" xr:uid="{BCF198C2-1E7B-43F1-B52F-72BC8BE78BC3}"/>
    <cellStyle name="RISKdarkBoxed 7 26" xfId="28384" xr:uid="{ED860AA2-710C-44E6-8BC5-FA3C39BEEE06}"/>
    <cellStyle name="RISKdarkBoxed 7 26 2" xfId="46233" xr:uid="{EF05EAA9-3558-42F2-82DC-C199ACE87C72}"/>
    <cellStyle name="RISKdarkBoxed 7 27" xfId="26077" xr:uid="{B6D730DC-3716-4D08-99D2-1E973ED3D985}"/>
    <cellStyle name="RISKdarkBoxed 7 27 2" xfId="44834" xr:uid="{DCD95C2D-064C-4F6E-B1AB-EF0236B64E05}"/>
    <cellStyle name="RISKdarkBoxed 7 28" xfId="29946" xr:uid="{30841FC2-BF93-4B34-A9FA-E8398A7FBA71}"/>
    <cellStyle name="RISKdarkBoxed 7 28 2" xfId="47213" xr:uid="{F6887DF8-3F81-46B4-BC5B-71D92B79F451}"/>
    <cellStyle name="RISKdarkBoxed 7 29" xfId="25999" xr:uid="{182A43A0-BDB0-4290-8CE8-4E051F534960}"/>
    <cellStyle name="RISKdarkBoxed 7 29 2" xfId="44777" xr:uid="{E7E02BB0-9D3B-4A82-B96B-D9AFE69D560C}"/>
    <cellStyle name="RISKdarkBoxed 7 3" xfId="3576" xr:uid="{12D40857-1CE2-4545-BE93-EB5FD4D6C897}"/>
    <cellStyle name="RISKdarkBoxed 7 3 10" xfId="12687" xr:uid="{5C89B5FA-D485-46CB-B36B-9EEF31AA0E19}"/>
    <cellStyle name="RISKdarkBoxed 7 3 10 2" xfId="35101" xr:uid="{6875DF0A-3F19-4547-8B5E-B1FC19A4B295}"/>
    <cellStyle name="RISKdarkBoxed 7 3 11" xfId="18201" xr:uid="{4176AA60-4549-46B9-AC3C-7C90533553B9}"/>
    <cellStyle name="RISKdarkBoxed 7 3 11 2" xfId="39239" xr:uid="{D2073831-1BDE-4F01-AECC-CAE951ECDA9C}"/>
    <cellStyle name="RISKdarkBoxed 7 3 12" xfId="20072" xr:uid="{1DEABB95-12CC-4585-9821-323C78A6B930}"/>
    <cellStyle name="RISKdarkBoxed 7 3 12 2" xfId="40619" xr:uid="{7CF40A72-FE5C-4744-A006-BB8AE24AC264}"/>
    <cellStyle name="RISKdarkBoxed 7 3 13" xfId="17325" xr:uid="{B69BC9AA-FD7E-4C8B-9282-8D50FC4CD6AD}"/>
    <cellStyle name="RISKdarkBoxed 7 3 13 2" xfId="38592" xr:uid="{2FDC6AD6-88A8-45C2-A028-B17F066229D6}"/>
    <cellStyle name="RISKdarkBoxed 7 3 14" xfId="16998" xr:uid="{D23B742F-45D2-404D-857D-AAAC92EEBB13}"/>
    <cellStyle name="RISKdarkBoxed 7 3 14 2" xfId="38358" xr:uid="{C3C3D648-8F95-4D74-8817-5491D399C348}"/>
    <cellStyle name="RISKdarkBoxed 7 3 15" xfId="20667" xr:uid="{E10CFAAD-8571-43C5-B0CB-61F8CBEB8635}"/>
    <cellStyle name="RISKdarkBoxed 7 3 15 2" xfId="41027" xr:uid="{2AE7C533-B8A1-46F2-8973-B5B305C12F69}"/>
    <cellStyle name="RISKdarkBoxed 7 3 16" xfId="21162" xr:uid="{9CDC8AFF-723C-491F-B3AD-2AB595B394E5}"/>
    <cellStyle name="RISKdarkBoxed 7 3 16 2" xfId="41355" xr:uid="{F0651DF2-6196-4A27-AE24-2D210080FFF5}"/>
    <cellStyle name="RISKdarkBoxed 7 3 17" xfId="21300" xr:uid="{E82318B3-E4B6-40D6-8DED-44DC3C1EE1DD}"/>
    <cellStyle name="RISKdarkBoxed 7 3 17 2" xfId="41467" xr:uid="{E03CE372-6C34-4C7E-BB91-B2BB4FAD4668}"/>
    <cellStyle name="RISKdarkBoxed 7 3 18" xfId="24692" xr:uid="{13C5B75B-F458-4BC7-B668-F2C7EE299A20}"/>
    <cellStyle name="RISKdarkBoxed 7 3 18 2" xfId="43837" xr:uid="{CADA16EE-A350-4253-9985-72775364D263}"/>
    <cellStyle name="RISKdarkBoxed 7 3 19" xfId="22541" xr:uid="{148EE1F9-12FB-4BAC-9D88-C14E94972A99}"/>
    <cellStyle name="RISKdarkBoxed 7 3 19 2" xfId="42340" xr:uid="{35200892-182B-4061-A62B-3AEC223D1138}"/>
    <cellStyle name="RISKdarkBoxed 7 3 2" xfId="7579" xr:uid="{B830F248-4D5C-4EC2-A844-25E16E02629C}"/>
    <cellStyle name="RISKdarkBoxed 7 3 2 2" xfId="31882" xr:uid="{8BCD787A-DD60-4268-A783-D4A53B14660D}"/>
    <cellStyle name="RISKdarkBoxed 7 3 20" xfId="25370" xr:uid="{25A16738-1FDA-4D41-9404-6CC0DB3E763F}"/>
    <cellStyle name="RISKdarkBoxed 7 3 20 2" xfId="44286" xr:uid="{01B7B467-F85C-43E8-AF75-1E74421EAE7B}"/>
    <cellStyle name="RISKdarkBoxed 7 3 21" xfId="22222" xr:uid="{BEB0074C-664E-4D77-97B3-EEC1F065FEF5}"/>
    <cellStyle name="RISKdarkBoxed 7 3 21 2" xfId="42101" xr:uid="{212BBF3A-3EB4-4AC3-87C8-18C29ACA4B9C}"/>
    <cellStyle name="RISKdarkBoxed 7 3 22" xfId="22647" xr:uid="{376A56B1-03F1-4266-8DAC-267977CF3BC3}"/>
    <cellStyle name="RISKdarkBoxed 7 3 22 2" xfId="42418" xr:uid="{3E93404C-FF1D-4DCC-8581-736B7D7D9B77}"/>
    <cellStyle name="RISKdarkBoxed 7 3 23" xfId="24897" xr:uid="{D65A4D72-123C-4B5A-B4EE-8432202CA7ED}"/>
    <cellStyle name="RISKdarkBoxed 7 3 23 2" xfId="43985" xr:uid="{C6D9007B-C8AC-4C62-A6DB-929FF8B7AFDF}"/>
    <cellStyle name="RISKdarkBoxed 7 3 24" xfId="27054" xr:uid="{BC008969-F7F1-45AD-9A0A-9DA3ECC75B23}"/>
    <cellStyle name="RISKdarkBoxed 7 3 24 2" xfId="45448" xr:uid="{112F148A-68ED-4D92-BE49-5AB48BBB95A9}"/>
    <cellStyle name="RISKdarkBoxed 7 3 25" xfId="27095" xr:uid="{EAA0D92C-80EB-424A-9CA7-9FB85D8E0A34}"/>
    <cellStyle name="RISKdarkBoxed 7 3 25 2" xfId="45472" xr:uid="{6DB5C667-C176-4E0D-8564-8EF3250C83E5}"/>
    <cellStyle name="RISKdarkBoxed 7 3 26" xfId="29847" xr:uid="{3179304C-140A-4640-9B76-8278D50001EF}"/>
    <cellStyle name="RISKdarkBoxed 7 3 26 2" xfId="47154" xr:uid="{86771CE0-5A70-4AA2-9530-DF253397F796}"/>
    <cellStyle name="RISKdarkBoxed 7 3 27" xfId="29016" xr:uid="{05B6C4D8-CDB6-44A9-98B5-CD803A6C1B1E}"/>
    <cellStyle name="RISKdarkBoxed 7 3 27 2" xfId="46610" xr:uid="{12A4325B-1456-453E-9F52-B33516ABE991}"/>
    <cellStyle name="RISKdarkBoxed 7 3 28" xfId="29640" xr:uid="{0A0897C9-D7A1-42BF-8352-9B8176953478}"/>
    <cellStyle name="RISKdarkBoxed 7 3 28 2" xfId="47023" xr:uid="{EFDBDCEF-2F07-4F30-A5E3-D325E874E562}"/>
    <cellStyle name="RISKdarkBoxed 7 3 29" xfId="30655" xr:uid="{BD652EDC-1FDE-49BF-8042-8275E1B5E62A}"/>
    <cellStyle name="RISKdarkBoxed 7 3 29 2" xfId="47601" xr:uid="{F7B73B79-21F4-48ED-8EDD-5B8F0AA3D43C}"/>
    <cellStyle name="RISKdarkBoxed 7 3 3" xfId="9983" xr:uid="{FD3BF2E7-6411-42C1-B214-CA7D29B2ED54}"/>
    <cellStyle name="RISKdarkBoxed 7 3 3 2" xfId="33728" xr:uid="{FABB148D-71A3-492C-87A4-09224A1EC4D5}"/>
    <cellStyle name="RISKdarkBoxed 7 3 30" xfId="6130" xr:uid="{590A60E9-F4DA-46B5-9994-15FB1842FECB}"/>
    <cellStyle name="RISKdarkBoxed 7 3 4" xfId="7268" xr:uid="{73772C51-390D-446F-8B7E-52A61B9CB317}"/>
    <cellStyle name="RISKdarkBoxed 7 3 4 2" xfId="31632" xr:uid="{35D8ED17-65A4-4D13-BDF8-D2F7058F803F}"/>
    <cellStyle name="RISKdarkBoxed 7 3 5" xfId="12001" xr:uid="{CC992EBF-EA2B-478D-8FF4-FEFE887CAB39}"/>
    <cellStyle name="RISKdarkBoxed 7 3 5 2" xfId="34559" xr:uid="{B0DED487-4E7E-4FBB-8801-177BF59A8208}"/>
    <cellStyle name="RISKdarkBoxed 7 3 6" xfId="14408" xr:uid="{876F339B-1E00-41BC-BC20-DDD441B9C64C}"/>
    <cellStyle name="RISKdarkBoxed 7 3 6 2" xfId="36401" xr:uid="{4D5665C2-D05D-4BBD-B9E9-8909380719AF}"/>
    <cellStyle name="RISKdarkBoxed 7 3 7" xfId="7009" xr:uid="{D4B7EF9F-B8D7-44FC-9361-90CFFA20691C}"/>
    <cellStyle name="RISKdarkBoxed 7 3 7 2" xfId="31376" xr:uid="{679B6785-55EB-48BD-A150-F6FD031EFF69}"/>
    <cellStyle name="RISKdarkBoxed 7 3 8" xfId="13675" xr:uid="{C30599A3-5DD2-453C-ACCF-777D394CAB8A}"/>
    <cellStyle name="RISKdarkBoxed 7 3 8 2" xfId="35831" xr:uid="{F38FC6F8-0DD3-422D-8A4C-0575E01D07B5}"/>
    <cellStyle name="RISKdarkBoxed 7 3 9" xfId="15877" xr:uid="{1CBFFBE3-79ED-4F54-8F75-6774233A0733}"/>
    <cellStyle name="RISKdarkBoxed 7 3 9 2" xfId="37468" xr:uid="{175D91AC-A3D0-48CD-9B90-BBF12B034B22}"/>
    <cellStyle name="RISKdarkBoxed 7 30" xfId="29849" xr:uid="{4563DFCB-594F-42EB-AA6A-70441A330C5E}"/>
    <cellStyle name="RISKdarkBoxed 7 30 2" xfId="47156" xr:uid="{B73BF9E9-90D4-429B-A4F2-CE93E01FD8E4}"/>
    <cellStyle name="RISKdarkBoxed 7 31" xfId="30656" xr:uid="{4DE85212-0B71-48EB-8A21-B1F347C5BCCD}"/>
    <cellStyle name="RISKdarkBoxed 7 31 2" xfId="47602" xr:uid="{E455B788-AA12-4A2C-B312-B77C6A3272B2}"/>
    <cellStyle name="RISKdarkBoxed 7 32" xfId="6132" xr:uid="{7C8C57CF-EC44-4C97-BE1B-0EC48612A816}"/>
    <cellStyle name="RISKdarkBoxed 7 4" xfId="7580" xr:uid="{4248C0E3-6A52-4C92-A86E-61A6885EDF20}"/>
    <cellStyle name="RISKdarkBoxed 7 4 2" xfId="31883" xr:uid="{48FD8CC4-5C75-4968-89D8-0AD9A71F86C3}"/>
    <cellStyle name="RISKdarkBoxed 7 5" xfId="9980" xr:uid="{108E8D78-121C-4852-9498-5C772B2FE952}"/>
    <cellStyle name="RISKdarkBoxed 7 5 2" xfId="33725" xr:uid="{126BA26D-1723-4E4A-9A78-26197DCDB565}"/>
    <cellStyle name="RISKdarkBoxed 7 6" xfId="7269" xr:uid="{DF0DC098-29C6-43CC-A657-4B786E12DB34}"/>
    <cellStyle name="RISKdarkBoxed 7 6 2" xfId="31633" xr:uid="{50EE705F-EBB1-4D78-9489-9F3F5FFDEDDE}"/>
    <cellStyle name="RISKdarkBoxed 7 7" xfId="12002" xr:uid="{D9CC11FA-C4C4-4050-A297-79D1D0194BE3}"/>
    <cellStyle name="RISKdarkBoxed 7 7 2" xfId="34560" xr:uid="{833D6704-549B-4AA0-B24A-C84541BEE083}"/>
    <cellStyle name="RISKdarkBoxed 7 8" xfId="10599" xr:uid="{FB0933EE-4062-45DC-BE3E-04D44AFB0492}"/>
    <cellStyle name="RISKdarkBoxed 7 8 2" xfId="34225" xr:uid="{F2E22BFA-B939-4BFD-828C-F1F649853FC8}"/>
    <cellStyle name="RISKdarkBoxed 7 9" xfId="14227" xr:uid="{FE131A36-76E5-4405-81A7-70AE26B22DD1}"/>
    <cellStyle name="RISKdarkBoxed 7 9 2" xfId="36280" xr:uid="{DEC2DC7F-B0A5-47D5-80A3-3BA21EFC57E6}"/>
    <cellStyle name="RISKdarkBoxed 8" xfId="3577" xr:uid="{DE6BB27A-6E35-49A1-823A-8288F377495D}"/>
    <cellStyle name="RISKdarkBoxed 8 10" xfId="14606" xr:uid="{CFE14087-D4AD-457A-B005-2A253E8001C9}"/>
    <cellStyle name="RISKdarkBoxed 8 10 2" xfId="36518" xr:uid="{DAE4D5D8-DC66-479B-9358-06C4990927F0}"/>
    <cellStyle name="RISKdarkBoxed 8 11" xfId="16446" xr:uid="{2A03FE0A-EEDA-4EEB-983A-E9788EA8BF8A}"/>
    <cellStyle name="RISKdarkBoxed 8 11 2" xfId="37939" xr:uid="{E828CE27-9AF6-4549-AAAD-F1DA337B6B38}"/>
    <cellStyle name="RISKdarkBoxed 8 12" xfId="13749" xr:uid="{FA1BF608-CB4F-4C09-8574-837A81F339C3}"/>
    <cellStyle name="RISKdarkBoxed 8 12 2" xfId="35904" xr:uid="{67688C1F-8060-453B-A48C-DBCE51719C72}"/>
    <cellStyle name="RISKdarkBoxed 8 13" xfId="16255" xr:uid="{519C0BBA-6DC5-4645-8ADF-8F8B60E7BAE3}"/>
    <cellStyle name="RISKdarkBoxed 8 13 2" xfId="37794" xr:uid="{0A4BBDF2-A721-43EB-A138-2EB2F11648A7}"/>
    <cellStyle name="RISKdarkBoxed 8 14" xfId="19052" xr:uid="{843B3B69-475C-4BDB-920B-DB5199A9EA7E}"/>
    <cellStyle name="RISKdarkBoxed 8 14 2" xfId="39884" xr:uid="{F7EC6942-F67D-4576-A244-DBF6852ABD4A}"/>
    <cellStyle name="RISKdarkBoxed 8 15" xfId="13885" xr:uid="{BA3E05A5-2506-4538-A471-4D1A6E7B3A1D}"/>
    <cellStyle name="RISKdarkBoxed 8 15 2" xfId="36007" xr:uid="{F444E9DD-6CB3-4AD3-A1BB-0A9C329003AB}"/>
    <cellStyle name="RISKdarkBoxed 8 16" xfId="21361" xr:uid="{708367E0-BA6A-442F-BF08-EEDA31BA2D68}"/>
    <cellStyle name="RISKdarkBoxed 8 16 2" xfId="41490" xr:uid="{68ECB69C-3C9E-46C5-A2A7-29899531F204}"/>
    <cellStyle name="RISKdarkBoxed 8 17" xfId="16112" xr:uid="{66AED518-DE89-4EDD-A08B-84412B0C36CF}"/>
    <cellStyle name="RISKdarkBoxed 8 17 2" xfId="37682" xr:uid="{E9A0FD6B-D44E-488F-A0D6-CAB3837A5E12}"/>
    <cellStyle name="RISKdarkBoxed 8 18" xfId="17844" xr:uid="{0B2EFDA5-BDA3-4CDE-A3D4-ED9BD107DAA1}"/>
    <cellStyle name="RISKdarkBoxed 8 18 2" xfId="38960" xr:uid="{23859697-E22C-490B-931F-1E9BF67C3A9D}"/>
    <cellStyle name="RISKdarkBoxed 8 19" xfId="22552" xr:uid="{77A35166-5BEF-4075-A21C-A941CA25BB8A}"/>
    <cellStyle name="RISKdarkBoxed 8 19 2" xfId="42343" xr:uid="{103FD948-92B3-466D-91BE-F13C3BA4B6FE}"/>
    <cellStyle name="RISKdarkBoxed 8 2" xfId="3578" xr:uid="{1BE83DB2-63FA-4011-BE83-C8B14331BF68}"/>
    <cellStyle name="RISKdarkBoxed 8 2 10" xfId="17358" xr:uid="{A370723E-6E3D-440D-B85B-63FF0DFE1255}"/>
    <cellStyle name="RISKdarkBoxed 8 2 10 2" xfId="38605" xr:uid="{C3F143BD-51CB-4240-B6C8-69C7629BE460}"/>
    <cellStyle name="RISKdarkBoxed 8 2 11" xfId="18200" xr:uid="{A74FB26D-56DA-476E-8D8F-FCF8986746A2}"/>
    <cellStyle name="RISKdarkBoxed 8 2 11 2" xfId="39238" xr:uid="{64181150-A138-4656-94B7-1D41C040E846}"/>
    <cellStyle name="RISKdarkBoxed 8 2 12" xfId="15328" xr:uid="{567CA172-BBC6-4D44-A459-ED4D2B7A83BF}"/>
    <cellStyle name="RISKdarkBoxed 8 2 12 2" xfId="37028" xr:uid="{C8DE0896-D220-4360-864B-F546F7FB1AD7}"/>
    <cellStyle name="RISKdarkBoxed 8 2 13" xfId="17324" xr:uid="{2B51DB98-2EF7-4985-8BD3-EEF82422362A}"/>
    <cellStyle name="RISKdarkBoxed 8 2 13 2" xfId="38591" xr:uid="{804B6341-D0A9-4C83-9A82-CC0138E8A978}"/>
    <cellStyle name="RISKdarkBoxed 8 2 14" xfId="19593" xr:uid="{92CA75C4-FE23-4FB2-AE2F-063CF0B8E36C}"/>
    <cellStyle name="RISKdarkBoxed 8 2 14 2" xfId="40233" xr:uid="{CD894917-A726-40C6-8AA2-21E322433815}"/>
    <cellStyle name="RISKdarkBoxed 8 2 15" xfId="20666" xr:uid="{7098397E-BE8E-4BE3-9C35-17DC760D94B7}"/>
    <cellStyle name="RISKdarkBoxed 8 2 15 2" xfId="41026" xr:uid="{BEFE3BD7-494A-4A0E-A664-4914B51C24A4}"/>
    <cellStyle name="RISKdarkBoxed 8 2 16" xfId="17817" xr:uid="{A0DB929F-3CC6-4F5B-9BDE-D0EEA0B5B924}"/>
    <cellStyle name="RISKdarkBoxed 8 2 16 2" xfId="38942" xr:uid="{41C9F5AD-90C2-44D9-9CFD-EB9885D05599}"/>
    <cellStyle name="RISKdarkBoxed 8 2 17" xfId="19563" xr:uid="{6D07A5A7-0C62-434D-BD35-7B2F3ACE5506}"/>
    <cellStyle name="RISKdarkBoxed 8 2 17 2" xfId="40221" xr:uid="{80B78CF9-FED0-4C42-8D22-22242D234134}"/>
    <cellStyle name="RISKdarkBoxed 8 2 18" xfId="24691" xr:uid="{367B3478-1622-41B1-8368-F63BBFCBFCF0}"/>
    <cellStyle name="RISKdarkBoxed 8 2 18 2" xfId="43836" xr:uid="{87C30330-587A-4806-856C-A941827EC706}"/>
    <cellStyle name="RISKdarkBoxed 8 2 19" xfId="26323" xr:uid="{17DA9C0E-0560-4B54-8C34-598AE4584A6F}"/>
    <cellStyle name="RISKdarkBoxed 8 2 19 2" xfId="45008" xr:uid="{CB129D80-F36F-4F7C-8770-3ACA7D822A85}"/>
    <cellStyle name="RISKdarkBoxed 8 2 2" xfId="7578" xr:uid="{BF4F5B07-B332-47E3-8190-8609D7F8DA7C}"/>
    <cellStyle name="RISKdarkBoxed 8 2 2 2" xfId="31881" xr:uid="{583FC320-7FBB-47A6-829C-6CD753BBEF8F}"/>
    <cellStyle name="RISKdarkBoxed 8 2 20" xfId="22689" xr:uid="{538BBA59-7252-4194-A210-CADEC09D10D5}"/>
    <cellStyle name="RISKdarkBoxed 8 2 20 2" xfId="42450" xr:uid="{08E07099-4AC5-455D-B218-EC274CC89283}"/>
    <cellStyle name="RISKdarkBoxed 8 2 21" xfId="18760" xr:uid="{C1CD03B0-551E-4271-87A6-A00D2BA78DFE}"/>
    <cellStyle name="RISKdarkBoxed 8 2 21 2" xfId="39635" xr:uid="{9A42ACCD-242E-462B-B7C0-913122C910DD}"/>
    <cellStyle name="RISKdarkBoxed 8 2 22" xfId="24397" xr:uid="{25493121-8B24-4149-8A19-A9E989E5C8F3}"/>
    <cellStyle name="RISKdarkBoxed 8 2 22 2" xfId="43638" xr:uid="{6566205A-7932-4141-9A40-7B332B2550B1}"/>
    <cellStyle name="RISKdarkBoxed 8 2 23" xfId="28886" xr:uid="{9049147F-1915-4526-A292-5E43656927BD}"/>
    <cellStyle name="RISKdarkBoxed 8 2 23 2" xfId="46496" xr:uid="{E765885F-3022-49A6-BFE5-C7FE8AB931FC}"/>
    <cellStyle name="RISKdarkBoxed 8 2 24" xfId="29337" xr:uid="{8E9AF436-883E-44E3-BA78-C07FC524DFF4}"/>
    <cellStyle name="RISKdarkBoxed 8 2 24 2" xfId="46813" xr:uid="{0771C12C-F683-494A-93BA-467734E9204C}"/>
    <cellStyle name="RISKdarkBoxed 8 2 25" xfId="25633" xr:uid="{0A3BEAFA-CA27-4D66-A001-FF4118027EC4}"/>
    <cellStyle name="RISKdarkBoxed 8 2 25 2" xfId="44486" xr:uid="{07A8E1D8-13E0-4459-93FC-B10AECACED56}"/>
    <cellStyle name="RISKdarkBoxed 8 2 26" xfId="29637" xr:uid="{2917E126-6D90-410B-8D54-16F6A0DDCFBF}"/>
    <cellStyle name="RISKdarkBoxed 8 2 26 2" xfId="47020" xr:uid="{33076636-DCBF-4EC0-957D-15965857E68D}"/>
    <cellStyle name="RISKdarkBoxed 8 2 27" xfId="25859" xr:uid="{F498F57D-9799-4AF9-8AB9-8207F1D89490}"/>
    <cellStyle name="RISKdarkBoxed 8 2 27 2" xfId="44677" xr:uid="{D953F16B-8ADC-4A99-86CD-F5951040AEFC}"/>
    <cellStyle name="RISKdarkBoxed 8 2 28" xfId="28219" xr:uid="{6BB022B7-AEFA-4BD6-8685-4DE4E5E0C904}"/>
    <cellStyle name="RISKdarkBoxed 8 2 28 2" xfId="46102" xr:uid="{69981D2E-A40A-43CA-A27D-56CB16CD5576}"/>
    <cellStyle name="RISKdarkBoxed 8 2 29" xfId="30506" xr:uid="{8B0499E8-9361-43A1-9657-8FB7E9E5F645}"/>
    <cellStyle name="RISKdarkBoxed 8 2 29 2" xfId="47509" xr:uid="{7CC5A6BF-BB02-4CD7-BC7A-9E163B2000CB}"/>
    <cellStyle name="RISKdarkBoxed 8 2 3" xfId="9985" xr:uid="{13354B82-0334-4038-814D-A28D8A01C84F}"/>
    <cellStyle name="RISKdarkBoxed 8 2 3 2" xfId="33730" xr:uid="{805CBD00-D104-42BF-9297-82D16A7CAC67}"/>
    <cellStyle name="RISKdarkBoxed 8 2 30" xfId="6128" xr:uid="{8580C550-E472-4C2E-94D7-703EF7AA0F9E}"/>
    <cellStyle name="RISKdarkBoxed 8 2 4" xfId="11697" xr:uid="{E572D260-E3DB-4CEA-AFB5-9F65D188E787}"/>
    <cellStyle name="RISKdarkBoxed 8 2 4 2" xfId="34310" xr:uid="{42342CA4-B24B-422C-9412-5889E7C827F4}"/>
    <cellStyle name="RISKdarkBoxed 8 2 5" xfId="12000" xr:uid="{A3BA3D6E-6214-4064-8602-CF63B6B527FD}"/>
    <cellStyle name="RISKdarkBoxed 8 2 5 2" xfId="34558" xr:uid="{FDCB335E-9987-4AEF-9671-87640BA22930}"/>
    <cellStyle name="RISKdarkBoxed 8 2 6" xfId="15978" xr:uid="{18FF19EB-9893-4AE9-B267-414E3BA42354}"/>
    <cellStyle name="RISKdarkBoxed 8 2 6 2" xfId="37569" xr:uid="{248308B8-1F88-4391-A20C-1C794A6B5E7D}"/>
    <cellStyle name="RISKdarkBoxed 8 2 7" xfId="7008" xr:uid="{7AD0027C-CB3F-4B2D-8F18-FA7D1E978483}"/>
    <cellStyle name="RISKdarkBoxed 8 2 7 2" xfId="31375" xr:uid="{DAB09AE4-6104-4BE1-8C07-E95403055231}"/>
    <cellStyle name="RISKdarkBoxed 8 2 8" xfId="13842" xr:uid="{D9A94E98-13DC-4F4C-AC80-B1B18C66E8D4}"/>
    <cellStyle name="RISKdarkBoxed 8 2 8 2" xfId="35965" xr:uid="{86D3A2CE-0720-4DF0-9971-28AE5D9937A7}"/>
    <cellStyle name="RISKdarkBoxed 8 2 9" xfId="16431" xr:uid="{B22FBB09-35D0-43E8-B3CE-900CA5F0F1FF}"/>
    <cellStyle name="RISKdarkBoxed 8 2 9 2" xfId="37934" xr:uid="{CE308244-9F57-4D24-A77C-22B59F2F10CE}"/>
    <cellStyle name="RISKdarkBoxed 8 20" xfId="22326" xr:uid="{D361CFDD-DE3F-4954-9E0B-360C3F725D0D}"/>
    <cellStyle name="RISKdarkBoxed 8 20 2" xfId="42181" xr:uid="{34C78DBC-FA47-479A-9652-BD2BCD9FE963}"/>
    <cellStyle name="RISKdarkBoxed 8 21" xfId="21349" xr:uid="{1FF5AB71-810F-44CD-90B5-1177CF179561}"/>
    <cellStyle name="RISKdarkBoxed 8 21 2" xfId="41478" xr:uid="{14399341-3EA3-41DD-B5E8-D8880B93DFDF}"/>
    <cellStyle name="RISKdarkBoxed 8 22" xfId="22266" xr:uid="{3F84E3EC-9CBD-4F49-A8C7-69505F9340D0}"/>
    <cellStyle name="RISKdarkBoxed 8 22 2" xfId="42131" xr:uid="{885C9CBF-D2E6-4B91-BE72-FCB0892DC7C1}"/>
    <cellStyle name="RISKdarkBoxed 8 23" xfId="23881" xr:uid="{0164D3C5-F583-448D-AB3C-95B9F8BA0760}"/>
    <cellStyle name="RISKdarkBoxed 8 23 2" xfId="43260" xr:uid="{6147F2CE-67E0-4172-A519-0C7C35EE49CF}"/>
    <cellStyle name="RISKdarkBoxed 8 24" xfId="21946" xr:uid="{BB67B045-0B5B-4D29-BFD9-876C97C6D43C}"/>
    <cellStyle name="RISKdarkBoxed 8 24 2" xfId="41859" xr:uid="{A2D107E0-9550-4DAF-B7A4-68BC56E87DAC}"/>
    <cellStyle name="RISKdarkBoxed 8 25" xfId="22376" xr:uid="{FD9069E8-5466-4011-AE5F-1E30D4E7EED6}"/>
    <cellStyle name="RISKdarkBoxed 8 25 2" xfId="42217" xr:uid="{0F864275-6C95-40DC-86BE-78DBD4D839F4}"/>
    <cellStyle name="RISKdarkBoxed 8 26" xfId="28383" xr:uid="{51A924FB-233F-4B7B-8AD2-3AE950409989}"/>
    <cellStyle name="RISKdarkBoxed 8 26 2" xfId="46232" xr:uid="{0DDBA3FF-D4CB-47C7-B196-B6ED4C7484EC}"/>
    <cellStyle name="RISKdarkBoxed 8 27" xfId="28475" xr:uid="{33A1FB0C-BB43-4E1F-82CF-2083D7E1FB3C}"/>
    <cellStyle name="RISKdarkBoxed 8 27 2" xfId="46286" xr:uid="{F7B97BC9-868D-4B6B-9301-5213A5C9A233}"/>
    <cellStyle name="RISKdarkBoxed 8 28" xfId="29945" xr:uid="{140A0D37-A7C0-4E21-9085-FD30686CD5F0}"/>
    <cellStyle name="RISKdarkBoxed 8 28 2" xfId="47212" xr:uid="{954E977D-BBBD-4A68-888C-0B6F65506C12}"/>
    <cellStyle name="RISKdarkBoxed 8 29" xfId="28263" xr:uid="{B6F81198-D38B-4BB0-8E52-01CFE11D2B16}"/>
    <cellStyle name="RISKdarkBoxed 8 29 2" xfId="46130" xr:uid="{4957BC77-270C-490E-9332-B9530AFCAA9C}"/>
    <cellStyle name="RISKdarkBoxed 8 3" xfId="3579" xr:uid="{AA72999E-3793-4942-AB50-B573A37BB15D}"/>
    <cellStyle name="RISKdarkBoxed 8 3 10" xfId="15649" xr:uid="{226992CB-18C1-4C6E-B961-1B1D3F7A38BA}"/>
    <cellStyle name="RISKdarkBoxed 8 3 10 2" xfId="37307" xr:uid="{4776D3D3-8680-4D2A-9D8D-60D2CEBE76D1}"/>
    <cellStyle name="RISKdarkBoxed 8 3 11" xfId="17672" xr:uid="{97999871-2A9E-4375-9DAB-61DA77BDF4B7}"/>
    <cellStyle name="RISKdarkBoxed 8 3 11 2" xfId="38863" xr:uid="{BE3BB4AA-A70E-4B05-8EBD-E44BBC90B32E}"/>
    <cellStyle name="RISKdarkBoxed 8 3 12" xfId="20075" xr:uid="{4A22A5B7-0245-4CDD-992F-038D246E103F}"/>
    <cellStyle name="RISKdarkBoxed 8 3 12 2" xfId="40622" xr:uid="{C934F571-E33A-43EB-B0ED-A17950D9DA2A}"/>
    <cellStyle name="RISKdarkBoxed 8 3 13" xfId="18473" xr:uid="{713B99CA-DC60-4F5D-9E91-EE893C128083}"/>
    <cellStyle name="RISKdarkBoxed 8 3 13 2" xfId="39468" xr:uid="{6B35278B-2ABF-4779-8888-B021F73DBD40}"/>
    <cellStyle name="RISKdarkBoxed 8 3 14" xfId="21344" xr:uid="{082144A6-9767-4BCD-909D-5993642CF12C}"/>
    <cellStyle name="RISKdarkBoxed 8 3 14 2" xfId="41473" xr:uid="{5E8B834C-7418-4813-BEAC-A5F9494207A3}"/>
    <cellStyle name="RISKdarkBoxed 8 3 15" xfId="20606" xr:uid="{212F217F-709E-4BD1-B2D9-CD0AA4BA0DCA}"/>
    <cellStyle name="RISKdarkBoxed 8 3 15 2" xfId="40966" xr:uid="{B26731C9-A9FB-4B2C-BCD2-4507FDD65A6C}"/>
    <cellStyle name="RISKdarkBoxed 8 3 16" xfId="21154" xr:uid="{F3B74D0B-C24A-4460-B068-180BAA528367}"/>
    <cellStyle name="RISKdarkBoxed 8 3 16 2" xfId="41347" xr:uid="{64103F06-C040-4880-808B-8200E6F2BD60}"/>
    <cellStyle name="RISKdarkBoxed 8 3 17" xfId="24448" xr:uid="{2D1C8ADA-1643-4B0A-8F84-EFFED74C1EDA}"/>
    <cellStyle name="RISKdarkBoxed 8 3 17 2" xfId="43659" xr:uid="{BF6A3B2A-8289-4056-A66F-888F46B025C8}"/>
    <cellStyle name="RISKdarkBoxed 8 3 18" xfId="22854" xr:uid="{7E6FAC93-7185-4E5D-9BDF-6FC92D3F8E5C}"/>
    <cellStyle name="RISKdarkBoxed 8 3 18 2" xfId="42572" xr:uid="{11295366-5BD7-45F5-A32B-995BFE38B348}"/>
    <cellStyle name="RISKdarkBoxed 8 3 19" xfId="21298" xr:uid="{8267D46F-0773-4136-963B-3848259719B8}"/>
    <cellStyle name="RISKdarkBoxed 8 3 19 2" xfId="41465" xr:uid="{0E179132-B8C9-48C9-8D57-9E403B757D0D}"/>
    <cellStyle name="RISKdarkBoxed 8 3 2" xfId="11983" xr:uid="{24297993-9E65-49B0-BA66-8D994A4466BF}"/>
    <cellStyle name="RISKdarkBoxed 8 3 2 2" xfId="34543" xr:uid="{453AA119-EDBB-49E6-BC97-EB8E62B00999}"/>
    <cellStyle name="RISKdarkBoxed 8 3 20" xfId="26396" xr:uid="{E637685E-771C-4051-BA59-C42055A6151C}"/>
    <cellStyle name="RISKdarkBoxed 8 3 20 2" xfId="45061" xr:uid="{17D8B259-3253-4F8D-B2FF-9ACAB6094663}"/>
    <cellStyle name="RISKdarkBoxed 8 3 21" xfId="23880" xr:uid="{25022625-306E-4BC2-84FC-AF82C6282C05}"/>
    <cellStyle name="RISKdarkBoxed 8 3 21 2" xfId="43259" xr:uid="{BB2CE635-7681-4573-9190-F21C52D401A0}"/>
    <cellStyle name="RISKdarkBoxed 8 3 22" xfId="23598" xr:uid="{9CC0780E-72ED-4340-BE68-B4B5F343F01B}"/>
    <cellStyle name="RISKdarkBoxed 8 3 22 2" xfId="43033" xr:uid="{34356276-FFCA-4B99-956A-F0811445A473}"/>
    <cellStyle name="RISKdarkBoxed 8 3 23" xfId="28137" xr:uid="{7D44907D-C390-4152-B4E4-B645367D3468}"/>
    <cellStyle name="RISKdarkBoxed 8 3 23 2" xfId="46077" xr:uid="{8CA17CAB-CEC9-4F4C-A719-3774670E7D90}"/>
    <cellStyle name="RISKdarkBoxed 8 3 24" xfId="26055" xr:uid="{0F5A50EF-5A79-437E-8F30-580388072EB1}"/>
    <cellStyle name="RISKdarkBoxed 8 3 24 2" xfId="44821" xr:uid="{013385AF-9736-47DF-8CCF-D39DFE84BF77}"/>
    <cellStyle name="RISKdarkBoxed 8 3 25" xfId="28474" xr:uid="{00043939-AB07-419B-B0E0-C2DBCA1B87B2}"/>
    <cellStyle name="RISKdarkBoxed 8 3 25 2" xfId="46285" xr:uid="{9565C6FF-0663-4053-8FE6-5B9611F199A1}"/>
    <cellStyle name="RISKdarkBoxed 8 3 26" xfId="25980" xr:uid="{B1FF73C1-7A03-43EA-A81E-662C6D3B8307}"/>
    <cellStyle name="RISKdarkBoxed 8 3 26 2" xfId="44766" xr:uid="{001BB02B-7303-4B5D-9FC1-567F2CB438CB}"/>
    <cellStyle name="RISKdarkBoxed 8 3 27" xfId="29361" xr:uid="{1923AEBE-E187-4966-85F0-CF97649CA95B}"/>
    <cellStyle name="RISKdarkBoxed 8 3 27 2" xfId="46834" xr:uid="{5C4FA288-BCF9-450E-AD97-92AD69A9D77F}"/>
    <cellStyle name="RISKdarkBoxed 8 3 28" xfId="25979" xr:uid="{51F7C590-91DE-42D3-9967-9ECC30A8AC13}"/>
    <cellStyle name="RISKdarkBoxed 8 3 28 2" xfId="44765" xr:uid="{A838C6DA-515E-46F3-AE61-965707495AF0}"/>
    <cellStyle name="RISKdarkBoxed 8 3 29" xfId="30654" xr:uid="{CF807959-1E87-46FF-841E-E2219F1C7263}"/>
    <cellStyle name="RISKdarkBoxed 8 3 29 2" xfId="47600" xr:uid="{6B014D40-865B-43FC-9447-F3F3C99DFF5B}"/>
    <cellStyle name="RISKdarkBoxed 8 3 3" xfId="9986" xr:uid="{AB55C9FD-C5F6-4800-95DD-63185ACC7881}"/>
    <cellStyle name="RISKdarkBoxed 8 3 3 2" xfId="33731" xr:uid="{853BC293-2DD3-4398-A5D3-8D015CE6E971}"/>
    <cellStyle name="RISKdarkBoxed 8 3 30" xfId="6127" xr:uid="{009CAC84-B543-4582-9610-629C5C6F265D}"/>
    <cellStyle name="RISKdarkBoxed 8 3 4" xfId="7267" xr:uid="{05EEE07A-B0DF-4FA8-BAF8-AB9011D70A38}"/>
    <cellStyle name="RISKdarkBoxed 8 3 4 2" xfId="31631" xr:uid="{E97009C7-70E8-482B-97DF-9DDF06B3A526}"/>
    <cellStyle name="RISKdarkBoxed 8 3 5" xfId="7593" xr:uid="{8E4FF0E7-5D3C-4E4C-B24A-1B3E365FD25D}"/>
    <cellStyle name="RISKdarkBoxed 8 3 5 2" xfId="31894" xr:uid="{3505FED1-AD79-4E93-8388-A4DEA5F0F944}"/>
    <cellStyle name="RISKdarkBoxed 8 3 6" xfId="15977" xr:uid="{20166F8E-59C0-4479-A275-32C8EDAD1591}"/>
    <cellStyle name="RISKdarkBoxed 8 3 6 2" xfId="37568" xr:uid="{907074A3-1792-498B-8E7A-D67238C626DB}"/>
    <cellStyle name="RISKdarkBoxed 8 3 7" xfId="12400" xr:uid="{3E14C9AC-A1C3-4191-B762-CF7DF0486C9E}"/>
    <cellStyle name="RISKdarkBoxed 8 3 7 2" xfId="34887" xr:uid="{41AAF9CE-C71E-49FC-B736-02A99DAD6A9D}"/>
    <cellStyle name="RISKdarkBoxed 8 3 8" xfId="13491" xr:uid="{E6330CD5-DC5D-4E81-8D82-1C2E9CEAA6F8}"/>
    <cellStyle name="RISKdarkBoxed 8 3 8 2" xfId="35745" xr:uid="{B0759807-8024-4CBB-8862-D91D816C58BA}"/>
    <cellStyle name="RISKdarkBoxed 8 3 9" xfId="13994" xr:uid="{44DC9B57-8674-46D7-9887-495C29B17D1B}"/>
    <cellStyle name="RISKdarkBoxed 8 3 9 2" xfId="36088" xr:uid="{F44E218F-2957-44F8-81B9-3DB42E623C17}"/>
    <cellStyle name="RISKdarkBoxed 8 30" xfId="29950" xr:uid="{FA396181-24C5-40FF-A64C-586DF85407B2}"/>
    <cellStyle name="RISKdarkBoxed 8 30 2" xfId="47217" xr:uid="{607F6486-4A98-4C25-B811-B57852B0788A}"/>
    <cellStyle name="RISKdarkBoxed 8 31" xfId="29228" xr:uid="{8AE373FE-E215-464D-9ACA-285F4AF43FAE}"/>
    <cellStyle name="RISKdarkBoxed 8 31 2" xfId="46747" xr:uid="{4477F1E9-1F36-4B80-AD90-C1F48A0934FE}"/>
    <cellStyle name="RISKdarkBoxed 8 32" xfId="6129" xr:uid="{CDA8F95B-EF4C-49E0-B4CB-10FDE3D9F98A}"/>
    <cellStyle name="RISKdarkBoxed 8 4" xfId="11984" xr:uid="{931F5EF4-2CF6-47E3-9CF7-7305DD28CCD6}"/>
    <cellStyle name="RISKdarkBoxed 8 4 2" xfId="34544" xr:uid="{C8F20510-895E-45F3-8615-3B9A314C73ED}"/>
    <cellStyle name="RISKdarkBoxed 8 5" xfId="9984" xr:uid="{1C73EBF7-F1FD-4254-A93A-8691236ACF2D}"/>
    <cellStyle name="RISKdarkBoxed 8 5 2" xfId="33729" xr:uid="{B5707C30-EABF-42A0-B41E-C6B20A1C75AA}"/>
    <cellStyle name="RISKdarkBoxed 8 6" xfId="13413" xr:uid="{B45FFC67-B5CA-410B-80D8-9644EF89E52D}"/>
    <cellStyle name="RISKdarkBoxed 8 6 2" xfId="35716" xr:uid="{5BC2A21F-C61C-49D1-BB32-6B00AA95A7D8}"/>
    <cellStyle name="RISKdarkBoxed 8 7" xfId="7594" xr:uid="{2850BE48-CAF9-4F9E-995F-B3147D300E1A}"/>
    <cellStyle name="RISKdarkBoxed 8 7 2" xfId="31895" xr:uid="{97498AB4-3EE6-4A3F-99B7-0D3B39F67047}"/>
    <cellStyle name="RISKdarkBoxed 8 8" xfId="10600" xr:uid="{70AA7754-CBDE-4890-B151-1ADA2B9A6200}"/>
    <cellStyle name="RISKdarkBoxed 8 8 2" xfId="34226" xr:uid="{EF46BD10-4932-426F-B131-7366510DF11D}"/>
    <cellStyle name="RISKdarkBoxed 8 9" xfId="14226" xr:uid="{29B67CF4-A03A-4079-AC38-6BB0224443E5}"/>
    <cellStyle name="RISKdarkBoxed 8 9 2" xfId="36279" xr:uid="{A6A680B6-CFE4-44D7-8B0E-C34F0610876E}"/>
    <cellStyle name="RISKdarkBoxed 9" xfId="3580" xr:uid="{A3D470A9-6D5B-4D25-A45B-5C7E2586803B}"/>
    <cellStyle name="RISKdarkBoxed 9 10" xfId="17357" xr:uid="{9777C90E-E4AC-4FDA-A2F8-C747A067E408}"/>
    <cellStyle name="RISKdarkBoxed 9 10 2" xfId="38604" xr:uid="{10AE5C68-5CE4-4A06-9D5E-C4DB8BF97C70}"/>
    <cellStyle name="RISKdarkBoxed 9 11" xfId="18199" xr:uid="{4D94079E-457D-4804-9959-BDE25E5D0B48}"/>
    <cellStyle name="RISKdarkBoxed 9 11 2" xfId="39237" xr:uid="{65B8F67D-BF1D-4B66-9029-647663E6B681}"/>
    <cellStyle name="RISKdarkBoxed 9 12" xfId="20074" xr:uid="{C2BCC050-B493-483F-B490-01EE0B021B36}"/>
    <cellStyle name="RISKdarkBoxed 9 12 2" xfId="40621" xr:uid="{B2E21419-94E3-49E4-9AA5-07B3FD7726C2}"/>
    <cellStyle name="RISKdarkBoxed 9 13" xfId="13765" xr:uid="{6074FE31-9B8B-46AF-9621-994DB0B49C57}"/>
    <cellStyle name="RISKdarkBoxed 9 13 2" xfId="35911" xr:uid="{BAC87E2A-6A99-4AE8-89D5-C7F867E20168}"/>
    <cellStyle name="RISKdarkBoxed 9 14" xfId="21360" xr:uid="{66AE192B-8E6F-46D2-8FA4-C49A85CCD6E3}"/>
    <cellStyle name="RISKdarkBoxed 9 14 2" xfId="41489" xr:uid="{18F99419-CD47-43F9-BA2E-6B0352025FDC}"/>
    <cellStyle name="RISKdarkBoxed 9 15" xfId="18906" xr:uid="{2355F089-7F30-42FE-99F6-0A5AE68F0F94}"/>
    <cellStyle name="RISKdarkBoxed 9 15 2" xfId="39739" xr:uid="{B75CE2AE-7E08-4AE2-8AD3-38775600FD84}"/>
    <cellStyle name="RISKdarkBoxed 9 16" xfId="22134" xr:uid="{DAFED624-9859-478F-BC12-353110B89F19}"/>
    <cellStyle name="RISKdarkBoxed 9 16 2" xfId="42019" xr:uid="{053D47FA-4B5B-457E-98B5-8F69553B3BF1}"/>
    <cellStyle name="RISKdarkBoxed 9 17" xfId="17782" xr:uid="{A4381225-6C2A-436F-8796-6DDC27081ED5}"/>
    <cellStyle name="RISKdarkBoxed 9 17 2" xfId="38913" xr:uid="{E2AFE843-CF29-4321-9ED1-CEA8EDBD29EB}"/>
    <cellStyle name="RISKdarkBoxed 9 18" xfId="25751" xr:uid="{D725F1F8-85BE-4DD2-823F-363C0D0E18E8}"/>
    <cellStyle name="RISKdarkBoxed 9 18 2" xfId="44588" xr:uid="{041F21E6-2D73-4FD3-953F-6B621E357F4E}"/>
    <cellStyle name="RISKdarkBoxed 9 19" xfId="22554" xr:uid="{8B173356-F1DB-4FB7-ACC1-DF287CD6F5BF}"/>
    <cellStyle name="RISKdarkBoxed 9 19 2" xfId="42345" xr:uid="{9520A3E5-625F-4BB4-B9C1-B09B02BFD5BD}"/>
    <cellStyle name="RISKdarkBoxed 9 2" xfId="7577" xr:uid="{9F264F02-298A-4743-9B91-677FCBC3715B}"/>
    <cellStyle name="RISKdarkBoxed 9 2 2" xfId="31880" xr:uid="{3F93E91C-457F-427E-9300-56FFD58C0956}"/>
    <cellStyle name="RISKdarkBoxed 9 20" xfId="24489" xr:uid="{E85425A4-C4E5-4143-84E3-679D334E55FF}"/>
    <cellStyle name="RISKdarkBoxed 9 20 2" xfId="43672" xr:uid="{7E4F3F69-44A4-4669-B053-D0001FC0CEF2}"/>
    <cellStyle name="RISKdarkBoxed 9 21" xfId="20338" xr:uid="{FACE24B0-F6C2-42D0-A2D5-3985C64B0388}"/>
    <cellStyle name="RISKdarkBoxed 9 21 2" xfId="40771" xr:uid="{C950FCCE-9A6F-40DF-A46F-169901CF2B28}"/>
    <cellStyle name="RISKdarkBoxed 9 22" xfId="25544" xr:uid="{C0AF3FFD-12FB-4441-B841-B2C4C6174FD5}"/>
    <cellStyle name="RISKdarkBoxed 9 22 2" xfId="44418" xr:uid="{AE0A792F-61EC-4921-A9BB-26E387113479}"/>
    <cellStyle name="RISKdarkBoxed 9 23" xfId="28893" xr:uid="{6E3EBA60-6A17-4BA3-97A3-71524D8686A3}"/>
    <cellStyle name="RISKdarkBoxed 9 23 2" xfId="46501" xr:uid="{D29BE968-C1F6-432B-A765-96BE53C3F27F}"/>
    <cellStyle name="RISKdarkBoxed 9 24" xfId="29556" xr:uid="{FAFA9F7E-D100-4DCB-97D5-D7F084E881E8}"/>
    <cellStyle name="RISKdarkBoxed 9 24 2" xfId="46955" xr:uid="{94A790B3-FB5E-4925-999C-61B0C1B522A6}"/>
    <cellStyle name="RISKdarkBoxed 9 25" xfId="27094" xr:uid="{A71D8D80-A873-47BF-BE1C-885FF6626E1F}"/>
    <cellStyle name="RISKdarkBoxed 9 25 2" xfId="45471" xr:uid="{4FBE3598-9CF2-4A10-BDB8-F874D7258B0C}"/>
    <cellStyle name="RISKdarkBoxed 9 26" xfId="30344" xr:uid="{45CC6DDA-94DC-43DB-B242-14D2AB85A727}"/>
    <cellStyle name="RISKdarkBoxed 9 26 2" xfId="47475" xr:uid="{7927110F-8ACA-48C6-8C70-E1A52A077CC4}"/>
    <cellStyle name="RISKdarkBoxed 9 27" xfId="30465" xr:uid="{E9F1E8AE-6F30-46E9-B8E8-CD4D785E666B}"/>
    <cellStyle name="RISKdarkBoxed 9 27 2" xfId="47501" xr:uid="{8AF136CC-E70B-43B3-9AEB-66AF1C4CB21C}"/>
    <cellStyle name="RISKdarkBoxed 9 28" xfId="23744" xr:uid="{34B3C3DD-2D1D-4DBE-83F6-4DBB154BC44B}"/>
    <cellStyle name="RISKdarkBoxed 9 28 2" xfId="43156" xr:uid="{312B3F59-9473-4023-A5D5-F287AC40B118}"/>
    <cellStyle name="RISKdarkBoxed 9 29" xfId="30212" xr:uid="{FC7865BB-574F-4E51-BD5A-36FED96797E4}"/>
    <cellStyle name="RISKdarkBoxed 9 29 2" xfId="47373" xr:uid="{1D894521-1D67-4334-8314-18F7D5A1F748}"/>
    <cellStyle name="RISKdarkBoxed 9 3" xfId="10024" xr:uid="{B86C18BA-39DC-4178-A9BB-82E64B43F972}"/>
    <cellStyle name="RISKdarkBoxed 9 3 2" xfId="33738" xr:uid="{CA101031-659E-4FCF-93A3-4E8E74CF6FD6}"/>
    <cellStyle name="RISKdarkBoxed 9 30" xfId="6126" xr:uid="{1B18B678-14AB-4174-88CF-1A89396533B8}"/>
    <cellStyle name="RISKdarkBoxed 9 4" xfId="11696" xr:uid="{3AE8E601-3C4B-4C49-93D7-2852B3ED361D}"/>
    <cellStyle name="RISKdarkBoxed 9 4 2" xfId="34309" xr:uid="{EFF09BDF-0A3D-4498-BEAC-1D8DEF175B03}"/>
    <cellStyle name="RISKdarkBoxed 9 5" xfId="11999" xr:uid="{D345271A-1AF0-425E-9F67-562002D46FAE}"/>
    <cellStyle name="RISKdarkBoxed 9 5 2" xfId="34557" xr:uid="{4B212A24-8281-4654-9B74-01B5C3127D96}"/>
    <cellStyle name="RISKdarkBoxed 9 6" xfId="14810" xr:uid="{8FA8EAB0-BA13-4E75-A762-9F8130E6728B}"/>
    <cellStyle name="RISKdarkBoxed 9 6 2" xfId="36685" xr:uid="{B9640EBD-F3E0-419F-AC89-4A76AC46466A}"/>
    <cellStyle name="RISKdarkBoxed 9 7" xfId="14225" xr:uid="{6011DF07-FCFB-432B-8772-6DBBB9C175F8}"/>
    <cellStyle name="RISKdarkBoxed 9 7 2" xfId="36278" xr:uid="{7E414D5E-D109-4F21-B48C-A9E1118B1E66}"/>
    <cellStyle name="RISKdarkBoxed 9 8" xfId="16026" xr:uid="{CE47F851-6DEA-4FA4-80EA-8E157FF4D262}"/>
    <cellStyle name="RISKdarkBoxed 9 8 2" xfId="37609" xr:uid="{2D6EFF60-5A26-482D-9A2F-C4A8D675D990}"/>
    <cellStyle name="RISKdarkBoxed 9 9" xfId="16445" xr:uid="{2241ACB8-4D6A-417C-88CD-B7807D467C60}"/>
    <cellStyle name="RISKdarkBoxed 9 9 2" xfId="37938" xr:uid="{954423C9-5095-4E37-BD58-589FB1BF9B0E}"/>
    <cellStyle name="RISKdarkShade" xfId="3581" xr:uid="{85D638D3-09CE-47BF-B332-19F6416E66C3}"/>
    <cellStyle name="RISKdarkShade 10" xfId="3582" xr:uid="{18200B7B-A18A-4107-8B77-99A905D964B6}"/>
    <cellStyle name="RISKdarkShade 2" xfId="3583" xr:uid="{DB67ED68-7CA2-472C-A860-151FBA41FE90}"/>
    <cellStyle name="RISKdarkShade 2 2" xfId="3584" xr:uid="{1F66DC5A-5467-44F2-BA81-62F0920530FD}"/>
    <cellStyle name="RISKdarkShade 2 2 2" xfId="3585" xr:uid="{1DB63CD3-AE6E-4220-B860-173C1A98C420}"/>
    <cellStyle name="RISKdarkShade 2 2 3" xfId="3586" xr:uid="{6459914E-B014-4769-B793-B331CA30462F}"/>
    <cellStyle name="RISKdarkShade 2 3" xfId="3587" xr:uid="{9AAED37D-9E27-4A71-B9D2-89DE67BEDDA3}"/>
    <cellStyle name="RISKdarkShade 2 4" xfId="3588" xr:uid="{A10ECCFE-2E18-4D41-B3E2-8453E02551DA}"/>
    <cellStyle name="RISKdarkShade 3" xfId="3589" xr:uid="{423D8AC6-8A9A-4724-87F1-14FD61FCB77D}"/>
    <cellStyle name="RISKdarkShade 3 2" xfId="3590" xr:uid="{05760E09-88F0-498F-9841-B259687426D3}"/>
    <cellStyle name="RISKdarkShade 3 3" xfId="3591" xr:uid="{C0451D0B-4158-4AE2-99C1-F6F2FFBE01CD}"/>
    <cellStyle name="RISKdarkShade 4" xfId="3592" xr:uid="{CC444B88-3A61-4FE7-BC10-BCFDCA22D94A}"/>
    <cellStyle name="RISKdarkShade 4 2" xfId="3593" xr:uid="{A02D85E2-D727-4D75-B454-AFBB8BB5133C}"/>
    <cellStyle name="RISKdarkShade 4 3" xfId="3594" xr:uid="{FDF8C786-AFA0-4452-BA10-56919430B977}"/>
    <cellStyle name="RISKdarkShade 5" xfId="3595" xr:uid="{57F1418C-DD27-483B-ACDF-07CC6D0A081E}"/>
    <cellStyle name="RISKdarkShade 5 2" xfId="3596" xr:uid="{845C3D2A-B234-40A5-A3B9-570621C0AAA5}"/>
    <cellStyle name="RISKdarkShade 5 3" xfId="3597" xr:uid="{02B10761-B2FA-43F2-A14C-83EAE72A845B}"/>
    <cellStyle name="RISKdarkShade 6" xfId="3598" xr:uid="{3EF94C55-4959-4EF8-8CC7-F1833D801092}"/>
    <cellStyle name="RISKdarkShade 6 2" xfId="3599" xr:uid="{90F22B66-7627-411E-B055-A457EAD52541}"/>
    <cellStyle name="RISKdarkShade 6 3" xfId="3600" xr:uid="{9B5170A2-55BC-4A01-A8B3-AFD75F646AC5}"/>
    <cellStyle name="RISKdarkShade 7" xfId="3601" xr:uid="{159F23D6-ADEB-44DB-A7E4-BB034D305D6E}"/>
    <cellStyle name="RISKdarkShade 7 2" xfId="3602" xr:uid="{61534844-2365-4B6C-955D-E7AFE55510E2}"/>
    <cellStyle name="RISKdarkShade 7 3" xfId="3603" xr:uid="{20FDCFED-8586-45D9-BD02-2E44E87FF21D}"/>
    <cellStyle name="RISKdarkShade 8" xfId="3604" xr:uid="{B59CBFF5-0325-4B1D-AFFC-D616C3B219BA}"/>
    <cellStyle name="RISKdarkShade 8 2" xfId="3605" xr:uid="{F8960A95-AFFB-4228-97E1-D325833BF6C9}"/>
    <cellStyle name="RISKdarkShade 8 3" xfId="3606" xr:uid="{A0B8D45E-6097-40A7-92B5-10B554CCDF03}"/>
    <cellStyle name="RISKdarkShade 9" xfId="3607" xr:uid="{DF02996C-DE68-4627-AC34-202E689B1120}"/>
    <cellStyle name="RISKdbottomEdge" xfId="3608" xr:uid="{007DE5B7-732A-420C-B11C-3840FF32DABD}"/>
    <cellStyle name="RISKdbottomEdge 10" xfId="3609" xr:uid="{A3C42FB0-6A3E-4E07-A322-8EDDD29DC450}"/>
    <cellStyle name="RISKdbottomEdge 2" xfId="3610" xr:uid="{15ED3121-5DF0-4B06-8641-8EA58875B5DB}"/>
    <cellStyle name="RISKdbottomEdge 2 2" xfId="3611" xr:uid="{186960AB-CA86-4DB9-A07E-DB2E1F7D28E4}"/>
    <cellStyle name="RISKdbottomEdge 2 2 2" xfId="3612" xr:uid="{D68DDD1D-A08C-4B9D-9031-FF17D34BDDF8}"/>
    <cellStyle name="RISKdbottomEdge 2 2 3" xfId="3613" xr:uid="{265FCC30-7596-478D-BE80-2B3EFF805038}"/>
    <cellStyle name="RISKdbottomEdge 2 3" xfId="3614" xr:uid="{6D70E306-9FE6-47CC-96D1-DF6AA51271C1}"/>
    <cellStyle name="RISKdbottomEdge 2 4" xfId="3615" xr:uid="{0E65763B-564A-49B7-9DD0-3F5D83670404}"/>
    <cellStyle name="RISKdbottomEdge 3" xfId="3616" xr:uid="{7F124586-C944-4BFC-B5D5-9AABCFF112AC}"/>
    <cellStyle name="RISKdbottomEdge 3 2" xfId="3617" xr:uid="{1C241DBC-8907-4CD9-A9CF-AD6A26AC8E83}"/>
    <cellStyle name="RISKdbottomEdge 3 3" xfId="3618" xr:uid="{5E4E229C-39AC-44D8-8A78-38D8C3F7C92A}"/>
    <cellStyle name="RISKdbottomEdge 4" xfId="3619" xr:uid="{C7D08E34-E366-429F-975D-7BBC858BEEE7}"/>
    <cellStyle name="RISKdbottomEdge 4 2" xfId="3620" xr:uid="{F6A36E2D-FED7-46BB-AFF2-319406DA36AE}"/>
    <cellStyle name="RISKdbottomEdge 4 3" xfId="3621" xr:uid="{58649019-CEC4-4E21-81A1-01A8377F37CF}"/>
    <cellStyle name="RISKdbottomEdge 5" xfId="3622" xr:uid="{689615D4-4177-4A9D-8F83-56C9F2D1A3F6}"/>
    <cellStyle name="RISKdbottomEdge 5 2" xfId="3623" xr:uid="{4AB9222D-A984-455D-A5B7-B6ABDF423BE7}"/>
    <cellStyle name="RISKdbottomEdge 5 3" xfId="3624" xr:uid="{BFFA219B-A777-43C8-8061-89DE0BB5CC4A}"/>
    <cellStyle name="RISKdbottomEdge 6" xfId="3625" xr:uid="{B0E40095-E971-4BE1-9B92-4ED03AE780F8}"/>
    <cellStyle name="RISKdbottomEdge 6 2" xfId="3626" xr:uid="{1DD40AE2-1571-49DF-AA20-244FA768CB54}"/>
    <cellStyle name="RISKdbottomEdge 6 3" xfId="3627" xr:uid="{75B4DC24-9D40-4BFC-BA23-FCB5C93E871F}"/>
    <cellStyle name="RISKdbottomEdge 7" xfId="3628" xr:uid="{1B269FC3-DEC8-4AB9-99A1-F27304CB8C29}"/>
    <cellStyle name="RISKdbottomEdge 7 2" xfId="3629" xr:uid="{9E1B6EF3-BA48-425E-BB62-CC93575AB86E}"/>
    <cellStyle name="RISKdbottomEdge 7 3" xfId="3630" xr:uid="{E8030FDF-DFF2-40B3-B48E-EAC46BBA179B}"/>
    <cellStyle name="RISKdbottomEdge 8" xfId="3631" xr:uid="{4B1CF4CC-64FA-4F7D-B048-09E7A9866B75}"/>
    <cellStyle name="RISKdbottomEdge 8 2" xfId="3632" xr:uid="{F070BEB9-BB1D-47B7-B95A-2BBBE987823C}"/>
    <cellStyle name="RISKdbottomEdge 8 3" xfId="3633" xr:uid="{CD6C3646-880D-4D1D-92E7-A8AFF106A494}"/>
    <cellStyle name="RISKdbottomEdge 9" xfId="3634" xr:uid="{D0E80473-9D77-472E-997B-8A46EC7650AF}"/>
    <cellStyle name="RISKdrightEdge" xfId="3635" xr:uid="{63F12CA3-52A9-4EE1-B22B-1473B20C24A0}"/>
    <cellStyle name="RISKdrightEdge 10" xfId="3636" xr:uid="{415F8210-44CB-421B-84FB-784DC07F816E}"/>
    <cellStyle name="RISKdrightEdge 2" xfId="3637" xr:uid="{FDD386D6-2CEC-4140-8947-CC6DBD63E8FC}"/>
    <cellStyle name="RISKdrightEdge 2 2" xfId="3638" xr:uid="{E60E53FE-2F51-44D0-A42C-5AD499F02B1C}"/>
    <cellStyle name="RISKdrightEdge 2 2 2" xfId="3639" xr:uid="{0C6A1D9A-8C1B-4FFE-8417-E777FC867C18}"/>
    <cellStyle name="RISKdrightEdge 2 2 3" xfId="3640" xr:uid="{2669247F-F85E-4DCE-9F2B-29745D93EF4C}"/>
    <cellStyle name="RISKdrightEdge 2 3" xfId="3641" xr:uid="{B3423A11-03CD-4FB1-92B2-EF0954199FA8}"/>
    <cellStyle name="RISKdrightEdge 2 4" xfId="3642" xr:uid="{0FD0FA92-43B5-4355-AABA-8419450816F3}"/>
    <cellStyle name="RISKdrightEdge 3" xfId="3643" xr:uid="{31A7C623-6FC8-46AC-B908-6347FBB1F3A2}"/>
    <cellStyle name="RISKdrightEdge 3 2" xfId="3644" xr:uid="{DE13DFB3-C740-451F-B69A-C1E02C7899F6}"/>
    <cellStyle name="RISKdrightEdge 3 3" xfId="3645" xr:uid="{9E33FE63-09CF-427B-A710-C802BDE86BF2}"/>
    <cellStyle name="RISKdrightEdge 4" xfId="3646" xr:uid="{0EB61DD3-5B03-45C9-84D6-561B0EF9B664}"/>
    <cellStyle name="RISKdrightEdge 4 2" xfId="3647" xr:uid="{172F0A10-EB83-409B-A156-29C83EF4FC31}"/>
    <cellStyle name="RISKdrightEdge 4 3" xfId="3648" xr:uid="{6CFBC56C-CEDD-4C16-AE8B-E0A1C20C82C5}"/>
    <cellStyle name="RISKdrightEdge 5" xfId="3649" xr:uid="{BD7E7188-6495-4B78-92BF-E2042543AB16}"/>
    <cellStyle name="RISKdrightEdge 5 2" xfId="3650" xr:uid="{9234C58A-B1C5-45F4-804B-49C82EB0E970}"/>
    <cellStyle name="RISKdrightEdge 5 3" xfId="3651" xr:uid="{190D60BC-D0F5-4BC0-BA94-D5360E1695AA}"/>
    <cellStyle name="RISKdrightEdge 6" xfId="3652" xr:uid="{73813BF2-54E9-4E37-B4EA-E9A05A440BFB}"/>
    <cellStyle name="RISKdrightEdge 6 2" xfId="3653" xr:uid="{5DDBD1CD-EA08-4281-A66D-4BD54B6562E2}"/>
    <cellStyle name="RISKdrightEdge 6 3" xfId="3654" xr:uid="{937C44CE-3D5E-4308-9C7C-D43CC7E2B69F}"/>
    <cellStyle name="RISKdrightEdge 7" xfId="3655" xr:uid="{AC8958FB-5963-49B4-ADA2-B8B8D6E15F40}"/>
    <cellStyle name="RISKdrightEdge 7 2" xfId="3656" xr:uid="{76C06494-B7BB-42FA-8779-B20DCBD38845}"/>
    <cellStyle name="RISKdrightEdge 7 3" xfId="3657" xr:uid="{FAD1A582-2C82-4B3F-AD21-E3FF832AC2F9}"/>
    <cellStyle name="RISKdrightEdge 8" xfId="3658" xr:uid="{2BD4A91A-3EBB-4459-BC1A-D0B0CD6D1CA4}"/>
    <cellStyle name="RISKdrightEdge 8 2" xfId="3659" xr:uid="{C11F61EF-C596-4BF9-843E-C0588AAF8CAE}"/>
    <cellStyle name="RISKdrightEdge 8 3" xfId="3660" xr:uid="{321F4478-410A-4BF2-8C46-B7188059B371}"/>
    <cellStyle name="RISKdrightEdge 9" xfId="3661" xr:uid="{63CC9B69-A7F5-4ADC-863F-FC353D330412}"/>
    <cellStyle name="RISKdurationTime" xfId="3662" xr:uid="{71A96CF4-4F8F-448E-BF40-297AF8D47BAE}"/>
    <cellStyle name="RISKdurationTime 10" xfId="3663" xr:uid="{9AA0B4EB-C012-4443-BE14-A207CFA29421}"/>
    <cellStyle name="RISKdurationTime 2" xfId="3664" xr:uid="{7471D5CC-6329-482B-8CEC-1FE1DA5351DE}"/>
    <cellStyle name="RISKdurationTime 2 2" xfId="3665" xr:uid="{DBED3781-6B36-4D35-ADCE-B82290445272}"/>
    <cellStyle name="RISKdurationTime 2 2 2" xfId="3666" xr:uid="{F5EC52B5-D364-4EFB-BDA0-EE9D73D18381}"/>
    <cellStyle name="RISKdurationTime 2 2 3" xfId="3667" xr:uid="{609EDF44-2B81-46D4-8787-8D98182F30C3}"/>
    <cellStyle name="RISKdurationTime 2 3" xfId="3668" xr:uid="{83D1D2C4-73B8-498E-9D94-60336D2BCF8E}"/>
    <cellStyle name="RISKdurationTime 2 4" xfId="3669" xr:uid="{58B314A6-AF39-4424-98B3-1ED99C72D427}"/>
    <cellStyle name="RISKdurationTime 3" xfId="3670" xr:uid="{4E1C95BB-B048-4E64-92C5-64A8DCCA9A06}"/>
    <cellStyle name="RISKdurationTime 3 2" xfId="3671" xr:uid="{6E5DF2FB-10A9-45D1-8E3C-68E39A8256FC}"/>
    <cellStyle name="RISKdurationTime 3 3" xfId="3672" xr:uid="{2FCECC9A-4BC9-4B49-94DF-37FDD411B8A5}"/>
    <cellStyle name="RISKdurationTime 4" xfId="3673" xr:uid="{B3B99C67-3A18-462F-8123-DC2122CE345D}"/>
    <cellStyle name="RISKdurationTime 4 2" xfId="3674" xr:uid="{F4FA7DAE-6C21-4566-B1D3-AB57E4247187}"/>
    <cellStyle name="RISKdurationTime 4 3" xfId="3675" xr:uid="{7089986E-B26B-443D-9CEB-C3810DA833F7}"/>
    <cellStyle name="RISKdurationTime 5" xfId="3676" xr:uid="{55238775-7C02-466F-8175-9D2278E84DF1}"/>
    <cellStyle name="RISKdurationTime 5 2" xfId="3677" xr:uid="{5677E617-95B6-4DAD-808F-571A560EDBCD}"/>
    <cellStyle name="RISKdurationTime 5 3" xfId="3678" xr:uid="{997EF3B6-75D0-4944-B5C6-4D392D86E244}"/>
    <cellStyle name="RISKdurationTime 6" xfId="3679" xr:uid="{9440F8B8-A45B-4993-83D9-218E5610BF73}"/>
    <cellStyle name="RISKdurationTime 6 2" xfId="3680" xr:uid="{9F8606FD-DEE6-4DEE-8F7B-8FABD6A7011F}"/>
    <cellStyle name="RISKdurationTime 6 3" xfId="3681" xr:uid="{CD007DD4-A871-4BD7-8636-D20DA4D55DCC}"/>
    <cellStyle name="RISKdurationTime 7" xfId="3682" xr:uid="{668D38ED-19E1-459C-B8EA-97EBA02A4B32}"/>
    <cellStyle name="RISKdurationTime 7 2" xfId="3683" xr:uid="{509A8AB5-57B7-4FF8-A798-11BFD07E30F0}"/>
    <cellStyle name="RISKdurationTime 7 3" xfId="3684" xr:uid="{860F9089-A371-40EE-93AA-6FE002F51488}"/>
    <cellStyle name="RISKdurationTime 8" xfId="3685" xr:uid="{3F687E7D-46B2-467C-9BFF-F9177D6331EF}"/>
    <cellStyle name="RISKdurationTime 8 2" xfId="3686" xr:uid="{54BABAAD-FA98-474B-BA0C-5B5CC90296D9}"/>
    <cellStyle name="RISKdurationTime 8 3" xfId="3687" xr:uid="{5AD3573D-9ADA-453B-BF6C-4BDEF806A9C9}"/>
    <cellStyle name="RISKdurationTime 9" xfId="3688" xr:uid="{97BA646A-2506-4D03-8386-B2A89D7777FD}"/>
    <cellStyle name="RISKinNumber" xfId="3689" xr:uid="{00461BE1-125F-42B0-B345-ECA6FE7E9876}"/>
    <cellStyle name="RISKinNumber 2" xfId="3690" xr:uid="{F7BAB487-7F35-472E-B23C-A0FA9D6D5578}"/>
    <cellStyle name="RISKinNumber 2 2" xfId="3691" xr:uid="{15C507E6-8B10-4ACF-AEED-AFFFB8EE0E94}"/>
    <cellStyle name="RISKinNumber 2 2 2" xfId="3692" xr:uid="{0F197282-6B56-4C3C-93AA-4246C648FB83}"/>
    <cellStyle name="RISKinNumber 3" xfId="3693" xr:uid="{906F6521-1FD2-4C4E-BF2A-1C9835ED261D}"/>
    <cellStyle name="RISKinNumber 3 2" xfId="3694" xr:uid="{CB1F906D-663A-4B6C-BEEC-3EEA98F74F9E}"/>
    <cellStyle name="RISKinNumber 4" xfId="3695" xr:uid="{425CC7F3-4904-492D-BDF8-FBB3827D2EFF}"/>
    <cellStyle name="RISKinNumber 4 2" xfId="3696" xr:uid="{DCCE4B3E-F95C-45F6-B375-C3E0E32ED4D9}"/>
    <cellStyle name="RISKinNumber 5" xfId="3697" xr:uid="{6FD2683F-2B74-401A-B74F-0D51CDDB3281}"/>
    <cellStyle name="RISKinNumber 5 2" xfId="3698" xr:uid="{CC87CC90-C51F-4BDB-BE3D-2C083E6E69CE}"/>
    <cellStyle name="RISKinNumber 6" xfId="3699" xr:uid="{7D8124BA-6F73-44B2-8E4A-209F80A4FC04}"/>
    <cellStyle name="RISKinNumber 7" xfId="3700" xr:uid="{B605A450-53CC-4D67-8F46-ADD1131398B7}"/>
    <cellStyle name="RISKinNumber 8" xfId="3701" xr:uid="{BF584F69-4427-403C-AFB5-5DFE83CB9EAB}"/>
    <cellStyle name="RISKlandrEdge" xfId="3702" xr:uid="{DD5AB941-2A85-4E7E-9D67-71FEDEB404E5}"/>
    <cellStyle name="RISKlandrEdge 10" xfId="3703" xr:uid="{72324CBA-28D8-4171-9688-CED7387E59A4}"/>
    <cellStyle name="RISKlandrEdge 2" xfId="3704" xr:uid="{7CFCB70B-A769-4C33-98C7-C333E2ACA420}"/>
    <cellStyle name="RISKlandrEdge 2 2" xfId="3705" xr:uid="{F7DCB9EB-ECC3-4EC1-8F73-12D6D9BAAEF5}"/>
    <cellStyle name="RISKlandrEdge 2 2 2" xfId="3706" xr:uid="{8F4C337F-B059-48EC-A67D-2EE0EA6C34C2}"/>
    <cellStyle name="RISKlandrEdge 2 2 3" xfId="3707" xr:uid="{FE3CDD98-AFB6-40CA-82D2-FA21FF00A38A}"/>
    <cellStyle name="RISKlandrEdge 2 3" xfId="3708" xr:uid="{BCFB3B8B-C724-4186-9E6B-5905EC3A8227}"/>
    <cellStyle name="RISKlandrEdge 2 4" xfId="3709" xr:uid="{8E43E227-0EF1-45B4-88F1-753CD7FA395C}"/>
    <cellStyle name="RISKlandrEdge 3" xfId="3710" xr:uid="{90C4B8E6-A021-4A4E-BEBE-F0D87E4FE894}"/>
    <cellStyle name="RISKlandrEdge 3 2" xfId="3711" xr:uid="{4BB88799-6893-44DC-87F0-25C7C55BCE0E}"/>
    <cellStyle name="RISKlandrEdge 3 3" xfId="3712" xr:uid="{0F7F25D8-BD88-49EF-A36E-D4B0DB70AA56}"/>
    <cellStyle name="RISKlandrEdge 4" xfId="3713" xr:uid="{EB495393-5C7F-408E-B845-6D7B13106B2A}"/>
    <cellStyle name="RISKlandrEdge 4 2" xfId="3714" xr:uid="{B2DE91F3-3299-4835-87AC-E0B302CD1990}"/>
    <cellStyle name="RISKlandrEdge 4 3" xfId="3715" xr:uid="{83A8933B-3975-41E1-8011-A674D8EB445D}"/>
    <cellStyle name="RISKlandrEdge 5" xfId="3716" xr:uid="{24033E49-A03E-4ADB-83CE-5EC0CF044BE8}"/>
    <cellStyle name="RISKlandrEdge 5 2" xfId="3717" xr:uid="{54B04BB8-09FE-4751-9866-87B6F5BCCD51}"/>
    <cellStyle name="RISKlandrEdge 5 3" xfId="3718" xr:uid="{4C3B6930-A497-49CF-9A71-9E7424A76052}"/>
    <cellStyle name="RISKlandrEdge 6" xfId="3719" xr:uid="{5D5A916C-4AC6-4784-A638-10AAA884AD10}"/>
    <cellStyle name="RISKlandrEdge 6 2" xfId="3720" xr:uid="{F5C796ED-5C4A-4DAA-8E33-E56F068B2810}"/>
    <cellStyle name="RISKlandrEdge 6 3" xfId="3721" xr:uid="{39D1940C-4EF2-43E5-B0F6-0360F9DBBBA0}"/>
    <cellStyle name="RISKlandrEdge 7" xfId="3722" xr:uid="{178FE45A-517B-4D1F-BE29-31C3ED4CCE8F}"/>
    <cellStyle name="RISKlandrEdge 7 2" xfId="3723" xr:uid="{6C8870C6-50F9-4731-9563-39F5130C962C}"/>
    <cellStyle name="RISKlandrEdge 7 3" xfId="3724" xr:uid="{287323AD-3D01-4B9B-8363-ABEBFD10605D}"/>
    <cellStyle name="RISKlandrEdge 8" xfId="3725" xr:uid="{8A4805E1-0C51-4F15-8BB0-C0BB5FBAF8DA}"/>
    <cellStyle name="RISKlandrEdge 8 2" xfId="3726" xr:uid="{530E4853-A259-4552-B678-3ACCDD71A17E}"/>
    <cellStyle name="RISKlandrEdge 8 3" xfId="3727" xr:uid="{9254DC01-EF77-4D62-8B37-8A8C1A730AC8}"/>
    <cellStyle name="RISKlandrEdge 9" xfId="3728" xr:uid="{9BFB07B2-A0F3-4663-8392-CC19B44D0E0C}"/>
    <cellStyle name="RISKleftEdge" xfId="3729" xr:uid="{8E23C4C7-0899-4DED-857B-629043D493F3}"/>
    <cellStyle name="RISKleftEdge 10" xfId="3730" xr:uid="{2BA04D43-615E-4CCC-853B-F9FC71798519}"/>
    <cellStyle name="RISKleftEdge 2" xfId="3731" xr:uid="{D50D9CB4-107E-4FB6-81C8-B00D6983DCB1}"/>
    <cellStyle name="RISKleftEdge 2 2" xfId="3732" xr:uid="{D760564B-104B-4726-A5F0-6D0518E52201}"/>
    <cellStyle name="RISKleftEdge 2 2 2" xfId="3733" xr:uid="{7B641933-2A9A-4E3F-85E7-6F8B358AB108}"/>
    <cellStyle name="RISKleftEdge 2 2 3" xfId="3734" xr:uid="{83A028F3-54E2-480C-A0A6-B7FCD8779270}"/>
    <cellStyle name="RISKleftEdge 2 3" xfId="3735" xr:uid="{CAC10EC8-34C0-41EA-BAE7-3A65B73C69C3}"/>
    <cellStyle name="RISKleftEdge 2 4" xfId="3736" xr:uid="{A219D8F9-6C1F-4D25-BFE9-3D014CB1F04B}"/>
    <cellStyle name="RISKleftEdge 3" xfId="3737" xr:uid="{C0A7858D-F430-48AE-B0A1-0201F076A75B}"/>
    <cellStyle name="RISKleftEdge 3 2" xfId="3738" xr:uid="{A94186F2-EAC5-4F9D-912D-37A62D968152}"/>
    <cellStyle name="RISKleftEdge 3 3" xfId="3739" xr:uid="{17364179-D06F-4855-B2A7-FC396F27D643}"/>
    <cellStyle name="RISKleftEdge 4" xfId="3740" xr:uid="{86A0F860-9251-40BD-BFBB-35135251C77C}"/>
    <cellStyle name="RISKleftEdge 4 2" xfId="3741" xr:uid="{0F528AAE-64FB-48B2-825F-D81152A0DAFA}"/>
    <cellStyle name="RISKleftEdge 4 3" xfId="3742" xr:uid="{9B23A5EF-8A0B-48CF-9330-F069F8EDD41C}"/>
    <cellStyle name="RISKleftEdge 5" xfId="3743" xr:uid="{0BA7075A-EDD8-4B1C-A85C-C3CEB78E88AD}"/>
    <cellStyle name="RISKleftEdge 5 2" xfId="3744" xr:uid="{BA023C0E-FF01-4317-A5C7-AECF330FB3B9}"/>
    <cellStyle name="RISKleftEdge 5 3" xfId="3745" xr:uid="{EA6F10BB-4E20-4C25-8EEE-40AFF916C0C6}"/>
    <cellStyle name="RISKleftEdge 6" xfId="3746" xr:uid="{5D2607A2-BA36-4657-B361-CA46581162B7}"/>
    <cellStyle name="RISKleftEdge 6 2" xfId="3747" xr:uid="{3D25784B-85AB-4060-9B49-76F681A12560}"/>
    <cellStyle name="RISKleftEdge 6 3" xfId="3748" xr:uid="{6931CEF5-1EE9-4478-A933-B05D31570820}"/>
    <cellStyle name="RISKleftEdge 7" xfId="3749" xr:uid="{6CA7120C-D542-4FD7-B1FF-618149FE7B20}"/>
    <cellStyle name="RISKleftEdge 7 2" xfId="3750" xr:uid="{F1A7E419-13EA-4047-B77E-D42A019F42A7}"/>
    <cellStyle name="RISKleftEdge 7 3" xfId="3751" xr:uid="{91FC31DF-A71B-4C74-96B2-850A04ECB086}"/>
    <cellStyle name="RISKleftEdge 8" xfId="3752" xr:uid="{C120920C-8FF7-49A1-B9E4-264830E1BF65}"/>
    <cellStyle name="RISKleftEdge 8 2" xfId="3753" xr:uid="{B6D6FF69-5982-4BA4-BEC9-DE9D4E057F39}"/>
    <cellStyle name="RISKleftEdge 8 3" xfId="3754" xr:uid="{93DA748D-59B4-480D-8493-11FED76A39C8}"/>
    <cellStyle name="RISKleftEdge 9" xfId="3755" xr:uid="{0D873A4B-4EC1-4145-AB36-D00B5E540760}"/>
    <cellStyle name="RISKlightBoxed" xfId="3756" xr:uid="{F98A688E-A72E-423F-A293-1B092C46A619}"/>
    <cellStyle name="RISKlightBoxed 10" xfId="3757" xr:uid="{A68823EC-3A88-48CD-8A0E-1945B040224C}"/>
    <cellStyle name="RISKlightBoxed 10 10" xfId="17278" xr:uid="{52F1E232-5384-4FC0-B52E-5CC8246F6550}"/>
    <cellStyle name="RISKlightBoxed 10 10 2" xfId="38581" xr:uid="{A79E2B7A-E65B-4A2A-8365-AA8D5B38E9D9}"/>
    <cellStyle name="RISKlightBoxed 10 11" xfId="17678" xr:uid="{9A2250B9-2912-4D4F-8D06-E018BBBA5572}"/>
    <cellStyle name="RISKlightBoxed 10 11 2" xfId="38866" xr:uid="{D54EA7F5-E941-4E76-97C2-9FC0FA7478E9}"/>
    <cellStyle name="RISKlightBoxed 10 12" xfId="17088" xr:uid="{9DD8020D-C14D-4219-886D-B6F331C9F49A}"/>
    <cellStyle name="RISKlightBoxed 10 12 2" xfId="38427" xr:uid="{58ACDF98-DD84-4C78-948F-10A9834EDE64}"/>
    <cellStyle name="RISKlightBoxed 10 13" xfId="19209" xr:uid="{36AA2644-9F8F-4484-96D9-71998F121277}"/>
    <cellStyle name="RISKlightBoxed 10 13 2" xfId="40018" xr:uid="{C1CF9CAA-908B-4F68-86E6-D2F77CFF242A}"/>
    <cellStyle name="RISKlightBoxed 10 14" xfId="19556" xr:uid="{FEBDB629-271D-46C9-B667-F998631FABC8}"/>
    <cellStyle name="RISKlightBoxed 10 14 2" xfId="40219" xr:uid="{A229DBBF-B275-4D6E-8B31-72235FF9F4A9}"/>
    <cellStyle name="RISKlightBoxed 10 15" xfId="20542" xr:uid="{6CA47668-372A-4AA3-8F5B-0425545F23C4}"/>
    <cellStyle name="RISKlightBoxed 10 15 2" xfId="40922" xr:uid="{D37DCD80-43FF-4D18-8871-314B4261DF3F}"/>
    <cellStyle name="RISKlightBoxed 10 16" xfId="22171" xr:uid="{AE3B7BD4-C7E1-4228-815E-C1B86BB766EA}"/>
    <cellStyle name="RISKlightBoxed 10 16 2" xfId="42050" xr:uid="{3EBE9500-0D00-4050-B1A0-5375851B710B}"/>
    <cellStyle name="RISKlightBoxed 10 17" xfId="19391" xr:uid="{724F5E9E-6AC3-4419-BC47-00A380D1E196}"/>
    <cellStyle name="RISKlightBoxed 10 17 2" xfId="40112" xr:uid="{8C9160FC-4D39-46DF-9B72-39A0AC627132}"/>
    <cellStyle name="RISKlightBoxed 10 18" xfId="21181" xr:uid="{0E5C1AC4-D8FC-4534-AE99-29E616B92B61}"/>
    <cellStyle name="RISKlightBoxed 10 18 2" xfId="41374" xr:uid="{67215FB5-0D0D-4993-8357-062394DBA7FB}"/>
    <cellStyle name="RISKlightBoxed 10 19" xfId="25405" xr:uid="{425011C7-5F65-4BD2-916D-F549773BF047}"/>
    <cellStyle name="RISKlightBoxed 10 19 2" xfId="44297" xr:uid="{D2C206DE-C8E8-48B3-970B-EACF868BE33F}"/>
    <cellStyle name="RISKlightBoxed 10 2" xfId="11901" xr:uid="{24A9DFAF-EB27-4DE6-AA6E-9979B4B93EFF}"/>
    <cellStyle name="RISKlightBoxed 10 2 2" xfId="34513" xr:uid="{4FE7EB30-701B-48C5-9B35-AF8E22019031}"/>
    <cellStyle name="RISKlightBoxed 10 20" xfId="23834" xr:uid="{6FD4F944-E8E7-48AC-9D03-9C45FCB2F189}"/>
    <cellStyle name="RISKlightBoxed 10 20 2" xfId="43223" xr:uid="{096E727C-B3EC-4AD5-9DF1-1101E14A009E}"/>
    <cellStyle name="RISKlightBoxed 10 21" xfId="21922" xr:uid="{0240526E-CF9D-4589-B6E6-96C573658678}"/>
    <cellStyle name="RISKlightBoxed 10 21 2" xfId="41839" xr:uid="{46EB1E7A-11B6-46F3-BD5D-EC31AF3157ED}"/>
    <cellStyle name="RISKlightBoxed 10 22" xfId="26653" xr:uid="{B10B8FB5-BB67-4233-B0DC-EEE115D9EE65}"/>
    <cellStyle name="RISKlightBoxed 10 22 2" xfId="45202" xr:uid="{964BD797-797C-4504-83C8-D3E7C237730B}"/>
    <cellStyle name="RISKlightBoxed 10 23" xfId="27592" xr:uid="{6C517875-1948-4F97-B135-798C5F6C63A6}"/>
    <cellStyle name="RISKlightBoxed 10 23 2" xfId="45741" xr:uid="{46C66536-F3A5-48D8-8775-D0873330645A}"/>
    <cellStyle name="RISKlightBoxed 10 24" xfId="26066" xr:uid="{B00960E0-E440-4BBA-AFE5-EA6952052299}"/>
    <cellStyle name="RISKlightBoxed 10 24 2" xfId="44831" xr:uid="{0C5DEC1B-0737-4B78-88C5-0317EA34FA08}"/>
    <cellStyle name="RISKlightBoxed 10 25" xfId="29836" xr:uid="{F2EF1714-7CFA-4597-9AA0-01050D5CCB40}"/>
    <cellStyle name="RISKlightBoxed 10 25 2" xfId="47153" xr:uid="{D0A7A7FA-9783-4A70-A495-8ED57C866BE6}"/>
    <cellStyle name="RISKlightBoxed 10 26" xfId="25985" xr:uid="{6A609424-8784-4040-B4C5-6BE2CFB896B1}"/>
    <cellStyle name="RISKlightBoxed 10 26 2" xfId="44768" xr:uid="{40F2E365-35E9-45A0-AE63-7757B3CCC9D9}"/>
    <cellStyle name="RISKlightBoxed 10 27" xfId="30211" xr:uid="{34C4D54F-83E0-4A7A-A1EA-E0C8A8C34B5E}"/>
    <cellStyle name="RISKlightBoxed 10 27 2" xfId="47372" xr:uid="{44E01AF8-0B2F-41B4-BDD8-24CE220EEFD4}"/>
    <cellStyle name="RISKlightBoxed 10 28" xfId="6731" xr:uid="{8DB90ED8-401D-421F-A48E-48A411D13D24}"/>
    <cellStyle name="RISKlightBoxed 10 3" xfId="13321" xr:uid="{83A90CA6-A5E3-40D3-93E6-25BB0053DB49}"/>
    <cellStyle name="RISKlightBoxed 10 3 2" xfId="35638" xr:uid="{47F2E880-8738-4593-B17C-C1FE609CE748}"/>
    <cellStyle name="RISKlightBoxed 10 4" xfId="7180" xr:uid="{5A40E903-C4B9-422E-BFF2-7443444F57A3}"/>
    <cellStyle name="RISKlightBoxed 10 4 2" xfId="31546" xr:uid="{A6739353-185D-49B7-87FF-1B1199B73F63}"/>
    <cellStyle name="RISKlightBoxed 10 5" xfId="7438" xr:uid="{CE4E151B-8999-4397-B128-EF091E76ECB1}"/>
    <cellStyle name="RISKlightBoxed 10 5 2" xfId="31796" xr:uid="{C1BC310E-3312-4667-B683-67CA8EF309BD}"/>
    <cellStyle name="RISKlightBoxed 10 6" xfId="14738" xr:uid="{59924296-1433-4FD4-90A3-E448AC093F22}"/>
    <cellStyle name="RISKlightBoxed 10 6 2" xfId="36650" xr:uid="{435CE64F-EC0A-4CC3-8747-C1ED8D312761}"/>
    <cellStyle name="RISKlightBoxed 10 7" xfId="12463" xr:uid="{CC32C7FD-79E6-428B-BA7B-0FF9E396AF1A}"/>
    <cellStyle name="RISKlightBoxed 10 7 2" xfId="34909" xr:uid="{6298E66E-A821-4D34-A124-991DE71F5CD9}"/>
    <cellStyle name="RISKlightBoxed 10 8" xfId="14429" xr:uid="{8B73A1A1-B4E1-4127-93A1-5C8166B6C6A7}"/>
    <cellStyle name="RISKlightBoxed 10 8 2" xfId="36418" xr:uid="{FB15985F-8F56-4B5F-A1C7-79A7CC82A8B0}"/>
    <cellStyle name="RISKlightBoxed 10 9" xfId="16366" xr:uid="{482FA660-CF12-44C2-9E80-A066F9C8B85D}"/>
    <cellStyle name="RISKlightBoxed 10 9 2" xfId="37893" xr:uid="{6A91315D-8478-4ED7-BCED-F107B2018C3A}"/>
    <cellStyle name="RISKlightBoxed 11" xfId="7487" xr:uid="{777A1CB6-8F83-495B-959A-419148B13C91}"/>
    <cellStyle name="RISKlightBoxed 11 2" xfId="31844" xr:uid="{C5E2E653-55BC-40A6-A891-FB444E980C56}"/>
    <cellStyle name="RISKlightBoxed 12" xfId="10126" xr:uid="{E02EE2DB-3783-4B2A-97CE-A2F134CE5C8E}"/>
    <cellStyle name="RISKlightBoxed 12 2" xfId="33790" xr:uid="{F41CC7E6-DD5A-42B0-A191-5A380E4DFA41}"/>
    <cellStyle name="RISKlightBoxed 13" xfId="11618" xr:uid="{A0E6D4C9-BC86-4736-8962-2078E8993CAC}"/>
    <cellStyle name="RISKlightBoxed 13 2" xfId="34231" xr:uid="{9BCB1CEE-F44E-41A9-9C92-A77371A1DD36}"/>
    <cellStyle name="RISKlightBoxed 14" xfId="11857" xr:uid="{B36BD97E-7614-4992-93BA-E5C5A8234222}"/>
    <cellStyle name="RISKlightBoxed 14 2" xfId="34469" xr:uid="{C7AA7281-4A29-48C4-BB1F-1447F65DD7B7}"/>
    <cellStyle name="RISKlightBoxed 15" xfId="14413" xr:uid="{B36DF3A2-BD72-42E3-9CD5-6C70F857B121}"/>
    <cellStyle name="RISKlightBoxed 15 2" xfId="36402" xr:uid="{C5608B7D-FDF4-4429-9240-3D9A0B01B36D}"/>
    <cellStyle name="RISKlightBoxed 16" xfId="14101" xr:uid="{E7E680BA-F680-489E-92B9-136B855582D1}"/>
    <cellStyle name="RISKlightBoxed 16 2" xfId="36195" xr:uid="{5D6A040D-CBB6-42FD-A155-AD732068310E}"/>
    <cellStyle name="RISKlightBoxed 17" xfId="12713" xr:uid="{693EB128-54DF-4300-98BD-78BD893DDDD3}"/>
    <cellStyle name="RISKlightBoxed 17 2" xfId="35126" xr:uid="{8EDCCF2B-6B34-46D9-808C-0A50E1B25295}"/>
    <cellStyle name="RISKlightBoxed 18" xfId="15206" xr:uid="{B886D6C4-B214-48C7-8E96-8C4EB03A9B02}"/>
    <cellStyle name="RISKlightBoxed 18 2" xfId="36977" xr:uid="{A6C89C52-E0CA-4F7C-B229-9DF4ADE13B2D}"/>
    <cellStyle name="RISKlightBoxed 19" xfId="14524" xr:uid="{B3A84FFE-111A-4B71-B67B-A871F1391698}"/>
    <cellStyle name="RISKlightBoxed 19 2" xfId="36461" xr:uid="{8ACE4C90-DD9C-4D19-A1D1-E635752D5DF3}"/>
    <cellStyle name="RISKlightBoxed 2" xfId="3758" xr:uid="{1A1766FA-1266-474D-A0E5-F5A8387CE7A5}"/>
    <cellStyle name="RISKlightBoxed 2 10" xfId="14100" xr:uid="{73A4D496-184F-45CB-B56C-C9B65A910CD4}"/>
    <cellStyle name="RISKlightBoxed 2 10 2" xfId="36194" xr:uid="{AE5C5B64-05EC-47BD-89B6-5926F033FBA0}"/>
    <cellStyle name="RISKlightBoxed 2 11" xfId="15596" xr:uid="{15D3EFF3-D01A-45BF-B1D8-322FFACD476F}"/>
    <cellStyle name="RISKlightBoxed 2 11 2" xfId="37254" xr:uid="{CA786182-FA91-4097-B933-94C1D4031985}"/>
    <cellStyle name="RISKlightBoxed 2 12" xfId="12594" xr:uid="{C376E90C-6077-41B3-A02E-ADD4C7A3ACEE}"/>
    <cellStyle name="RISKlightBoxed 2 12 2" xfId="35029" xr:uid="{C5B1BD07-4731-46EF-BFB7-714686573D18}"/>
    <cellStyle name="RISKlightBoxed 2 13" xfId="12677" xr:uid="{5D478A09-EC08-4F4B-A07C-CAE5B3C42987}"/>
    <cellStyle name="RISKlightBoxed 2 13 2" xfId="35097" xr:uid="{CA0D75D9-194C-42FE-96A6-96375589A0FA}"/>
    <cellStyle name="RISKlightBoxed 2 14" xfId="18122" xr:uid="{B5D51A95-11E5-41C0-86E2-471BABF19B23}"/>
    <cellStyle name="RISKlightBoxed 2 14 2" xfId="39196" xr:uid="{8E1EA87E-228E-4DEF-A36C-C72985E10E48}"/>
    <cellStyle name="RISKlightBoxed 2 15" xfId="18973" xr:uid="{FD1003C8-39C0-4125-81A0-799F32A4D553}"/>
    <cellStyle name="RISKlightBoxed 2 15 2" xfId="39805" xr:uid="{42543CB7-359B-4711-9B47-A9E34108E8CE}"/>
    <cellStyle name="RISKlightBoxed 2 16" xfId="15684" xr:uid="{A9EB7BF8-E42B-4F86-9229-0AB08A0BB7AE}"/>
    <cellStyle name="RISKlightBoxed 2 16 2" xfId="37321" xr:uid="{1129B686-A10B-4DCA-9833-CEE1BD80399E}"/>
    <cellStyle name="RISKlightBoxed 2 17" xfId="21284" xr:uid="{832D245A-68D0-4484-87A1-E72F02DC7E0C}"/>
    <cellStyle name="RISKlightBoxed 2 17 2" xfId="41464" xr:uid="{3ACD7DB4-AB01-4640-9107-36F554D5D70B}"/>
    <cellStyle name="RISKlightBoxed 2 18" xfId="16866" xr:uid="{65E650AD-C963-436F-B679-72E9048DC600}"/>
    <cellStyle name="RISKlightBoxed 2 18 2" xfId="38288" xr:uid="{7B6BCEFE-98BD-41A6-8945-A65D1C9094E4}"/>
    <cellStyle name="RISKlightBoxed 2 19" xfId="18718" xr:uid="{4F7FA4AD-6FD0-4B6E-8EEF-E1C0F4762060}"/>
    <cellStyle name="RISKlightBoxed 2 19 2" xfId="39593" xr:uid="{F16F6922-27B5-453B-BE33-C9A3F34C0466}"/>
    <cellStyle name="RISKlightBoxed 2 2" xfId="3759" xr:uid="{021BFE01-DB9F-4200-9922-FD03BE46A3AA}"/>
    <cellStyle name="RISKlightBoxed 2 2 10" xfId="13683" xr:uid="{B2529AB6-96C0-4012-A5BF-7DE7EBB2ADF8}"/>
    <cellStyle name="RISKlightBoxed 2 2 10 2" xfId="35839" xr:uid="{FE2BA7FC-60B1-4AC2-A795-D1E2C0C9FA70}"/>
    <cellStyle name="RISKlightBoxed 2 2 11" xfId="16365" xr:uid="{97580A9B-40E6-4232-A8EF-68C529E28868}"/>
    <cellStyle name="RISKlightBoxed 2 2 11 2" xfId="37892" xr:uid="{DDC90BE5-B3A0-4AE4-B33E-2D449EA74701}"/>
    <cellStyle name="RISKlightBoxed 2 2 12" xfId="17277" xr:uid="{08EF3D70-4649-4B1B-A875-FD26140EF1EC}"/>
    <cellStyle name="RISKlightBoxed 2 2 12 2" xfId="38580" xr:uid="{24833AEF-1AA0-4010-A08A-BD867D16232E}"/>
    <cellStyle name="RISKlightBoxed 2 2 13" xfId="15768" xr:uid="{F42FC531-BFEE-4801-91CB-0C36FAEE511A}"/>
    <cellStyle name="RISKlightBoxed 2 2 13 2" xfId="37392" xr:uid="{59B651AD-31EF-4E87-89B4-D145F9F3F1CF}"/>
    <cellStyle name="RISKlightBoxed 2 2 14" xfId="16097" xr:uid="{850D1539-29E0-4867-AE9B-DD9814764675}"/>
    <cellStyle name="RISKlightBoxed 2 2 14 2" xfId="37667" xr:uid="{1C727218-4C27-466E-91F0-34D6DB0771A2}"/>
    <cellStyle name="RISKlightBoxed 2 2 15" xfId="19208" xr:uid="{5C2E17CA-B516-4498-A8DA-2FF63598363A}"/>
    <cellStyle name="RISKlightBoxed 2 2 15 2" xfId="40017" xr:uid="{70E87FA0-6EE3-4B12-B2ED-75611A68BDDF}"/>
    <cellStyle name="RISKlightBoxed 2 2 16" xfId="17031" xr:uid="{95966DB1-8BAC-4C31-9FB4-F78DF6505530}"/>
    <cellStyle name="RISKlightBoxed 2 2 16 2" xfId="38374" xr:uid="{1E7F1D5C-5740-4191-BC77-84994611A25E}"/>
    <cellStyle name="RISKlightBoxed 2 2 17" xfId="20541" xr:uid="{A1F23F2A-ED39-4213-8856-EC11B0C05DCA}"/>
    <cellStyle name="RISKlightBoxed 2 2 17 2" xfId="40921" xr:uid="{3B5EDBC4-5130-40D3-9C44-0333D8D7AE53}"/>
    <cellStyle name="RISKlightBoxed 2 2 18" xfId="20313" xr:uid="{B3ADB4DC-A7E4-47E0-B908-D2C74E7D40CE}"/>
    <cellStyle name="RISKlightBoxed 2 2 18 2" xfId="40746" xr:uid="{AF2216CF-2628-4BEB-B98D-E190775D3D8B}"/>
    <cellStyle name="RISKlightBoxed 2 2 19" xfId="21226" xr:uid="{D8C61029-2922-40DF-BF74-0DDFFE9BC7A2}"/>
    <cellStyle name="RISKlightBoxed 2 2 19 2" xfId="41419" xr:uid="{9DCB2C08-2EE3-4080-A702-DE58F3271828}"/>
    <cellStyle name="RISKlightBoxed 2 2 2" xfId="3760" xr:uid="{204247DC-F31E-4505-8EB4-C0AFE5D64CCB}"/>
    <cellStyle name="RISKlightBoxed 2 2 2 10" xfId="13777" xr:uid="{C9B52B9B-B007-495C-969C-701CB544CC59}"/>
    <cellStyle name="RISKlightBoxed 2 2 2 10 2" xfId="35913" xr:uid="{C67D2715-B7A1-4FDF-B59A-2AAE24277AF0}"/>
    <cellStyle name="RISKlightBoxed 2 2 2 11" xfId="18121" xr:uid="{48661832-FEC7-4B02-B8B8-6AC8EABF7085}"/>
    <cellStyle name="RISKlightBoxed 2 2 2 11 2" xfId="39195" xr:uid="{F01894CC-D7DD-4624-853F-C92CDF9977E0}"/>
    <cellStyle name="RISKlightBoxed 2 2 2 12" xfId="18972" xr:uid="{C6D87360-BC31-4DD5-AAD7-A1DD40CA4F84}"/>
    <cellStyle name="RISKlightBoxed 2 2 2 12 2" xfId="39804" xr:uid="{CCD4F7AF-A0D9-4DCF-A752-0B97172685E6}"/>
    <cellStyle name="RISKlightBoxed 2 2 2 13" xfId="17203" xr:uid="{BF425FAF-3C8E-4CB4-BBAC-4AB758E85102}"/>
    <cellStyle name="RISKlightBoxed 2 2 2 13 2" xfId="38532" xr:uid="{8B2CC6C3-0DC2-4EA2-90A1-1934AD3F194F}"/>
    <cellStyle name="RISKlightBoxed 2 2 2 14" xfId="21283" xr:uid="{CBCAA243-40E4-449B-8F32-1833FCF84AA9}"/>
    <cellStyle name="RISKlightBoxed 2 2 2 14 2" xfId="41463" xr:uid="{802A3043-8E1B-4F49-8BEB-8BC66FCD0478}"/>
    <cellStyle name="RISKlightBoxed 2 2 2 15" xfId="21689" xr:uid="{A94CCA46-AAD3-4086-AF5A-67B44E13DFF5}"/>
    <cellStyle name="RISKlightBoxed 2 2 2 15 2" xfId="41745" xr:uid="{9ECF0941-E62F-489D-885F-5B09B587E6FE}"/>
    <cellStyle name="RISKlightBoxed 2 2 2 16" xfId="20933" xr:uid="{FBFCE170-6434-43AC-A696-FBB56E20D055}"/>
    <cellStyle name="RISKlightBoxed 2 2 2 16 2" xfId="41234" xr:uid="{BA3174D1-5CC0-461E-ADA5-E1ECA3842930}"/>
    <cellStyle name="RISKlightBoxed 2 2 2 17" xfId="22068" xr:uid="{C6703923-7EBF-4791-B17D-ADAD0E4E1C0B}"/>
    <cellStyle name="RISKlightBoxed 2 2 2 17 2" xfId="41953" xr:uid="{B1117637-7ABB-4C9E-BAF2-ED98F8E6EDC7}"/>
    <cellStyle name="RISKlightBoxed 2 2 2 18" xfId="19416" xr:uid="{327097A4-4EFA-4BD9-BCE6-D3AC4F582215}"/>
    <cellStyle name="RISKlightBoxed 2 2 2 18 2" xfId="40137" xr:uid="{E96F0DCA-1227-49A1-88CB-661208A10D8D}"/>
    <cellStyle name="RISKlightBoxed 2 2 2 19" xfId="24455" xr:uid="{A62DFF56-D6CE-49D8-A0C0-344117F1AE64}"/>
    <cellStyle name="RISKlightBoxed 2 2 2 19 2" xfId="43664" xr:uid="{6D1EED34-D1F3-4131-9694-1C09F1EF6D88}"/>
    <cellStyle name="RISKlightBoxed 2 2 2 2" xfId="7485" xr:uid="{69146733-537F-41FF-A4C8-96139530CD82}"/>
    <cellStyle name="RISKlightBoxed 2 2 2 2 2" xfId="31842" xr:uid="{5062FBDB-13AD-4C06-A653-6AF23623276A}"/>
    <cellStyle name="RISKlightBoxed 2 2 2 20" xfId="26258" xr:uid="{F0EB632F-961F-4662-A38A-0A3B8258F0CF}"/>
    <cellStyle name="RISKlightBoxed 2 2 2 20 2" xfId="44967" xr:uid="{4D9822E2-87B9-4CB1-99E9-853972AF58CB}"/>
    <cellStyle name="RISKlightBoxed 2 2 2 21" xfId="24319" xr:uid="{B92877DA-2837-4D67-B380-47AA3B5CF8E0}"/>
    <cellStyle name="RISKlightBoxed 2 2 2 21 2" xfId="43584" xr:uid="{8D62DCE2-4AC1-4B8C-83AD-A386D3C4820B}"/>
    <cellStyle name="RISKlightBoxed 2 2 2 22" xfId="21866" xr:uid="{BECAC410-BFB0-494E-AFB2-A7E0D518727B}"/>
    <cellStyle name="RISKlightBoxed 2 2 2 22 2" xfId="41805" xr:uid="{0DB61DFD-FDE6-4AF0-80B2-EB4885341F2F}"/>
    <cellStyle name="RISKlightBoxed 2 2 2 23" xfId="26996" xr:uid="{2444F9E0-71E9-416F-B3A0-38F8AC15537F}"/>
    <cellStyle name="RISKlightBoxed 2 2 2 23 2" xfId="45403" xr:uid="{84585BC6-F941-43A7-88E1-EB4FA2FD2518}"/>
    <cellStyle name="RISKlightBoxed 2 2 2 24" xfId="28427" xr:uid="{BCB43A99-FD33-46E7-9B85-9F39F09FDC18}"/>
    <cellStyle name="RISKlightBoxed 2 2 2 24 2" xfId="46274" xr:uid="{F113E107-3221-4A18-837D-56C456AA7010}"/>
    <cellStyle name="RISKlightBoxed 2 2 2 25" xfId="27761" xr:uid="{E454BC50-83B3-4556-B6DF-5DFDB8FD56D7}"/>
    <cellStyle name="RISKlightBoxed 2 2 2 25 2" xfId="45861" xr:uid="{E70FAB80-82A9-43E9-AC1E-6267EDE28456}"/>
    <cellStyle name="RISKlightBoxed 2 2 2 26" xfId="23745" xr:uid="{215ED4A1-C7D1-4F5D-A864-2A9AC347A96D}"/>
    <cellStyle name="RISKlightBoxed 2 2 2 26 2" xfId="43157" xr:uid="{71B29C06-8185-4568-9D06-5476F498AE3C}"/>
    <cellStyle name="RISKlightBoxed 2 2 2 27" xfId="30651" xr:uid="{754127D2-3787-4680-927A-DF4D5528B0DD}"/>
    <cellStyle name="RISKlightBoxed 2 2 2 27 2" xfId="47597" xr:uid="{655CC73C-89AD-4944-BF38-C80837A625B6}"/>
    <cellStyle name="RISKlightBoxed 2 2 2 28" xfId="6734" xr:uid="{66528811-6C24-4D7C-90E0-597762A60328}"/>
    <cellStyle name="RISKlightBoxed 2 2 2 3" xfId="10128" xr:uid="{E72BAAF0-5A33-43AB-AB4A-17A546F10CD0}"/>
    <cellStyle name="RISKlightBoxed 2 2 2 3 2" xfId="33792" xr:uid="{5F37C580-2D92-49AA-8696-5A97D9DC8615}"/>
    <cellStyle name="RISKlightBoxed 2 2 2 4" xfId="7179" xr:uid="{61D8553D-18E0-4B91-96B7-BA449CB801D0}"/>
    <cellStyle name="RISKlightBoxed 2 2 2 4 2" xfId="31545" xr:uid="{9F4E7B7A-B5B9-49B4-B36C-F174C091160D}"/>
    <cellStyle name="RISKlightBoxed 2 2 2 5" xfId="11855" xr:uid="{32CB51A6-6C57-4771-8FE1-D3641FA565BE}"/>
    <cellStyle name="RISKlightBoxed 2 2 2 5 2" xfId="34467" xr:uid="{76BA8BDD-9E14-4EB3-837E-D8E63F27EDEA}"/>
    <cellStyle name="RISKlightBoxed 2 2 2 6" xfId="12221" xr:uid="{6679960F-1971-48DD-9095-E044F7D13361}"/>
    <cellStyle name="RISKlightBoxed 2 2 2 6 2" xfId="34728" xr:uid="{0B966270-1BCC-4C47-A07A-DFE431C937C0}"/>
    <cellStyle name="RISKlightBoxed 2 2 2 7" xfId="14099" xr:uid="{84E300AA-C525-4CF5-83B2-357B3FB59F8A}"/>
    <cellStyle name="RISKlightBoxed 2 2 2 7 2" xfId="36193" xr:uid="{9CB8197D-0048-4D3B-8ACA-3CFD916E0AAC}"/>
    <cellStyle name="RISKlightBoxed 2 2 2 8" xfId="13858" xr:uid="{E893B676-6EB9-40DD-BA12-187E9EE8813C}"/>
    <cellStyle name="RISKlightBoxed 2 2 2 8 2" xfId="35981" xr:uid="{1FD966CF-5AB1-445B-A8DC-7295C2CE4756}"/>
    <cellStyle name="RISKlightBoxed 2 2 2 9" xfId="15839" xr:uid="{8B55E29E-B7D2-460C-820A-5539392FFF17}"/>
    <cellStyle name="RISKlightBoxed 2 2 2 9 2" xfId="37448" xr:uid="{C85ED873-87C3-4DF9-B6B2-6D0140E3E48D}"/>
    <cellStyle name="RISKlightBoxed 2 2 20" xfId="20150" xr:uid="{DF5E82CB-68AA-4D5E-A368-F6D9C36E6136}"/>
    <cellStyle name="RISKlightBoxed 2 2 20 2" xfId="40657" xr:uid="{88D5BFA0-B455-490F-9254-D16CC398635F}"/>
    <cellStyle name="RISKlightBoxed 2 2 21" xfId="24352" xr:uid="{4B072552-A1DD-43A9-ADE0-4A6AF1C04D54}"/>
    <cellStyle name="RISKlightBoxed 2 2 21 2" xfId="43608" xr:uid="{A6FACE61-399E-4C10-A9FD-B8A992662F10}"/>
    <cellStyle name="RISKlightBoxed 2 2 22" xfId="20286" xr:uid="{A3686B1C-9C76-4D5B-9ED0-D5FFBA6B8489}"/>
    <cellStyle name="RISKlightBoxed 2 2 22 2" xfId="40723" xr:uid="{A40830CF-3DB3-4A3C-BD64-DA8DA49DE083}"/>
    <cellStyle name="RISKlightBoxed 2 2 23" xfId="25090" xr:uid="{0DABDC19-33F6-4F45-9317-785060CBFFF0}"/>
    <cellStyle name="RISKlightBoxed 2 2 23 2" xfId="44094" xr:uid="{6593C322-DF00-41F0-A105-EA7A08ECB7B4}"/>
    <cellStyle name="RISKlightBoxed 2 2 24" xfId="26652" xr:uid="{0B13B3C2-1BA3-4A68-AF81-1F42CDB5F8D1}"/>
    <cellStyle name="RISKlightBoxed 2 2 24 2" xfId="45201" xr:uid="{DFE8D1A1-03CD-4AE2-B36A-5D1F8235D982}"/>
    <cellStyle name="RISKlightBoxed 2 2 25" xfId="28321" xr:uid="{E5D5BA02-022A-4F66-9B43-17F4057DCCB9}"/>
    <cellStyle name="RISKlightBoxed 2 2 25 2" xfId="46188" xr:uid="{D25ED038-ED6F-44C9-8D30-BFC36044679E}"/>
    <cellStyle name="RISKlightBoxed 2 2 26" xfId="27075" xr:uid="{014B65C8-3DD7-4727-8D82-D63D5BE5DB68}"/>
    <cellStyle name="RISKlightBoxed 2 2 26 2" xfId="45468" xr:uid="{BC336C5E-690F-427E-AD9A-92F16A772A0D}"/>
    <cellStyle name="RISKlightBoxed 2 2 27" xfId="25604" xr:uid="{2BF4F65D-9946-4873-A70A-CAC0D775E952}"/>
    <cellStyle name="RISKlightBoxed 2 2 27 2" xfId="44464" xr:uid="{94E4C86B-7BB6-4854-B0D0-D23447F0F7BB}"/>
    <cellStyle name="RISKlightBoxed 2 2 28" xfId="29907" xr:uid="{C63DFFEE-C370-4DCB-A588-9E74F5EFBD21}"/>
    <cellStyle name="RISKlightBoxed 2 2 28 2" xfId="47195" xr:uid="{FC17DE68-9EC6-4080-80FF-11A5DACC1F90}"/>
    <cellStyle name="RISKlightBoxed 2 2 29" xfId="26475" xr:uid="{083E9E9A-7BFA-4258-BAB5-C9DF1352C792}"/>
    <cellStyle name="RISKlightBoxed 2 2 29 2" xfId="45098" xr:uid="{C7B72ECE-B6F0-44B9-A084-44DD60D7890B}"/>
    <cellStyle name="RISKlightBoxed 2 2 3" xfId="3761" xr:uid="{00604817-0CF2-47B0-B633-51F97318AFDE}"/>
    <cellStyle name="RISKlightBoxed 2 2 3 10" xfId="17276" xr:uid="{EAF3A21B-B720-4699-A1A7-518A7CC11BBC}"/>
    <cellStyle name="RISKlightBoxed 2 2 3 10 2" xfId="38579" xr:uid="{0E4FAA3B-5EC6-41FE-AFDA-9FC024AA9FF9}"/>
    <cellStyle name="RISKlightBoxed 2 2 3 11" xfId="16218" xr:uid="{721E90C9-20E0-4210-B7CB-1513E6FDB609}"/>
    <cellStyle name="RISKlightBoxed 2 2 3 11 2" xfId="37772" xr:uid="{3737DBD2-FD27-4D8C-AC52-EF551EA966ED}"/>
    <cellStyle name="RISKlightBoxed 2 2 3 12" xfId="17087" xr:uid="{8770F611-B2AE-4A82-9550-04772ED21B0F}"/>
    <cellStyle name="RISKlightBoxed 2 2 3 12 2" xfId="38426" xr:uid="{ABD7E94C-5810-4B4F-814F-23A09FE8C8FB}"/>
    <cellStyle name="RISKlightBoxed 2 2 3 13" xfId="19207" xr:uid="{8CE624B4-B887-4A62-88E8-55B31D53656C}"/>
    <cellStyle name="RISKlightBoxed 2 2 3 13 2" xfId="40016" xr:uid="{0C25270A-D0F0-4C53-BEE2-56782926A7E0}"/>
    <cellStyle name="RISKlightBoxed 2 2 3 14" xfId="19555" xr:uid="{BF9FA3CF-FD0E-47DB-801C-F944EBE1CEB0}"/>
    <cellStyle name="RISKlightBoxed 2 2 3 14 2" xfId="40218" xr:uid="{6B2EA0E4-BA1F-47AE-BC87-649EDFD26997}"/>
    <cellStyle name="RISKlightBoxed 2 2 3 15" xfId="21688" xr:uid="{28B62D59-31EB-4B5B-AB6D-1042EE0E83EF}"/>
    <cellStyle name="RISKlightBoxed 2 2 3 15 2" xfId="41744" xr:uid="{552E4131-A2E0-4A48-B606-BB239944D8B9}"/>
    <cellStyle name="RISKlightBoxed 2 2 3 16" xfId="22172" xr:uid="{28E097EE-276D-45D4-BD22-C4EAA0E4B873}"/>
    <cellStyle name="RISKlightBoxed 2 2 3 16 2" xfId="42051" xr:uid="{1F990B61-90A7-4A3D-A5D2-D99D65A9E5C8}"/>
    <cellStyle name="RISKlightBoxed 2 2 3 17" xfId="17047" xr:uid="{A5DF317F-59C3-459C-B887-47F82ADF8D77}"/>
    <cellStyle name="RISKlightBoxed 2 2 3 17 2" xfId="38389" xr:uid="{2362BC7D-9EF2-45C7-9B59-8CB602033660}"/>
    <cellStyle name="RISKlightBoxed 2 2 3 18" xfId="22115" xr:uid="{92BCF37C-38BD-4E6E-AE22-8242BC24553D}"/>
    <cellStyle name="RISKlightBoxed 2 2 3 18 2" xfId="42000" xr:uid="{E91D24B4-382F-48EB-A450-6BC3988500B5}"/>
    <cellStyle name="RISKlightBoxed 2 2 3 19" xfId="25406" xr:uid="{69F82ACB-C7F9-407B-9135-7FA0CBB0DB4A}"/>
    <cellStyle name="RISKlightBoxed 2 2 3 19 2" xfId="44298" xr:uid="{258EF239-8413-4133-9D16-5D0A75A8A545}"/>
    <cellStyle name="RISKlightBoxed 2 2 3 2" xfId="11899" xr:uid="{6232B307-92E3-4B14-93BE-479746078FCB}"/>
    <cellStyle name="RISKlightBoxed 2 2 3 2 2" xfId="34511" xr:uid="{4302877D-F86F-4404-BCB5-9ED834DE3BBA}"/>
    <cellStyle name="RISKlightBoxed 2 2 3 20" xfId="23833" xr:uid="{7F0AA954-22C9-4B42-B2EE-F3567FB03C7A}"/>
    <cellStyle name="RISKlightBoxed 2 2 3 20 2" xfId="43222" xr:uid="{1DFBA7C8-10BC-447C-873D-56E3EC700833}"/>
    <cellStyle name="RISKlightBoxed 2 2 3 21" xfId="25564" xr:uid="{0CB2B9C5-887C-4E44-BD11-5F61F71C19A3}"/>
    <cellStyle name="RISKlightBoxed 2 2 3 21 2" xfId="44432" xr:uid="{6B865752-01D6-4C1B-9328-9D7618342C31}"/>
    <cellStyle name="RISKlightBoxed 2 2 3 22" xfId="26651" xr:uid="{B34101FC-6822-456E-AB3D-D611E0C9546A}"/>
    <cellStyle name="RISKlightBoxed 2 2 3 22 2" xfId="45200" xr:uid="{32056B8D-6BCB-4E4C-BEB5-27034541B882}"/>
    <cellStyle name="RISKlightBoxed 2 2 3 23" xfId="29348" xr:uid="{C27B1558-942C-46B9-AB9C-85E989557FF3}"/>
    <cellStyle name="RISKlightBoxed 2 2 3 23 2" xfId="46821" xr:uid="{E670A93C-94B0-439C-8281-BD4C84765F78}"/>
    <cellStyle name="RISKlightBoxed 2 2 3 24" xfId="28039" xr:uid="{63C29F86-1494-4160-B48D-F83D3B9D7764}"/>
    <cellStyle name="RISKlightBoxed 2 2 3 24 2" xfId="46037" xr:uid="{72B85CB6-4A28-4E42-91DF-35C1B348439F}"/>
    <cellStyle name="RISKlightBoxed 2 2 3 25" xfId="28920" xr:uid="{BBD415F9-965D-4A82-AFC1-B9BB2E635A6C}"/>
    <cellStyle name="RISKlightBoxed 2 2 3 25 2" xfId="46524" xr:uid="{B2D71152-8657-45E8-8CA7-4923C83BEB9C}"/>
    <cellStyle name="RISKlightBoxed 2 2 3 26" xfId="28240" xr:uid="{9B35D761-9CEF-4158-AFFF-EE3D1D94F82A}"/>
    <cellStyle name="RISKlightBoxed 2 2 3 26 2" xfId="46115" xr:uid="{86B1F276-540F-489C-8C54-93530760C221}"/>
    <cellStyle name="RISKlightBoxed 2 2 3 27" xfId="30210" xr:uid="{37F3A710-F285-45D5-AA98-7463CF3F41CC}"/>
    <cellStyle name="RISKlightBoxed 2 2 3 27 2" xfId="47371" xr:uid="{2D230A15-8679-4ED3-8F4A-1FF660160BB1}"/>
    <cellStyle name="RISKlightBoxed 2 2 3 28" xfId="6735" xr:uid="{AA547E21-747D-4AF3-B17D-290D746DBC30}"/>
    <cellStyle name="RISKlightBoxed 2 2 3 3" xfId="13319" xr:uid="{91DE44BA-DB11-4194-ADBD-B672D83FE2B8}"/>
    <cellStyle name="RISKlightBoxed 2 2 3 3 2" xfId="35636" xr:uid="{B128436A-A304-4754-BBE0-D87F0B8D5DE7}"/>
    <cellStyle name="RISKlightBoxed 2 2 3 4" xfId="11616" xr:uid="{02D6BB0C-D5C8-4812-A669-845EA3F75C86}"/>
    <cellStyle name="RISKlightBoxed 2 2 3 4 2" xfId="34229" xr:uid="{58CDEC52-B04E-4196-A30E-EE30D5F9EA52}"/>
    <cellStyle name="RISKlightBoxed 2 2 3 5" xfId="7436" xr:uid="{3CAC860C-42C7-46B4-8EC6-72A635BC625C}"/>
    <cellStyle name="RISKlightBoxed 2 2 3 5 2" xfId="31794" xr:uid="{7887D892-4D9C-4E17-9E51-CFA4568CBE9C}"/>
    <cellStyle name="RISKlightBoxed 2 2 3 6" xfId="14736" xr:uid="{0C332F26-A9F9-424F-BE1B-9107F92F499B}"/>
    <cellStyle name="RISKlightBoxed 2 2 3 6 2" xfId="36648" xr:uid="{0CD4B12E-5DDC-4574-858C-59118C95CA74}"/>
    <cellStyle name="RISKlightBoxed 2 2 3 7" xfId="12465" xr:uid="{381DADE4-EAC9-4F50-A662-94B45E7EE4CB}"/>
    <cellStyle name="RISKlightBoxed 2 2 3 7 2" xfId="34911" xr:uid="{576F50C1-920D-402B-8D2C-597E783FF435}"/>
    <cellStyle name="RISKlightBoxed 2 2 3 8" xfId="14430" xr:uid="{1022EDAF-09D4-4FD8-90DD-DF14E780964B}"/>
    <cellStyle name="RISKlightBoxed 2 2 3 8 2" xfId="36419" xr:uid="{06ADC355-AC8F-4885-B3B0-3E4F39B22B2F}"/>
    <cellStyle name="RISKlightBoxed 2 2 3 9" xfId="16364" xr:uid="{B1C8D5CE-54D2-48B2-A499-E63CF3F3B038}"/>
    <cellStyle name="RISKlightBoxed 2 2 3 9 2" xfId="37891" xr:uid="{6A741EA9-CBC1-48AD-B887-31DBFF138272}"/>
    <cellStyle name="RISKlightBoxed 2 2 30" xfId="6733" xr:uid="{62C33090-C05F-42EB-B36E-C98D67E7E0A9}"/>
    <cellStyle name="RISKlightBoxed 2 2 4" xfId="11900" xr:uid="{8C4560D5-E86D-41EE-B100-E8A9B8B0F9A4}"/>
    <cellStyle name="RISKlightBoxed 2 2 4 2" xfId="34512" xr:uid="{95B2ABDD-926A-499E-A54D-ACED2D73B05E}"/>
    <cellStyle name="RISKlightBoxed 2 2 5" xfId="13320" xr:uid="{582CF888-BBA2-4F4A-B844-B054EE24DDCC}"/>
    <cellStyle name="RISKlightBoxed 2 2 5 2" xfId="35637" xr:uid="{143195AA-0C55-4C0C-AD08-19A068296F6E}"/>
    <cellStyle name="RISKlightBoxed 2 2 6" xfId="11617" xr:uid="{FF08A151-9900-4A4E-B437-35E29C4C3651}"/>
    <cellStyle name="RISKlightBoxed 2 2 6 2" xfId="34230" xr:uid="{1221CE94-9485-4F2A-9689-235358DC1F10}"/>
    <cellStyle name="RISKlightBoxed 2 2 7" xfId="7437" xr:uid="{F468D587-B8FD-4FE9-A09B-F0A35D835955}"/>
    <cellStyle name="RISKlightBoxed 2 2 7 2" xfId="31795" xr:uid="{FF47155F-C949-4159-B6A3-1E331794AEBB}"/>
    <cellStyle name="RISKlightBoxed 2 2 8" xfId="14737" xr:uid="{DC319055-2CB4-416F-8BA0-529BA65FABC1}"/>
    <cellStyle name="RISKlightBoxed 2 2 8 2" xfId="36649" xr:uid="{497AD80B-5B69-4729-BADB-B982EA0A0502}"/>
    <cellStyle name="RISKlightBoxed 2 2 9" xfId="12464" xr:uid="{CDF3EFE6-1702-4A0C-8D00-B8C4780B2664}"/>
    <cellStyle name="RISKlightBoxed 2 2 9 2" xfId="34910" xr:uid="{5F5B34C5-F197-4532-9238-DD7D364BCF4E}"/>
    <cellStyle name="RISKlightBoxed 2 20" xfId="20173" xr:uid="{7EF42BB9-F041-4036-8169-EBF311D02F26}"/>
    <cellStyle name="RISKlightBoxed 2 20 2" xfId="40680" xr:uid="{71751489-6B3F-46B9-B5A0-A8BADB1FB42C}"/>
    <cellStyle name="RISKlightBoxed 2 21" xfId="17848" xr:uid="{70B590BC-9913-4A0F-93D1-2006A290A528}"/>
    <cellStyle name="RISKlightBoxed 2 21 2" xfId="38964" xr:uid="{AD536DC7-934B-41BA-A8BE-162C74249D7D}"/>
    <cellStyle name="RISKlightBoxed 2 22" xfId="21862" xr:uid="{8A6BACDA-F101-4F37-BD10-B19C5D8045D8}"/>
    <cellStyle name="RISKlightBoxed 2 22 2" xfId="41802" xr:uid="{CF0BFD58-2E25-4858-8125-3B7431CFAA2C}"/>
    <cellStyle name="RISKlightBoxed 2 23" xfId="26259" xr:uid="{BD5DF793-FD70-45B5-8232-70D1BE01AE3C}"/>
    <cellStyle name="RISKlightBoxed 2 23 2" xfId="44968" xr:uid="{EAF80134-A556-479A-A2A4-18262968283C}"/>
    <cellStyle name="RISKlightBoxed 2 24" xfId="25485" xr:uid="{12EA9CBC-B306-4F1D-9B3B-80F8C6256997}"/>
    <cellStyle name="RISKlightBoxed 2 24 2" xfId="44364" xr:uid="{9E72F501-6A8A-47C8-A760-B138033BDDB2}"/>
    <cellStyle name="RISKlightBoxed 2 25" xfId="25417" xr:uid="{E1979BB2-E7C8-4BC0-86D0-B587A0514B6F}"/>
    <cellStyle name="RISKlightBoxed 2 25 2" xfId="44309" xr:uid="{B0851AD4-41CB-4EB3-8844-361E72EF35F0}"/>
    <cellStyle name="RISKlightBoxed 2 26" xfId="28046" xr:uid="{464535DE-9901-4EDD-A953-F7F2AF563AF1}"/>
    <cellStyle name="RISKlightBoxed 2 26 2" xfId="46041" xr:uid="{F6322502-A526-4EA7-81C8-5BF043F7E037}"/>
    <cellStyle name="RISKlightBoxed 2 27" xfId="28428" xr:uid="{2A5F561A-D081-45CB-8C68-29F684A0197A}"/>
    <cellStyle name="RISKlightBoxed 2 27 2" xfId="46275" xr:uid="{D0EE1186-BB13-463E-A2AA-BE5A2302AC2C}"/>
    <cellStyle name="RISKlightBoxed 2 28" xfId="29923" xr:uid="{55D76004-1092-4F5E-BA6D-1ABAADC42DC6}"/>
    <cellStyle name="RISKlightBoxed 2 28 2" xfId="47211" xr:uid="{BA3B6687-00E4-4FAA-BE93-15B7140AF825}"/>
    <cellStyle name="RISKlightBoxed 2 29" xfId="29704" xr:uid="{BADE9436-4999-476D-80DA-DC8952235DB0}"/>
    <cellStyle name="RISKlightBoxed 2 29 2" xfId="47049" xr:uid="{DA96E0E3-33F0-4D32-898E-6695A9689A3E}"/>
    <cellStyle name="RISKlightBoxed 2 3" xfId="3762" xr:uid="{9D3B7DF6-0493-4D42-A4B2-2D6E5E3F32A5}"/>
    <cellStyle name="RISKlightBoxed 2 3 10" xfId="15668" xr:uid="{1F6FC172-7B50-4FDA-8295-B915F318CBCA}"/>
    <cellStyle name="RISKlightBoxed 2 3 10 2" xfId="37311" xr:uid="{E8DEE7D3-570A-4B9E-820F-387F9A88724D}"/>
    <cellStyle name="RISKlightBoxed 2 3 11" xfId="18120" xr:uid="{796E70C3-1326-4E26-83C3-3A209AC59B44}"/>
    <cellStyle name="RISKlightBoxed 2 3 11 2" xfId="39194" xr:uid="{C3156CF6-AB3C-4AC3-9E97-91C196FF4A94}"/>
    <cellStyle name="RISKlightBoxed 2 3 12" xfId="18971" xr:uid="{CBFB7AF3-1F2E-4215-A98F-9F9E426786BB}"/>
    <cellStyle name="RISKlightBoxed 2 3 12 2" xfId="39803" xr:uid="{3C4F0F3D-629E-477C-BE33-0DE427858BC9}"/>
    <cellStyle name="RISKlightBoxed 2 3 13" xfId="16051" xr:uid="{8FFF9871-BDFE-4631-B8EC-05955BC20A81}"/>
    <cellStyle name="RISKlightBoxed 2 3 13 2" xfId="37629" xr:uid="{97666EF9-6BF5-435B-BB2B-F3B14168AEF6}"/>
    <cellStyle name="RISKlightBoxed 2 3 14" xfId="21282" xr:uid="{631A2C7F-F2C4-46D4-95A6-B8AB0D5356C2}"/>
    <cellStyle name="RISKlightBoxed 2 3 14 2" xfId="41462" xr:uid="{F18B82BA-C3F8-435B-BD04-B85405B55772}"/>
    <cellStyle name="RISKlightBoxed 2 3 15" xfId="18848" xr:uid="{A3C93391-A4A7-4CAF-BE14-6EF09A3A5642}"/>
    <cellStyle name="RISKlightBoxed 2 3 15 2" xfId="39695" xr:uid="{CDBF2297-3BC4-4CF3-8004-A5217FEFAA23}"/>
    <cellStyle name="RISKlightBoxed 2 3 16" xfId="18719" xr:uid="{D6A7C7E0-4095-4D44-B5D7-9776659F5506}"/>
    <cellStyle name="RISKlightBoxed 2 3 16 2" xfId="39594" xr:uid="{AFAC9D84-839B-4E90-999E-42061ED07A3E}"/>
    <cellStyle name="RISKlightBoxed 2 3 17" xfId="17876" xr:uid="{C9DD8A5F-C79B-41BD-A195-D0A881FA5E64}"/>
    <cellStyle name="RISKlightBoxed 2 3 17 2" xfId="38992" xr:uid="{7FE2BFAE-C8EA-463C-A734-40948C4B24EA}"/>
    <cellStyle name="RISKlightBoxed 2 3 18" xfId="21180" xr:uid="{3FF8E0CC-B9D7-4338-B25C-C7FB6A547AB6}"/>
    <cellStyle name="RISKlightBoxed 2 3 18 2" xfId="41373" xr:uid="{3EEB913E-089D-41F6-8D6A-C39403595EBC}"/>
    <cellStyle name="RISKlightBoxed 2 3 19" xfId="22256" xr:uid="{AC1B6CD2-891C-45F1-B5A1-B2921EA66153}"/>
    <cellStyle name="RISKlightBoxed 2 3 19 2" xfId="42126" xr:uid="{F5DB542B-C8D5-4ACB-996D-3D48B2523FED}"/>
    <cellStyle name="RISKlightBoxed 2 3 2" xfId="7484" xr:uid="{F51C18A8-D35D-4FC2-884D-1342551D1B01}"/>
    <cellStyle name="RISKlightBoxed 2 3 2 2" xfId="31841" xr:uid="{7E6E9322-2134-4FCB-90CF-98D90F0F27EC}"/>
    <cellStyle name="RISKlightBoxed 2 3 20" xfId="26257" xr:uid="{D7AF4CAC-A83C-4CBA-BBF4-D5830952F283}"/>
    <cellStyle name="RISKlightBoxed 2 3 20 2" xfId="44966" xr:uid="{332C4AB8-6B88-40DF-B20F-6235315E22AE}"/>
    <cellStyle name="RISKlightBoxed 2 3 21" xfId="25033" xr:uid="{196D12E9-1B42-4425-B20B-31BF54966E20}"/>
    <cellStyle name="RISKlightBoxed 2 3 21 2" xfId="44066" xr:uid="{7A070C97-165B-4603-A074-AC80328AD808}"/>
    <cellStyle name="RISKlightBoxed 2 3 22" xfId="23654" xr:uid="{343BDA5B-78D6-4CF2-9888-01F7C56DB0F8}"/>
    <cellStyle name="RISKlightBoxed 2 3 22 2" xfId="43078" xr:uid="{C4F7DE5E-1777-45AD-A188-93491EB24725}"/>
    <cellStyle name="RISKlightBoxed 2 3 23" xfId="28961" xr:uid="{47700FBA-6E66-424E-BF9C-789C6540408E}"/>
    <cellStyle name="RISKlightBoxed 2 3 23 2" xfId="46555" xr:uid="{BC7787CC-02AF-470C-8042-657F98AADDCE}"/>
    <cellStyle name="RISKlightBoxed 2 3 24" xfId="30277" xr:uid="{2FEEEF86-A78A-45D0-8139-D6C35EB379E8}"/>
    <cellStyle name="RISKlightBoxed 2 3 24 2" xfId="47427" xr:uid="{415FDFC6-58CA-4A7E-AC9D-4B1CF996C38A}"/>
    <cellStyle name="RISKlightBoxed 2 3 25" xfId="29922" xr:uid="{CB9D4175-BC99-4DF8-81F5-6CB72E90819A}"/>
    <cellStyle name="RISKlightBoxed 2 3 25 2" xfId="47210" xr:uid="{0AC91ED3-CCB3-4948-8396-C37E390B8FBD}"/>
    <cellStyle name="RISKlightBoxed 2 3 26" xfId="26928" xr:uid="{D8A18C1A-FE7A-4D7A-AA85-C03A3D1FBAD0}"/>
    <cellStyle name="RISKlightBoxed 2 3 26 2" xfId="45343" xr:uid="{B27C7866-8278-4351-A9D7-F4E23B2C46A9}"/>
    <cellStyle name="RISKlightBoxed 2 3 27" xfId="30650" xr:uid="{957BB7F8-6427-4222-BB38-EAA7F2432FD3}"/>
    <cellStyle name="RISKlightBoxed 2 3 27 2" xfId="47596" xr:uid="{CF811A33-0338-47BC-87A6-4BBF030F8B07}"/>
    <cellStyle name="RISKlightBoxed 2 3 28" xfId="6736" xr:uid="{73C22018-46B8-458B-B27D-CC3BA9B77714}"/>
    <cellStyle name="RISKlightBoxed 2 3 3" xfId="10129" xr:uid="{61C14660-3865-4F7B-A7AE-8156D943D29B}"/>
    <cellStyle name="RISKlightBoxed 2 3 3 2" xfId="33793" xr:uid="{5FA896BF-4D47-464C-BB1B-C4C074FFFC38}"/>
    <cellStyle name="RISKlightBoxed 2 3 4" xfId="7178" xr:uid="{4DC2B7E6-02D6-4243-B0AE-4F1FBD40461B}"/>
    <cellStyle name="RISKlightBoxed 2 3 4 2" xfId="31544" xr:uid="{59CFA09D-4256-41A1-9BF2-9FA7D46CEBC8}"/>
    <cellStyle name="RISKlightBoxed 2 3 5" xfId="11854" xr:uid="{5C9AEDF6-8EC1-4975-B946-E399E07E19F0}"/>
    <cellStyle name="RISKlightBoxed 2 3 5 2" xfId="34466" xr:uid="{550D52F5-DA7B-422F-9966-C67B00B23875}"/>
    <cellStyle name="RISKlightBoxed 2 3 6" xfId="12222" xr:uid="{C3DCCBF9-BE4B-4C27-8D9B-1D2C66857078}"/>
    <cellStyle name="RISKlightBoxed 2 3 6 2" xfId="34729" xr:uid="{EBE7D33C-0705-4EAF-9515-49C468D7C706}"/>
    <cellStyle name="RISKlightBoxed 2 3 7" xfId="14098" xr:uid="{8962A190-3ADC-4938-A0B7-2DE512A8E8F9}"/>
    <cellStyle name="RISKlightBoxed 2 3 7 2" xfId="36192" xr:uid="{F83B7B14-423F-4415-8852-3066F591B5A6}"/>
    <cellStyle name="RISKlightBoxed 2 3 8" xfId="15597" xr:uid="{2A322610-FD23-43FB-BE38-C17D88BF1D7B}"/>
    <cellStyle name="RISKlightBoxed 2 3 8 2" xfId="37255" xr:uid="{59A58EAC-1873-442B-9FAC-4D7EB82C3C71}"/>
    <cellStyle name="RISKlightBoxed 2 3 9" xfId="13975" xr:uid="{3E12A1D0-FF2E-4C8F-97FE-F81FF9F4951F}"/>
    <cellStyle name="RISKlightBoxed 2 3 9 2" xfId="36078" xr:uid="{E32FE6F2-ECEC-434C-8A6E-56E6DEF68A36}"/>
    <cellStyle name="RISKlightBoxed 2 30" xfId="30652" xr:uid="{30E90AA6-E4E1-4BA3-BE5C-91DB1DE1FE39}"/>
    <cellStyle name="RISKlightBoxed 2 30 2" xfId="47598" xr:uid="{75E32FF0-1A04-4318-B3EA-5E087C762AE2}"/>
    <cellStyle name="RISKlightBoxed 2 31" xfId="6732" xr:uid="{EE5F0601-BA85-452F-9BFB-F89CF9923987}"/>
    <cellStyle name="RISKlightBoxed 2 4" xfId="3763" xr:uid="{5E9C56F3-7DC9-40EF-969D-ED786F4D4237}"/>
    <cellStyle name="RISKlightBoxed 2 4 10" xfId="17275" xr:uid="{50A615E9-DF8B-4487-A71D-E0F1C73DC05A}"/>
    <cellStyle name="RISKlightBoxed 2 4 10 2" xfId="38578" xr:uid="{CA1FC19E-8B48-416F-BA87-6731DBF5423B}"/>
    <cellStyle name="RISKlightBoxed 2 4 11" xfId="16217" xr:uid="{39FBC4A2-0347-4565-8558-B33E3F4B9973}"/>
    <cellStyle name="RISKlightBoxed 2 4 11 2" xfId="37771" xr:uid="{F3B8BA56-AC45-4C0C-B2A0-8D4633F2368C}"/>
    <cellStyle name="RISKlightBoxed 2 4 12" xfId="15349" xr:uid="{FF4189B1-7CA8-4B99-A80F-8609AAD6D5D7}"/>
    <cellStyle name="RISKlightBoxed 2 4 12 2" xfId="37049" xr:uid="{3CC96F73-CBBE-4342-9AF8-3E07F03EC19E}"/>
    <cellStyle name="RISKlightBoxed 2 4 13" xfId="19206" xr:uid="{279F585E-45A4-4BC6-ACFE-A46F4120EAF9}"/>
    <cellStyle name="RISKlightBoxed 2 4 13 2" xfId="40015" xr:uid="{EA557A60-2F7A-4255-8BAD-C91F7DE84221}"/>
    <cellStyle name="RISKlightBoxed 2 4 14" xfId="17786" xr:uid="{9027DB40-8105-4DC8-A115-953C64C345BA}"/>
    <cellStyle name="RISKlightBoxed 2 4 14 2" xfId="38914" xr:uid="{AFC8179F-152E-4863-AD29-D7810A0D753B}"/>
    <cellStyle name="RISKlightBoxed 2 4 15" xfId="20540" xr:uid="{28163973-1AC9-448A-ACB2-F19F06B750AC}"/>
    <cellStyle name="RISKlightBoxed 2 4 15 2" xfId="40920" xr:uid="{682F46BA-89F4-4FBB-9012-74A4966C666C}"/>
    <cellStyle name="RISKlightBoxed 2 4 16" xfId="20137" xr:uid="{3DAA2B5F-054B-493A-B0D3-717F03DE1AB9}"/>
    <cellStyle name="RISKlightBoxed 2 4 16 2" xfId="40645" xr:uid="{D269B2BE-20A6-4E71-BF2F-7F0F22FA7BC5}"/>
    <cellStyle name="RISKlightBoxed 2 4 17" xfId="21225" xr:uid="{B2698109-E991-404E-9C74-0C639E1E4AAB}"/>
    <cellStyle name="RISKlightBoxed 2 4 17 2" xfId="41418" xr:uid="{7595D1FE-CC9C-45B6-BAA7-C24BF7E57A75}"/>
    <cellStyle name="RISKlightBoxed 2 4 18" xfId="17852" xr:uid="{AE1A3AAF-3A21-4B61-A6C7-C16FB93D45F9}"/>
    <cellStyle name="RISKlightBoxed 2 4 18 2" xfId="38968" xr:uid="{3D7D6FCA-5684-42BB-82C7-88848306F792}"/>
    <cellStyle name="RISKlightBoxed 2 4 19" xfId="25039" xr:uid="{1CE7D3D9-82A6-46AD-A19D-039473804958}"/>
    <cellStyle name="RISKlightBoxed 2 4 19 2" xfId="44072" xr:uid="{D59CFECB-848F-475B-8A0B-84D046FA9AE2}"/>
    <cellStyle name="RISKlightBoxed 2 4 2" xfId="11898" xr:uid="{16DF688C-D80A-465D-A8F3-E0B72CE19C47}"/>
    <cellStyle name="RISKlightBoxed 2 4 2 2" xfId="34510" xr:uid="{5EA1CD93-C5CC-450A-8002-1F79B59B7BEC}"/>
    <cellStyle name="RISKlightBoxed 2 4 20" xfId="22234" xr:uid="{07B9FA90-3134-4F91-8537-FE899339CBD3}"/>
    <cellStyle name="RISKlightBoxed 2 4 20 2" xfId="42111" xr:uid="{4E386AB4-AF61-49C6-9610-B5184DC2FC26}"/>
    <cellStyle name="RISKlightBoxed 2 4 21" xfId="23725" xr:uid="{00AA39F2-9D0F-4F62-BEE7-08BE9050FD7F}"/>
    <cellStyle name="RISKlightBoxed 2 4 21 2" xfId="43141" xr:uid="{DD8DD4CE-78AB-48B5-9CD3-B98874C75C51}"/>
    <cellStyle name="RISKlightBoxed 2 4 22" xfId="26650" xr:uid="{88FF30AB-FD08-477E-BABE-15131A0B03C7}"/>
    <cellStyle name="RISKlightBoxed 2 4 22 2" xfId="45199" xr:uid="{10DB6B26-16C0-4E1D-AAE2-B507DBC11AC9}"/>
    <cellStyle name="RISKlightBoxed 2 4 23" xfId="26041" xr:uid="{01ACBA69-BB53-470E-AECE-B705A594B8F7}"/>
    <cellStyle name="RISKlightBoxed 2 4 23 2" xfId="44811" xr:uid="{2A44E1CA-2730-4578-8805-8EC829039B20}"/>
    <cellStyle name="RISKlightBoxed 2 4 24" xfId="28412" xr:uid="{B8F45D09-CB06-456A-8328-140D54757C80}"/>
    <cellStyle name="RISKlightBoxed 2 4 24 2" xfId="46259" xr:uid="{AE75A4FF-A3B1-4D7D-A905-4C7304FDD505}"/>
    <cellStyle name="RISKlightBoxed 2 4 25" xfId="30031" xr:uid="{FB6C6E2C-B7AA-44CB-87FF-270AE4B9E8E1}"/>
    <cellStyle name="RISKlightBoxed 2 4 25 2" xfId="47262" xr:uid="{935AB234-711B-43EB-9992-16845661ACC6}"/>
    <cellStyle name="RISKlightBoxed 2 4 26" xfId="30080" xr:uid="{5D0932AD-D3D9-4576-8EA4-0EE65D91A613}"/>
    <cellStyle name="RISKlightBoxed 2 4 26 2" xfId="47276" xr:uid="{A0CFF6FF-288D-45F1-BBD1-96E0BA8452F5}"/>
    <cellStyle name="RISKlightBoxed 2 4 27" xfId="29607" xr:uid="{446EFC09-227C-4AFF-B9E6-9CC4B280E0B5}"/>
    <cellStyle name="RISKlightBoxed 2 4 27 2" xfId="46999" xr:uid="{74B6E7EA-DD00-4450-88F0-2E7900F6B327}"/>
    <cellStyle name="RISKlightBoxed 2 4 28" xfId="6737" xr:uid="{EA6CF9C9-58ED-419E-BFC7-3269E0025E1C}"/>
    <cellStyle name="RISKlightBoxed 2 4 3" xfId="13318" xr:uid="{8538C9E7-BEE9-405E-A0B4-0EB82C20A684}"/>
    <cellStyle name="RISKlightBoxed 2 4 3 2" xfId="35635" xr:uid="{77C76EA6-3C65-4D20-BC46-B4FCA1E44FB1}"/>
    <cellStyle name="RISKlightBoxed 2 4 4" xfId="11615" xr:uid="{24D69A16-1810-4846-8BF7-E2F3F31D5A2D}"/>
    <cellStyle name="RISKlightBoxed 2 4 4 2" xfId="34228" xr:uid="{C006EE1F-9C44-428D-A127-D2B87345987C}"/>
    <cellStyle name="RISKlightBoxed 2 4 5" xfId="7435" xr:uid="{48B69983-83CB-4F05-A33E-C5EA0971B0C4}"/>
    <cellStyle name="RISKlightBoxed 2 4 5 2" xfId="31793" xr:uid="{D138290C-CD10-4518-86AB-6F3856E17A91}"/>
    <cellStyle name="RISKlightBoxed 2 4 6" xfId="14735" xr:uid="{6A1AFB24-203D-4F0D-9C1C-7752F9442E4C}"/>
    <cellStyle name="RISKlightBoxed 2 4 6 2" xfId="36647" xr:uid="{C7F094CD-0921-4C1E-9235-7D5EDC4AD3E2}"/>
    <cellStyle name="RISKlightBoxed 2 4 7" xfId="12466" xr:uid="{30D91D4E-C2AF-44C7-8239-3B8693C596DD}"/>
    <cellStyle name="RISKlightBoxed 2 4 7 2" xfId="34912" xr:uid="{4D6AC417-592D-49C6-AACC-8A5572718ACE}"/>
    <cellStyle name="RISKlightBoxed 2 4 8" xfId="13684" xr:uid="{6B8F8F60-73ED-45A3-8634-3B862ED580CD}"/>
    <cellStyle name="RISKlightBoxed 2 4 8 2" xfId="35840" xr:uid="{86C0A934-D8E9-4B5B-8830-70F92081F01F}"/>
    <cellStyle name="RISKlightBoxed 2 4 9" xfId="16363" xr:uid="{EA082BE4-868A-45CF-8198-7535EB3677FF}"/>
    <cellStyle name="RISKlightBoxed 2 4 9 2" xfId="37890" xr:uid="{A439B9FF-8929-4A66-B770-991ED45408D3}"/>
    <cellStyle name="RISKlightBoxed 2 5" xfId="7486" xr:uid="{81810918-904E-4E41-86F4-320E9C15647E}"/>
    <cellStyle name="RISKlightBoxed 2 5 2" xfId="31843" xr:uid="{56A65C93-C4C1-4DB9-A37D-AD48A617D600}"/>
    <cellStyle name="RISKlightBoxed 2 6" xfId="10127" xr:uid="{BF983FEF-2E99-4A55-B673-4D8EB005F247}"/>
    <cellStyle name="RISKlightBoxed 2 6 2" xfId="33791" xr:uid="{C71D84FE-8D17-491A-BFE2-A2BBA6C227EA}"/>
    <cellStyle name="RISKlightBoxed 2 7" xfId="7144" xr:uid="{1F930FFB-2277-4699-89D6-3F8C78219441}"/>
    <cellStyle name="RISKlightBoxed 2 7 2" xfId="31511" xr:uid="{14E298C8-FB55-4C98-B721-29C1F5BBEF2F}"/>
    <cellStyle name="RISKlightBoxed 2 8" xfId="11856" xr:uid="{2C47D263-5B3E-4F8C-B311-2FA886D9EF6A}"/>
    <cellStyle name="RISKlightBoxed 2 8 2" xfId="34468" xr:uid="{EEC039A4-5AFD-47F2-9FE3-B777D2D3AAE1}"/>
    <cellStyle name="RISKlightBoxed 2 9" xfId="12220" xr:uid="{52D0569C-8D95-470B-8405-E7A9553247C5}"/>
    <cellStyle name="RISKlightBoxed 2 9 2" xfId="34727" xr:uid="{BEA90E6F-F84C-4251-9251-94CDE7F528AE}"/>
    <cellStyle name="RISKlightBoxed 20" xfId="18123" xr:uid="{B57FC2C5-260E-4821-ABC9-6C3178F37E7C}"/>
    <cellStyle name="RISKlightBoxed 20 2" xfId="39197" xr:uid="{C0A686A3-B136-46F9-8FE2-714022E35425}"/>
    <cellStyle name="RISKlightBoxed 21" xfId="18974" xr:uid="{4493644B-5A9B-49D2-890C-419761D60D68}"/>
    <cellStyle name="RISKlightBoxed 21 2" xfId="39806" xr:uid="{3DD96209-5FBA-4706-BD92-A283CA07B69B}"/>
    <cellStyle name="RISKlightBoxed 22" xfId="15688" xr:uid="{E3BF3EC1-4FF6-4434-AB6F-BB40A7F733C3}"/>
    <cellStyle name="RISKlightBoxed 22 2" xfId="37325" xr:uid="{13A731DB-4F08-4987-8CB1-0D5CD27D1122}"/>
    <cellStyle name="RISKlightBoxed 23" xfId="22556" xr:uid="{2BBCD654-567D-4EA5-BE2C-AFA41D6772BD}"/>
    <cellStyle name="RISKlightBoxed 23 2" xfId="42346" xr:uid="{24A30B37-651B-47CE-A539-0681D185651C}"/>
    <cellStyle name="RISKlightBoxed 24" xfId="21686" xr:uid="{6073764C-FB97-4A25-B4A8-1CCCF7FA84A9}"/>
    <cellStyle name="RISKlightBoxed 24 2" xfId="41742" xr:uid="{0F87A01A-58D7-410A-AD86-CE071878F8E1}"/>
    <cellStyle name="RISKlightBoxed 25" xfId="20932" xr:uid="{DBF7EF4B-77BA-4810-85AC-B0DE96DA4074}"/>
    <cellStyle name="RISKlightBoxed 25 2" xfId="41233" xr:uid="{BCA43EAE-6FF3-4963-9740-488BDC69BF14}"/>
    <cellStyle name="RISKlightBoxed 26" xfId="22067" xr:uid="{4F4CC0B0-2765-4F5A-9A48-D2C77B5DBDB3}"/>
    <cellStyle name="RISKlightBoxed 26 2" xfId="41952" xr:uid="{F41BF34B-397B-4396-8B1A-24F09E1FEAD5}"/>
    <cellStyle name="RISKlightBoxed 27" xfId="22114" xr:uid="{2B7946D9-165C-4817-8437-7FD3859C62A9}"/>
    <cellStyle name="RISKlightBoxed 27 2" xfId="41999" xr:uid="{89D35CBD-83B0-4126-A673-E296838520AA}"/>
    <cellStyle name="RISKlightBoxed 28" xfId="24456" xr:uid="{C37DAB7D-6D8B-4B56-A077-35D40EABA4A1}"/>
    <cellStyle name="RISKlightBoxed 28 2" xfId="43665" xr:uid="{9948BA0B-2ECF-48AD-93C9-72542BCD6B50}"/>
    <cellStyle name="RISKlightBoxed 29" xfId="26260" xr:uid="{9CDFDA67-B9C5-43BC-B4C1-B34C82353E2B}"/>
    <cellStyle name="RISKlightBoxed 29 2" xfId="44969" xr:uid="{62A0FAF5-8291-45D6-9914-CE6317CAD5A8}"/>
    <cellStyle name="RISKlightBoxed 3" xfId="3764" xr:uid="{CC7E4339-7171-4129-A2EB-24A10B10EC55}"/>
    <cellStyle name="RISKlightBoxed 3 10" xfId="12712" xr:uid="{E3108A37-636E-4897-B3D9-976952762C13}"/>
    <cellStyle name="RISKlightBoxed 3 10 2" xfId="35125" xr:uid="{AFA4F64F-09DE-4E4F-B307-72ADD6BA72E1}"/>
    <cellStyle name="RISKlightBoxed 3 11" xfId="15838" xr:uid="{95C50D8E-105F-49F8-B9A6-6F9DCB97B19C}"/>
    <cellStyle name="RISKlightBoxed 3 11 2" xfId="37447" xr:uid="{73ABF571-2AD8-4EA8-B2CF-4BDFEB4079F4}"/>
    <cellStyle name="RISKlightBoxed 3 12" xfId="14525" xr:uid="{A877C1A4-3899-4CD0-B0BF-A91827238E21}"/>
    <cellStyle name="RISKlightBoxed 3 12 2" xfId="36462" xr:uid="{9E7FD85D-CF6D-47A9-9C64-CA6C61FE06D5}"/>
    <cellStyle name="RISKlightBoxed 3 13" xfId="18119" xr:uid="{FA05A764-9413-4532-90E4-3120FFED6746}"/>
    <cellStyle name="RISKlightBoxed 3 13 2" xfId="39193" xr:uid="{0D616545-B358-438C-B8DD-2CA85903BA07}"/>
    <cellStyle name="RISKlightBoxed 3 14" xfId="18970" xr:uid="{91F33DD4-27D7-41F4-8FC3-2D7A02328F87}"/>
    <cellStyle name="RISKlightBoxed 3 14 2" xfId="39802" xr:uid="{3E108FD7-9A99-431A-BB92-5270E98D39E8}"/>
    <cellStyle name="RISKlightBoxed 3 15" xfId="17202" xr:uid="{8238B174-1AF7-4F86-A456-76EE67A16668}"/>
    <cellStyle name="RISKlightBoxed 3 15 2" xfId="38531" xr:uid="{52BE3BEF-C810-4C36-9224-C01286BB1204}"/>
    <cellStyle name="RISKlightBoxed 3 16" xfId="21281" xr:uid="{68ACC90F-62F8-437E-9BA4-98D9B2383DA8}"/>
    <cellStyle name="RISKlightBoxed 3 16 2" xfId="41461" xr:uid="{E0DF0003-E527-406F-B3B0-8409B26A9A19}"/>
    <cellStyle name="RISKlightBoxed 3 17" xfId="16125" xr:uid="{FE1776B7-9FE1-4B94-B9B5-12DA537393CF}"/>
    <cellStyle name="RISKlightBoxed 3 17 2" xfId="37694" xr:uid="{A40D2A0C-C3BF-4A08-91C8-2E35163F1273}"/>
    <cellStyle name="RISKlightBoxed 3 18" xfId="22587" xr:uid="{939C7C83-EA4D-4A9F-B28E-A36AAB883F0A}"/>
    <cellStyle name="RISKlightBoxed 3 18 2" xfId="42373" xr:uid="{D0AC22F2-2272-47B7-85C4-9C4667F2DD87}"/>
    <cellStyle name="RISKlightBoxed 3 19" xfId="22069" xr:uid="{B5782232-51BC-407C-AC82-3BDE9CAE6F0A}"/>
    <cellStyle name="RISKlightBoxed 3 19 2" xfId="41954" xr:uid="{1DA2B765-2AC3-4DA1-AC5B-BB85CE93C31A}"/>
    <cellStyle name="RISKlightBoxed 3 2" xfId="3765" xr:uid="{DD376D22-DEF6-4641-A755-149DDB9DF3C5}"/>
    <cellStyle name="RISKlightBoxed 3 2 10" xfId="17274" xr:uid="{34161482-22BC-4779-8102-A7B7E7250E28}"/>
    <cellStyle name="RISKlightBoxed 3 2 10 2" xfId="38577" xr:uid="{D0A79EE7-392A-4EFD-8C7C-69F32A0013F4}"/>
    <cellStyle name="RISKlightBoxed 3 2 11" xfId="15767" xr:uid="{D512F0DE-AC0A-44F3-95F9-CABF9E5CD8B1}"/>
    <cellStyle name="RISKlightBoxed 3 2 11 2" xfId="37391" xr:uid="{C491F987-12B9-4418-B178-9743AACABB37}"/>
    <cellStyle name="RISKlightBoxed 3 2 12" xfId="17086" xr:uid="{0FC31E64-87D5-4472-A8D8-652E748F4541}"/>
    <cellStyle name="RISKlightBoxed 3 2 12 2" xfId="38425" xr:uid="{36B0C57C-37ED-40E9-99E2-19D957EAA406}"/>
    <cellStyle name="RISKlightBoxed 3 2 13" xfId="19205" xr:uid="{E815FA1E-FC1F-4239-85B4-404F1129AD64}"/>
    <cellStyle name="RISKlightBoxed 3 2 13 2" xfId="40014" xr:uid="{17FE7B1B-E98F-4C5C-910C-B2B01444A319}"/>
    <cellStyle name="RISKlightBoxed 3 2 14" xfId="19554" xr:uid="{6C899BAE-B7DA-45C3-AE21-8AFCD58ADDCF}"/>
    <cellStyle name="RISKlightBoxed 3 2 14 2" xfId="40217" xr:uid="{B5106D3E-4806-4961-A888-59D73DECF3A0}"/>
    <cellStyle name="RISKlightBoxed 3 2 15" xfId="21687" xr:uid="{8A923C4E-6154-4DE0-BBA2-EF5755386DB2}"/>
    <cellStyle name="RISKlightBoxed 3 2 15 2" xfId="41743" xr:uid="{48380155-86F5-47E8-9642-0EB27CCC867A}"/>
    <cellStyle name="RISKlightBoxed 3 2 16" xfId="22173" xr:uid="{C79E9B41-3312-470E-9B75-8670988A90AA}"/>
    <cellStyle name="RISKlightBoxed 3 2 16 2" xfId="42052" xr:uid="{95ACAC51-95C0-43E7-B097-D8E8ED0C5C7B}"/>
    <cellStyle name="RISKlightBoxed 3 2 17" xfId="19392" xr:uid="{1728D7EA-FDC2-4BEC-9552-02667BE16A2F}"/>
    <cellStyle name="RISKlightBoxed 3 2 17 2" xfId="40113" xr:uid="{F80194E2-2E74-452E-A8A9-47B8B8E70BFA}"/>
    <cellStyle name="RISKlightBoxed 3 2 18" xfId="22116" xr:uid="{BAC72853-6DD2-4478-886F-3D03B2B17166}"/>
    <cellStyle name="RISKlightBoxed 3 2 18 2" xfId="42001" xr:uid="{9C0FE26B-88D4-4FC0-B2C6-17757333BCE0}"/>
    <cellStyle name="RISKlightBoxed 3 2 19" xfId="25407" xr:uid="{DCD32AE4-9073-46D4-896C-463C59C883F7}"/>
    <cellStyle name="RISKlightBoxed 3 2 19 2" xfId="44299" xr:uid="{56D3448A-EFB1-4986-BC36-E09B8B8DFDDF}"/>
    <cellStyle name="RISKlightBoxed 3 2 2" xfId="11897" xr:uid="{D406898E-2C9B-488D-8EC8-221EFAA88C78}"/>
    <cellStyle name="RISKlightBoxed 3 2 2 2" xfId="34509" xr:uid="{D8E1FCB8-BE60-44BB-8869-7FAC5263C7FC}"/>
    <cellStyle name="RISKlightBoxed 3 2 20" xfId="23832" xr:uid="{531B8325-79AD-4FFA-96CD-8BFD71A4BD50}"/>
    <cellStyle name="RISKlightBoxed 3 2 20 2" xfId="43221" xr:uid="{995D5B50-00DB-4718-B159-02359D346CFB}"/>
    <cellStyle name="RISKlightBoxed 3 2 21" xfId="25565" xr:uid="{C45E0DFF-6D88-4BFA-A5C4-FB112FB96FFA}"/>
    <cellStyle name="RISKlightBoxed 3 2 21 2" xfId="44433" xr:uid="{69536AA8-39DF-4273-8E2D-AB783EAF2014}"/>
    <cellStyle name="RISKlightBoxed 3 2 22" xfId="25418" xr:uid="{691092B4-B810-44CB-9B07-68295BA9D527}"/>
    <cellStyle name="RISKlightBoxed 3 2 22 2" xfId="44310" xr:uid="{8A31CC97-B2E6-4222-BFC3-3966CDFB4A83}"/>
    <cellStyle name="RISKlightBoxed 3 2 23" xfId="27591" xr:uid="{5832EAF5-3B7D-4649-9F21-3367C7E7FDFC}"/>
    <cellStyle name="RISKlightBoxed 3 2 23 2" xfId="45740" xr:uid="{F5E99102-FDD1-4A87-B5EF-4019DC5495EC}"/>
    <cellStyle name="RISKlightBoxed 3 2 24" xfId="30276" xr:uid="{C29F0E2B-9E17-4379-917E-38B4060E184A}"/>
    <cellStyle name="RISKlightBoxed 3 2 24 2" xfId="47426" xr:uid="{B8970C2B-685F-469A-8415-909379E73C82}"/>
    <cellStyle name="RISKlightBoxed 3 2 25" xfId="29835" xr:uid="{0437AB63-ADC0-4A0E-8514-6DAA848A7B54}"/>
    <cellStyle name="RISKlightBoxed 3 2 25 2" xfId="47152" xr:uid="{578B8C5A-1292-4A85-8291-DA7671FD61E3}"/>
    <cellStyle name="RISKlightBoxed 3 2 26" xfId="29398" xr:uid="{5BD17ABD-7F0F-4803-A7B6-160A81CAFA7A}"/>
    <cellStyle name="RISKlightBoxed 3 2 26 2" xfId="46865" xr:uid="{8DA54362-833B-486A-B09D-523A41C7CBDA}"/>
    <cellStyle name="RISKlightBoxed 3 2 27" xfId="29374" xr:uid="{D538E1CB-11DD-4894-AF2B-AC525F8A7FBA}"/>
    <cellStyle name="RISKlightBoxed 3 2 27 2" xfId="46843" xr:uid="{DC30B440-26B1-48FD-8B94-4650A5A0A0B9}"/>
    <cellStyle name="RISKlightBoxed 3 2 28" xfId="6739" xr:uid="{4BEBC449-7208-40DD-86DA-DEDC99955C86}"/>
    <cellStyle name="RISKlightBoxed 3 2 3" xfId="13317" xr:uid="{E43C8021-6076-4869-B1A3-80D1FEEFEA77}"/>
    <cellStyle name="RISKlightBoxed 3 2 3 2" xfId="35634" xr:uid="{8D28E583-9BFA-4482-A38A-B77F69DF4935}"/>
    <cellStyle name="RISKlightBoxed 3 2 4" xfId="7175" xr:uid="{A9FE3667-3C06-4959-BD1A-193F7753626C}"/>
    <cellStyle name="RISKlightBoxed 3 2 4 2" xfId="31542" xr:uid="{46E86B34-6690-482C-AA09-42C791FB0D47}"/>
    <cellStyle name="RISKlightBoxed 3 2 5" xfId="7434" xr:uid="{C028A90E-8600-4E27-B22B-68E8D4832346}"/>
    <cellStyle name="RISKlightBoxed 3 2 5 2" xfId="31792" xr:uid="{AF50FA81-7C02-4657-88F3-2B9626299376}"/>
    <cellStyle name="RISKlightBoxed 3 2 6" xfId="14734" xr:uid="{62048C44-F348-4F28-BE41-4BA90E20F8B0}"/>
    <cellStyle name="RISKlightBoxed 3 2 6 2" xfId="36646" xr:uid="{EF293739-4DC7-4A1D-B273-141F2C464C66}"/>
    <cellStyle name="RISKlightBoxed 3 2 7" xfId="12467" xr:uid="{2228FFEC-E0DD-4511-8077-31CA6BE664E0}"/>
    <cellStyle name="RISKlightBoxed 3 2 7 2" xfId="34913" xr:uid="{109BD72F-05BC-4474-B633-8EDFD6E38A7E}"/>
    <cellStyle name="RISKlightBoxed 3 2 8" xfId="14431" xr:uid="{7DED4780-F412-41B9-8CF8-BC41480D542B}"/>
    <cellStyle name="RISKlightBoxed 3 2 8 2" xfId="36420" xr:uid="{D77D1C9C-0F40-4945-BE72-FBB15634F051}"/>
    <cellStyle name="RISKlightBoxed 3 2 9" xfId="16362" xr:uid="{9D38C5F4-5371-4CE5-9299-2FE568791959}"/>
    <cellStyle name="RISKlightBoxed 3 2 9 2" xfId="37889" xr:uid="{AE10D4AC-3CF2-4576-917E-44D8FC940C45}"/>
    <cellStyle name="RISKlightBoxed 3 20" xfId="17814" xr:uid="{D38C0602-4735-4DF4-8E26-980E15AA2D16}"/>
    <cellStyle name="RISKlightBoxed 3 20 2" xfId="38939" xr:uid="{90B25232-AF47-409E-8F9E-5BE4E4CFB9BF}"/>
    <cellStyle name="RISKlightBoxed 3 21" xfId="24454" xr:uid="{25D201F8-AE2B-4EC6-8F04-8803A2DF7457}"/>
    <cellStyle name="RISKlightBoxed 3 21 2" xfId="43663" xr:uid="{342AA984-B9C6-4B4E-A2E9-5F6F267FCDA8}"/>
    <cellStyle name="RISKlightBoxed 3 22" xfId="26256" xr:uid="{A8B78282-1F91-4281-8E9C-D7358FAB592C}"/>
    <cellStyle name="RISKlightBoxed 3 22 2" xfId="44965" xr:uid="{902AD63E-AB0C-4DC5-B625-BCF883FF9145}"/>
    <cellStyle name="RISKlightBoxed 3 23" xfId="23624" xr:uid="{591BE6F9-9865-41D0-94C5-F272E45940C1}"/>
    <cellStyle name="RISKlightBoxed 3 23 2" xfId="43055" xr:uid="{37AF93B3-9D96-435A-BDD3-591F78CA1D44}"/>
    <cellStyle name="RISKlightBoxed 3 24" xfId="24227" xr:uid="{060FE63B-6118-4EF5-9DB2-E1A6D1B009E5}"/>
    <cellStyle name="RISKlightBoxed 3 24 2" xfId="43545" xr:uid="{C10E5808-0FF9-4E5E-A27C-EFE8CBC7B3CE}"/>
    <cellStyle name="RISKlightBoxed 3 25" xfId="28775" xr:uid="{9F2CE002-4D99-43AB-9CA8-157F55E64A55}"/>
    <cellStyle name="RISKlightBoxed 3 25 2" xfId="46451" xr:uid="{68336C3B-DE75-4398-AF14-C2862EC4FCFE}"/>
    <cellStyle name="RISKlightBoxed 3 26" xfId="28426" xr:uid="{EF58F150-8F5E-4AAF-96E1-EAA038AFC665}"/>
    <cellStyle name="RISKlightBoxed 3 26 2" xfId="46273" xr:uid="{B2867C79-CD54-4D31-90D0-747B28D4A745}"/>
    <cellStyle name="RISKlightBoxed 3 27" xfId="25984" xr:uid="{586DC629-1D93-4DBF-943D-E78B9F627367}"/>
    <cellStyle name="RISKlightBoxed 3 27 2" xfId="44767" xr:uid="{4CD32453-AC7C-4131-9F95-AD4E2EE84BC0}"/>
    <cellStyle name="RISKlightBoxed 3 28" xfId="28152" xr:uid="{185B6E82-6F95-4217-A066-2E12B8391AA5}"/>
    <cellStyle name="RISKlightBoxed 3 28 2" xfId="46087" xr:uid="{6413983E-0275-424C-A373-8942AD3DA332}"/>
    <cellStyle name="RISKlightBoxed 3 29" xfId="30649" xr:uid="{4B7C702E-8071-4A31-92BD-B02694A4BB15}"/>
    <cellStyle name="RISKlightBoxed 3 29 2" xfId="47595" xr:uid="{8DD4EC42-81B2-4AC8-8A45-09CFAEB94D05}"/>
    <cellStyle name="RISKlightBoxed 3 3" xfId="3766" xr:uid="{BF32D208-92EC-4353-B528-0DB0593295CD}"/>
    <cellStyle name="RISKlightBoxed 3 3 10" xfId="13891" xr:uid="{6323DE06-8A01-42E8-A949-348BCB96873E}"/>
    <cellStyle name="RISKlightBoxed 3 3 10 2" xfId="36009" xr:uid="{F84E7435-4DD6-4D66-BAD0-7EEC0563FE3A}"/>
    <cellStyle name="RISKlightBoxed 3 3 11" xfId="18118" xr:uid="{048400FC-49FD-425C-9787-1510EEDE44F5}"/>
    <cellStyle name="RISKlightBoxed 3 3 11 2" xfId="39192" xr:uid="{0FB0B2E7-C373-48DF-99ED-98F87A3DF2D5}"/>
    <cellStyle name="RISKlightBoxed 3 3 12" xfId="16098" xr:uid="{AD10281F-66FF-4E46-8D36-1EB47F726100}"/>
    <cellStyle name="RISKlightBoxed 3 3 12 2" xfId="37668" xr:uid="{1A712EBE-A86F-4AD5-A03F-74207F56C2A7}"/>
    <cellStyle name="RISKlightBoxed 3 3 13" xfId="12669" xr:uid="{E66D3BE3-CACF-4786-8313-A4C37DB94810}"/>
    <cellStyle name="RISKlightBoxed 3 3 13 2" xfId="35093" xr:uid="{7DE33247-B4EF-4053-9CE3-65BBBFF42FCC}"/>
    <cellStyle name="RISKlightBoxed 3 3 14" xfId="21280" xr:uid="{2D657D91-33B5-43E9-B2CE-B78AA89424A2}"/>
    <cellStyle name="RISKlightBoxed 3 3 14 2" xfId="41460" xr:uid="{F53913D7-4DCD-4A48-9A30-A953AA323A19}"/>
    <cellStyle name="RISKlightBoxed 3 3 15" xfId="20539" xr:uid="{C90E603C-F0BF-4858-AE81-CBD9BB2CD51C}"/>
    <cellStyle name="RISKlightBoxed 3 3 15 2" xfId="40919" xr:uid="{562DE40D-DAA9-481A-BB3E-55985BC06B5A}"/>
    <cellStyle name="RISKlightBoxed 3 3 16" xfId="20934" xr:uid="{BD4651FC-6CBA-4A64-85C5-D4D8131906D3}"/>
    <cellStyle name="RISKlightBoxed 3 3 16 2" xfId="41235" xr:uid="{D7FCD4A9-61CD-4E9F-A0FE-11D12525F026}"/>
    <cellStyle name="RISKlightBoxed 3 3 17" xfId="20172" xr:uid="{CDD30130-F9EA-4DAB-B0F5-775031AADFF8}"/>
    <cellStyle name="RISKlightBoxed 3 3 17 2" xfId="40679" xr:uid="{27A6DBD0-9FEB-45D7-B7B9-B9DC597CB783}"/>
    <cellStyle name="RISKlightBoxed 3 3 18" xfId="18696" xr:uid="{B43EE64D-A79A-4642-80C9-BC153ADC4E1B}"/>
    <cellStyle name="RISKlightBoxed 3 3 18 2" xfId="39574" xr:uid="{DFF17C0F-4102-4A89-9B2D-29ACC4FB5845}"/>
    <cellStyle name="RISKlightBoxed 3 3 19" xfId="21120" xr:uid="{7B151A71-DC39-409B-9F7F-7F5FAB966964}"/>
    <cellStyle name="RISKlightBoxed 3 3 19 2" xfId="41327" xr:uid="{361FBEF3-A158-48C1-8AE7-AA9DB89388E2}"/>
    <cellStyle name="RISKlightBoxed 3 3 2" xfId="7482" xr:uid="{822F6DF4-0C7C-47E1-8EBC-F69DD9B88AB8}"/>
    <cellStyle name="RISKlightBoxed 3 3 2 2" xfId="31839" xr:uid="{08545B65-4E32-43CB-9817-C1AA03ECA1D1}"/>
    <cellStyle name="RISKlightBoxed 3 3 20" xfId="26255" xr:uid="{EF3F992E-9082-4F85-B646-895C1AC7F2A2}"/>
    <cellStyle name="RISKlightBoxed 3 3 20 2" xfId="44964" xr:uid="{C0076B4E-B7D3-4780-AB8A-7AAB737DB834}"/>
    <cellStyle name="RISKlightBoxed 3 3 21" xfId="24320" xr:uid="{7D557DAC-699F-4C95-B011-4988857F97F2}"/>
    <cellStyle name="RISKlightBoxed 3 3 21 2" xfId="43585" xr:uid="{CF20AED8-68D1-4FE8-8CD2-23489F9264C2}"/>
    <cellStyle name="RISKlightBoxed 3 3 22" xfId="28701" xr:uid="{C641C34C-2828-418B-917E-B65294347757}"/>
    <cellStyle name="RISKlightBoxed 3 3 22 2" xfId="46431" xr:uid="{EF50A1C5-1B72-42C7-B06C-90710AB4C7D0}"/>
    <cellStyle name="RISKlightBoxed 3 3 23" xfId="28320" xr:uid="{80D449D2-148D-44C9-A03D-4441258193D0}"/>
    <cellStyle name="RISKlightBoxed 3 3 23 2" xfId="46187" xr:uid="{B930FABF-2650-4A39-8300-1296DC69AD9B}"/>
    <cellStyle name="RISKlightBoxed 3 3 24" xfId="21910" xr:uid="{2ECE7C9E-D25A-4C58-B553-64AE933EE242}"/>
    <cellStyle name="RISKlightBoxed 3 3 24 2" xfId="41831" xr:uid="{06AFDFF6-4BB3-4F6C-A4E2-79A0A65E717F}"/>
    <cellStyle name="RISKlightBoxed 3 3 25" xfId="29921" xr:uid="{30D8565B-A010-48A6-8A48-28627DF01611}"/>
    <cellStyle name="RISKlightBoxed 3 3 25 2" xfId="47209" xr:uid="{DD9B7D6F-AE57-4AEA-85A2-3056B3AFD551}"/>
    <cellStyle name="RISKlightBoxed 3 3 26" xfId="29622" xr:uid="{62BF1AAB-41C8-468F-817F-BA32C6C0F3E6}"/>
    <cellStyle name="RISKlightBoxed 3 3 26 2" xfId="47013" xr:uid="{5D378451-2DC7-47BB-8008-1664DF53FDBA}"/>
    <cellStyle name="RISKlightBoxed 3 3 27" xfId="30648" xr:uid="{D1D2AC31-C8B5-4232-A4E9-AC55D8AB4A7D}"/>
    <cellStyle name="RISKlightBoxed 3 3 27 2" xfId="47594" xr:uid="{2772253B-9944-4A5B-9D07-FF6FDDA837D6}"/>
    <cellStyle name="RISKlightBoxed 3 3 28" xfId="6740" xr:uid="{A4DF5173-3AF7-456D-BDAF-BC7FFC65F95F}"/>
    <cellStyle name="RISKlightBoxed 3 3 3" xfId="10131" xr:uid="{3BCE8FF5-FDF0-40DD-A547-32DD9005D083}"/>
    <cellStyle name="RISKlightBoxed 3 3 3 2" xfId="33795" xr:uid="{24171F60-6AF3-4623-B38D-FB0C0CABDBFB}"/>
    <cellStyle name="RISKlightBoxed 3 3 4" xfId="7174" xr:uid="{358A4482-8DC8-4495-A9D5-6B218088E4B3}"/>
    <cellStyle name="RISKlightBoxed 3 3 4 2" xfId="31541" xr:uid="{5D0658F6-75EB-4385-9C74-AFF263060E09}"/>
    <cellStyle name="RISKlightBoxed 3 3 5" xfId="11852" xr:uid="{CE112973-CB4B-4042-BCB9-6CE22958BCC8}"/>
    <cellStyle name="RISKlightBoxed 3 3 5 2" xfId="34464" xr:uid="{B085CCA4-6664-4223-87FC-2248070FDB40}"/>
    <cellStyle name="RISKlightBoxed 3 3 6" xfId="12224" xr:uid="{89485C8B-2FAB-40AD-9733-2EFC4651769D}"/>
    <cellStyle name="RISKlightBoxed 3 3 6 2" xfId="34731" xr:uid="{DD82B763-70B5-410F-A635-24A23B848526}"/>
    <cellStyle name="RISKlightBoxed 3 3 7" xfId="15109" xr:uid="{6B2EF007-C114-4082-843D-1AB63700C45F}"/>
    <cellStyle name="RISKlightBoxed 3 3 7 2" xfId="36936" xr:uid="{DF12ECD3-1E57-4796-8B38-95EC618EA226}"/>
    <cellStyle name="RISKlightBoxed 3 3 8" xfId="15598" xr:uid="{486A6441-E530-48E6-9C03-854292FED6D0}"/>
    <cellStyle name="RISKlightBoxed 3 3 8 2" xfId="37256" xr:uid="{A221546D-80F3-4FF5-9737-29B09B439542}"/>
    <cellStyle name="RISKlightBoxed 3 3 9" xfId="12595" xr:uid="{35427979-B28F-4593-994F-2E6BC3381854}"/>
    <cellStyle name="RISKlightBoxed 3 3 9 2" xfId="35030" xr:uid="{3C77A2AA-EA76-4691-844A-D01936A217C8}"/>
    <cellStyle name="RISKlightBoxed 3 30" xfId="6738" xr:uid="{F056EC9F-F566-4196-A400-486C55AB4004}"/>
    <cellStyle name="RISKlightBoxed 3 4" xfId="7483" xr:uid="{321046C3-4C4D-41E3-86F9-BD5F11612372}"/>
    <cellStyle name="RISKlightBoxed 3 4 2" xfId="31840" xr:uid="{02F86D7E-5BA3-449C-81C9-07916F2C1BF7}"/>
    <cellStyle name="RISKlightBoxed 3 5" xfId="10130" xr:uid="{AA0D8C6A-5EA8-448A-ACFF-C02780D035BB}"/>
    <cellStyle name="RISKlightBoxed 3 5 2" xfId="33794" xr:uid="{3400A771-DCDA-41B0-914B-0824E5316E62}"/>
    <cellStyle name="RISKlightBoxed 3 6" xfId="7177" xr:uid="{6EF72CC9-ABA5-4820-915D-171C928E4B86}"/>
    <cellStyle name="RISKlightBoxed 3 6 2" xfId="31543" xr:uid="{0C39569C-AD06-4C8E-B571-9FEAA605424C}"/>
    <cellStyle name="RISKlightBoxed 3 7" xfId="11853" xr:uid="{F93C5631-C654-42C7-8558-0CBA5F45AE16}"/>
    <cellStyle name="RISKlightBoxed 3 7 2" xfId="34465" xr:uid="{01995170-7D1B-43D8-A7FB-DCB92B8932F5}"/>
    <cellStyle name="RISKlightBoxed 3 8" xfId="12223" xr:uid="{D0E907A8-5D06-4B64-BCCE-B7F1FC280373}"/>
    <cellStyle name="RISKlightBoxed 3 8 2" xfId="34730" xr:uid="{2EB56FD3-9757-45ED-A1DC-826D57D2C181}"/>
    <cellStyle name="RISKlightBoxed 3 9" xfId="14097" xr:uid="{6468DEDE-74AF-4EDE-B024-D18C7B46CE45}"/>
    <cellStyle name="RISKlightBoxed 3 9 2" xfId="36191" xr:uid="{FD333B25-8479-40D9-9CC9-5C59432F6A94}"/>
    <cellStyle name="RISKlightBoxed 30" xfId="24318" xr:uid="{CDE29369-CBAE-46A2-8274-3A654D2124BA}"/>
    <cellStyle name="RISKlightBoxed 30 2" xfId="43583" xr:uid="{F72A0845-16DA-4A11-85C1-45AE783A5C4F}"/>
    <cellStyle name="RISKlightBoxed 31" xfId="21960" xr:uid="{B5169963-51F2-408A-8279-40FEDE04533F}"/>
    <cellStyle name="RISKlightBoxed 31 2" xfId="41872" xr:uid="{416236D4-5FA8-4927-BEF3-D5FD6FF82B18}"/>
    <cellStyle name="RISKlightBoxed 32" xfId="28322" xr:uid="{DF8AE189-6EC3-4A3D-B3DA-4F3749802CAE}"/>
    <cellStyle name="RISKlightBoxed 32 2" xfId="46189" xr:uid="{ED3FC5E8-8E32-4B01-AF75-A5EE78C5E09A}"/>
    <cellStyle name="RISKlightBoxed 33" xfId="25626" xr:uid="{8ECD6F3B-2899-4173-A209-CAE5EF16E22C}"/>
    <cellStyle name="RISKlightBoxed 33 2" xfId="44483" xr:uid="{80841FB2-6D46-40E4-86AF-C3319A535145}"/>
    <cellStyle name="RISKlightBoxed 34" xfId="25842" xr:uid="{1F7E2BFB-DE57-4E68-A8F5-DDA6341EE041}"/>
    <cellStyle name="RISKlightBoxed 34 2" xfId="44661" xr:uid="{495A5CA0-ADAD-4714-9060-240DD6673B6D}"/>
    <cellStyle name="RISKlightBoxed 35" xfId="29805" xr:uid="{D233C37A-8DBE-48D4-9EC7-BD48F8869849}"/>
    <cellStyle name="RISKlightBoxed 35 2" xfId="47124" xr:uid="{188AA7D8-E6AE-4C40-A629-98244CE0FF9C}"/>
    <cellStyle name="RISKlightBoxed 36" xfId="30653" xr:uid="{015898A2-1206-47FC-BEA3-CAA267AA4056}"/>
    <cellStyle name="RISKlightBoxed 36 2" xfId="47599" xr:uid="{CEE96970-ECB8-4ED0-A8A4-FCBE8755B238}"/>
    <cellStyle name="RISKlightBoxed 37" xfId="6730" xr:uid="{63E0FA02-72F1-4CFA-A025-27461A13C8E8}"/>
    <cellStyle name="RISKlightBoxed 4" xfId="3767" xr:uid="{279954FA-11F2-43F1-AFE9-AA819632BB83}"/>
    <cellStyle name="RISKlightBoxed 4 10" xfId="13685" xr:uid="{65586790-C40A-478E-AFEC-33420E9A152D}"/>
    <cellStyle name="RISKlightBoxed 4 10 2" xfId="35841" xr:uid="{903FA826-E994-4650-A22C-4BBFF46DAC0F}"/>
    <cellStyle name="RISKlightBoxed 4 11" xfId="16361" xr:uid="{86ED9046-A7E4-4578-A4E5-13FCE21A5570}"/>
    <cellStyle name="RISKlightBoxed 4 11 2" xfId="37888" xr:uid="{18688569-FA16-40B0-B573-5662BB2093CF}"/>
    <cellStyle name="RISKlightBoxed 4 12" xfId="17273" xr:uid="{C7F7CE42-D494-40B4-9FFC-64140E96B673}"/>
    <cellStyle name="RISKlightBoxed 4 12 2" xfId="38576" xr:uid="{788C2638-0418-4898-86E2-C790D2823B3B}"/>
    <cellStyle name="RISKlightBoxed 4 13" xfId="16216" xr:uid="{C3B76A45-7F3D-4EAB-8FF7-E1F85124868F}"/>
    <cellStyle name="RISKlightBoxed 4 13 2" xfId="37770" xr:uid="{F9FA6286-5537-4DF3-AE23-A595F496B1C2}"/>
    <cellStyle name="RISKlightBoxed 4 14" xfId="17085" xr:uid="{CDC29C6E-2BB2-4E70-BC1A-31E75F4AED4D}"/>
    <cellStyle name="RISKlightBoxed 4 14 2" xfId="38424" xr:uid="{0916AD6A-CE3A-456D-AB00-EC1B50321626}"/>
    <cellStyle name="RISKlightBoxed 4 15" xfId="19204" xr:uid="{A2FF39DE-0550-4071-984E-F2B8CF0BCE43}"/>
    <cellStyle name="RISKlightBoxed 4 15 2" xfId="40013" xr:uid="{BCFBCAF5-6F4B-4D7B-9F26-F0537DD860AD}"/>
    <cellStyle name="RISKlightBoxed 4 16" xfId="17032" xr:uid="{733F5268-A1C2-4F7E-B085-4DA62633AE1F}"/>
    <cellStyle name="RISKlightBoxed 4 16 2" xfId="38375" xr:uid="{51CD3B44-5DD0-4ABE-9727-19D842C1FA22}"/>
    <cellStyle name="RISKlightBoxed 4 17" xfId="20538" xr:uid="{516A8BF1-0F55-4D4E-9F1C-B8C84811E07F}"/>
    <cellStyle name="RISKlightBoxed 4 17 2" xfId="40918" xr:uid="{B98524BE-E8EB-4642-97E0-8FF94A73EBC6}"/>
    <cellStyle name="RISKlightBoxed 4 18" xfId="20314" xr:uid="{AC54157C-C8EA-4D2A-BF03-E877CFD69383}"/>
    <cellStyle name="RISKlightBoxed 4 18 2" xfId="40747" xr:uid="{6B4F0E85-C962-4CBA-BD33-7E191CC4A15B}"/>
    <cellStyle name="RISKlightBoxed 4 19" xfId="21224" xr:uid="{801EBC10-0CFC-4B1A-8D76-B7FCBD23B7BE}"/>
    <cellStyle name="RISKlightBoxed 4 19 2" xfId="41417" xr:uid="{98F5F877-3252-44C6-AE8B-B05346B59341}"/>
    <cellStyle name="RISKlightBoxed 4 2" xfId="3768" xr:uid="{D762B88B-5077-4771-BD6D-5E30D148607D}"/>
    <cellStyle name="RISKlightBoxed 4 2 10" xfId="16810" xr:uid="{81310112-4762-46DB-B074-F00614E37DDF}"/>
    <cellStyle name="RISKlightBoxed 4 2 10 2" xfId="38240" xr:uid="{8FFA9EFC-B8F9-4815-B725-8C5755D89C49}"/>
    <cellStyle name="RISKlightBoxed 4 2 11" xfId="18117" xr:uid="{F3157C0D-9078-4C1B-AEF5-C71C0D748A07}"/>
    <cellStyle name="RISKlightBoxed 4 2 11 2" xfId="39191" xr:uid="{B268DE7B-7F67-4D81-8CB3-4AAF6572507B}"/>
    <cellStyle name="RISKlightBoxed 4 2 12" xfId="18969" xr:uid="{1FC09A6E-F7CF-4A11-84BE-EA2A0760E552}"/>
    <cellStyle name="RISKlightBoxed 4 2 12 2" xfId="39801" xr:uid="{1EA7EC44-A3E7-4E6D-B4E4-47FE6700CC31}"/>
    <cellStyle name="RISKlightBoxed 4 2 13" xfId="17201" xr:uid="{61BDF30A-E907-4A05-922D-2FFB3DF6CE81}"/>
    <cellStyle name="RISKlightBoxed 4 2 13 2" xfId="38530" xr:uid="{12EAF3B7-E7DC-43CE-A378-7FD9F42DCC0E}"/>
    <cellStyle name="RISKlightBoxed 4 2 14" xfId="21279" xr:uid="{BBC2FFB0-DA9B-46F4-AD6D-FC625645E91E}"/>
    <cellStyle name="RISKlightBoxed 4 2 14 2" xfId="41459" xr:uid="{786CE127-A836-4244-986F-F4AC13AB819E}"/>
    <cellStyle name="RISKlightBoxed 4 2 15" xfId="16867" xr:uid="{952091BB-3495-451B-9E52-D65A376275A2}"/>
    <cellStyle name="RISKlightBoxed 4 2 15 2" xfId="38289" xr:uid="{DB9FF0B6-39E4-4A1A-8DB9-5E02BC0149D8}"/>
    <cellStyle name="RISKlightBoxed 4 2 16" xfId="18720" xr:uid="{98F4883D-3D07-4A2C-B217-5E7C72E075B8}"/>
    <cellStyle name="RISKlightBoxed 4 2 16 2" xfId="39595" xr:uid="{588236B9-28FD-4BD5-AC21-49ECB8B4080C}"/>
    <cellStyle name="RISKlightBoxed 4 2 17" xfId="17875" xr:uid="{FF3F2B9A-2DF1-4945-B9F2-C536E350C0B3}"/>
    <cellStyle name="RISKlightBoxed 4 2 17 2" xfId="38991" xr:uid="{C265A1EB-3B38-4759-9430-8D74C877BBE1}"/>
    <cellStyle name="RISKlightBoxed 4 2 18" xfId="25678" xr:uid="{5C1A31C8-55A0-472D-B18D-98C3D7176711}"/>
    <cellStyle name="RISKlightBoxed 4 2 18 2" xfId="44515" xr:uid="{88DFB94B-586A-4400-9F95-A9295EFB55BB}"/>
    <cellStyle name="RISKlightBoxed 4 2 19" xfId="24453" xr:uid="{CAE044B0-9013-447F-A447-CB0368FF56F9}"/>
    <cellStyle name="RISKlightBoxed 4 2 19 2" xfId="43662" xr:uid="{9A735717-BEF2-4E40-8A69-7AD2D240A0AE}"/>
    <cellStyle name="RISKlightBoxed 4 2 2" xfId="7481" xr:uid="{78277D09-2E7A-4D22-A0D2-694CF2D95D00}"/>
    <cellStyle name="RISKlightBoxed 4 2 2 2" xfId="31838" xr:uid="{5E014A89-E4FC-4FE8-AE6F-A0A6988E06B9}"/>
    <cellStyle name="RISKlightBoxed 4 2 20" xfId="26254" xr:uid="{9BAA5F58-C2C1-4CAC-B817-8B2A84C78EE7}"/>
    <cellStyle name="RISKlightBoxed 4 2 20 2" xfId="44963" xr:uid="{0EA7EFE7-4448-4147-B447-8844259BDA55}"/>
    <cellStyle name="RISKlightBoxed 4 2 21" xfId="22661" xr:uid="{186FEE26-048C-488E-BB55-09C56DA1F5DC}"/>
    <cellStyle name="RISKlightBoxed 4 2 21 2" xfId="42432" xr:uid="{E3FF95AF-5028-4076-B370-983583A87CCF}"/>
    <cellStyle name="RISKlightBoxed 4 2 22" xfId="22252" xr:uid="{BBAA7B7F-0003-4C86-B994-D5269612ACD4}"/>
    <cellStyle name="RISKlightBoxed 4 2 22 2" xfId="42122" xr:uid="{760321C2-5077-47F3-A1D8-EAE8A8A6BDCA}"/>
    <cellStyle name="RISKlightBoxed 4 2 23" xfId="25615" xr:uid="{D5F29CFE-A4C8-48D7-B6CB-92E967DAE921}"/>
    <cellStyle name="RISKlightBoxed 4 2 23 2" xfId="44474" xr:uid="{9EF57E17-66F0-49FE-967D-D6EF312BA3B2}"/>
    <cellStyle name="RISKlightBoxed 4 2 24" xfId="30436" xr:uid="{6EFA0E39-5C88-4D8A-845F-DD18BFC5CEE8}"/>
    <cellStyle name="RISKlightBoxed 4 2 24 2" xfId="47487" xr:uid="{2205F916-5502-450E-9BF1-E4EB3A294EF4}"/>
    <cellStyle name="RISKlightBoxed 4 2 25" xfId="27760" xr:uid="{A1321CC5-49B7-4469-89DF-F012F5451EF8}"/>
    <cellStyle name="RISKlightBoxed 4 2 25 2" xfId="45860" xr:uid="{6DF3F6DA-8841-4C85-849A-CE50558FC595}"/>
    <cellStyle name="RISKlightBoxed 4 2 26" xfId="25876" xr:uid="{FA654B68-C5C3-4FEA-AC56-E16438B27C4C}"/>
    <cellStyle name="RISKlightBoxed 4 2 26 2" xfId="44688" xr:uid="{1E5BDEF5-28B2-4299-BA64-7AB7D60D341E}"/>
    <cellStyle name="RISKlightBoxed 4 2 27" xfId="30647" xr:uid="{C86AC84E-D598-458B-819B-BF12E435A2D6}"/>
    <cellStyle name="RISKlightBoxed 4 2 27 2" xfId="47593" xr:uid="{0CA8782B-6E1A-489C-8934-82DEC917AAEC}"/>
    <cellStyle name="RISKlightBoxed 4 2 28" xfId="6742" xr:uid="{FE9EE17B-C5B9-4234-B886-608DE54CF027}"/>
    <cellStyle name="RISKlightBoxed 4 2 3" xfId="10133" xr:uid="{02FEED37-9314-469C-B1BA-A91FDC87D104}"/>
    <cellStyle name="RISKlightBoxed 4 2 3 2" xfId="33797" xr:uid="{3375E610-4EF9-4ABD-8423-115D4FDC42F5}"/>
    <cellStyle name="RISKlightBoxed 4 2 4" xfId="7172" xr:uid="{F6C329FF-4D7F-46BC-8E6E-93F77F2EC924}"/>
    <cellStyle name="RISKlightBoxed 4 2 4 2" xfId="31539" xr:uid="{8CA8929C-3D01-4E9D-8EB2-4905A96C1D3A}"/>
    <cellStyle name="RISKlightBoxed 4 2 5" xfId="7413" xr:uid="{ED99787A-C466-4545-9F8B-18EF3C56DD51}"/>
    <cellStyle name="RISKlightBoxed 4 2 5 2" xfId="31772" xr:uid="{18372B36-3717-4BDB-AE42-3DD8C7F0051C}"/>
    <cellStyle name="RISKlightBoxed 4 2 6" xfId="12225" xr:uid="{886BC4BA-7D33-415C-B454-024E6CE67BDF}"/>
    <cellStyle name="RISKlightBoxed 4 2 6 2" xfId="34732" xr:uid="{8C297E84-0A9E-438E-9790-C73B7525355C}"/>
    <cellStyle name="RISKlightBoxed 4 2 7" xfId="15110" xr:uid="{610F02C9-C246-4AA6-B6F9-4379D63705C5}"/>
    <cellStyle name="RISKlightBoxed 4 2 7 2" xfId="36937" xr:uid="{986975EA-C8AF-40C0-89FC-AAC5E8493BBB}"/>
    <cellStyle name="RISKlightBoxed 4 2 8" xfId="13859" xr:uid="{EE86EA7F-054C-45F9-844D-1903260D44B4}"/>
    <cellStyle name="RISKlightBoxed 4 2 8 2" xfId="35982" xr:uid="{5CF88709-1CB6-41C9-9930-0029AE2BC672}"/>
    <cellStyle name="RISKlightBoxed 4 2 9" xfId="15837" xr:uid="{FE255D81-4015-4756-835D-E496262A3936}"/>
    <cellStyle name="RISKlightBoxed 4 2 9 2" xfId="37446" xr:uid="{B8D91883-B290-4263-B5F4-B87B187222C7}"/>
    <cellStyle name="RISKlightBoxed 4 20" xfId="20149" xr:uid="{EA7E38B3-AB8F-4356-A130-501730170AC8}"/>
    <cellStyle name="RISKlightBoxed 4 20 2" xfId="40656" xr:uid="{6BC43165-4A5A-49B5-B5AF-769FADE6BCC5}"/>
    <cellStyle name="RISKlightBoxed 4 21" xfId="21959" xr:uid="{582775F0-A8BF-4DB5-AE92-6B368AB9EE31}"/>
    <cellStyle name="RISKlightBoxed 4 21 2" xfId="41871" xr:uid="{9612F969-984A-49FF-A47E-BA6C689A48E9}"/>
    <cellStyle name="RISKlightBoxed 4 22" xfId="22604" xr:uid="{8ADB80D4-E0B0-4070-95B4-BC043C281032}"/>
    <cellStyle name="RISKlightBoxed 4 22 2" xfId="42386" xr:uid="{EF833712-3ACB-497F-A998-D6E94D5A2F1D}"/>
    <cellStyle name="RISKlightBoxed 4 23" xfId="22644" xr:uid="{D2C679CD-A744-450D-9B20-D354A324E01B}"/>
    <cellStyle name="RISKlightBoxed 4 23 2" xfId="42416" xr:uid="{6DFA178D-4B80-4FEF-AF5C-CE88702714DB}"/>
    <cellStyle name="RISKlightBoxed 4 24" xfId="28896" xr:uid="{2395EC0A-03F2-4110-BC65-0D985BC9A229}"/>
    <cellStyle name="RISKlightBoxed 4 24 2" xfId="46503" xr:uid="{032FE62C-F15C-4934-AE1C-594B0CF9A0C2}"/>
    <cellStyle name="RISKlightBoxed 4 25" xfId="28962" xr:uid="{05BCAE87-566B-4261-ABAA-DCB234BC1053}"/>
    <cellStyle name="RISKlightBoxed 4 25 2" xfId="46556" xr:uid="{884CA1E8-0CF0-47D3-B842-C80F54893619}"/>
    <cellStyle name="RISKlightBoxed 4 26" xfId="28425" xr:uid="{586AE470-5CBC-41FE-86B2-8C6573CB5C24}"/>
    <cellStyle name="RISKlightBoxed 4 26 2" xfId="46272" xr:uid="{659DF0E1-3876-498B-BDE2-9924D11E0C20}"/>
    <cellStyle name="RISKlightBoxed 4 27" xfId="29627" xr:uid="{E31085D8-E983-4199-BC45-4AD8B359576B}"/>
    <cellStyle name="RISKlightBoxed 4 27 2" xfId="47018" xr:uid="{E4D9D161-1CD4-4B06-A4F1-AC0F42BFEEB1}"/>
    <cellStyle name="RISKlightBoxed 4 28" xfId="29703" xr:uid="{78F0D82C-6372-43D4-9894-F833FC4357F8}"/>
    <cellStyle name="RISKlightBoxed 4 28 2" xfId="47048" xr:uid="{00BA9972-C4F6-403C-8076-711E81EA3AA1}"/>
    <cellStyle name="RISKlightBoxed 4 29" xfId="30209" xr:uid="{9B6F416E-58EE-4558-8392-3CD5612AE6FB}"/>
    <cellStyle name="RISKlightBoxed 4 29 2" xfId="47370" xr:uid="{E57CF081-74C1-4DA1-8918-60953E39817A}"/>
    <cellStyle name="RISKlightBoxed 4 3" xfId="3769" xr:uid="{DBBCF9DD-F3B5-4A00-8629-15A9CCA12E90}"/>
    <cellStyle name="RISKlightBoxed 4 3 10" xfId="17272" xr:uid="{750B88EB-995D-4B71-A434-65E5689DB423}"/>
    <cellStyle name="RISKlightBoxed 4 3 10 2" xfId="38575" xr:uid="{B7DEB615-FE8B-429D-A989-8FEE6B70DFBD}"/>
    <cellStyle name="RISKlightBoxed 4 3 11" xfId="17679" xr:uid="{A726D85C-A09A-4C6B-97CA-E5FE57894C24}"/>
    <cellStyle name="RISKlightBoxed 4 3 11 2" xfId="38867" xr:uid="{10C1D34F-9B53-4690-8F1F-FEFB6FC84865}"/>
    <cellStyle name="RISKlightBoxed 4 3 12" xfId="15350" xr:uid="{ACA6BA2F-3A77-48A3-BB2B-9A242C3D3247}"/>
    <cellStyle name="RISKlightBoxed 4 3 12 2" xfId="37050" xr:uid="{35BA84EF-5FB6-4ED0-8ABC-FF392BB599F7}"/>
    <cellStyle name="RISKlightBoxed 4 3 13" xfId="19190" xr:uid="{51CB3DE0-D1E5-4C1B-BE0E-E2A76DFD8A92}"/>
    <cellStyle name="RISKlightBoxed 4 3 13 2" xfId="39999" xr:uid="{09C8C28C-1A2E-4C08-BA2A-9B609D085285}"/>
    <cellStyle name="RISKlightBoxed 4 3 14" xfId="19553" xr:uid="{82B3857E-7C07-46DB-9C6B-303A1A619BBF}"/>
    <cellStyle name="RISKlightBoxed 4 3 14 2" xfId="40216" xr:uid="{05314D08-F397-4A68-BC0B-4FC058317297}"/>
    <cellStyle name="RISKlightBoxed 4 3 15" xfId="18846" xr:uid="{B1436DBA-D15E-4872-A490-B0DAF7E6C7AB}"/>
    <cellStyle name="RISKlightBoxed 4 3 15 2" xfId="39693" xr:uid="{DA01D48F-CD83-43A9-9B90-F16BEF08AF54}"/>
    <cellStyle name="RISKlightBoxed 4 3 16" xfId="22174" xr:uid="{78D6931A-FCD1-47F7-977E-39696362D517}"/>
    <cellStyle name="RISKlightBoxed 4 3 16 2" xfId="42053" xr:uid="{6712DD38-70AF-4C59-9595-C55A48F5F091}"/>
    <cellStyle name="RISKlightBoxed 4 3 17" xfId="21178" xr:uid="{5958861D-B096-4442-B391-B9C7513F1068}"/>
    <cellStyle name="RISKlightBoxed 4 3 17 2" xfId="41371" xr:uid="{12DFE5ED-B04F-4783-B813-C5C131370444}"/>
    <cellStyle name="RISKlightBoxed 4 3 18" xfId="25690" xr:uid="{203777CE-6E04-4FDA-BBA7-4D29CB8F8654}"/>
    <cellStyle name="RISKlightBoxed 4 3 18 2" xfId="44527" xr:uid="{BD7C55EB-BC62-4195-B404-AFF7B932BBA9}"/>
    <cellStyle name="RISKlightBoxed 4 3 19" xfId="25408" xr:uid="{005C9ED6-073B-4D1E-9753-467E38F642E3}"/>
    <cellStyle name="RISKlightBoxed 4 3 19 2" xfId="44300" xr:uid="{0DCBD34D-3EA6-4D2D-ADFC-5062D19E9BFC}"/>
    <cellStyle name="RISKlightBoxed 4 3 2" xfId="11895" xr:uid="{0B47F319-81C4-4926-82C1-CD33A62DABD9}"/>
    <cellStyle name="RISKlightBoxed 4 3 2 2" xfId="34507" xr:uid="{BE3F8BF3-2412-4CFC-BF36-CE70FD7A59BE}"/>
    <cellStyle name="RISKlightBoxed 4 3 20" xfId="23831" xr:uid="{31D583BC-6E07-4FAC-9AE7-730BDA3E365B}"/>
    <cellStyle name="RISKlightBoxed 4 3 20 2" xfId="43220" xr:uid="{682D1BF7-A699-4A27-8574-55C61D627F01}"/>
    <cellStyle name="RISKlightBoxed 4 3 21" xfId="26560" xr:uid="{C3450DE6-4206-4397-AFF1-4982BD53CCE8}"/>
    <cellStyle name="RISKlightBoxed 4 3 21 2" xfId="45128" xr:uid="{BEC1B659-538B-46BE-8353-ADC947C654B1}"/>
    <cellStyle name="RISKlightBoxed 4 3 22" xfId="26649" xr:uid="{D655026A-39B3-42B4-86B1-367880E85BB2}"/>
    <cellStyle name="RISKlightBoxed 4 3 22 2" xfId="45198" xr:uid="{D408B75B-3218-4C40-A945-3D92468E15B6}"/>
    <cellStyle name="RISKlightBoxed 4 3 23" xfId="26995" xr:uid="{7F195F53-4370-4461-A830-D020A69A5F1E}"/>
    <cellStyle name="RISKlightBoxed 4 3 23 2" xfId="45402" xr:uid="{6F75D39F-7ABF-4F6A-BCF8-DECF50915B0E}"/>
    <cellStyle name="RISKlightBoxed 4 3 24" xfId="27074" xr:uid="{1CB163BF-E708-4A6D-B9A5-C5215A2E5333}"/>
    <cellStyle name="RISKlightBoxed 4 3 24 2" xfId="45467" xr:uid="{EEE5E766-AD77-4CA9-AE92-2150505F2DD2}"/>
    <cellStyle name="RISKlightBoxed 4 3 25" xfId="27734" xr:uid="{97B240AD-E9DF-4138-9330-061AFE06B862}"/>
    <cellStyle name="RISKlightBoxed 4 3 25 2" xfId="45839" xr:uid="{CAAA57B9-C446-419C-AB01-1013C7693A96}"/>
    <cellStyle name="RISKlightBoxed 4 3 26" xfId="26469" xr:uid="{2CD5FCF5-B5C7-4209-89B9-A400762FF3F5}"/>
    <cellStyle name="RISKlightBoxed 4 3 26 2" xfId="45094" xr:uid="{3836D5B3-7615-4E5B-AAC1-996F2BE951DB}"/>
    <cellStyle name="RISKlightBoxed 4 3 27" xfId="29031" xr:uid="{7DB19700-A50F-40F1-8F06-0537CBB3A2A1}"/>
    <cellStyle name="RISKlightBoxed 4 3 27 2" xfId="46618" xr:uid="{5386E2F0-2516-49E9-BBBF-11769A3C7E7B}"/>
    <cellStyle name="RISKlightBoxed 4 3 28" xfId="6743" xr:uid="{62690E3C-699E-467B-81F8-6FF79C9A0344}"/>
    <cellStyle name="RISKlightBoxed 4 3 3" xfId="13316" xr:uid="{E96E3B5B-18E9-4427-B55F-E508D47A338D}"/>
    <cellStyle name="RISKlightBoxed 4 3 3 2" xfId="35633" xr:uid="{BAFCA58D-A5AA-49EE-9D26-9F091D01100F}"/>
    <cellStyle name="RISKlightBoxed 4 3 4" xfId="7171" xr:uid="{E9C57AED-2692-4C42-B316-CC66DE962D44}"/>
    <cellStyle name="RISKlightBoxed 4 3 4 2" xfId="31538" xr:uid="{48688AA2-1F74-49AB-9059-074EE25B9649}"/>
    <cellStyle name="RISKlightBoxed 4 3 5" xfId="11851" xr:uid="{9552C5E7-FBF7-4448-954D-98923248E712}"/>
    <cellStyle name="RISKlightBoxed 4 3 5 2" xfId="34463" xr:uid="{D55C197C-7456-48BA-B0E7-22A8BB8341DE}"/>
    <cellStyle name="RISKlightBoxed 4 3 6" xfId="14414" xr:uid="{CCA8AF7D-5EF7-451C-AC1C-9836ABB72034}"/>
    <cellStyle name="RISKlightBoxed 4 3 6 2" xfId="36403" xr:uid="{6BB9232B-A0E3-434B-89A7-C0575546406E}"/>
    <cellStyle name="RISKlightBoxed 4 3 7" xfId="12468" xr:uid="{DB12AFC0-0C0D-411A-A1C1-3A1D1568DD18}"/>
    <cellStyle name="RISKlightBoxed 4 3 7 2" xfId="34914" xr:uid="{8073D746-5747-41E2-BC75-9ABBA53D3445}"/>
    <cellStyle name="RISKlightBoxed 4 3 8" xfId="14432" xr:uid="{634CE8CF-5944-45F0-9E0D-8B7DAFBD3B19}"/>
    <cellStyle name="RISKlightBoxed 4 3 8 2" xfId="36421" xr:uid="{93E81F21-46B7-4D57-9B15-E8EB2C28EADC}"/>
    <cellStyle name="RISKlightBoxed 4 3 9" xfId="16360" xr:uid="{94653736-3F7B-41CB-99EA-E84724D531D3}"/>
    <cellStyle name="RISKlightBoxed 4 3 9 2" xfId="37887" xr:uid="{1E7E8B36-2137-46CE-B34F-26AEF9C8FC58}"/>
    <cellStyle name="RISKlightBoxed 4 30" xfId="6741" xr:uid="{48703FF8-5758-4434-87C7-D30CEBC87246}"/>
    <cellStyle name="RISKlightBoxed 4 4" xfId="11896" xr:uid="{359B245A-E897-472A-8F4D-8897155A3726}"/>
    <cellStyle name="RISKlightBoxed 4 4 2" xfId="34508" xr:uid="{B26AE8B8-B7CE-489C-817A-B2ED3C833DD2}"/>
    <cellStyle name="RISKlightBoxed 4 5" xfId="10132" xr:uid="{34E01E96-505B-4826-9FF6-CC69FF0E6BCB}"/>
    <cellStyle name="RISKlightBoxed 4 5 2" xfId="33796" xr:uid="{405EDBFA-9FF7-4D19-8C98-6D7107129199}"/>
    <cellStyle name="RISKlightBoxed 4 6" xfId="7173" xr:uid="{47CF1623-C510-4633-9AEC-DAB243B4CC14}"/>
    <cellStyle name="RISKlightBoxed 4 6 2" xfId="31540" xr:uid="{53F72B54-97BC-48E8-BF57-DFE88F775B13}"/>
    <cellStyle name="RISKlightBoxed 4 7" xfId="7433" xr:uid="{43F2F7B2-AB27-48A8-8CE2-B703591AE9CE}"/>
    <cellStyle name="RISKlightBoxed 4 7 2" xfId="31791" xr:uid="{6A5C1328-366D-49B3-ACCE-6D856C31862A}"/>
    <cellStyle name="RISKlightBoxed 4 8" xfId="14733" xr:uid="{116374B6-61D1-4FC4-A807-F4991B2DA433}"/>
    <cellStyle name="RISKlightBoxed 4 8 2" xfId="36645" xr:uid="{03481C93-0F5E-4049-BFBC-319E578AD5A4}"/>
    <cellStyle name="RISKlightBoxed 4 9" xfId="14096" xr:uid="{63AD5EF4-3813-410A-AC1A-61F3DBB4AC3B}"/>
    <cellStyle name="RISKlightBoxed 4 9 2" xfId="36190" xr:uid="{27FFCC36-0591-4437-A422-FB9DD8821E41}"/>
    <cellStyle name="RISKlightBoxed 5" xfId="3770" xr:uid="{B2CA7E97-4686-4B87-A209-FC6E9D8375EA}"/>
    <cellStyle name="RISKlightBoxed 5 10" xfId="15599" xr:uid="{63103808-B24B-4CAF-93CC-B9FA618BE892}"/>
    <cellStyle name="RISKlightBoxed 5 10 2" xfId="37257" xr:uid="{47497839-880F-48D4-9B59-3C30405B1C65}"/>
    <cellStyle name="RISKlightBoxed 5 11" xfId="13974" xr:uid="{4E93A436-D99B-4A72-9BE9-84BAA7FED81D}"/>
    <cellStyle name="RISKlightBoxed 5 11 2" xfId="36077" xr:uid="{331CBB96-F43F-4003-8D2B-01787B032A2D}"/>
    <cellStyle name="RISKlightBoxed 5 12" xfId="13778" xr:uid="{2AE5EFD9-A831-4080-B033-4776D8BE3318}"/>
    <cellStyle name="RISKlightBoxed 5 12 2" xfId="35914" xr:uid="{AC4F45F7-3F26-4B2E-AB17-2BFA5966414E}"/>
    <cellStyle name="RISKlightBoxed 5 13" xfId="18116" xr:uid="{D0563F28-294C-44ED-8ED2-8399591D4BD4}"/>
    <cellStyle name="RISKlightBoxed 5 13 2" xfId="39190" xr:uid="{F9CB5EC9-B059-470C-9678-DD9483A87CC0}"/>
    <cellStyle name="RISKlightBoxed 5 14" xfId="18968" xr:uid="{193E0215-FC83-45CB-A348-774A97837FF4}"/>
    <cellStyle name="RISKlightBoxed 5 14 2" xfId="39800" xr:uid="{1B845CCB-3E3A-4984-8C2D-AB4292830ACF}"/>
    <cellStyle name="RISKlightBoxed 5 15" xfId="13793" xr:uid="{F5595A54-FBDB-4AA8-A3BA-64C66BAB34B4}"/>
    <cellStyle name="RISKlightBoxed 5 15 2" xfId="35924" xr:uid="{2A808C6D-10FB-4FB1-BA28-4E2DD7220F71}"/>
    <cellStyle name="RISKlightBoxed 5 16" xfId="21278" xr:uid="{CF559FF3-43AB-4132-8FE9-F9B7903F9F67}"/>
    <cellStyle name="RISKlightBoxed 5 16 2" xfId="41458" xr:uid="{697CAF5C-68B5-42BD-8B25-FEBB2522502D}"/>
    <cellStyle name="RISKlightBoxed 5 17" xfId="15381" xr:uid="{22792B39-8655-4A33-8169-C4A23C626397}"/>
    <cellStyle name="RISKlightBoxed 5 17 2" xfId="37079" xr:uid="{401693D7-01F2-4ACD-A803-8FD2513CA235}"/>
    <cellStyle name="RISKlightBoxed 5 18" xfId="20935" xr:uid="{92FB5D95-0BCA-44F6-9774-E0B0C39C85A5}"/>
    <cellStyle name="RISKlightBoxed 5 18 2" xfId="41236" xr:uid="{4A4E896B-F7C4-4199-9CE8-372A5A949D98}"/>
    <cellStyle name="RISKlightBoxed 5 19" xfId="17803" xr:uid="{62BD1CF0-F46D-428E-B083-8F6D0D62960D}"/>
    <cellStyle name="RISKlightBoxed 5 19 2" xfId="38928" xr:uid="{15BA92C5-2240-4F78-A856-82DC29FA7781}"/>
    <cellStyle name="RISKlightBoxed 5 2" xfId="3771" xr:uid="{CBAA9A91-127C-441E-8492-1F4FE0410652}"/>
    <cellStyle name="RISKlightBoxed 5 2 10" xfId="17271" xr:uid="{9E426CE6-1F84-48D0-80EA-98ACC3822B07}"/>
    <cellStyle name="RISKlightBoxed 5 2 10 2" xfId="38574" xr:uid="{19D626C4-0C22-49C9-A468-CC0C777D7DF3}"/>
    <cellStyle name="RISKlightBoxed 5 2 11" xfId="12631" xr:uid="{118B3FA3-8089-464E-9BFC-1AC629E7D48C}"/>
    <cellStyle name="RISKlightBoxed 5 2 11 2" xfId="35059" xr:uid="{2BB6EE1C-E9D7-4D8F-92D4-3E108AF5D4DF}"/>
    <cellStyle name="RISKlightBoxed 5 2 12" xfId="17084" xr:uid="{F62A19B3-7AB8-4342-901A-A642D8568910}"/>
    <cellStyle name="RISKlightBoxed 5 2 12 2" xfId="38423" xr:uid="{9ADA2216-6C38-4625-BEB6-3491FCE5FC1D}"/>
    <cellStyle name="RISKlightBoxed 5 2 13" xfId="19189" xr:uid="{E6400B77-0660-43E8-A114-A09297CD8D3A}"/>
    <cellStyle name="RISKlightBoxed 5 2 13 2" xfId="39998" xr:uid="{88355429-E101-4FBB-942C-CE6305D65DCC}"/>
    <cellStyle name="RISKlightBoxed 5 2 14" xfId="19384" xr:uid="{201CD140-7E11-4BAA-82F8-580ABEDC0FD6}"/>
    <cellStyle name="RISKlightBoxed 5 2 14 2" xfId="40106" xr:uid="{1DB58809-866B-4FFA-BF41-B82285D28731}"/>
    <cellStyle name="RISKlightBoxed 5 2 15" xfId="20537" xr:uid="{FD0CD71C-998D-465C-B158-47009068BBC3}"/>
    <cellStyle name="RISKlightBoxed 5 2 15 2" xfId="40917" xr:uid="{4A64373F-41B6-43B9-BC8A-AFF7F89B0A54}"/>
    <cellStyle name="RISKlightBoxed 5 2 16" xfId="15417" xr:uid="{BD2207C0-D477-4ED0-B774-C5ECE009026C}"/>
    <cellStyle name="RISKlightBoxed 5 2 16 2" xfId="37107" xr:uid="{D299CE61-046F-4686-B8FC-B969E97332E0}"/>
    <cellStyle name="RISKlightBoxed 5 2 17" xfId="21750" xr:uid="{1AE1BBC5-39FC-4DFB-A0AB-853FB5CF3C6D}"/>
    <cellStyle name="RISKlightBoxed 5 2 17 2" xfId="41771" xr:uid="{A0E8B045-6A38-48FE-8B3D-60F6E32CD3AB}"/>
    <cellStyle name="RISKlightBoxed 5 2 18" xfId="21179" xr:uid="{06354004-6705-44BC-B376-E8558428C02F}"/>
    <cellStyle name="RISKlightBoxed 5 2 18 2" xfId="41372" xr:uid="{D27F203D-3209-45B1-8E59-B233AE447706}"/>
    <cellStyle name="RISKlightBoxed 5 2 19" xfId="23649" xr:uid="{085809B3-6353-4C6D-92D8-E925338BD5BE}"/>
    <cellStyle name="RISKlightBoxed 5 2 19 2" xfId="43073" xr:uid="{08B54A95-D21C-4701-959E-731789132940}"/>
    <cellStyle name="RISKlightBoxed 5 2 2" xfId="11894" xr:uid="{CAB26C40-FBF5-455F-9606-A027C9DAD047}"/>
    <cellStyle name="RISKlightBoxed 5 2 2 2" xfId="34506" xr:uid="{EC320847-6206-4229-A0B5-84EA3CE71B54}"/>
    <cellStyle name="RISKlightBoxed 5 2 20" xfId="20344" xr:uid="{66394EE0-76AC-47C3-BE05-0AC00E2B9064}"/>
    <cellStyle name="RISKlightBoxed 5 2 20 2" xfId="40776" xr:uid="{AD591722-BFE0-48A8-A6F8-EFAED23B38A1}"/>
    <cellStyle name="RISKlightBoxed 5 2 21" xfId="23726" xr:uid="{5EA67761-176D-4ABF-868A-1F83E081BC5B}"/>
    <cellStyle name="RISKlightBoxed 5 2 21 2" xfId="43142" xr:uid="{D0E53E48-8BE3-4468-B499-B7A494504319}"/>
    <cellStyle name="RISKlightBoxed 5 2 22" xfId="28233" xr:uid="{EF2FD2BA-6A8F-49ED-8EB5-1ADB516E4738}"/>
    <cellStyle name="RISKlightBoxed 5 2 22 2" xfId="46111" xr:uid="{C029BA63-65F9-43DB-B5A3-347CA0C0BF57}"/>
    <cellStyle name="RISKlightBoxed 5 2 23" xfId="28963" xr:uid="{61408F0F-E544-467D-A7F4-5A42A8C68C64}"/>
    <cellStyle name="RISKlightBoxed 5 2 23 2" xfId="46557" xr:uid="{ACA3D3FE-2827-4766-A0F3-3FC0B7A871C2}"/>
    <cellStyle name="RISKlightBoxed 5 2 24" xfId="29540" xr:uid="{CA40F225-EB79-4BCD-BEA7-896B4557D76F}"/>
    <cellStyle name="RISKlightBoxed 5 2 24 2" xfId="46941" xr:uid="{A895D80F-A3D2-4D12-B71B-D2AD1C49AD10}"/>
    <cellStyle name="RISKlightBoxed 5 2 25" xfId="29047" xr:uid="{225E556C-638B-4C69-975D-A0B28E13490E}"/>
    <cellStyle name="RISKlightBoxed 5 2 25 2" xfId="46633" xr:uid="{309C3259-D7CF-44F7-B318-9246BD33A4DD}"/>
    <cellStyle name="RISKlightBoxed 5 2 26" xfId="29826" xr:uid="{FA9E5374-5209-4C3E-940F-2CBCA51579A7}"/>
    <cellStyle name="RISKlightBoxed 5 2 26 2" xfId="47143" xr:uid="{8F78AC97-4E1B-404E-A6DB-AB8C1F486EAF}"/>
    <cellStyle name="RISKlightBoxed 5 2 27" xfId="30208" xr:uid="{7707E11A-A152-4537-84E6-E37FBA020633}"/>
    <cellStyle name="RISKlightBoxed 5 2 27 2" xfId="47369" xr:uid="{9371D522-898E-47EE-AAEF-3B92B78DAFB5}"/>
    <cellStyle name="RISKlightBoxed 5 2 28" xfId="6745" xr:uid="{5F0BF353-66E8-487F-8D02-BB0378299186}"/>
    <cellStyle name="RISKlightBoxed 5 2 3" xfId="13315" xr:uid="{AA7C39F2-0478-41B3-B933-909741C58127}"/>
    <cellStyle name="RISKlightBoxed 5 2 3 2" xfId="35632" xr:uid="{790BA41A-06E7-4748-A354-101698530244}"/>
    <cellStyle name="RISKlightBoxed 5 2 4" xfId="7169" xr:uid="{DEE46363-A271-4ADE-8A3E-45A70DBAE1B5}"/>
    <cellStyle name="RISKlightBoxed 5 2 4 2" xfId="31536" xr:uid="{59E002C7-DFF5-44EA-AF2E-2F55331CAA94}"/>
    <cellStyle name="RISKlightBoxed 5 2 5" xfId="11850" xr:uid="{394724B4-C961-4B43-8FD6-A02F92C28813}"/>
    <cellStyle name="RISKlightBoxed 5 2 5 2" xfId="34462" xr:uid="{4BC112FB-6BE7-4199-896D-9D814A6B388E}"/>
    <cellStyle name="RISKlightBoxed 5 2 6" xfId="14732" xr:uid="{A0CADE95-2AC3-484A-834C-4555468F15AE}"/>
    <cellStyle name="RISKlightBoxed 5 2 6 2" xfId="36644" xr:uid="{7808FAFC-2F53-445D-80A2-957D2D3749D4}"/>
    <cellStyle name="RISKlightBoxed 5 2 7" xfId="15113" xr:uid="{73E49403-7988-43DD-87FE-3F837A2FFC6E}"/>
    <cellStyle name="RISKlightBoxed 5 2 7 2" xfId="36940" xr:uid="{2494470E-A3E1-4DA8-87BD-F7049794B31C}"/>
    <cellStyle name="RISKlightBoxed 5 2 8" xfId="13686" xr:uid="{9D8A1C78-85CC-4CC9-A293-B8898A9367DD}"/>
    <cellStyle name="RISKlightBoxed 5 2 8 2" xfId="35842" xr:uid="{5C58C6FC-559C-410C-9E49-DDBB3BFE06F6}"/>
    <cellStyle name="RISKlightBoxed 5 2 9" xfId="16359" xr:uid="{CB20C8FE-0DFC-4739-BD33-14C0DD6B55E1}"/>
    <cellStyle name="RISKlightBoxed 5 2 9 2" xfId="37886" xr:uid="{2D1F8A8A-83CF-4084-B09C-71853A6F5DE1}"/>
    <cellStyle name="RISKlightBoxed 5 20" xfId="25687" xr:uid="{DEAAA539-3CCE-42EE-B32C-E4B9922E5620}"/>
    <cellStyle name="RISKlightBoxed 5 20 2" xfId="44524" xr:uid="{CE060307-F492-4C03-A848-818FC3CD45BF}"/>
    <cellStyle name="RISKlightBoxed 5 21" xfId="25810" xr:uid="{2365720C-140C-4F29-B376-59734E24A82C}"/>
    <cellStyle name="RISKlightBoxed 5 21 2" xfId="44636" xr:uid="{AF46CFCC-E176-4BAA-8620-79E22410BEB6}"/>
    <cellStyle name="RISKlightBoxed 5 22" xfId="26253" xr:uid="{BD88E35A-5B8D-4F49-9E32-1F16065320BE}"/>
    <cellStyle name="RISKlightBoxed 5 22 2" xfId="44962" xr:uid="{F78AF924-6032-41BF-8CCE-5113BD282B26}"/>
    <cellStyle name="RISKlightBoxed 5 23" xfId="23625" xr:uid="{35EDEAD6-DF36-4297-8436-FA87ADD500D4}"/>
    <cellStyle name="RISKlightBoxed 5 23 2" xfId="43056" xr:uid="{13DF00CE-C3B9-4943-977E-DB20DFF518EC}"/>
    <cellStyle name="RISKlightBoxed 5 24" xfId="22676" xr:uid="{7562E1EA-7D71-4A10-AE87-0CF119ABE019}"/>
    <cellStyle name="RISKlightBoxed 5 24 2" xfId="42444" xr:uid="{C9757D05-24BE-47CE-81B9-C10A180C9D14}"/>
    <cellStyle name="RISKlightBoxed 5 25" xfId="28319" xr:uid="{6D3B7601-855E-41E6-BEF7-96053CA17EA1}"/>
    <cellStyle name="RISKlightBoxed 5 25 2" xfId="46186" xr:uid="{0F255F03-0B3E-43C1-B1EA-446DBBC31936}"/>
    <cellStyle name="RISKlightBoxed 5 26" xfId="30275" xr:uid="{E47DA6C5-98A0-4B65-91B4-EC4289519C00}"/>
    <cellStyle name="RISKlightBoxed 5 26 2" xfId="47425" xr:uid="{223A9379-5069-4794-B0FD-0119D2A36181}"/>
    <cellStyle name="RISKlightBoxed 5 27" xfId="29920" xr:uid="{613DC3AC-C1D4-4212-9628-1A024AF51D97}"/>
    <cellStyle name="RISKlightBoxed 5 27 2" xfId="47208" xr:uid="{0FEADDD5-D95D-4F21-9826-89B0CB3423C9}"/>
    <cellStyle name="RISKlightBoxed 5 28" xfId="29829" xr:uid="{0B57D468-28D2-4AC5-A77A-00D51AF334AF}"/>
    <cellStyle name="RISKlightBoxed 5 28 2" xfId="47146" xr:uid="{1FF83E1A-F4E3-453A-8863-29ED24B30E2D}"/>
    <cellStyle name="RISKlightBoxed 5 29" xfId="30646" xr:uid="{235F936C-F0DF-476D-8640-D57B258DC9DC}"/>
    <cellStyle name="RISKlightBoxed 5 29 2" xfId="47592" xr:uid="{DE12103C-8303-4710-9054-B20A3085E5AD}"/>
    <cellStyle name="RISKlightBoxed 5 3" xfId="3772" xr:uid="{1935EE0E-E324-4F49-B146-F32F79A8D6F0}"/>
    <cellStyle name="RISKlightBoxed 5 3 10" xfId="15669" xr:uid="{FBE52D36-2F9F-4D76-991E-3261F6362F97}"/>
    <cellStyle name="RISKlightBoxed 5 3 10 2" xfId="37312" xr:uid="{0CD49549-1CA6-4FB6-A30D-16A10804FCAF}"/>
    <cellStyle name="RISKlightBoxed 5 3 11" xfId="12637" xr:uid="{2227D3DD-457B-4F49-AFB0-71190AE54551}"/>
    <cellStyle name="RISKlightBoxed 5 3 11 2" xfId="35065" xr:uid="{66F2CA12-0DA0-4B6E-96B2-CBD1CA9F3C38}"/>
    <cellStyle name="RISKlightBoxed 5 3 12" xfId="18967" xr:uid="{394043D1-8ED6-4989-B3BA-3FEFCBF060A0}"/>
    <cellStyle name="RISKlightBoxed 5 3 12 2" xfId="39799" xr:uid="{EE2D952D-917B-4C32-9A0A-11DB13F4DE25}"/>
    <cellStyle name="RISKlightBoxed 5 3 13" xfId="17194" xr:uid="{C505D7A4-DD9F-44E9-9D8C-12C190E7518B}"/>
    <cellStyle name="RISKlightBoxed 5 3 13 2" xfId="38523" xr:uid="{20415A1D-563A-45A4-B944-71727B0BCDC3}"/>
    <cellStyle name="RISKlightBoxed 5 3 14" xfId="21277" xr:uid="{B424EC10-4329-46C0-A5D6-3C031A289EDD}"/>
    <cellStyle name="RISKlightBoxed 5 3 14 2" xfId="41457" xr:uid="{432C7763-6459-41C4-B740-17B9EAB3C2B4}"/>
    <cellStyle name="RISKlightBoxed 5 3 15" xfId="20521" xr:uid="{39C0AEE6-18E8-4366-91F3-10C2F451AE09}"/>
    <cellStyle name="RISKlightBoxed 5 3 15 2" xfId="40901" xr:uid="{129898D5-9C2D-42E9-82F1-7BFF5B2DED2B}"/>
    <cellStyle name="RISKlightBoxed 5 3 16" xfId="20936" xr:uid="{757F3838-741E-44D3-863E-5847EC4D49A9}"/>
    <cellStyle name="RISKlightBoxed 5 3 16 2" xfId="41237" xr:uid="{A2C2CA85-58B8-4C36-924E-61F30C66704C}"/>
    <cellStyle name="RISKlightBoxed 5 3 17" xfId="19403" xr:uid="{B3246ECC-53FC-49C6-8A61-AE5FC91531B9}"/>
    <cellStyle name="RISKlightBoxed 5 3 17 2" xfId="40124" xr:uid="{47FA1098-3FDE-417E-982B-43245841198F}"/>
    <cellStyle name="RISKlightBoxed 5 3 18" xfId="22117" xr:uid="{54B77297-2A49-4AFF-B867-574D8BD95121}"/>
    <cellStyle name="RISKlightBoxed 5 3 18 2" xfId="42002" xr:uid="{D9E7054D-9F1F-4D72-B0F5-EB7EEDD82B3B}"/>
    <cellStyle name="RISKlightBoxed 5 3 19" xfId="25185" xr:uid="{4B53C059-D384-4673-8683-59CE00C6AB2B}"/>
    <cellStyle name="RISKlightBoxed 5 3 19 2" xfId="44127" xr:uid="{9E2DFD41-17A5-44BF-9479-E38636D9BAD8}"/>
    <cellStyle name="RISKlightBoxed 5 3 2" xfId="7479" xr:uid="{C1DECC51-5DBC-46E1-8BE2-5EFF4D55F29D}"/>
    <cellStyle name="RISKlightBoxed 5 3 2 2" xfId="31836" xr:uid="{52525837-C077-47CA-BE74-8FB095EA4A8D}"/>
    <cellStyle name="RISKlightBoxed 5 3 20" xfId="26252" xr:uid="{983D2447-C7E2-414D-8CB8-102D40FF74F6}"/>
    <cellStyle name="RISKlightBoxed 5 3 20 2" xfId="44961" xr:uid="{783D2764-B73E-4FFC-BB63-3E0686E770B1}"/>
    <cellStyle name="RISKlightBoxed 5 3 21" xfId="25487" xr:uid="{57C88E55-310D-4951-B800-D1FFC75DAD50}"/>
    <cellStyle name="RISKlightBoxed 5 3 21 2" xfId="44365" xr:uid="{22D9A101-0048-4CE2-8101-AE119A25CF44}"/>
    <cellStyle name="RISKlightBoxed 5 3 22" xfId="28700" xr:uid="{A871B8C5-C850-465F-A4ED-6E658BD63858}"/>
    <cellStyle name="RISKlightBoxed 5 3 22 2" xfId="46430" xr:uid="{E3676CDF-9AC7-454C-990E-D3500D895B9B}"/>
    <cellStyle name="RISKlightBoxed 5 3 23" xfId="29578" xr:uid="{4AF5160B-BF8F-4EFC-A6A1-DBE4F77A6C8B}"/>
    <cellStyle name="RISKlightBoxed 5 3 23 2" xfId="46973" xr:uid="{59DC0F95-E775-4198-AC0D-D5B524268141}"/>
    <cellStyle name="RISKlightBoxed 5 3 24" xfId="28424" xr:uid="{A0067424-9C3D-4782-83AA-910E2A8AA915}"/>
    <cellStyle name="RISKlightBoxed 5 3 24 2" xfId="46271" xr:uid="{B3FAC028-1776-4A69-AA6C-915C027282DD}"/>
    <cellStyle name="RISKlightBoxed 5 3 25" xfId="29145" xr:uid="{A17931F9-8D46-4091-A8D9-DBC167EED7FE}"/>
    <cellStyle name="RISKlightBoxed 5 3 25 2" xfId="46683" xr:uid="{5EE6ECB6-F79C-4971-82C7-9B3E575DE988}"/>
    <cellStyle name="RISKlightBoxed 5 3 26" xfId="29702" xr:uid="{14A51CF6-8430-4FBE-8D84-008CA4AC5568}"/>
    <cellStyle name="RISKlightBoxed 5 3 26 2" xfId="47047" xr:uid="{BD44BF8E-AA6F-45BD-9E4D-0CB6CB08582F}"/>
    <cellStyle name="RISKlightBoxed 5 3 27" xfId="30645" xr:uid="{6375A48B-96B4-427E-81BA-A8141FFF10EA}"/>
    <cellStyle name="RISKlightBoxed 5 3 27 2" xfId="47591" xr:uid="{669562E8-47AF-4CD1-85D4-19D7397B41ED}"/>
    <cellStyle name="RISKlightBoxed 5 3 28" xfId="6746" xr:uid="{1AC28E18-3CE5-45F4-A52D-369EBDAC1A43}"/>
    <cellStyle name="RISKlightBoxed 5 3 3" xfId="10135" xr:uid="{A1FF27EE-FC54-491B-BA4F-654B96392651}"/>
    <cellStyle name="RISKlightBoxed 5 3 3 2" xfId="33799" xr:uid="{A06A4CC8-E1E9-4BCE-8179-7160EE41AFB4}"/>
    <cellStyle name="RISKlightBoxed 5 3 4" xfId="7168" xr:uid="{01EF398F-E099-478D-A7CB-BA6952761EEB}"/>
    <cellStyle name="RISKlightBoxed 5 3 4 2" xfId="31535" xr:uid="{FF48CF9B-973C-4A62-A59D-249EEE4A2DB9}"/>
    <cellStyle name="RISKlightBoxed 5 3 5" xfId="7430" xr:uid="{AA3C5435-59E1-4920-BC6A-8121C7E7D3F4}"/>
    <cellStyle name="RISKlightBoxed 5 3 5 2" xfId="31789" xr:uid="{473A5739-BD8B-47C1-9ED0-3DA20978C22A}"/>
    <cellStyle name="RISKlightBoxed 5 3 6" xfId="12227" xr:uid="{41569EF6-685F-4BFB-AE74-31585BCD4993}"/>
    <cellStyle name="RISKlightBoxed 5 3 6 2" xfId="34734" xr:uid="{AC34DEE7-FC62-441D-910E-6050D0ED4409}"/>
    <cellStyle name="RISKlightBoxed 5 3 7" xfId="15112" xr:uid="{FDC918BA-873D-416A-889D-0F607532E736}"/>
    <cellStyle name="RISKlightBoxed 5 3 7 2" xfId="36939" xr:uid="{E2A03ED3-7397-4F5A-804D-32AC6321B7A3}"/>
    <cellStyle name="RISKlightBoxed 5 3 8" xfId="12711" xr:uid="{0CE86888-AFFC-42B9-A283-0719758CA2EF}"/>
    <cellStyle name="RISKlightBoxed 5 3 8 2" xfId="35124" xr:uid="{E6E86E32-2E37-4439-8FBB-5A8327C412B7}"/>
    <cellStyle name="RISKlightBoxed 5 3 9" xfId="12596" xr:uid="{43CA2FB4-DB43-4D4C-AB15-62E5F66488E4}"/>
    <cellStyle name="RISKlightBoxed 5 3 9 2" xfId="35031" xr:uid="{96416BBD-7748-45D7-A029-67CB3437E90C}"/>
    <cellStyle name="RISKlightBoxed 5 30" xfId="6744" xr:uid="{90F8B50B-391F-4B3F-80A2-E28D08ADB347}"/>
    <cellStyle name="RISKlightBoxed 5 4" xfId="7480" xr:uid="{B277DC39-E0C5-4C0A-817C-67B512B54B44}"/>
    <cellStyle name="RISKlightBoxed 5 4 2" xfId="31837" xr:uid="{610C7EBC-08BA-4878-A3BF-BC3288F7B350}"/>
    <cellStyle name="RISKlightBoxed 5 5" xfId="10134" xr:uid="{7BF1A8B3-D27D-41A9-8019-374F4B2DC1A4}"/>
    <cellStyle name="RISKlightBoxed 5 5 2" xfId="33798" xr:uid="{A50170B3-8780-4875-892B-2532D360EE4A}"/>
    <cellStyle name="RISKlightBoxed 5 6" xfId="7170" xr:uid="{5031B4E4-BA44-40D1-8F69-DCB69BCB6ED1}"/>
    <cellStyle name="RISKlightBoxed 5 6 2" xfId="31537" xr:uid="{BF05B7F6-B27B-4F3C-A601-8402ADC62E3A}"/>
    <cellStyle name="RISKlightBoxed 5 7" xfId="7431" xr:uid="{F6A5F2AC-D29D-4410-9AB4-975561AFD164}"/>
    <cellStyle name="RISKlightBoxed 5 7 2" xfId="31790" xr:uid="{2C0AE39C-B8E5-4937-8C9B-6DD144522C20}"/>
    <cellStyle name="RISKlightBoxed 5 8" xfId="12226" xr:uid="{2EF6441C-EA73-4B2C-AF73-7327DE842AC1}"/>
    <cellStyle name="RISKlightBoxed 5 8 2" xfId="34733" xr:uid="{1D847E4F-9FFB-49C0-AE73-6A132AD46678}"/>
    <cellStyle name="RISKlightBoxed 5 9" xfId="14095" xr:uid="{734C2472-CCD6-4EC8-952C-3470217AF77A}"/>
    <cellStyle name="RISKlightBoxed 5 9 2" xfId="36189" xr:uid="{2F544D0A-5064-4A3B-A095-7A9E4C8FCBC6}"/>
    <cellStyle name="RISKlightBoxed 6" xfId="3773" xr:uid="{0355F7A0-DB69-4931-B3DE-5C8D86FE7A4E}"/>
    <cellStyle name="RISKlightBoxed 6 10" xfId="14433" xr:uid="{E02D25B0-0B1D-4E69-A9CD-EC5911A2025E}"/>
    <cellStyle name="RISKlightBoxed 6 10 2" xfId="36422" xr:uid="{769B0CA1-3245-45BE-93BC-DF8721E26BA6}"/>
    <cellStyle name="RISKlightBoxed 6 11" xfId="16358" xr:uid="{58FD1AB7-20C7-4510-9F9A-0764DB98CBE6}"/>
    <cellStyle name="RISKlightBoxed 6 11 2" xfId="37885" xr:uid="{6F842201-37FB-4D16-9BB4-38637FC39F07}"/>
    <cellStyle name="RISKlightBoxed 6 12" xfId="17270" xr:uid="{B5382D63-9DEB-4063-8EAB-86545E307F4C}"/>
    <cellStyle name="RISKlightBoxed 6 12 2" xfId="38573" xr:uid="{815E0D77-A063-4135-A64F-BB6E371616AC}"/>
    <cellStyle name="RISKlightBoxed 6 13" xfId="18115" xr:uid="{CA74ED3E-C850-4034-87FF-3A22BE88ED8C}"/>
    <cellStyle name="RISKlightBoxed 6 13 2" xfId="39189" xr:uid="{40AB8EC4-9AE2-425E-BD48-A5BBE2818829}"/>
    <cellStyle name="RISKlightBoxed 6 14" xfId="16099" xr:uid="{56A399E9-F443-4228-875B-C3E684E2974E}"/>
    <cellStyle name="RISKlightBoxed 6 14 2" xfId="37669" xr:uid="{1EAE2CDE-7C0D-4140-A066-D82FA36F9E62}"/>
    <cellStyle name="RISKlightBoxed 6 15" xfId="19188" xr:uid="{6D366672-2DA4-4D78-8167-2342767798A6}"/>
    <cellStyle name="RISKlightBoxed 6 15 2" xfId="39997" xr:uid="{ECC409E9-80A6-4A3A-B9B6-61F071C25313}"/>
    <cellStyle name="RISKlightBoxed 6 16" xfId="19552" xr:uid="{F16993F9-1D6A-4AFE-9A3A-EB3287049220}"/>
    <cellStyle name="RISKlightBoxed 6 16 2" xfId="40215" xr:uid="{98535574-B597-4DD1-9B40-150C5308C4A2}"/>
    <cellStyle name="RISKlightBoxed 6 17" xfId="18845" xr:uid="{D0937AA5-AE8C-47C4-B78C-B97A40382851}"/>
    <cellStyle name="RISKlightBoxed 6 17 2" xfId="39692" xr:uid="{C6E97432-2A15-44B2-BE7E-18C9FC7F7B0F}"/>
    <cellStyle name="RISKlightBoxed 6 18" xfId="15422" xr:uid="{05619C3A-7063-4058-AF5C-4BD4ACCCC5FD}"/>
    <cellStyle name="RISKlightBoxed 6 18 2" xfId="37110" xr:uid="{915B743F-F15D-4377-83F9-CD25E4B70671}"/>
    <cellStyle name="RISKlightBoxed 6 19" xfId="22093" xr:uid="{91E78F58-A4E0-47B1-A1E3-75DD7B578FA2}"/>
    <cellStyle name="RISKlightBoxed 6 19 2" xfId="41978" xr:uid="{35817EED-0A8C-4315-A3F3-C355EFF52130}"/>
    <cellStyle name="RISKlightBoxed 6 2" xfId="3774" xr:uid="{E1AF754E-010F-4A35-80CB-309F988D345A}"/>
    <cellStyle name="RISKlightBoxed 6 2 10" xfId="14526" xr:uid="{660900EB-B610-449A-B214-86B235121227}"/>
    <cellStyle name="RISKlightBoxed 6 2 10 2" xfId="36463" xr:uid="{A6DC5242-D53D-460C-806F-C425BED86304}"/>
    <cellStyle name="RISKlightBoxed 6 2 11" xfId="16215" xr:uid="{60404313-C3D2-4321-A05E-47A503D470E3}"/>
    <cellStyle name="RISKlightBoxed 6 2 11 2" xfId="37769" xr:uid="{A77D7816-3373-45FE-8A86-49C6CE1CD34F}"/>
    <cellStyle name="RISKlightBoxed 6 2 12" xfId="18966" xr:uid="{7BAE59D3-2C91-47D5-814D-222074EC06A0}"/>
    <cellStyle name="RISKlightBoxed 6 2 12 2" xfId="39798" xr:uid="{DDE9D611-1B3E-4B88-8396-CCC36E6665CA}"/>
    <cellStyle name="RISKlightBoxed 6 2 13" xfId="15687" xr:uid="{A09F7719-B25E-4AE9-9F0B-76A8D24795AA}"/>
    <cellStyle name="RISKlightBoxed 6 2 13 2" xfId="37324" xr:uid="{8FFED866-F0CE-4664-B86B-326365C47261}"/>
    <cellStyle name="RISKlightBoxed 6 2 14" xfId="21276" xr:uid="{F9E8AC51-C0BC-4C15-9DB7-FF1B1C79A3A0}"/>
    <cellStyle name="RISKlightBoxed 6 2 14 2" xfId="41456" xr:uid="{7A9B484A-ECD4-4FE2-B1E7-E31B3E14CE69}"/>
    <cellStyle name="RISKlightBoxed 6 2 15" xfId="20536" xr:uid="{4C9A3CE1-0F7F-41B1-AB39-391BF9AA17FC}"/>
    <cellStyle name="RISKlightBoxed 6 2 15 2" xfId="40916" xr:uid="{F0116F18-D151-41DE-8608-693BEE1F63A2}"/>
    <cellStyle name="RISKlightBoxed 6 2 16" xfId="18722" xr:uid="{ED29B623-AFC9-413E-8D3E-530F4D9B34BE}"/>
    <cellStyle name="RISKlightBoxed 6 2 16 2" xfId="39597" xr:uid="{F41FF358-DB36-42DD-A307-C9C178E0094C}"/>
    <cellStyle name="RISKlightBoxed 6 2 17" xfId="21201" xr:uid="{957A5442-8024-4F29-B10D-C40D96D312C0}"/>
    <cellStyle name="RISKlightBoxed 6 2 17 2" xfId="41394" xr:uid="{FB137520-7744-49B9-B212-B9D97F698050}"/>
    <cellStyle name="RISKlightBoxed 6 2 18" xfId="17851" xr:uid="{73210B7F-4A06-49BD-9226-581D6588198A}"/>
    <cellStyle name="RISKlightBoxed 6 2 18 2" xfId="38967" xr:uid="{01765389-AF6B-47C6-8CC5-16E657F37E11}"/>
    <cellStyle name="RISKlightBoxed 6 2 19" xfId="22255" xr:uid="{29D49783-751E-41CC-A438-F0A5D4AAE5C7}"/>
    <cellStyle name="RISKlightBoxed 6 2 19 2" xfId="42125" xr:uid="{9609A790-897C-4CA9-AA31-3D9C1ABD795B}"/>
    <cellStyle name="RISKlightBoxed 6 2 2" xfId="7478" xr:uid="{A159F210-E6A7-45A2-991A-23EE209DA367}"/>
    <cellStyle name="RISKlightBoxed 6 2 2 2" xfId="31835" xr:uid="{CFDC1FD8-A623-410F-A512-ED016F8DA877}"/>
    <cellStyle name="RISKlightBoxed 6 2 20" xfId="26251" xr:uid="{4AC56335-7462-4CE3-93C0-B44988030155}"/>
    <cellStyle name="RISKlightBoxed 6 2 20 2" xfId="44960" xr:uid="{965180DB-0AB6-4158-A3B7-014D31E81D7C}"/>
    <cellStyle name="RISKlightBoxed 6 2 21" xfId="24321" xr:uid="{707763CF-E36B-439E-A6AC-6C18E873A32C}"/>
    <cellStyle name="RISKlightBoxed 6 2 21 2" xfId="43586" xr:uid="{3B7AD866-5038-457D-A119-2BCD5805E5D4}"/>
    <cellStyle name="RISKlightBoxed 6 2 22" xfId="21124" xr:uid="{8581BB66-D137-4D16-AA57-6B8574AF1D50}"/>
    <cellStyle name="RISKlightBoxed 6 2 22 2" xfId="41331" xr:uid="{822FE723-0826-4E5E-95A4-D9D4624357DA}"/>
    <cellStyle name="RISKlightBoxed 6 2 23" xfId="27590" xr:uid="{C6A71DEB-C12D-43C3-8A2B-301C4F8469C1}"/>
    <cellStyle name="RISKlightBoxed 6 2 23 2" xfId="45739" xr:uid="{BF718302-1D75-4272-8EFD-CEDD288B02D0}"/>
    <cellStyle name="RISKlightBoxed 6 2 24" xfId="30271" xr:uid="{22CC3C19-A89D-434F-B02B-98F15E229572}"/>
    <cellStyle name="RISKlightBoxed 6 2 24 2" xfId="47421" xr:uid="{8CF2EE40-D0D2-4D57-A1AA-26C79112DFD2}"/>
    <cellStyle name="RISKlightBoxed 6 2 25" xfId="27750" xr:uid="{7F94F7B0-D962-4859-8572-504066942BBE}"/>
    <cellStyle name="RISKlightBoxed 6 2 25 2" xfId="45851" xr:uid="{95FEE914-9D24-442F-B412-AA0CB5EE6D78}"/>
    <cellStyle name="RISKlightBoxed 6 2 26" xfId="26942" xr:uid="{9080D0D2-3406-4E0D-9F79-81FB70C2E8DA}"/>
    <cellStyle name="RISKlightBoxed 6 2 26 2" xfId="45355" xr:uid="{D8153949-F2C6-4BAB-B155-28A42EC22F40}"/>
    <cellStyle name="RISKlightBoxed 6 2 27" xfId="26022" xr:uid="{7E8ED8CC-0880-4A2A-B57C-4489D27F0958}"/>
    <cellStyle name="RISKlightBoxed 6 2 27 2" xfId="44795" xr:uid="{E36B7F26-DEF2-463F-8525-7887294E351C}"/>
    <cellStyle name="RISKlightBoxed 6 2 28" xfId="6748" xr:uid="{DA33E0DC-A8A7-4459-A788-6196B17F0AD6}"/>
    <cellStyle name="RISKlightBoxed 6 2 3" xfId="10136" xr:uid="{C74C69DD-F8F7-4BF5-9336-768EDB67C72E}"/>
    <cellStyle name="RISKlightBoxed 6 2 3 2" xfId="33800" xr:uid="{6D71399F-A8AD-4004-8BFF-A62D3F514243}"/>
    <cellStyle name="RISKlightBoxed 6 2 4" xfId="7166" xr:uid="{D9F8A8ED-F8A5-4A6D-887F-1F848E4A0784}"/>
    <cellStyle name="RISKlightBoxed 6 2 4 2" xfId="31533" xr:uid="{E84A5124-C924-494C-A73C-92E5C0071A8E}"/>
    <cellStyle name="RISKlightBoxed 6 2 5" xfId="7429" xr:uid="{3821CEF9-F0F8-4E38-85FA-5DEF1CCB986F}"/>
    <cellStyle name="RISKlightBoxed 6 2 5 2" xfId="31788" xr:uid="{E7C56998-F3E9-4D26-9F76-44696929809A}"/>
    <cellStyle name="RISKlightBoxed 6 2 6" xfId="12228" xr:uid="{5744B5D0-552F-44FE-AA5E-6A5FBD5718E9}"/>
    <cellStyle name="RISKlightBoxed 6 2 6 2" xfId="34735" xr:uid="{FCB491C2-8463-43B2-972D-F0626392AD0F}"/>
    <cellStyle name="RISKlightBoxed 6 2 7" xfId="12469" xr:uid="{027E8992-14CC-4F15-A222-0B7B6D91AFB8}"/>
    <cellStyle name="RISKlightBoxed 6 2 7 2" xfId="34915" xr:uid="{CC1739D1-5E76-49F4-8D3C-BAB99A2D61F2}"/>
    <cellStyle name="RISKlightBoxed 6 2 8" xfId="15600" xr:uid="{F5582E0C-960B-44D8-8F00-135103013B0D}"/>
    <cellStyle name="RISKlightBoxed 6 2 8 2" xfId="37258" xr:uid="{B6780E54-5925-45C2-AD3D-0B4450DB7C86}"/>
    <cellStyle name="RISKlightBoxed 6 2 9" xfId="15835" xr:uid="{0C4E9DA8-5495-4612-AE52-A266FC125127}"/>
    <cellStyle name="RISKlightBoxed 6 2 9 2" xfId="37444" xr:uid="{6C989C24-AD25-4D1D-A592-E261E96A4A0C}"/>
    <cellStyle name="RISKlightBoxed 6 20" xfId="20910" xr:uid="{EA9AA4FA-91F4-43F5-BBFF-394E401C42CC}"/>
    <cellStyle name="RISKlightBoxed 6 20 2" xfId="41213" xr:uid="{8A67EB37-A5A0-4F7A-8106-76ECE6D2C648}"/>
    <cellStyle name="RISKlightBoxed 6 21" xfId="25409" xr:uid="{F20CA2A7-53FB-47BA-B0C6-F1C4E099908A}"/>
    <cellStyle name="RISKlightBoxed 6 21 2" xfId="44301" xr:uid="{FDF9F0FE-C2F4-489E-8BF9-1D587203E245}"/>
    <cellStyle name="RISKlightBoxed 6 22" xfId="23830" xr:uid="{F6C52370-E05C-4422-B260-FF1F5FD99B63}"/>
    <cellStyle name="RISKlightBoxed 6 22 2" xfId="43219" xr:uid="{F7A9F7A0-95E0-4528-9911-5CCECAEDA69E}"/>
    <cellStyle name="RISKlightBoxed 6 23" xfId="25941" xr:uid="{ADDF8999-6FA9-43F1-B3DC-44970CD43CA6}"/>
    <cellStyle name="RISKlightBoxed 6 23 2" xfId="44732" xr:uid="{8FC4BA7B-7D4A-460A-A84A-8EDBD4D295D3}"/>
    <cellStyle name="RISKlightBoxed 6 24" xfId="26646" xr:uid="{834F7D00-D698-4CC5-A7B3-6D7AF7E4FB2F}"/>
    <cellStyle name="RISKlightBoxed 6 24 2" xfId="45196" xr:uid="{A3F10A86-D4FE-4AD7-A8DD-7806D20617DF}"/>
    <cellStyle name="RISKlightBoxed 6 25" xfId="27024" xr:uid="{E7B99F39-BA4D-465E-B53F-5B00E7B0A12D}"/>
    <cellStyle name="RISKlightBoxed 6 25 2" xfId="45427" xr:uid="{4C7E3D94-9744-4BAA-A4BA-72DF09DA3F85}"/>
    <cellStyle name="RISKlightBoxed 6 26" xfId="30446" xr:uid="{2D755AAC-2AA4-4B03-813E-BE0D80985E20}"/>
    <cellStyle name="RISKlightBoxed 6 26 2" xfId="47493" xr:uid="{F8614687-5FE7-41D3-887A-4E9DE52F4617}"/>
    <cellStyle name="RISKlightBoxed 6 27" xfId="29834" xr:uid="{CC33D79C-F5B9-496D-8D59-E9FA2FA49319}"/>
    <cellStyle name="RISKlightBoxed 6 27 2" xfId="47151" xr:uid="{F4759A49-11B7-4E98-AAFE-9B6BB4B9AD3E}"/>
    <cellStyle name="RISKlightBoxed 6 28" xfId="29910" xr:uid="{0FE8A7DC-F411-402D-A3B6-DA82D91F4AB6}"/>
    <cellStyle name="RISKlightBoxed 6 28 2" xfId="47198" xr:uid="{7E1536CD-71D4-49ED-9E8B-5074C21C4997}"/>
    <cellStyle name="RISKlightBoxed 6 29" xfId="26471" xr:uid="{E66FEFEF-9116-452E-B3EB-234C4A56DDED}"/>
    <cellStyle name="RISKlightBoxed 6 29 2" xfId="45096" xr:uid="{E1BE07BE-1BB5-4AF3-AA13-8A5D601377CC}"/>
    <cellStyle name="RISKlightBoxed 6 3" xfId="3775" xr:uid="{B5692D90-8A0E-4537-87F5-5ADD0479C9AE}"/>
    <cellStyle name="RISKlightBoxed 6 3 10" xfId="17269" xr:uid="{2FE6ABED-327B-49C1-BD3C-D769D727F887}"/>
    <cellStyle name="RISKlightBoxed 6 3 10 2" xfId="38572" xr:uid="{49137E98-75DF-4BF4-80BF-C13124A9C3D6}"/>
    <cellStyle name="RISKlightBoxed 6 3 11" xfId="18114" xr:uid="{4EF79AE5-B039-45EC-ACEF-6B3B2BE46CE3}"/>
    <cellStyle name="RISKlightBoxed 6 3 11 2" xfId="39188" xr:uid="{8F835EB9-A6B2-4C57-8C6C-B29FF8D8E3CA}"/>
    <cellStyle name="RISKlightBoxed 6 3 12" xfId="17083" xr:uid="{E6ECB346-2EC6-4C89-B9C0-27897F58ABD3}"/>
    <cellStyle name="RISKlightBoxed 6 3 12 2" xfId="38422" xr:uid="{5A2C9D40-0FF2-4699-9A3B-E2D26B1F0CC8}"/>
    <cellStyle name="RISKlightBoxed 6 3 13" xfId="19187" xr:uid="{A206DC46-2F4C-41C0-8D20-8B4FCA79877A}"/>
    <cellStyle name="RISKlightBoxed 6 3 13 2" xfId="39996" xr:uid="{BEB00DD9-27FC-4A79-B129-364DC61AA17E}"/>
    <cellStyle name="RISKlightBoxed 6 3 14" xfId="17787" xr:uid="{E34F9BF2-25C9-48E3-A7A5-CD16ABFBD21B}"/>
    <cellStyle name="RISKlightBoxed 6 3 14 2" xfId="38915" xr:uid="{5A7E13DD-A8CE-43A8-B8EB-2A11E4018116}"/>
    <cellStyle name="RISKlightBoxed 6 3 15" xfId="16868" xr:uid="{C3ED626D-2C22-4F32-A12D-0858E1259B25}"/>
    <cellStyle name="RISKlightBoxed 6 3 15 2" xfId="38290" xr:uid="{0ABF8511-E558-4789-BD16-079E7E0F3C21}"/>
    <cellStyle name="RISKlightBoxed 6 3 16" xfId="22175" xr:uid="{8321B98C-5F64-4308-A034-C9D243BA1ED9}"/>
    <cellStyle name="RISKlightBoxed 6 3 16 2" xfId="42054" xr:uid="{3E8BE6CE-42FA-471B-B1BE-BBA32FAD11B9}"/>
    <cellStyle name="RISKlightBoxed 6 3 17" xfId="17053" xr:uid="{AB2AFD6D-7999-414C-AFA5-05492A818612}"/>
    <cellStyle name="RISKlightBoxed 6 3 17 2" xfId="38395" xr:uid="{28AD342B-26F4-4870-9499-FFCF6EC8C859}"/>
    <cellStyle name="RISKlightBoxed 6 3 18" xfId="19417" xr:uid="{D2C80E1C-1EDC-4BF0-B7E2-C55EDFA15775}"/>
    <cellStyle name="RISKlightBoxed 6 3 18 2" xfId="40138" xr:uid="{F9AFED73-49AD-4A4B-B1A6-806C0EA1D278}"/>
    <cellStyle name="RISKlightBoxed 6 3 19" xfId="22678" xr:uid="{87E44C9E-39D1-49FB-ACA6-8C742E3EF09D}"/>
    <cellStyle name="RISKlightBoxed 6 3 19 2" xfId="42446" xr:uid="{8E4DD7C5-EA4E-4C2C-8F68-47F267FB096C}"/>
    <cellStyle name="RISKlightBoxed 6 3 2" xfId="11892" xr:uid="{1223082B-A946-4A07-AB40-508226133BBB}"/>
    <cellStyle name="RISKlightBoxed 6 3 2 2" xfId="34504" xr:uid="{4C4DF274-A85F-44B6-861F-A1647031CFC4}"/>
    <cellStyle name="RISKlightBoxed 6 3 20" xfId="21019" xr:uid="{7BE2CB56-BD89-4DFE-9A1C-ECBE1335B424}"/>
    <cellStyle name="RISKlightBoxed 6 3 20 2" xfId="41276" xr:uid="{6C7435E3-04E9-4539-B52B-5F6926165F78}"/>
    <cellStyle name="RISKlightBoxed 6 3 21" xfId="25493" xr:uid="{72B50B73-3F14-4565-AF0B-74EFBF5A0BBB}"/>
    <cellStyle name="RISKlightBoxed 6 3 21 2" xfId="44371" xr:uid="{0CC0D89D-60DA-44A4-AB16-908EAE1A098D}"/>
    <cellStyle name="RISKlightBoxed 6 3 22" xfId="26645" xr:uid="{34A484A4-A562-4404-AD79-74FA872DAD17}"/>
    <cellStyle name="RISKlightBoxed 6 3 22 2" xfId="45195" xr:uid="{F491AF56-4B6A-4B29-A18E-11ABC69CA3FE}"/>
    <cellStyle name="RISKlightBoxed 6 3 23" xfId="29573" xr:uid="{CF90B61A-57B9-40B2-8DB0-80E7711E2BBF}"/>
    <cellStyle name="RISKlightBoxed 6 3 23 2" xfId="46968" xr:uid="{E131609C-DEE1-4FC0-801D-2AFDE282086A}"/>
    <cellStyle name="RISKlightBoxed 6 3 24" xfId="26065" xr:uid="{92368E05-260E-403B-BB86-5B64DF0CBF66}"/>
    <cellStyle name="RISKlightBoxed 6 3 24 2" xfId="44830" xr:uid="{75E53834-84F5-45C7-80A7-DD60774C1C59}"/>
    <cellStyle name="RISKlightBoxed 6 3 25" xfId="29626" xr:uid="{8B53B186-63D7-402B-83DB-D577B27FEF54}"/>
    <cellStyle name="RISKlightBoxed 6 3 25 2" xfId="47017" xr:uid="{D9936BC5-92D6-4BE6-9CBF-8CDD42F3DC9B}"/>
    <cellStyle name="RISKlightBoxed 6 3 26" xfId="25588" xr:uid="{AFC8CF52-A503-48A5-9F7D-F84F0B5129D1}"/>
    <cellStyle name="RISKlightBoxed 6 3 26 2" xfId="44452" xr:uid="{CC6A33D5-6064-4071-9094-A7BCC972B4A4}"/>
    <cellStyle name="RISKlightBoxed 6 3 27" xfId="30644" xr:uid="{AB2A225E-6095-4F81-BF20-FEB07B10B618}"/>
    <cellStyle name="RISKlightBoxed 6 3 27 2" xfId="47590" xr:uid="{EA864E4E-F1D9-4021-8836-8C494DCA080A}"/>
    <cellStyle name="RISKlightBoxed 6 3 28" xfId="6749" xr:uid="{874A5CE5-4A1D-47EF-8035-C64125C1D431}"/>
    <cellStyle name="RISKlightBoxed 6 3 3" xfId="13313" xr:uid="{C447CF9B-FCC5-4CBE-B7F8-B280CA73F475}"/>
    <cellStyle name="RISKlightBoxed 6 3 3 2" xfId="35630" xr:uid="{B5D69DB4-C9BF-4857-9E84-DC94186FA85B}"/>
    <cellStyle name="RISKlightBoxed 6 3 4" xfId="7165" xr:uid="{D8B5F2B9-C362-490A-9A3D-9D584575C34E}"/>
    <cellStyle name="RISKlightBoxed 6 3 4 2" xfId="31532" xr:uid="{0E8ECA01-C349-4EA9-9F09-F7DE38944755}"/>
    <cellStyle name="RISKlightBoxed 6 3 5" xfId="11848" xr:uid="{C95E844F-96AC-4A27-B06A-7E38E0A2E859}"/>
    <cellStyle name="RISKlightBoxed 6 3 5 2" xfId="34460" xr:uid="{7FF27E71-4378-46C2-AEC2-DF6887FAA794}"/>
    <cellStyle name="RISKlightBoxed 6 3 6" xfId="14730" xr:uid="{88399FE0-0F57-4A18-8F3B-D4C0A3097446}"/>
    <cellStyle name="RISKlightBoxed 6 3 6 2" xfId="36642" xr:uid="{697BB257-7757-4582-B59E-AAE02D2F694E}"/>
    <cellStyle name="RISKlightBoxed 6 3 7" xfId="14093" xr:uid="{D76E9607-9373-4B66-A986-EDF2768C5267}"/>
    <cellStyle name="RISKlightBoxed 6 3 7 2" xfId="36187" xr:uid="{35ECA589-3134-4DAF-A721-E55306FB789A}"/>
    <cellStyle name="RISKlightBoxed 6 3 8" xfId="14434" xr:uid="{C35BA979-8847-4F1F-9C9B-0DBAACE67D77}"/>
    <cellStyle name="RISKlightBoxed 6 3 8 2" xfId="36423" xr:uid="{2CE7A861-9B66-450F-8F97-5021F5ACEDEB}"/>
    <cellStyle name="RISKlightBoxed 6 3 9" xfId="16357" xr:uid="{34424155-C8F7-4E98-A75D-D3790A5A9DE8}"/>
    <cellStyle name="RISKlightBoxed 6 3 9 2" xfId="37884" xr:uid="{E567A39E-0F9B-408A-B8BE-2503C97F2C96}"/>
    <cellStyle name="RISKlightBoxed 6 30" xfId="6747" xr:uid="{28E4F4A9-00DB-4F17-98F9-34DA54A258A9}"/>
    <cellStyle name="RISKlightBoxed 6 4" xfId="11893" xr:uid="{89150CBB-06D3-4C06-87DA-8B0DBDC1D80B}"/>
    <cellStyle name="RISKlightBoxed 6 4 2" xfId="34505" xr:uid="{3589BA7C-6496-4520-B26D-0946449AD9DD}"/>
    <cellStyle name="RISKlightBoxed 6 5" xfId="13314" xr:uid="{8019EF75-FCC3-4D34-BD36-DFFE168AB04B}"/>
    <cellStyle name="RISKlightBoxed 6 5 2" xfId="35631" xr:uid="{2E5C1D5E-A032-48D4-A44C-3FE998FED083}"/>
    <cellStyle name="RISKlightBoxed 6 6" xfId="7167" xr:uid="{29D51563-980F-44F0-B5D4-6FFF9C315229}"/>
    <cellStyle name="RISKlightBoxed 6 6 2" xfId="31534" xr:uid="{A2EB43BE-2469-45A6-8DDB-82EBDFA0F02A}"/>
    <cellStyle name="RISKlightBoxed 6 7" xfId="11849" xr:uid="{2EA55C7C-D4F4-44F5-A288-EE9F8A731FC4}"/>
    <cellStyle name="RISKlightBoxed 6 7 2" xfId="34461" xr:uid="{6D2AAE3F-1E4F-43C9-9EAC-46C15B5EFC0B}"/>
    <cellStyle name="RISKlightBoxed 6 8" xfId="14731" xr:uid="{D5D65B91-BBD7-4346-9331-524CBFF71256}"/>
    <cellStyle name="RISKlightBoxed 6 8 2" xfId="36643" xr:uid="{609DAC06-469A-4295-A0E4-D070E01D6ED6}"/>
    <cellStyle name="RISKlightBoxed 6 9" xfId="14094" xr:uid="{9C0B8C1C-48D9-4AC0-87CA-E6D5979B77C1}"/>
    <cellStyle name="RISKlightBoxed 6 9 2" xfId="36188" xr:uid="{04F6EC4F-3755-4297-A444-C632DB4C2FF8}"/>
    <cellStyle name="RISKlightBoxed 7" xfId="3776" xr:uid="{745ECDB7-EE5D-4983-B332-C49C2BE7C399}"/>
    <cellStyle name="RISKlightBoxed 7 10" xfId="12710" xr:uid="{9CCDAAA2-726C-4B19-9CDF-914D671B9D53}"/>
    <cellStyle name="RISKlightBoxed 7 10 2" xfId="35123" xr:uid="{D8A01C8E-53B7-4D82-A1B4-4AAE6C37A812}"/>
    <cellStyle name="RISKlightBoxed 7 11" xfId="13973" xr:uid="{DAF2F760-2B7E-45F0-8E36-C44B57C08756}"/>
    <cellStyle name="RISKlightBoxed 7 11 2" xfId="36076" xr:uid="{8F561FA8-0141-4D6E-9E86-C268AAC82752}"/>
    <cellStyle name="RISKlightBoxed 7 12" xfId="13779" xr:uid="{4A28F18B-2EFB-46F3-AD62-D7A5896DF133}"/>
    <cellStyle name="RISKlightBoxed 7 12 2" xfId="35915" xr:uid="{A6B83A40-02C9-47EC-A16D-D6B78DBE0014}"/>
    <cellStyle name="RISKlightBoxed 7 13" xfId="18113" xr:uid="{61AD8B80-A315-481A-B4DA-049AD6876494}"/>
    <cellStyle name="RISKlightBoxed 7 13 2" xfId="39187" xr:uid="{E54FA4B6-EF3C-456A-94B5-12A105A929A1}"/>
    <cellStyle name="RISKlightBoxed 7 14" xfId="18965" xr:uid="{051E8609-7EDD-4315-BE45-E047B8146639}"/>
    <cellStyle name="RISKlightBoxed 7 14 2" xfId="39797" xr:uid="{AF9587C7-04EC-4A87-9431-4816E24F3661}"/>
    <cellStyle name="RISKlightBoxed 7 15" xfId="17193" xr:uid="{2DD8A0CF-CFD6-4520-9F3D-D6BD04866F48}"/>
    <cellStyle name="RISKlightBoxed 7 15 2" xfId="38522" xr:uid="{242009C1-3947-4259-A51B-777BBD385530}"/>
    <cellStyle name="RISKlightBoxed 7 16" xfId="21275" xr:uid="{ECC4A726-9B8C-42BF-9364-184EEACC117C}"/>
    <cellStyle name="RISKlightBoxed 7 16 2" xfId="41455" xr:uid="{B144750C-94B3-4FD4-81BE-97AA1399B91E}"/>
    <cellStyle name="RISKlightBoxed 7 17" xfId="20535" xr:uid="{FBBAE591-4905-40B3-9C3E-999908730B45}"/>
    <cellStyle name="RISKlightBoxed 7 17 2" xfId="40915" xr:uid="{8E77CF63-0726-4BAD-8548-98673DB87578}"/>
    <cellStyle name="RISKlightBoxed 7 18" xfId="22588" xr:uid="{A00F7CDD-E37C-413B-9E7A-255A49AC525F}"/>
    <cellStyle name="RISKlightBoxed 7 18 2" xfId="42374" xr:uid="{66FDFA9E-85E8-4AE4-B414-505778FC226A}"/>
    <cellStyle name="RISKlightBoxed 7 19" xfId="21200" xr:uid="{08236D45-D64B-4F11-807C-726C0FF27753}"/>
    <cellStyle name="RISKlightBoxed 7 19 2" xfId="41393" xr:uid="{FF34F324-785F-4AA2-98E2-A0082A921D24}"/>
    <cellStyle name="RISKlightBoxed 7 2" xfId="3777" xr:uid="{E2CCD110-1B83-43C1-ADFD-E834ECDF535B}"/>
    <cellStyle name="RISKlightBoxed 7 2 10" xfId="17268" xr:uid="{A7B84B50-4AF5-4BD3-B17F-CAF87A65954C}"/>
    <cellStyle name="RISKlightBoxed 7 2 10 2" xfId="38571" xr:uid="{56CEF1BC-8261-4805-9451-82F3F0C52DDD}"/>
    <cellStyle name="RISKlightBoxed 7 2 11" xfId="16214" xr:uid="{213A2AD5-A09C-4121-AA02-1DD3E1D23F97}"/>
    <cellStyle name="RISKlightBoxed 7 2 11 2" xfId="37768" xr:uid="{7B6F57A4-C0B7-424D-869B-CF59C0FE1A8B}"/>
    <cellStyle name="RISKlightBoxed 7 2 12" xfId="15351" xr:uid="{7F1F2F4E-A56E-430F-8110-D7BEFD90741F}"/>
    <cellStyle name="RISKlightBoxed 7 2 12 2" xfId="37051" xr:uid="{DE8B1A63-0981-47E0-A3D8-549941F071AF}"/>
    <cellStyle name="RISKlightBoxed 7 2 13" xfId="19186" xr:uid="{C06DED8C-5F38-4BC2-989F-E41EBC73CA6C}"/>
    <cellStyle name="RISKlightBoxed 7 2 13 2" xfId="39995" xr:uid="{74B7F319-21AA-44F7-AB7D-EBE12D4B3CE8}"/>
    <cellStyle name="RISKlightBoxed 7 2 14" xfId="19551" xr:uid="{31886F58-126E-492E-B793-B18B7C1EDDA2}"/>
    <cellStyle name="RISKlightBoxed 7 2 14 2" xfId="40214" xr:uid="{0059E0CA-9FC1-4998-8E3A-C528C855FF61}"/>
    <cellStyle name="RISKlightBoxed 7 2 15" xfId="20122" xr:uid="{9F92DC56-D2DB-4B60-BA79-F93DB0BF3BC9}"/>
    <cellStyle name="RISKlightBoxed 7 2 15 2" xfId="40634" xr:uid="{26F517DD-2CAF-4071-8625-937EAF8E27FC}"/>
    <cellStyle name="RISKlightBoxed 7 2 16" xfId="20315" xr:uid="{24F05A6F-87EC-46C6-B405-DB573FF8CA6D}"/>
    <cellStyle name="RISKlightBoxed 7 2 16 2" xfId="40748" xr:uid="{5569EA99-3C7C-436A-B41F-0D3744ED8C1E}"/>
    <cellStyle name="RISKlightBoxed 7 2 17" xfId="20160" xr:uid="{1587D02C-8B2F-4DF2-9711-E825751B4B4E}"/>
    <cellStyle name="RISKlightBoxed 7 2 17 2" xfId="40667" xr:uid="{48E87BBE-FCC2-43A7-966B-2EE33F4D73C0}"/>
    <cellStyle name="RISKlightBoxed 7 2 18" xfId="21177" xr:uid="{19F26C32-4CC8-4878-AB47-FA8E76E0FF72}"/>
    <cellStyle name="RISKlightBoxed 7 2 18 2" xfId="41370" xr:uid="{00F106ED-0AEE-4F7E-8A2E-CF0EC479271A}"/>
    <cellStyle name="RISKlightBoxed 7 2 19" xfId="25410" xr:uid="{FE192751-E3A3-44D5-BDE3-F2E743822C33}"/>
    <cellStyle name="RISKlightBoxed 7 2 19 2" xfId="44302" xr:uid="{60FA44C9-418B-4A84-B6F6-C3D1C5A8328D}"/>
    <cellStyle name="RISKlightBoxed 7 2 2" xfId="11891" xr:uid="{8B8F175D-635B-48B1-B2CF-414C9D86AAC1}"/>
    <cellStyle name="RISKlightBoxed 7 2 2 2" xfId="34503" xr:uid="{E16A4FB2-9829-4E9D-A8DB-9C6BB5520AF5}"/>
    <cellStyle name="RISKlightBoxed 7 2 20" xfId="23829" xr:uid="{B7F259FD-FE52-49FE-8382-8C06BE6545E2}"/>
    <cellStyle name="RISKlightBoxed 7 2 20 2" xfId="43218" xr:uid="{B4191242-E63E-439A-8393-AF4DD7A6A286}"/>
    <cellStyle name="RISKlightBoxed 7 2 21" xfId="23639" xr:uid="{C45845DB-8A73-4E1F-894A-C1ACE060F98D}"/>
    <cellStyle name="RISKlightBoxed 7 2 21 2" xfId="43069" xr:uid="{944BA643-38E2-426A-87CA-0DF68F88AE99}"/>
    <cellStyle name="RISKlightBoxed 7 2 22" xfId="26644" xr:uid="{D2140845-A173-4CD3-AEAA-B5E715BD94A1}"/>
    <cellStyle name="RISKlightBoxed 7 2 22 2" xfId="45194" xr:uid="{24AFDEE5-772A-4903-8525-F481C140E13D}"/>
    <cellStyle name="RISKlightBoxed 7 2 23" xfId="28964" xr:uid="{20590D85-8942-4059-9F90-BC9CB88EBA6A}"/>
    <cellStyle name="RISKlightBoxed 7 2 23 2" xfId="46558" xr:uid="{89C143A0-7714-4209-9CFF-9F216D8CE6DF}"/>
    <cellStyle name="RISKlightBoxed 7 2 24" xfId="28423" xr:uid="{65501873-34B4-4B4B-82C5-741A01510189}"/>
    <cellStyle name="RISKlightBoxed 7 2 24 2" xfId="46270" xr:uid="{2A1D176D-BD90-479A-AF0F-4F2F45F2F069}"/>
    <cellStyle name="RISKlightBoxed 7 2 25" xfId="29404" xr:uid="{AD14880B-BCB6-4222-B79B-56AC6227CF2B}"/>
    <cellStyle name="RISKlightBoxed 7 2 25 2" xfId="46870" xr:uid="{2AB9A4E8-D290-46A3-AFBC-E52C23BC4D55}"/>
    <cellStyle name="RISKlightBoxed 7 2 26" xfId="29909" xr:uid="{8B8FD237-0EC6-44C3-8F82-60208B132886}"/>
    <cellStyle name="RISKlightBoxed 7 2 26 2" xfId="47197" xr:uid="{B98C87EA-D037-4B61-916E-2407971F66AA}"/>
    <cellStyle name="RISKlightBoxed 7 2 27" xfId="30643" xr:uid="{15C880BF-8B3C-4125-8D02-D7F767EDFDDD}"/>
    <cellStyle name="RISKlightBoxed 7 2 27 2" xfId="47589" xr:uid="{7042C4B3-163E-44A0-965E-A85853AC7572}"/>
    <cellStyle name="RISKlightBoxed 7 2 28" xfId="6751" xr:uid="{CA2972A9-55E8-410B-BC6F-9B98C745A873}"/>
    <cellStyle name="RISKlightBoxed 7 2 3" xfId="13312" xr:uid="{4FE49BAC-D4DB-4269-BC6D-FE7667054526}"/>
    <cellStyle name="RISKlightBoxed 7 2 3 2" xfId="35629" xr:uid="{0139AD2B-0C2F-4CCC-899D-ECDA1C463F73}"/>
    <cellStyle name="RISKlightBoxed 7 2 4" xfId="7163" xr:uid="{1ABC5F87-10DC-43B9-BEC8-5382CCF08593}"/>
    <cellStyle name="RISKlightBoxed 7 2 4 2" xfId="31530" xr:uid="{4D0D687C-44F1-4B47-96B2-E08ED71DC8BE}"/>
    <cellStyle name="RISKlightBoxed 7 2 5" xfId="11847" xr:uid="{7B07BCB4-D527-405F-92C2-A9D393D905F5}"/>
    <cellStyle name="RISKlightBoxed 7 2 5 2" xfId="34459" xr:uid="{30B7F16A-B13D-4009-963F-DB06F7BEDD5E}"/>
    <cellStyle name="RISKlightBoxed 7 2 6" xfId="15997" xr:uid="{3FF86DD0-DC3A-4A91-ADFB-061CC54D76F4}"/>
    <cellStyle name="RISKlightBoxed 7 2 6 2" xfId="37580" xr:uid="{0ED61F6C-A36A-4FE9-BA80-B6FB43514DB9}"/>
    <cellStyle name="RISKlightBoxed 7 2 7" xfId="15111" xr:uid="{A75266D3-587E-40EC-B59A-602FA8BC61C1}"/>
    <cellStyle name="RISKlightBoxed 7 2 7 2" xfId="36938" xr:uid="{4F99DB98-37F2-4646-AE83-AA1159FAEF08}"/>
    <cellStyle name="RISKlightBoxed 7 2 8" xfId="13688" xr:uid="{2469BE6A-70BC-4534-B9C0-23BCA3D5AC0B}"/>
    <cellStyle name="RISKlightBoxed 7 2 8 2" xfId="35844" xr:uid="{1665F9D3-5EB1-4BD3-B087-5DDA74E18EA5}"/>
    <cellStyle name="RISKlightBoxed 7 2 9" xfId="16356" xr:uid="{C0B314DD-F2C3-48B7-B41E-973DA198C523}"/>
    <cellStyle name="RISKlightBoxed 7 2 9 2" xfId="37883" xr:uid="{44EC6C3B-6743-4EF1-85B1-AD3992DA9227}"/>
    <cellStyle name="RISKlightBoxed 7 20" xfId="22118" xr:uid="{77006267-1EF7-450F-A30C-41A8AC95B165}"/>
    <cellStyle name="RISKlightBoxed 7 20 2" xfId="42003" xr:uid="{5FEDC5AD-110F-42CD-8584-C51EC945609E}"/>
    <cellStyle name="RISKlightBoxed 7 21" xfId="21121" xr:uid="{04B88DA4-A767-4158-A500-FBA5384801BB}"/>
    <cellStyle name="RISKlightBoxed 7 21 2" xfId="41328" xr:uid="{F3CFCB6A-C9F3-4343-8038-BA7379A96CCF}"/>
    <cellStyle name="RISKlightBoxed 7 22" xfId="26250" xr:uid="{39000BE1-5ABC-4898-A3FD-02A32EA84C16}"/>
    <cellStyle name="RISKlightBoxed 7 22 2" xfId="44959" xr:uid="{F3ACAD74-A98E-4126-BE15-3FC24DC365F8}"/>
    <cellStyle name="RISKlightBoxed 7 23" xfId="25026" xr:uid="{F785DC91-BEA9-44E4-9CFE-FEE986E643E3}"/>
    <cellStyle name="RISKlightBoxed 7 23 2" xfId="44059" xr:uid="{EE1B0D63-7634-41D7-815F-0D2959DFAEB5}"/>
    <cellStyle name="RISKlightBoxed 7 24" xfId="23655" xr:uid="{EC3EA19B-5FCE-4176-8356-4731E9876539}"/>
    <cellStyle name="RISKlightBoxed 7 24 2" xfId="43079" xr:uid="{35F52CE3-A36A-423E-AA2C-8CDB39F18EF8}"/>
    <cellStyle name="RISKlightBoxed 7 25" xfId="26031" xr:uid="{698C48A5-496D-498A-B26E-12267A6FCE07}"/>
    <cellStyle name="RISKlightBoxed 7 25 2" xfId="44802" xr:uid="{30A72123-BC60-41D7-ADE8-5748387EDE04}"/>
    <cellStyle name="RISKlightBoxed 7 26" xfId="30274" xr:uid="{28680B6A-2EEC-42A7-916B-7C18EF6AE090}"/>
    <cellStyle name="RISKlightBoxed 7 26 2" xfId="47424" xr:uid="{8C0910A2-3693-4E4C-B6AC-A5126AFBBDB3}"/>
    <cellStyle name="RISKlightBoxed 7 27" xfId="29919" xr:uid="{BF0873E7-DD7D-421F-8A74-3E3A7EBB7911}"/>
    <cellStyle name="RISKlightBoxed 7 27 2" xfId="47207" xr:uid="{F7CC0FD2-24F9-4A2A-99F9-5F743DB99E76}"/>
    <cellStyle name="RISKlightBoxed 7 28" xfId="26467" xr:uid="{D596DDA0-84B7-43E6-A082-E1B730B338CE}"/>
    <cellStyle name="RISKlightBoxed 7 28 2" xfId="45093" xr:uid="{23331C53-237C-4CEB-9ACE-708B61C1CE50}"/>
    <cellStyle name="RISKlightBoxed 7 29" xfId="30207" xr:uid="{146D1502-3857-4BA4-BA45-4B1D8AE9B66D}"/>
    <cellStyle name="RISKlightBoxed 7 29 2" xfId="47368" xr:uid="{FF85F7B8-E13B-426A-A885-3E880D07A6E8}"/>
    <cellStyle name="RISKlightBoxed 7 3" xfId="3778" xr:uid="{8A7A26C7-486A-42E5-82D2-6476BED468B4}"/>
    <cellStyle name="RISKlightBoxed 7 3 10" xfId="15670" xr:uid="{741D843F-41CB-41B8-B8DE-E3E981E3BB77}"/>
    <cellStyle name="RISKlightBoxed 7 3 10 2" xfId="37313" xr:uid="{6AAC181E-1106-4C94-ADB5-7177D4546157}"/>
    <cellStyle name="RISKlightBoxed 7 3 11" xfId="18112" xr:uid="{17F79C88-9517-45F2-AF2C-AD9D7D8E0B2B}"/>
    <cellStyle name="RISKlightBoxed 7 3 11 2" xfId="39186" xr:uid="{C6142956-9E59-4BE8-A710-6193CA6ABB29}"/>
    <cellStyle name="RISKlightBoxed 7 3 12" xfId="18964" xr:uid="{25087582-5535-4F93-A5E6-384F2E571C9E}"/>
    <cellStyle name="RISKlightBoxed 7 3 12 2" xfId="39796" xr:uid="{00936899-7C43-4770-997D-EB01B5C98148}"/>
    <cellStyle name="RISKlightBoxed 7 3 13" xfId="16816" xr:uid="{E8AEAF28-A1FB-4CB9-BD3A-320191BD8E60}"/>
    <cellStyle name="RISKlightBoxed 7 3 13 2" xfId="38244" xr:uid="{9F6F6F4D-0668-4930-9AA7-178D0F5E5E99}"/>
    <cellStyle name="RISKlightBoxed 7 3 14" xfId="21274" xr:uid="{6C3978DD-373C-4D95-8D59-615FB6CB0A24}"/>
    <cellStyle name="RISKlightBoxed 7 3 14 2" xfId="41454" xr:uid="{31D97B03-EC78-4071-9AF0-A01440390B81}"/>
    <cellStyle name="RISKlightBoxed 7 3 15" xfId="20534" xr:uid="{4855F336-CA26-4997-82FA-1EAB35ED7BCD}"/>
    <cellStyle name="RISKlightBoxed 7 3 15 2" xfId="40914" xr:uid="{FBFC40E1-D423-45EC-ADC5-B6FE4417BBAB}"/>
    <cellStyle name="RISKlightBoxed 7 3 16" xfId="20937" xr:uid="{433A7501-BFFA-4BB6-BF63-8C386AC12FD4}"/>
    <cellStyle name="RISKlightBoxed 7 3 16 2" xfId="41238" xr:uid="{9C5B8D74-780F-4E4A-A88B-2B88D3601D2F}"/>
    <cellStyle name="RISKlightBoxed 7 3 17" xfId="19404" xr:uid="{67D4215F-E641-49B7-BECE-27D92140FED0}"/>
    <cellStyle name="RISKlightBoxed 7 3 17 2" xfId="40125" xr:uid="{E7955A37-0560-4558-AF4B-79399191A26E}"/>
    <cellStyle name="RISKlightBoxed 7 3 18" xfId="25688" xr:uid="{F174DC29-0DF7-4243-9CB5-3AD9C52A2EEC}"/>
    <cellStyle name="RISKlightBoxed 7 3 18 2" xfId="44525" xr:uid="{35ACAF75-801F-4048-986A-8452EB7D1834}"/>
    <cellStyle name="RISKlightBoxed 7 3 19" xfId="20135" xr:uid="{87FC7F4C-21B7-409F-BE35-2B1F300A1BE4}"/>
    <cellStyle name="RISKlightBoxed 7 3 19 2" xfId="40643" xr:uid="{B0BEE8F8-DB74-4CC3-B4AD-A1EF135CAA9C}"/>
    <cellStyle name="RISKlightBoxed 7 3 2" xfId="7475" xr:uid="{E4CCD67C-0D4A-427D-8742-C629C539D44F}"/>
    <cellStyle name="RISKlightBoxed 7 3 2 2" xfId="31833" xr:uid="{4A889077-40FD-486B-ABAD-9A55F63E15E0}"/>
    <cellStyle name="RISKlightBoxed 7 3 20" xfId="26249" xr:uid="{AB8C795E-2C80-4BB3-9A63-F1CB1673C37F}"/>
    <cellStyle name="RISKlightBoxed 7 3 20 2" xfId="44958" xr:uid="{2ABA265E-FDC2-45A7-9062-592542F1AF61}"/>
    <cellStyle name="RISKlightBoxed 7 3 21" xfId="25942" xr:uid="{2D38E9A9-692A-4FC8-AD23-0D1542D5BF01}"/>
    <cellStyle name="RISKlightBoxed 7 3 21 2" xfId="44733" xr:uid="{D546D847-DACF-4005-9092-8E6FDE7F2486}"/>
    <cellStyle name="RISKlightBoxed 7 3 22" xfId="24229" xr:uid="{53D9F8DE-10EC-4BF3-8F09-DE4DB4749186}"/>
    <cellStyle name="RISKlightBoxed 7 3 22 2" xfId="43546" xr:uid="{13C0A84A-02E9-40C2-BDE4-EBCC08BDD1E4}"/>
    <cellStyle name="RISKlightBoxed 7 3 23" xfId="28318" xr:uid="{194D35B8-1978-4EA3-8ACA-C827E2374006}"/>
    <cellStyle name="RISKlightBoxed 7 3 23 2" xfId="46185" xr:uid="{976F0446-58D4-492F-826D-CCA00748DF1D}"/>
    <cellStyle name="RISKlightBoxed 7 3 24" xfId="30273" xr:uid="{95CBC493-C57B-4C1B-84A4-6BC20BEAA3C5}"/>
    <cellStyle name="RISKlightBoxed 7 3 24 2" xfId="47423" xr:uid="{38EBF119-AE08-4B19-A6C8-562E1988E57B}"/>
    <cellStyle name="RISKlightBoxed 7 3 25" xfId="25988" xr:uid="{97AB8DF8-1439-4078-85ED-336BD7333FFF}"/>
    <cellStyle name="RISKlightBoxed 7 3 25 2" xfId="44771" xr:uid="{A43504D8-B9E3-4155-8F93-32CC57742CD9}"/>
    <cellStyle name="RISKlightBoxed 7 3 26" xfId="29701" xr:uid="{A61B857D-21BE-4BA0-BDD6-975D77555C4F}"/>
    <cellStyle name="RISKlightBoxed 7 3 26 2" xfId="47046" xr:uid="{53013533-6E44-47D5-B03E-1467C7D995F8}"/>
    <cellStyle name="RISKlightBoxed 7 3 27" xfId="28247" xr:uid="{A2F86579-E66D-421D-BBC1-2E03C023B023}"/>
    <cellStyle name="RISKlightBoxed 7 3 27 2" xfId="46122" xr:uid="{957C47C0-9A91-4AC0-9B9D-3C3406A76604}"/>
    <cellStyle name="RISKlightBoxed 7 3 28" xfId="6752" xr:uid="{40CD50BC-32D5-498F-B434-19511B73D606}"/>
    <cellStyle name="RISKlightBoxed 7 3 3" xfId="10138" xr:uid="{4BB74C58-0578-48D8-85B9-3E5E24EF84AB}"/>
    <cellStyle name="RISKlightBoxed 7 3 3 2" xfId="33802" xr:uid="{AE6C333F-1604-44E6-A6DF-20648BF048A1}"/>
    <cellStyle name="RISKlightBoxed 7 3 4" xfId="7162" xr:uid="{F13C7622-E885-4F10-BA10-5A8BF569A83B}"/>
    <cellStyle name="RISKlightBoxed 7 3 4 2" xfId="31529" xr:uid="{B1EF9837-D910-4939-ACF0-83E4BD44A3F0}"/>
    <cellStyle name="RISKlightBoxed 7 3 5" xfId="7427" xr:uid="{9F5078D4-0299-4DE9-A224-6EC30E3AF072}"/>
    <cellStyle name="RISKlightBoxed 7 3 5 2" xfId="31786" xr:uid="{01D8D72C-97DE-46C3-BB84-B9EBDA088372}"/>
    <cellStyle name="RISKlightBoxed 7 3 6" xfId="14729" xr:uid="{36727CC6-D3A0-4507-91B3-6767B5CCB149}"/>
    <cellStyle name="RISKlightBoxed 7 3 6 2" xfId="36641" xr:uid="{B194C17A-8FD3-4093-A189-047E37E17562}"/>
    <cellStyle name="RISKlightBoxed 7 3 7" xfId="12470" xr:uid="{35A5D0B1-2E9F-4C63-950D-A05140D7C4D7}"/>
    <cellStyle name="RISKlightBoxed 7 3 7 2" xfId="34916" xr:uid="{435A0ED1-36F1-482F-8D05-C708777875E8}"/>
    <cellStyle name="RISKlightBoxed 7 3 8" xfId="15601" xr:uid="{F62B6869-4D0B-49D6-8338-5ACAE7F50721}"/>
    <cellStyle name="RISKlightBoxed 7 3 8 2" xfId="37259" xr:uid="{758ED34C-6E2E-4951-8115-663CD38AA764}"/>
    <cellStyle name="RISKlightBoxed 7 3 9" xfId="15834" xr:uid="{E767D01B-3443-41A3-B847-EA09DE94DF21}"/>
    <cellStyle name="RISKlightBoxed 7 3 9 2" xfId="37443" xr:uid="{59761FB1-2DFF-47E3-987D-140807EBB834}"/>
    <cellStyle name="RISKlightBoxed 7 30" xfId="6750" xr:uid="{A79863C1-AF85-466D-88A1-5D1DA35797AB}"/>
    <cellStyle name="RISKlightBoxed 7 4" xfId="7477" xr:uid="{C8F5FB69-8C3A-480E-A561-59D4A9B1D906}"/>
    <cellStyle name="RISKlightBoxed 7 4 2" xfId="31834" xr:uid="{6E421733-1ED9-49AE-B434-B533982EA276}"/>
    <cellStyle name="RISKlightBoxed 7 5" xfId="10137" xr:uid="{76F1BCF1-A85C-42ED-B628-BB110CD5C375}"/>
    <cellStyle name="RISKlightBoxed 7 5 2" xfId="33801" xr:uid="{00E375BC-5742-4D84-B09B-F2C45FAA2B0F}"/>
    <cellStyle name="RISKlightBoxed 7 6" xfId="7164" xr:uid="{042BCBFD-F224-41F6-9569-B82ACB31340E}"/>
    <cellStyle name="RISKlightBoxed 7 6 2" xfId="31531" xr:uid="{B34CEB57-7F6B-4174-9C21-FBF1019AABB9}"/>
    <cellStyle name="RISKlightBoxed 7 7" xfId="7428" xr:uid="{E2332407-22FE-4111-B9D7-4C48E4AEA50D}"/>
    <cellStyle name="RISKlightBoxed 7 7 2" xfId="31787" xr:uid="{8E04E215-A34F-413B-875F-FB201FF00D0C}"/>
    <cellStyle name="RISKlightBoxed 7 8" xfId="12229" xr:uid="{9E64AFFB-08A0-4B5A-A426-13388423BFEF}"/>
    <cellStyle name="RISKlightBoxed 7 8 2" xfId="34736" xr:uid="{290BC6A3-F292-4FEA-96E9-913AC44E993C}"/>
    <cellStyle name="RISKlightBoxed 7 9" xfId="14078" xr:uid="{19DDDD2D-7048-4A9F-9D55-01E31F06336A}"/>
    <cellStyle name="RISKlightBoxed 7 9 2" xfId="36172" xr:uid="{FBEA744F-C7E8-4B64-B715-69318A016000}"/>
    <cellStyle name="RISKlightBoxed 8" xfId="3779" xr:uid="{033DFC75-7DFA-46C3-A135-D6593268F83F}"/>
    <cellStyle name="RISKlightBoxed 8 10" xfId="14435" xr:uid="{E1B03F0E-D978-4400-83BB-18216130D915}"/>
    <cellStyle name="RISKlightBoxed 8 10 2" xfId="36424" xr:uid="{AA49E6BB-F7E8-4FDB-B520-B250F1FB04A6}"/>
    <cellStyle name="RISKlightBoxed 8 11" xfId="16355" xr:uid="{E4030FE4-1F99-45D2-A70C-2C35A314C0BD}"/>
    <cellStyle name="RISKlightBoxed 8 11 2" xfId="37882" xr:uid="{524434FF-2F9D-40A2-97E4-3889B9D6F642}"/>
    <cellStyle name="RISKlightBoxed 8 12" xfId="17267" xr:uid="{DD59EA9B-0B4F-4E05-9963-72C106F2CCDC}"/>
    <cellStyle name="RISKlightBoxed 8 12 2" xfId="38570" xr:uid="{11D7F0B9-D10A-4E29-B55E-ACC9C54C1DE3}"/>
    <cellStyle name="RISKlightBoxed 8 13" xfId="12632" xr:uid="{2B6B4AA9-E694-4F3C-9ACC-88D96B1329DE}"/>
    <cellStyle name="RISKlightBoxed 8 13 2" xfId="35060" xr:uid="{14096B84-7C02-4BC5-A7E8-DA4D4E38FB81}"/>
    <cellStyle name="RISKlightBoxed 8 14" xfId="17082" xr:uid="{79403DE7-D3CE-44CA-85C0-284B9A7963DC}"/>
    <cellStyle name="RISKlightBoxed 8 14 2" xfId="38421" xr:uid="{5FDF28EF-BF96-4052-BE03-98689469A5F9}"/>
    <cellStyle name="RISKlightBoxed 8 15" xfId="19185" xr:uid="{AC98888D-8F91-4B71-9C39-4F81490561D0}"/>
    <cellStyle name="RISKlightBoxed 8 15 2" xfId="39994" xr:uid="{39605460-2185-4A6C-A150-3DF3656D20F5}"/>
    <cellStyle name="RISKlightBoxed 8 16" xfId="17033" xr:uid="{012EF4BC-F640-4CF7-ABC3-FBFE2ABF3A21}"/>
    <cellStyle name="RISKlightBoxed 8 16 2" xfId="38376" xr:uid="{EBCA5DC2-1830-453D-9E41-56D20C85E0B1}"/>
    <cellStyle name="RISKlightBoxed 8 17" xfId="21692" xr:uid="{88EA3969-873C-4571-B233-3930127EC38B}"/>
    <cellStyle name="RISKlightBoxed 8 17 2" xfId="41747" xr:uid="{04B6578D-C1A9-410E-BD2E-8D45DA627D65}"/>
    <cellStyle name="RISKlightBoxed 8 18" xfId="22176" xr:uid="{454F98FC-79EC-4D1E-9783-FCF92F607EB0}"/>
    <cellStyle name="RISKlightBoxed 8 18 2" xfId="42055" xr:uid="{792FA5A1-9C42-4D61-A20E-D067FAC61751}"/>
    <cellStyle name="RISKlightBoxed 8 19" xfId="22094" xr:uid="{3859B905-B2ED-4E27-B46A-298BA48225A2}"/>
    <cellStyle name="RISKlightBoxed 8 19 2" xfId="41979" xr:uid="{297A6B67-0189-494C-AD7A-86ECC292C636}"/>
    <cellStyle name="RISKlightBoxed 8 2" xfId="3780" xr:uid="{9B6E3F19-EAD9-40F7-9635-5159582651CC}"/>
    <cellStyle name="RISKlightBoxed 8 2 10" xfId="16811" xr:uid="{C4AB68BE-C40A-4262-BEEF-FB2D00795879}"/>
    <cellStyle name="RISKlightBoxed 8 2 10 2" xfId="38241" xr:uid="{45A7FA55-A4F6-4DFE-B50E-223C5910613B}"/>
    <cellStyle name="RISKlightBoxed 8 2 11" xfId="18111" xr:uid="{E24C0AF9-8AE7-4BDB-998E-FE66437CFBFC}"/>
    <cellStyle name="RISKlightBoxed 8 2 11 2" xfId="39185" xr:uid="{02918993-B5BF-44D8-A44A-8B9E4ED802E9}"/>
    <cellStyle name="RISKlightBoxed 8 2 12" xfId="18963" xr:uid="{50C00BAF-2885-4F46-99D9-64AF725D0B00}"/>
    <cellStyle name="RISKlightBoxed 8 2 12 2" xfId="39795" xr:uid="{A6BF117B-2EE6-4AA2-9252-925F31B09FB4}"/>
    <cellStyle name="RISKlightBoxed 8 2 13" xfId="17192" xr:uid="{BEC53A94-D7E9-4AAF-A1A5-DEBA46B0F202}"/>
    <cellStyle name="RISKlightBoxed 8 2 13 2" xfId="38521" xr:uid="{85CC0FA4-1937-4E71-BF53-A7978385E403}"/>
    <cellStyle name="RISKlightBoxed 8 2 14" xfId="21273" xr:uid="{2FA2122C-F596-42E3-A07C-68E995F42828}"/>
    <cellStyle name="RISKlightBoxed 8 2 14 2" xfId="41453" xr:uid="{78A7FC46-21E2-4D12-B029-43CED57A5611}"/>
    <cellStyle name="RISKlightBoxed 8 2 15" xfId="18844" xr:uid="{4AB56E69-E2B3-4DEA-89DA-EC1CF271FC54}"/>
    <cellStyle name="RISKlightBoxed 8 2 15 2" xfId="39691" xr:uid="{F478B0FC-20D2-4689-B792-4AF5CC517E95}"/>
    <cellStyle name="RISKlightBoxed 8 2 16" xfId="18723" xr:uid="{578DD4AB-10A5-4FB4-8FF8-35A024212933}"/>
    <cellStyle name="RISKlightBoxed 8 2 16 2" xfId="39598" xr:uid="{0FD4D6CD-3EC3-40D7-B301-F9F30DB65A3E}"/>
    <cellStyle name="RISKlightBoxed 8 2 17" xfId="17863" xr:uid="{95463316-705A-45BF-93A0-CC3E62B1C3F9}"/>
    <cellStyle name="RISKlightBoxed 8 2 17 2" xfId="38979" xr:uid="{11AD009F-263B-4A8B-AB9C-7DD1A6F9DCBB}"/>
    <cellStyle name="RISKlightBoxed 8 2 18" xfId="17060" xr:uid="{E7AAE031-6E1D-4A8F-BBF0-5F6C6EB06B41}"/>
    <cellStyle name="RISKlightBoxed 8 2 18 2" xfId="38402" xr:uid="{1C32EBDC-1546-4DDA-92C6-39D83B9F89D5}"/>
    <cellStyle name="RISKlightBoxed 8 2 19" xfId="24219" xr:uid="{20050656-07C5-4AAE-AD88-F0128C246E98}"/>
    <cellStyle name="RISKlightBoxed 8 2 19 2" xfId="43538" xr:uid="{0DCD0FA0-2468-452F-BF66-FE73C902A331}"/>
    <cellStyle name="RISKlightBoxed 8 2 2" xfId="7474" xr:uid="{796D1D80-86FE-473B-9CD0-5A35AE7C48CF}"/>
    <cellStyle name="RISKlightBoxed 8 2 2 2" xfId="31832" xr:uid="{CE590EA4-FD98-45A1-9BF9-17D1C2DDDEA1}"/>
    <cellStyle name="RISKlightBoxed 8 2 20" xfId="23828" xr:uid="{789AEF8F-4970-45F3-86AF-DFD5E7DA9024}"/>
    <cellStyle name="RISKlightBoxed 8 2 20 2" xfId="43217" xr:uid="{4B6C50A8-7A8F-4229-A2EF-6418E47B2BD2}"/>
    <cellStyle name="RISKlightBoxed 8 2 21" xfId="21921" xr:uid="{657EB57B-9B09-44E7-A66F-212C609A8FD8}"/>
    <cellStyle name="RISKlightBoxed 8 2 21 2" xfId="41838" xr:uid="{46792DE2-5ED1-436B-9FDF-FFD43C1300F1}"/>
    <cellStyle name="RISKlightBoxed 8 2 22" xfId="18552" xr:uid="{577993BE-7DB1-4D15-A14D-B2FD24DBD34A}"/>
    <cellStyle name="RISKlightBoxed 8 2 22 2" xfId="39496" xr:uid="{05A6645F-D61E-432A-BEBB-BBEA4FBBB00C}"/>
    <cellStyle name="RISKlightBoxed 8 2 23" xfId="29575" xr:uid="{4AE194E3-82C4-4815-B9C5-73FBBE91CF26}"/>
    <cellStyle name="RISKlightBoxed 8 2 23 2" xfId="46970" xr:uid="{27C91C6F-FDEB-430D-9005-A3A387EBB4FF}"/>
    <cellStyle name="RISKlightBoxed 8 2 24" xfId="28422" xr:uid="{FF96BD18-F8CD-4174-ACDB-64C37892ECFB}"/>
    <cellStyle name="RISKlightBoxed 8 2 24 2" xfId="46269" xr:uid="{7CA1EC29-354C-4B54-8006-0F688AA1CA2E}"/>
    <cellStyle name="RISKlightBoxed 8 2 25" xfId="29918" xr:uid="{3A459ED0-BCA3-46DF-ACDB-9FD3D19C82E3}"/>
    <cellStyle name="RISKlightBoxed 8 2 25 2" xfId="47206" xr:uid="{38AD39BC-DA20-4147-A63F-71F51ACBA744}"/>
    <cellStyle name="RISKlightBoxed 8 2 26" xfId="27643" xr:uid="{550BA306-C9BF-49E4-A42B-BF57BA8CDC4D}"/>
    <cellStyle name="RISKlightBoxed 8 2 26 2" xfId="45777" xr:uid="{BAF59AFE-5734-4DB4-9EE7-D4296CA44A26}"/>
    <cellStyle name="RISKlightBoxed 8 2 27" xfId="30206" xr:uid="{B6D27F31-F389-4A66-9E57-3DF50B5D4404}"/>
    <cellStyle name="RISKlightBoxed 8 2 27 2" xfId="47367" xr:uid="{A98B3F2A-1DE1-46C8-98BF-77D81BF83C60}"/>
    <cellStyle name="RISKlightBoxed 8 2 28" xfId="6754" xr:uid="{EE14DE58-42DD-478D-9D98-7105E531F79F}"/>
    <cellStyle name="RISKlightBoxed 8 2 3" xfId="10139" xr:uid="{BBD145F6-FDBB-4813-BF84-3CCBE35C7FCE}"/>
    <cellStyle name="RISKlightBoxed 8 2 3 2" xfId="33803" xr:uid="{CD9FE595-3ED8-4102-955A-F412B11F35F8}"/>
    <cellStyle name="RISKlightBoxed 8 2 4" xfId="7160" xr:uid="{46002558-60DD-4BAE-9413-57C29BC45E62}"/>
    <cellStyle name="RISKlightBoxed 8 2 4 2" xfId="31527" xr:uid="{9A4A0268-97C9-46C6-A7E5-7EE4456041BB}"/>
    <cellStyle name="RISKlightBoxed 8 2 5" xfId="7426" xr:uid="{47925A83-F2F2-44A5-88CB-90297CECD70B}"/>
    <cellStyle name="RISKlightBoxed 8 2 5 2" xfId="31785" xr:uid="{E4704332-35F5-4BF5-AC06-7CFF20B58E87}"/>
    <cellStyle name="RISKlightBoxed 8 2 6" xfId="14728" xr:uid="{7B6183D6-EDC2-40D4-B4C4-A81C615B9794}"/>
    <cellStyle name="RISKlightBoxed 8 2 6 2" xfId="36640" xr:uid="{06E7C86F-8832-4B19-A0B0-33EC39A3AF89}"/>
    <cellStyle name="RISKlightBoxed 8 2 7" xfId="12471" xr:uid="{1C0341F0-F6B8-4277-B458-52CBE745E195}"/>
    <cellStyle name="RISKlightBoxed 8 2 7 2" xfId="34917" xr:uid="{61B822D2-4619-4262-A9C7-EC14BC3BFCAD}"/>
    <cellStyle name="RISKlightBoxed 8 2 8" xfId="12709" xr:uid="{D975CD38-B242-4589-8608-377BA42883D3}"/>
    <cellStyle name="RISKlightBoxed 8 2 8 2" xfId="35122" xr:uid="{97539B0F-797A-420E-B85D-70E7F5CAF4E4}"/>
    <cellStyle name="RISKlightBoxed 8 2 9" xfId="13482" xr:uid="{698CCE32-A49F-44EE-ACA0-9EE4E58E3E02}"/>
    <cellStyle name="RISKlightBoxed 8 2 9 2" xfId="35737" xr:uid="{043BDA74-2A80-4CC6-8694-F283AEC94440}"/>
    <cellStyle name="RISKlightBoxed 8 20" xfId="20148" xr:uid="{DB104C32-9AEC-4169-B038-09FEF885912B}"/>
    <cellStyle name="RISKlightBoxed 8 20 2" xfId="40655" xr:uid="{68E3EA99-17FB-4A0B-8EEA-B337DB394D6D}"/>
    <cellStyle name="RISKlightBoxed 8 21" xfId="23650" xr:uid="{11E79D04-A331-421E-B1B6-D72064B222B2}"/>
    <cellStyle name="RISKlightBoxed 8 21 2" xfId="43074" xr:uid="{A928A078-1204-4EDB-B50C-862B656D64D7}"/>
    <cellStyle name="RISKlightBoxed 8 22" xfId="26248" xr:uid="{7578E748-07A5-4F65-982A-E52A498756D9}"/>
    <cellStyle name="RISKlightBoxed 8 22 2" xfId="44957" xr:uid="{DD0F78D8-9767-4F7E-9398-843599849FBC}"/>
    <cellStyle name="RISKlightBoxed 8 23" xfId="23687" xr:uid="{A7B4DA2B-6709-47C6-A463-0F51963EBD69}"/>
    <cellStyle name="RISKlightBoxed 8 23 2" xfId="43107" xr:uid="{A6DFB940-DA7E-4B39-BBFC-48A73F62FF2B}"/>
    <cellStyle name="RISKlightBoxed 8 24" xfId="26643" xr:uid="{76C2588F-1264-47B2-8CCF-136C91F4F2DB}"/>
    <cellStyle name="RISKlightBoxed 8 24 2" xfId="45193" xr:uid="{84FF4B84-3E48-48C4-BECE-4C291FB346B5}"/>
    <cellStyle name="RISKlightBoxed 8 25" xfId="28777" xr:uid="{C8F6F675-677B-4CEF-B3C2-D776E4577105}"/>
    <cellStyle name="RISKlightBoxed 8 25 2" xfId="46453" xr:uid="{2CBB7E43-F472-49C8-8257-3B9E29385B38}"/>
    <cellStyle name="RISKlightBoxed 8 26" xfId="27073" xr:uid="{215775E0-A204-4392-841F-C7AA799A6081}"/>
    <cellStyle name="RISKlightBoxed 8 26 2" xfId="45466" xr:uid="{C0F91FF0-A66B-46D7-9D96-863DFF9B5C79}"/>
    <cellStyle name="RISKlightBoxed 8 27" xfId="28055" xr:uid="{246E7C58-8D7B-43EB-9A87-D67F5E521D1A}"/>
    <cellStyle name="RISKlightBoxed 8 27 2" xfId="46050" xr:uid="{45DCDF82-A033-4E9B-AA1C-FA8923EDEEDE}"/>
    <cellStyle name="RISKlightBoxed 8 28" xfId="29045" xr:uid="{C0B62786-543E-4C8D-9BDC-579533F7335A}"/>
    <cellStyle name="RISKlightBoxed 8 28 2" xfId="46631" xr:uid="{6B2695E1-AA17-4DDF-A708-037B212C5639}"/>
    <cellStyle name="RISKlightBoxed 8 29" xfId="30642" xr:uid="{1AC2273B-245E-48EF-AC45-61E7FF34FB14}"/>
    <cellStyle name="RISKlightBoxed 8 29 2" xfId="47588" xr:uid="{A1139C37-E947-49DA-9E84-6DBE51F1A8E3}"/>
    <cellStyle name="RISKlightBoxed 8 3" xfId="3781" xr:uid="{A449F636-A024-43F5-A9C7-CAE56D804D46}"/>
    <cellStyle name="RISKlightBoxed 8 3 10" xfId="17266" xr:uid="{A05197E7-C76E-4CC5-8A8C-140E97A40725}"/>
    <cellStyle name="RISKlightBoxed 8 3 10 2" xfId="38569" xr:uid="{59D1CAC1-4B22-441A-9662-1807A86C2401}"/>
    <cellStyle name="RISKlightBoxed 8 3 11" xfId="18092" xr:uid="{4CAC3DA2-02F5-4DE4-8370-4551B8EDCF1A}"/>
    <cellStyle name="RISKlightBoxed 8 3 11 2" xfId="39166" xr:uid="{83F94F0F-10CB-4D55-930D-33C27C9ABFAA}"/>
    <cellStyle name="RISKlightBoxed 8 3 12" xfId="16100" xr:uid="{31F7A8D1-37C6-4767-8ADE-A96E6BD83603}"/>
    <cellStyle name="RISKlightBoxed 8 3 12 2" xfId="37670" xr:uid="{BD659F27-F90F-45C2-9DEF-5CA58FC97CEF}"/>
    <cellStyle name="RISKlightBoxed 8 3 13" xfId="19184" xr:uid="{052A5C9F-D3E8-4000-A148-A4D6A7324C19}"/>
    <cellStyle name="RISKlightBoxed 8 3 13 2" xfId="39993" xr:uid="{A5BC39D7-991F-46F2-8436-3EEE7D8D958B}"/>
    <cellStyle name="RISKlightBoxed 8 3 14" xfId="19550" xr:uid="{90BD7419-5E9B-452A-B57C-6BC05BC8AA80}"/>
    <cellStyle name="RISKlightBoxed 8 3 14 2" xfId="40213" xr:uid="{992A48D8-EE0E-4F96-87F9-514CA531B972}"/>
    <cellStyle name="RISKlightBoxed 8 3 15" xfId="20533" xr:uid="{28D7E9C1-4A50-428D-B486-0CC3BA7BAB9F}"/>
    <cellStyle name="RISKlightBoxed 8 3 15 2" xfId="40913" xr:uid="{A3477C30-5232-476B-9CDB-862D03C07829}"/>
    <cellStyle name="RISKlightBoxed 8 3 16" xfId="20950" xr:uid="{044D6D2F-5519-4545-8776-BF9F591CC5A5}"/>
    <cellStyle name="RISKlightBoxed 8 3 16 2" xfId="41251" xr:uid="{2CE74709-306C-4FB6-AF8C-FF789A2F84F1}"/>
    <cellStyle name="RISKlightBoxed 8 3 17" xfId="17809" xr:uid="{0598899F-DCA3-449A-9282-8BA3FF97F87F}"/>
    <cellStyle name="RISKlightBoxed 8 3 17 2" xfId="38934" xr:uid="{7B545937-5EBF-45E7-B774-6AC83875EF3B}"/>
    <cellStyle name="RISKlightBoxed 8 3 18" xfId="22119" xr:uid="{05923702-867C-460B-8CDC-76A3706660C2}"/>
    <cellStyle name="RISKlightBoxed 8 3 18 2" xfId="42004" xr:uid="{3E50F481-0463-4269-ADAE-C3F7580CFE91}"/>
    <cellStyle name="RISKlightBoxed 8 3 19" xfId="20349" xr:uid="{9F50D60D-1024-46B9-98C1-5D12D9E3A6B7}"/>
    <cellStyle name="RISKlightBoxed 8 3 19 2" xfId="40781" xr:uid="{B1209942-C568-4B0B-8703-E9027D3163CB}"/>
    <cellStyle name="RISKlightBoxed 8 3 2" xfId="11889" xr:uid="{ABF96C7C-AB95-4030-ADE4-CB4141967342}"/>
    <cellStyle name="RISKlightBoxed 8 3 2 2" xfId="34501" xr:uid="{008960F8-D6E4-4FF1-B1A2-7BB5DED73A50}"/>
    <cellStyle name="RISKlightBoxed 8 3 20" xfId="26247" xr:uid="{C054584F-177B-4BB7-9113-5FEE20BFAA94}"/>
    <cellStyle name="RISKlightBoxed 8 3 20 2" xfId="44956" xr:uid="{7263E2B1-BD9D-45D1-B165-0B720FBE9EB0}"/>
    <cellStyle name="RISKlightBoxed 8 3 21" xfId="23626" xr:uid="{F38E0C1E-AADE-4216-B2F5-E4CE9420752B}"/>
    <cellStyle name="RISKlightBoxed 8 3 21 2" xfId="43057" xr:uid="{DE8F0C1A-D777-4CE8-BD40-96E43EFD5DC3}"/>
    <cellStyle name="RISKlightBoxed 8 3 22" xfId="26624" xr:uid="{FBC3FDEE-8A21-4C35-976B-762100217BB4}"/>
    <cellStyle name="RISKlightBoxed 8 3 22 2" xfId="45174" xr:uid="{F2B090F5-91A2-42A2-B105-AFD1CF0E6DDD}"/>
    <cellStyle name="RISKlightBoxed 8 3 23" xfId="26813" xr:uid="{35EB6363-1C72-4C34-8112-FD57ED209077}"/>
    <cellStyle name="RISKlightBoxed 8 3 23 2" xfId="45284" xr:uid="{FFFC0E38-611A-4C43-B454-CA77F65D66E4}"/>
    <cellStyle name="RISKlightBoxed 8 3 24" xfId="30272" xr:uid="{85A4C656-8109-4DDA-B324-9707AF83B317}"/>
    <cellStyle name="RISKlightBoxed 8 3 24 2" xfId="47422" xr:uid="{C14B8847-F2A6-4264-A3EA-417C830DD451}"/>
    <cellStyle name="RISKlightBoxed 8 3 25" xfId="29904" xr:uid="{0D279763-8D05-46BC-B07B-30753E6F5B54}"/>
    <cellStyle name="RISKlightBoxed 8 3 25 2" xfId="47192" xr:uid="{98EF1541-1A97-4B1F-A6EE-7F30CAC4D2BF}"/>
    <cellStyle name="RISKlightBoxed 8 3 26" xfId="27756" xr:uid="{155098A0-F1CA-4D7E-A6AA-9371DAA20CD3}"/>
    <cellStyle name="RISKlightBoxed 8 3 26 2" xfId="45857" xr:uid="{4FE2CEFA-A96A-41D0-A271-AAB207F94FEC}"/>
    <cellStyle name="RISKlightBoxed 8 3 27" xfId="30641" xr:uid="{5DE3EEF4-2563-4CA2-AE1F-73200218C933}"/>
    <cellStyle name="RISKlightBoxed 8 3 27 2" xfId="47587" xr:uid="{038FBCF4-6575-49AA-A26F-7BB8360F7B84}"/>
    <cellStyle name="RISKlightBoxed 8 3 28" xfId="6755" xr:uid="{21E72A07-5B8B-4375-A12E-E8C8A8A3469F}"/>
    <cellStyle name="RISKlightBoxed 8 3 3" xfId="13310" xr:uid="{990E1A09-E7F0-48C6-B90B-91566E35CCAD}"/>
    <cellStyle name="RISKlightBoxed 8 3 3 2" xfId="35627" xr:uid="{E9D56B90-75C3-4A76-B3F2-77089EBF0E25}"/>
    <cellStyle name="RISKlightBoxed 8 3 4" xfId="7159" xr:uid="{4628C0DE-ED4C-477C-8031-3C95D5A6F0DD}"/>
    <cellStyle name="RISKlightBoxed 8 3 4 2" xfId="31526" xr:uid="{03EA489E-B1C7-44E0-9C92-154FE3AA6E41}"/>
    <cellStyle name="RISKlightBoxed 8 3 5" xfId="11845" xr:uid="{ECAEFBF8-59FA-485F-BC4C-8DF45205D26D}"/>
    <cellStyle name="RISKlightBoxed 8 3 5 2" xfId="34457" xr:uid="{21FA2BB0-D647-458A-B71C-FA18216FED79}"/>
    <cellStyle name="RISKlightBoxed 8 3 6" xfId="12231" xr:uid="{3807EDBD-0D5E-4640-9F10-B9930BD63680}"/>
    <cellStyle name="RISKlightBoxed 8 3 6 2" xfId="34738" xr:uid="{B38E0DAA-21E4-43B0-AFE2-9208123F823E}"/>
    <cellStyle name="RISKlightBoxed 8 3 7" xfId="14091" xr:uid="{CBDBEC89-4734-4A58-99B4-29A8E831AE46}"/>
    <cellStyle name="RISKlightBoxed 8 3 7 2" xfId="36185" xr:uid="{727F6504-3571-46CF-9844-CE66B4ED0DDE}"/>
    <cellStyle name="RISKlightBoxed 8 3 8" xfId="13689" xr:uid="{E92AFEAB-AB57-42BD-99AB-3B9FB7FBDE45}"/>
    <cellStyle name="RISKlightBoxed 8 3 8 2" xfId="35845" xr:uid="{5DEF3AA9-4C87-4D48-9378-4E17850DE420}"/>
    <cellStyle name="RISKlightBoxed 8 3 9" xfId="12607" xr:uid="{9E9C6B7A-95E0-4052-95E8-27525239D0AE}"/>
    <cellStyle name="RISKlightBoxed 8 3 9 2" xfId="35039" xr:uid="{8F5FB4DE-FFA3-4261-A1C5-4C86B735F933}"/>
    <cellStyle name="RISKlightBoxed 8 30" xfId="6753" xr:uid="{540F7CFD-4859-4E63-A166-9D0959D1C93B}"/>
    <cellStyle name="RISKlightBoxed 8 4" xfId="11890" xr:uid="{9E29665E-C003-4C29-B3F5-51DD70B12E22}"/>
    <cellStyle name="RISKlightBoxed 8 4 2" xfId="34502" xr:uid="{B96F6E88-9FDC-4FEF-A7CA-FF74A0AD18D1}"/>
    <cellStyle name="RISKlightBoxed 8 5" xfId="13311" xr:uid="{227CE400-3EEA-4A15-B11E-124769AB74AF}"/>
    <cellStyle name="RISKlightBoxed 8 5 2" xfId="35628" xr:uid="{071DF936-0CFE-4633-A421-06766FBB0C10}"/>
    <cellStyle name="RISKlightBoxed 8 6" xfId="7161" xr:uid="{497C8239-1561-4CC6-8E9A-7F71FD7554A0}"/>
    <cellStyle name="RISKlightBoxed 8 6 2" xfId="31528" xr:uid="{5A9F77B8-CA37-4078-9A81-69DD85A14A7C}"/>
    <cellStyle name="RISKlightBoxed 8 7" xfId="11846" xr:uid="{037C8BAE-E5B3-4785-AFD5-CBA076A53D91}"/>
    <cellStyle name="RISKlightBoxed 8 7 2" xfId="34458" xr:uid="{20E43676-8B12-484A-A8D4-DD8D8C61A14E}"/>
    <cellStyle name="RISKlightBoxed 8 8" xfId="12230" xr:uid="{77BE2088-7EAD-43CE-8525-30B30990BFA2}"/>
    <cellStyle name="RISKlightBoxed 8 8 2" xfId="34737" xr:uid="{F61E335E-5C03-475B-9F94-C9B7020FD07F}"/>
    <cellStyle name="RISKlightBoxed 8 9" xfId="14092" xr:uid="{AD1AC78A-3DA5-4AFB-96D5-4C2B12C8C679}"/>
    <cellStyle name="RISKlightBoxed 8 9 2" xfId="36186" xr:uid="{6CD9847A-CC99-4361-8411-A0B91654A384}"/>
    <cellStyle name="RISKlightBoxed 9" xfId="3782" xr:uid="{441392A7-4F15-4467-8C3F-E373B8246E56}"/>
    <cellStyle name="RISKlightBoxed 9 10" xfId="14527" xr:uid="{AB24EB1A-B658-453C-8A40-CB1C28608287}"/>
    <cellStyle name="RISKlightBoxed 9 10 2" xfId="36464" xr:uid="{9B569A7D-9067-4A86-8B68-A3BBD8BC0211}"/>
    <cellStyle name="RISKlightBoxed 9 11" xfId="15765" xr:uid="{E3BDFC35-1CEB-4E50-8B89-2EC3262D34CA}"/>
    <cellStyle name="RISKlightBoxed 9 11 2" xfId="37389" xr:uid="{11DE733F-1DDB-4BED-B003-F4E7B7474F1C}"/>
    <cellStyle name="RISKlightBoxed 9 12" xfId="18962" xr:uid="{C456070A-8E87-4EB7-A841-9CF07AC64184}"/>
    <cellStyle name="RISKlightBoxed 9 12 2" xfId="39794" xr:uid="{B813E471-06C1-4BA8-AB3E-258FB0190CD9}"/>
    <cellStyle name="RISKlightBoxed 9 13" xfId="16054" xr:uid="{B0AB0BF0-C395-445D-AB55-C1F8B6240BE5}"/>
    <cellStyle name="RISKlightBoxed 9 13 2" xfId="37631" xr:uid="{CE47C253-815F-48D3-91CF-C81E2E475C4E}"/>
    <cellStyle name="RISKlightBoxed 9 14" xfId="17788" xr:uid="{912394E3-D61A-4026-AEDD-69DB13603716}"/>
    <cellStyle name="RISKlightBoxed 9 14 2" xfId="38916" xr:uid="{34EFAFDB-5D38-467A-84E9-1A69EBDF902B}"/>
    <cellStyle name="RISKlightBoxed 9 15" xfId="16126" xr:uid="{620784E2-379E-4555-A1EA-7E9E02C935E5}"/>
    <cellStyle name="RISKlightBoxed 9 15 2" xfId="37695" xr:uid="{5490B5B6-C673-43BF-9CAD-0C80733C29C1}"/>
    <cellStyle name="RISKlightBoxed 9 16" xfId="21742" xr:uid="{E6B3C889-071E-46D1-BC0C-2C7DD8B257E2}"/>
    <cellStyle name="RISKlightBoxed 9 16 2" xfId="41764" xr:uid="{7951DF28-6051-4FFB-AD0A-EB399BD7C4D9}"/>
    <cellStyle name="RISKlightBoxed 9 17" xfId="22095" xr:uid="{9BAEA854-963A-4490-AF1C-B3FAFD1C1241}"/>
    <cellStyle name="RISKlightBoxed 9 17 2" xfId="41980" xr:uid="{7BFDD6C1-18A3-4783-9DB5-BBA1CD3A3761}"/>
    <cellStyle name="RISKlightBoxed 9 18" xfId="25250" xr:uid="{90C62269-D31C-49EE-8C4A-BDB9DC3F479C}"/>
    <cellStyle name="RISKlightBoxed 9 18 2" xfId="44173" xr:uid="{9744E308-BB74-4F9C-8E27-8119EEA9D7D2}"/>
    <cellStyle name="RISKlightBoxed 9 19" xfId="26680" xr:uid="{3AD83822-FC5B-4C8E-A3DB-A58C3D2FCC38}"/>
    <cellStyle name="RISKlightBoxed 9 19 2" xfId="45229" xr:uid="{DBC15476-58FE-4341-B380-5EA3451D2AD1}"/>
    <cellStyle name="RISKlightBoxed 9 2" xfId="7473" xr:uid="{667F35C6-96EC-4D44-84EB-2A9488624E9B}"/>
    <cellStyle name="RISKlightBoxed 9 2 2" xfId="31831" xr:uid="{DD6DCF4A-7BAC-4DA5-BAA3-8D52148F1BBF}"/>
    <cellStyle name="RISKlightBoxed 9 20" xfId="23406" xr:uid="{F3161771-0304-48ED-9FDE-74907F3B4055}"/>
    <cellStyle name="RISKlightBoxed 9 20 2" xfId="42926" xr:uid="{C4E52113-780D-4297-9202-D9E0462F239E}"/>
    <cellStyle name="RISKlightBoxed 9 21" xfId="25943" xr:uid="{62A98F0D-E589-4C63-AAF0-3FF30D54648E}"/>
    <cellStyle name="RISKlightBoxed 9 21 2" xfId="44734" xr:uid="{6AD5AFEB-D14C-4E8D-B49A-0B8DA2714590}"/>
    <cellStyle name="RISKlightBoxed 9 22" xfId="25420" xr:uid="{9BE9FCF0-2E28-4476-954C-17D33B8F2CAB}"/>
    <cellStyle name="RISKlightBoxed 9 22 2" xfId="44311" xr:uid="{2EE3F7BC-65EF-4EAB-AF31-458A8586E7BB}"/>
    <cellStyle name="RISKlightBoxed 9 23" xfId="28965" xr:uid="{E66CEF1D-FABD-40CF-90F2-DF125C175F31}"/>
    <cellStyle name="RISKlightBoxed 9 23 2" xfId="46559" xr:uid="{CB461BE9-69DB-4B8D-B813-BCE99707A039}"/>
    <cellStyle name="RISKlightBoxed 9 24" xfId="29328" xr:uid="{2AEC74C1-5E22-40BA-9BCA-FBF77F984304}"/>
    <cellStyle name="RISKlightBoxed 9 24 2" xfId="46806" xr:uid="{053D5EBF-9055-4673-B555-5571285D2273}"/>
    <cellStyle name="RISKlightBoxed 9 25" xfId="29833" xr:uid="{6687A40D-FC12-47D6-8CF3-7F04AA04C74A}"/>
    <cellStyle name="RISKlightBoxed 9 25 2" xfId="47150" xr:uid="{49CE865B-E049-4431-A72A-E86002373663}"/>
    <cellStyle name="RISKlightBoxed 9 26" xfId="29804" xr:uid="{ACDE9613-BAEF-4D14-A403-676DEBC55AB0}"/>
    <cellStyle name="RISKlightBoxed 9 26 2" xfId="47123" xr:uid="{DA53C692-FDA6-4AF3-B67D-D6C2F0F8DA6E}"/>
    <cellStyle name="RISKlightBoxed 9 27" xfId="25236" xr:uid="{DFA3E6E5-8DCE-484A-965B-BE095E2A3998}"/>
    <cellStyle name="RISKlightBoxed 9 27 2" xfId="44166" xr:uid="{8C730788-F1F6-4B0A-8228-731A85A8BBA6}"/>
    <cellStyle name="RISKlightBoxed 9 28" xfId="6756" xr:uid="{406DA127-269B-4C69-B91E-4102B02A5C87}"/>
    <cellStyle name="RISKlightBoxed 9 3" xfId="10140" xr:uid="{D3492373-5B32-4A1F-B0A2-49B4AF697FFB}"/>
    <cellStyle name="RISKlightBoxed 9 3 2" xfId="33804" xr:uid="{E5DF6126-445E-431C-ACE6-614AE50B74C8}"/>
    <cellStyle name="RISKlightBoxed 9 4" xfId="7158" xr:uid="{1F75CCA7-7F7B-4A9A-B233-8DD4920953A3}"/>
    <cellStyle name="RISKlightBoxed 9 4 2" xfId="31525" xr:uid="{D25D4A4A-80C8-43E9-B5B5-ED60A0D4FF34}"/>
    <cellStyle name="RISKlightBoxed 9 5" xfId="7425" xr:uid="{5F460199-C72B-4002-8E30-FA7370009F09}"/>
    <cellStyle name="RISKlightBoxed 9 5 2" xfId="31784" xr:uid="{C02FCA22-C0AE-42F9-9614-AFBE9C0CB681}"/>
    <cellStyle name="RISKlightBoxed 9 6" xfId="15999" xr:uid="{B8116590-E227-43B9-A5E6-FAAB677A61CA}"/>
    <cellStyle name="RISKlightBoxed 9 6 2" xfId="37582" xr:uid="{7F014330-3CCF-46FC-AF22-447F92890D9F}"/>
    <cellStyle name="RISKlightBoxed 9 7" xfId="12472" xr:uid="{8F3879EC-8CA4-40CF-A19F-7FF565E766E7}"/>
    <cellStyle name="RISKlightBoxed 9 7 2" xfId="34918" xr:uid="{2CD1737F-5D17-407B-B6E8-9BC83FB6BC68}"/>
    <cellStyle name="RISKlightBoxed 9 8" xfId="15602" xr:uid="{406C5D1E-839A-4244-BF4B-95B24D9E01B5}"/>
    <cellStyle name="RISKlightBoxed 9 8 2" xfId="37260" xr:uid="{8F9687BA-BD1B-46B3-AC95-2A20238EBBBA}"/>
    <cellStyle name="RISKlightBoxed 9 9" xfId="16354" xr:uid="{3B948808-3BA0-4C56-9FD8-C3A34D495144}"/>
    <cellStyle name="RISKlightBoxed 9 9 2" xfId="37881" xr:uid="{026BBA11-99A8-4AAE-8EAF-93005A7DD166}"/>
    <cellStyle name="RISKltandbEdge" xfId="3783" xr:uid="{BF7BAFDD-F7FE-40A8-A72E-2C87B3D42048}"/>
    <cellStyle name="RISKltandbEdge 10" xfId="3784" xr:uid="{0AB716C4-D640-4D06-BF87-B888D546F183}"/>
    <cellStyle name="RISKltandbEdge 10 10" xfId="13892" xr:uid="{AC491E72-EF9F-4E86-87A2-43324405B6E7}"/>
    <cellStyle name="RISKltandbEdge 10 10 2" xfId="36010" xr:uid="{8B471128-0BB9-479C-ABD6-EDEDD0736AAF}"/>
    <cellStyle name="RISKltandbEdge 10 11" xfId="15155" xr:uid="{1EAD47D9-8BBB-4B58-81D4-209559D37247}"/>
    <cellStyle name="RISKltandbEdge 10 11 2" xfId="36946" xr:uid="{0408ABA1-88BB-4C7E-B15B-1E56716E216F}"/>
    <cellStyle name="RISKltandbEdge 10 12" xfId="18961" xr:uid="{480B0DA1-5F71-4792-B393-DBC5F6D9F703}"/>
    <cellStyle name="RISKltandbEdge 10 12 2" xfId="39793" xr:uid="{FD580BFD-99DC-468F-81EF-B30916C9FC89}"/>
    <cellStyle name="RISKltandbEdge 10 13" xfId="17191" xr:uid="{C5FE0A0A-19D7-4F3F-A0E2-80F01903BEDF}"/>
    <cellStyle name="RISKltandbEdge 10 13 2" xfId="38520" xr:uid="{41E5950E-5E03-448A-8C32-B9C8F096DA46}"/>
    <cellStyle name="RISKltandbEdge 10 14" xfId="21272" xr:uid="{D49A07FB-AEEF-46A0-AB4E-4A58EFCAA952}"/>
    <cellStyle name="RISKltandbEdge 10 14 2" xfId="41452" xr:uid="{7A537DDC-E252-4B41-B88C-A830679E645B}"/>
    <cellStyle name="RISKltandbEdge 10 15" xfId="18843" xr:uid="{1A2C95D1-AE74-42CA-A6A6-343B8A84331F}"/>
    <cellStyle name="RISKltandbEdge 10 15 2" xfId="39690" xr:uid="{1EADB9A6-89A4-40B2-A9DD-EC489151FA1D}"/>
    <cellStyle name="RISKltandbEdge 10 16" xfId="22177" xr:uid="{A65DAD73-C973-4B44-A0DA-2FE367EBF49D}"/>
    <cellStyle name="RISKltandbEdge 10 16 2" xfId="42056" xr:uid="{133853AA-B78E-4028-A9EE-8AB492A0EA6A}"/>
    <cellStyle name="RISKltandbEdge 10 17" xfId="17881" xr:uid="{CADFBBE2-1F63-4E54-91E5-BFAB1A2D02E1}"/>
    <cellStyle name="RISKltandbEdge 10 17 2" xfId="38997" xr:uid="{70C596ED-C0DE-4C43-8BFD-568B84038401}"/>
    <cellStyle name="RISKltandbEdge 10 18" xfId="24610" xr:uid="{56E4C9A7-8C30-46AD-9D8D-C6C47AA3A80E}"/>
    <cellStyle name="RISKltandbEdge 10 18 2" xfId="43792" xr:uid="{D06752DC-5933-46FF-BCCE-53846A5C999F}"/>
    <cellStyle name="RISKltandbEdge 10 19" xfId="25904" xr:uid="{F1405652-979E-46D4-B693-6B5606EB62AE}"/>
    <cellStyle name="RISKltandbEdge 10 19 2" xfId="44709" xr:uid="{D0BE1E64-39E1-41EC-B3FF-F725F1618A7C}"/>
    <cellStyle name="RISKltandbEdge 10 2" xfId="7472" xr:uid="{74FB127A-8834-4A15-9E3B-EBD38B67295A}"/>
    <cellStyle name="RISKltandbEdge 10 2 2" xfId="31830" xr:uid="{02AA9AA5-0D8A-4CF4-8620-2B1A010DAD66}"/>
    <cellStyle name="RISKltandbEdge 10 20" xfId="26679" xr:uid="{393FF8E0-F71B-4C7E-B0ED-4F4D5BE7565B}"/>
    <cellStyle name="RISKltandbEdge 10 20 2" xfId="45228" xr:uid="{33BD6B31-1556-4067-B284-DC7EAF344CAF}"/>
    <cellStyle name="RISKltandbEdge 10 21" xfId="23408" xr:uid="{034778DD-9C64-4850-8F45-1D869CCFECDB}"/>
    <cellStyle name="RISKltandbEdge 10 21 2" xfId="42928" xr:uid="{B81A17AC-6D76-4EE6-B43C-311D8E573270}"/>
    <cellStyle name="RISKltandbEdge 10 22" xfId="25567" xr:uid="{212165A2-66A3-4BDB-BDC9-BA6F0DF1D1B1}"/>
    <cellStyle name="RISKltandbEdge 10 22 2" xfId="44435" xr:uid="{B02AD5E5-9CF7-4E89-A0B4-6BB1450392AF}"/>
    <cellStyle name="RISKltandbEdge 10 23" xfId="16161" xr:uid="{9F9061CB-9F33-4777-87A9-F49176671877}"/>
    <cellStyle name="RISKltandbEdge 10 23 2" xfId="37723" xr:uid="{8610D7B3-0CE6-40E9-92FA-4CD898596FE8}"/>
    <cellStyle name="RISKltandbEdge 10 24" xfId="28317" xr:uid="{31DD8D4C-C6F5-4438-914A-80D1373725BC}"/>
    <cellStyle name="RISKltandbEdge 10 24 2" xfId="46184" xr:uid="{A6D328BE-78DA-4BC5-A4FB-D56596C7135B}"/>
    <cellStyle name="RISKltandbEdge 10 25" xfId="28421" xr:uid="{5DA1B0BF-72D9-42A9-BFD0-95ED17005513}"/>
    <cellStyle name="RISKltandbEdge 10 25 2" xfId="46268" xr:uid="{E08D10F3-E16A-4D43-B429-B427A3DC2C0D}"/>
    <cellStyle name="RISKltandbEdge 10 26" xfId="29625" xr:uid="{34C76766-C3FF-4F8C-BD5C-ACF9B2D169C9}"/>
    <cellStyle name="RISKltandbEdge 10 26 2" xfId="47016" xr:uid="{0942BEB3-F515-4F69-A6FA-741959647BE6}"/>
    <cellStyle name="RISKltandbEdge 10 27" xfId="30255" xr:uid="{854B4997-31A0-4FEF-88BB-49F259F8B9AC}"/>
    <cellStyle name="RISKltandbEdge 10 27 2" xfId="47416" xr:uid="{FD4F7638-F477-4768-8699-3831645F883F}"/>
    <cellStyle name="RISKltandbEdge 10 28" xfId="26841" xr:uid="{F8D185B5-1252-4BAF-8C1C-FAD52BCA0F73}"/>
    <cellStyle name="RISKltandbEdge 10 28 2" xfId="45308" xr:uid="{FB852F51-DABF-4B48-A77F-9AA481790951}"/>
    <cellStyle name="RISKltandbEdge 10 29" xfId="30507" xr:uid="{65BD4D97-F8C5-4B2B-B43E-C3E9D602B98A}"/>
    <cellStyle name="RISKltandbEdge 10 29 2" xfId="47510" xr:uid="{61AC8226-282B-411A-B7A3-846D5B008DBC}"/>
    <cellStyle name="RISKltandbEdge 10 3" xfId="10141" xr:uid="{FA8759A3-D820-4BC7-95CE-4A644F5D7EF3}"/>
    <cellStyle name="RISKltandbEdge 10 3 2" xfId="33805" xr:uid="{55967A81-06A0-43C7-B4F7-056E9A4ACB42}"/>
    <cellStyle name="RISKltandbEdge 10 30" xfId="6124" xr:uid="{F3F84AD5-9828-4B0E-9939-A5F5AE2D2DC4}"/>
    <cellStyle name="RISKltandbEdge 10 4" xfId="7156" xr:uid="{C910CF3B-A73B-4EED-A901-C5BDEE1EC71B}"/>
    <cellStyle name="RISKltandbEdge 10 4 2" xfId="31523" xr:uid="{7FDE96E1-B99A-4F54-B31F-CC21E7AC3642}"/>
    <cellStyle name="RISKltandbEdge 10 5" xfId="7424" xr:uid="{7EAD411A-197B-4C96-812E-5F10E9B699AD}"/>
    <cellStyle name="RISKltandbEdge 10 5 2" xfId="31783" xr:uid="{0BFD0470-B0D1-4934-B97E-CCC5CBF57808}"/>
    <cellStyle name="RISKltandbEdge 10 6" xfId="12232" xr:uid="{6EADA0E2-C962-4985-86F0-5C695771EDE1}"/>
    <cellStyle name="RISKltandbEdge 10 6 2" xfId="34739" xr:uid="{C8E73D08-0BF4-4C8E-BC29-B3BBBE0DDE11}"/>
    <cellStyle name="RISKltandbEdge 10 7" xfId="12473" xr:uid="{14F99730-7E08-4878-942F-78CDD43C5918}"/>
    <cellStyle name="RISKltandbEdge 10 7 2" xfId="34919" xr:uid="{D6823C1A-468A-444C-90BC-C689BB342ED9}"/>
    <cellStyle name="RISKltandbEdge 10 8" xfId="14454" xr:uid="{ABD30469-A55C-4895-A79A-764A035326FE}"/>
    <cellStyle name="RISKltandbEdge 10 8 2" xfId="36443" xr:uid="{9FBEDB93-3FC8-4C95-9B66-99016A76EB3A}"/>
    <cellStyle name="RISKltandbEdge 10 9" xfId="16353" xr:uid="{BB6691C5-C547-45BF-8762-C1A336FBDDFC}"/>
    <cellStyle name="RISKltandbEdge 10 9 2" xfId="37880" xr:uid="{3D55BB36-0752-4770-BC20-7937125C0297}"/>
    <cellStyle name="RISKltandbEdge 11" xfId="11888" xr:uid="{7B13B0E2-239D-4978-A427-FAC0C8A48063}"/>
    <cellStyle name="RISKltandbEdge 11 2" xfId="34500" xr:uid="{58056B69-C64A-4EFB-9107-BB9016FF2598}"/>
    <cellStyle name="RISKltandbEdge 12" xfId="13309" xr:uid="{5C4A8EEA-21E6-4C3F-876C-C0F6E3B37B13}"/>
    <cellStyle name="RISKltandbEdge 12 2" xfId="35626" xr:uid="{1122E80D-2CA0-4A45-8135-3B9C99344645}"/>
    <cellStyle name="RISKltandbEdge 13" xfId="7157" xr:uid="{116D8EA3-39DB-477A-9D40-385D9C0E73D0}"/>
    <cellStyle name="RISKltandbEdge 13 2" xfId="31524" xr:uid="{92C2D12E-49EE-4B0D-968C-6D81D3DA5EF0}"/>
    <cellStyle name="RISKltandbEdge 14" xfId="11844" xr:uid="{9F12F2FA-0AE6-4943-91E3-18139A11B42F}"/>
    <cellStyle name="RISKltandbEdge 14 2" xfId="34456" xr:uid="{FF4C8331-5322-4596-B051-9374AC977392}"/>
    <cellStyle name="RISKltandbEdge 15" xfId="14727" xr:uid="{1F31996D-E0CF-4DDE-832A-39B96EC0648F}"/>
    <cellStyle name="RISKltandbEdge 15 2" xfId="36639" xr:uid="{BF454CD3-9894-459D-8EB2-BF31DD77644A}"/>
    <cellStyle name="RISKltandbEdge 16" xfId="14090" xr:uid="{71E60DC1-4FE9-4A92-AADA-E82A0CFD05E3}"/>
    <cellStyle name="RISKltandbEdge 16 2" xfId="36184" xr:uid="{17909075-E01B-453F-BEBE-35CE3E6557F3}"/>
    <cellStyle name="RISKltandbEdge 17" xfId="14436" xr:uid="{33BE5C61-18CE-4FB1-AFFC-2DDA0581D6F8}"/>
    <cellStyle name="RISKltandbEdge 17 2" xfId="36425" xr:uid="{DD3542BD-883B-4A2E-A64C-DF06A2384689}"/>
    <cellStyle name="RISKltandbEdge 18" xfId="15833" xr:uid="{77ADA1FD-8618-4516-A9AC-D889091A114F}"/>
    <cellStyle name="RISKltandbEdge 18 2" xfId="37442" xr:uid="{B5C8EB29-C533-48E1-8FA4-8FB1D58E0C0B}"/>
    <cellStyle name="RISKltandbEdge 19" xfId="17265" xr:uid="{4D00D792-2FF3-4B27-BA65-2C6E2C3AEBAF}"/>
    <cellStyle name="RISKltandbEdge 19 2" xfId="38568" xr:uid="{35EE3126-163A-4A6E-A4D4-518031FD6733}"/>
    <cellStyle name="RISKltandbEdge 2" xfId="3785" xr:uid="{DEA55E62-EE0A-4874-8357-C79CFAEFB54F}"/>
    <cellStyle name="RISKltandbEdge 2 10" xfId="14089" xr:uid="{46CA5403-4DA2-4926-B531-06C2FBF34F74}"/>
    <cellStyle name="RISKltandbEdge 2 10 2" xfId="36183" xr:uid="{04EA91D5-8ABA-4232-A0C7-EE456A30EE48}"/>
    <cellStyle name="RISKltandbEdge 2 11" xfId="13860" xr:uid="{AB28C428-282A-4506-8215-9F43D49B18FA}"/>
    <cellStyle name="RISKltandbEdge 2 11 2" xfId="35983" xr:uid="{96038CF3-D961-4E52-AA4E-E838A53230E4}"/>
    <cellStyle name="RISKltandbEdge 2 12" xfId="13972" xr:uid="{45A0C3F8-543E-47F3-922E-679AEE0C9403}"/>
    <cellStyle name="RISKltandbEdge 2 12 2" xfId="36075" xr:uid="{BF87C7BE-857B-4AE1-ABC3-A9357DFB2BE9}"/>
    <cellStyle name="RISKltandbEdge 2 13" xfId="13789" xr:uid="{884BCFCE-08D7-4CC9-91F3-34FBEA62047D}"/>
    <cellStyle name="RISKltandbEdge 2 13 2" xfId="35922" xr:uid="{798FB05E-DCD8-4FDB-9F44-941900C3F67D}"/>
    <cellStyle name="RISKltandbEdge 2 14" xfId="18109" xr:uid="{2AA18811-9B68-4C4E-9EFA-A44DB7A84CC1}"/>
    <cellStyle name="RISKltandbEdge 2 14 2" xfId="39183" xr:uid="{EA397747-D449-43A6-9041-8BD4C706088F}"/>
    <cellStyle name="RISKltandbEdge 2 15" xfId="17081" xr:uid="{AA4D0208-0C27-4D8B-8230-CE5CBDC908BC}"/>
    <cellStyle name="RISKltandbEdge 2 15 2" xfId="38420" xr:uid="{FB6A5351-E6F9-476A-963C-D0403C0F1EC4}"/>
    <cellStyle name="RISKltandbEdge 2 16" xfId="19182" xr:uid="{D1FB3FEA-B74E-4D41-B520-4A9E0C0F6F75}"/>
    <cellStyle name="RISKltandbEdge 2 16 2" xfId="39991" xr:uid="{6A589F61-3BCE-40AA-9EF9-494C107D91E1}"/>
    <cellStyle name="RISKltandbEdge 2 17" xfId="22558" xr:uid="{FF2786CA-9849-4A0C-97CC-AEB78F0D07D8}"/>
    <cellStyle name="RISKltandbEdge 2 17 2" xfId="42348" xr:uid="{8D29DB64-AFC8-4B9C-879B-E8CB329689E8}"/>
    <cellStyle name="RISKltandbEdge 2 18" xfId="20531" xr:uid="{68C05C35-4A89-4B93-885D-A38E5C76368F}"/>
    <cellStyle name="RISKltandbEdge 2 18 2" xfId="40911" xr:uid="{751993F2-6FE5-482E-B047-16213E7F5E36}"/>
    <cellStyle name="RISKltandbEdge 2 19" xfId="18724" xr:uid="{743B3873-6A27-4C61-AE6A-56D9E04B311F}"/>
    <cellStyle name="RISKltandbEdge 2 19 2" xfId="39599" xr:uid="{8D69F985-2434-4F9F-AF18-210E6E08E0BC}"/>
    <cellStyle name="RISKltandbEdge 2 2" xfId="3786" xr:uid="{628C2816-7192-4AB0-928D-EC0B97D41BA2}"/>
    <cellStyle name="RISKltandbEdge 2 2 10" xfId="13690" xr:uid="{0D4DF5D5-A914-4838-ADD1-C40E885366D6}"/>
    <cellStyle name="RISKltandbEdge 2 2 10 2" xfId="35846" xr:uid="{3B761474-2476-4FD2-A633-FB30C69B6020}"/>
    <cellStyle name="RISKltandbEdge 2 2 11" xfId="16352" xr:uid="{187CA468-C19C-498C-BBE0-3B7895E3C0F3}"/>
    <cellStyle name="RISKltandbEdge 2 2 11 2" xfId="37879" xr:uid="{37B85F28-B2A6-4177-AF69-E40C5DB531AA}"/>
    <cellStyle name="RISKltandbEdge 2 2 12" xfId="17264" xr:uid="{F2BCE36D-CE5D-481C-BA88-A8569E7A62CF}"/>
    <cellStyle name="RISKltandbEdge 2 2 12 2" xfId="38567" xr:uid="{F6BEFC3E-0778-4744-9018-D3E0F2A1D5AC}"/>
    <cellStyle name="RISKltandbEdge 2 2 13" xfId="16213" xr:uid="{4E809571-2957-4B70-9C86-306861518B02}"/>
    <cellStyle name="RISKltandbEdge 2 2 13 2" xfId="37767" xr:uid="{56C4A843-5EA5-4D6F-AD27-D51042FF312B}"/>
    <cellStyle name="RISKltandbEdge 2 2 14" xfId="18960" xr:uid="{38D48AEB-1837-4A25-93EA-321AFAD4AB63}"/>
    <cellStyle name="RISKltandbEdge 2 2 14 2" xfId="39792" xr:uid="{A180332F-9BC2-4DED-A7E1-1FE945BC43FF}"/>
    <cellStyle name="RISKltandbEdge 2 2 15" xfId="19118" xr:uid="{7CAE1516-DA16-4497-A489-390F7CE106AA}"/>
    <cellStyle name="RISKltandbEdge 2 2 15 2" xfId="39927" xr:uid="{760C698E-7657-4802-B29F-D5342A637C2E}"/>
    <cellStyle name="RISKltandbEdge 2 2 16" xfId="17034" xr:uid="{32A3EFFA-72FB-40F7-A068-0C43116B5725}"/>
    <cellStyle name="RISKltandbEdge 2 2 16 2" xfId="38377" xr:uid="{B2FCBDA2-176D-4D38-9E7E-759CF954DE57}"/>
    <cellStyle name="RISKltandbEdge 2 2 17" xfId="16869" xr:uid="{AB4A2B0C-1135-4E98-87EA-ED459ABA4872}"/>
    <cellStyle name="RISKltandbEdge 2 2 17 2" xfId="38291" xr:uid="{A8F5D410-87FB-4110-81A9-CA5361322222}"/>
    <cellStyle name="RISKltandbEdge 2 2 18" xfId="18569" xr:uid="{3BC075B7-9225-40CA-B44E-EF68F324E63D}"/>
    <cellStyle name="RISKltandbEdge 2 2 18 2" xfId="39513" xr:uid="{7AA5B415-2094-497F-973D-BE6D8C97893C}"/>
    <cellStyle name="RISKltandbEdge 2 2 19" xfId="19405" xr:uid="{CAD52531-9BD8-4D86-AAF6-DB32EE9EFB62}"/>
    <cellStyle name="RISKltandbEdge 2 2 19 2" xfId="40126" xr:uid="{81DD56A3-099B-4356-9BD9-9508FB7B25FE}"/>
    <cellStyle name="RISKltandbEdge 2 2 2" xfId="3787" xr:uid="{1CA42FBF-7C3E-480E-806A-195C065B0B8E}"/>
    <cellStyle name="RISKltandbEdge 2 2 2 10" xfId="13780" xr:uid="{14C7BE87-27F5-46EF-85E9-F5931B709050}"/>
    <cellStyle name="RISKltandbEdge 2 2 2 10 2" xfId="35916" xr:uid="{B3F4CAC2-5294-494A-AB50-C40FBFC4829A}"/>
    <cellStyle name="RISKltandbEdge 2 2 2 11" xfId="18108" xr:uid="{42CD0546-4210-4639-9A3A-A747B3348C58}"/>
    <cellStyle name="RISKltandbEdge 2 2 2 11 2" xfId="39182" xr:uid="{B2CF42D7-E3D3-4221-B4BD-D19B0CAE25D8}"/>
    <cellStyle name="RISKltandbEdge 2 2 2 12" xfId="15352" xr:uid="{E7947FA1-93EF-4C95-AB36-262187CFBA98}"/>
    <cellStyle name="RISKltandbEdge 2 2 2 12 2" xfId="37052" xr:uid="{16A8B280-FB83-47A2-9CFE-BFFE0789241C}"/>
    <cellStyle name="RISKltandbEdge 2 2 2 13" xfId="13900" xr:uid="{0A1EFC20-5EBC-46ED-BC5F-49F72B51B1D3}"/>
    <cellStyle name="RISKltandbEdge 2 2 2 13 2" xfId="36015" xr:uid="{6CE4CF29-1358-42B2-9822-02DC28616F9E}"/>
    <cellStyle name="RISKltandbEdge 2 2 2 14" xfId="21271" xr:uid="{CAC8D8AC-7A92-41EE-A6B7-94080829C1BF}"/>
    <cellStyle name="RISKltandbEdge 2 2 2 14 2" xfId="41451" xr:uid="{00ECF1A2-0DDE-47EC-824E-0BF0AA54E3A9}"/>
    <cellStyle name="RISKltandbEdge 2 2 2 15" xfId="20530" xr:uid="{3EEA7C15-D88E-40C5-BC34-DE85C057E086}"/>
    <cellStyle name="RISKltandbEdge 2 2 2 15 2" xfId="40910" xr:uid="{A4B5EE22-5E1C-4844-82D2-F0D724AD0916}"/>
    <cellStyle name="RISKltandbEdge 2 2 2 16" xfId="20939" xr:uid="{8821B435-F9CF-489C-A101-EE62FB03DC33}"/>
    <cellStyle name="RISKltandbEdge 2 2 2 16 2" xfId="41240" xr:uid="{455CAAD1-A53C-462B-906C-61391F908A33}"/>
    <cellStyle name="RISKltandbEdge 2 2 2 17" xfId="20159" xr:uid="{D72006A8-8A68-4ACC-B4C9-2FC5628DD74D}"/>
    <cellStyle name="RISKltandbEdge 2 2 2 17 2" xfId="40666" xr:uid="{942820FC-1622-4B48-B2EE-39820687A457}"/>
    <cellStyle name="RISKltandbEdge 2 2 2 18" xfId="22306" xr:uid="{D27100FC-EF2A-41D4-99AF-D8E63D04C18C}"/>
    <cellStyle name="RISKltandbEdge 2 2 2 18 2" xfId="42170" xr:uid="{3D368316-B39C-44AB-8AA4-7F13BA50F6D7}"/>
    <cellStyle name="RISKltandbEdge 2 2 2 19" xfId="19418" xr:uid="{F303A8CC-7CA8-462A-8406-FF5FB3F49D68}"/>
    <cellStyle name="RISKltandbEdge 2 2 2 19 2" xfId="40139" xr:uid="{01E64D5A-2489-40E7-AB91-FE65F6F69F8F}"/>
    <cellStyle name="RISKltandbEdge 2 2 2 2" xfId="11886" xr:uid="{96CBB7C8-9CAB-4CA5-9F6B-65E79660B8D2}"/>
    <cellStyle name="RISKltandbEdge 2 2 2 2 2" xfId="34498" xr:uid="{BFE47488-DA00-4D11-8DC8-6FD334E24FED}"/>
    <cellStyle name="RISKltandbEdge 2 2 2 20" xfId="21864" xr:uid="{EF3A4B87-35C9-4682-B7FF-44019AB2CBDA}"/>
    <cellStyle name="RISKltandbEdge 2 2 2 20 2" xfId="41803" xr:uid="{9843788B-901D-4DF4-8AB0-D5A3A1C3CFDD}"/>
    <cellStyle name="RISKltandbEdge 2 2 2 21" xfId="22605" xr:uid="{892186AD-D002-4378-9333-299482F074CA}"/>
    <cellStyle name="RISKltandbEdge 2 2 2 21 2" xfId="42387" xr:uid="{760633C4-C516-4CB4-A088-640772E729E1}"/>
    <cellStyle name="RISKltandbEdge 2 2 2 22" xfId="27929" xr:uid="{E612EDD6-75CD-4416-B85E-20DC930DE699}"/>
    <cellStyle name="RISKltandbEdge 2 2 2 22 2" xfId="46001" xr:uid="{7653E028-B84F-4279-AD2A-D37BF9571896}"/>
    <cellStyle name="RISKltandbEdge 2 2 2 23" xfId="21957" xr:uid="{33F4C385-7837-410F-97D6-ED76A0AC2F51}"/>
    <cellStyle name="RISKltandbEdge 2 2 2 23 2" xfId="41869" xr:uid="{269B00E0-D656-4C01-9D18-97BECD12BFC6}"/>
    <cellStyle name="RISKltandbEdge 2 2 2 24" xfId="28966" xr:uid="{A4AB7DE2-3E2A-463D-BC5E-6A5ACFE3503C}"/>
    <cellStyle name="RISKltandbEdge 2 2 2 24 2" xfId="46560" xr:uid="{E68BBA06-E4ED-490B-BD18-69AF4DE0B6E4}"/>
    <cellStyle name="RISKltandbEdge 2 2 2 25" xfId="30268" xr:uid="{EEDDDCD5-5F86-420B-904B-F21CA45DD1C8}"/>
    <cellStyle name="RISKltandbEdge 2 2 2 25 2" xfId="47419" xr:uid="{1D40D621-6038-4A68-8C21-98A1641B46AA}"/>
    <cellStyle name="RISKltandbEdge 2 2 2 26" xfId="30087" xr:uid="{8C06F670-0ADB-4A49-9EA9-3935F0EE10DC}"/>
    <cellStyle name="RISKltandbEdge 2 2 2 26 2" xfId="47283" xr:uid="{9CE3C242-8BFD-4BE7-B8D8-C9C5FEA91841}"/>
    <cellStyle name="RISKltandbEdge 2 2 2 27" xfId="30731" xr:uid="{8A8D5E5F-FFE6-4354-875E-303A044D680C}"/>
    <cellStyle name="RISKltandbEdge 2 2 2 27 2" xfId="47677" xr:uid="{5D655C07-CC5D-4DFB-81D4-77DB2432A519}"/>
    <cellStyle name="RISKltandbEdge 2 2 2 28" xfId="29621" xr:uid="{A4788424-626C-4A74-A54D-6C6DC15540C6}"/>
    <cellStyle name="RISKltandbEdge 2 2 2 28 2" xfId="47012" xr:uid="{341321D0-AED0-431D-BD9A-52201BD83C89}"/>
    <cellStyle name="RISKltandbEdge 2 2 2 29" xfId="30638" xr:uid="{80C7AFD8-7490-46E7-9051-FE9DDCFAA592}"/>
    <cellStyle name="RISKltandbEdge 2 2 2 29 2" xfId="47584" xr:uid="{A31659C4-1B28-476A-8744-54DA674FE9C6}"/>
    <cellStyle name="RISKltandbEdge 2 2 2 3" xfId="13307" xr:uid="{08D1D8B2-C5DD-4240-943A-83E83227C99B}"/>
    <cellStyle name="RISKltandbEdge 2 2 2 3 2" xfId="35624" xr:uid="{72D23F20-61F5-41DC-AE59-630AB7B365A2}"/>
    <cellStyle name="RISKltandbEdge 2 2 2 30" xfId="6121" xr:uid="{2C4F9574-CB30-47B6-9ED4-449776BB1AD4}"/>
    <cellStyle name="RISKltandbEdge 2 2 2 4" xfId="7153" xr:uid="{CCC52633-4AF7-4E4D-9FFF-026689F8A282}"/>
    <cellStyle name="RISKltandbEdge 2 2 2 4 2" xfId="31520" xr:uid="{5C50D169-1058-4FE7-AACD-B50768BF864F}"/>
    <cellStyle name="RISKltandbEdge 2 2 2 5" xfId="7423" xr:uid="{3B59227B-1771-4A22-B7A3-06C6401C83A0}"/>
    <cellStyle name="RISKltandbEdge 2 2 2 5 2" xfId="31782" xr:uid="{392FD670-ECC5-4059-A73E-597A4331A346}"/>
    <cellStyle name="RISKltandbEdge 2 2 2 6" xfId="12233" xr:uid="{4CB7095B-6AD9-4AE7-A772-26D70205F817}"/>
    <cellStyle name="RISKltandbEdge 2 2 2 6 2" xfId="34740" xr:uid="{9F0ACCBF-F390-4643-B5D0-7B5EAB1B9BCA}"/>
    <cellStyle name="RISKltandbEdge 2 2 2 7" xfId="12475" xr:uid="{4B9F980D-37D4-4EB4-AFBE-DABA2307E155}"/>
    <cellStyle name="RISKltandbEdge 2 2 2 7 2" xfId="34921" xr:uid="{EF311D54-66AD-4563-8996-B9DDFDDAE03F}"/>
    <cellStyle name="RISKltandbEdge 2 2 2 8" xfId="15603" xr:uid="{D7A8E6BF-D549-4B19-BF6E-32B609E0F29A}"/>
    <cellStyle name="RISKltandbEdge 2 2 2 8 2" xfId="37261" xr:uid="{0CF7D734-D527-43FE-BE15-5CF87166A0CC}"/>
    <cellStyle name="RISKltandbEdge 2 2 2 9" xfId="15832" xr:uid="{FF79286D-C73C-4418-9502-41AAEBA14455}"/>
    <cellStyle name="RISKltandbEdge 2 2 2 9 2" xfId="37441" xr:uid="{A27958F7-D72B-4408-9D9D-C34B4180FC52}"/>
    <cellStyle name="RISKltandbEdge 2 2 20" xfId="24609" xr:uid="{54C0AFC5-3A24-459A-94A5-DC399DA815C1}"/>
    <cellStyle name="RISKltandbEdge 2 2 20 2" xfId="43791" xr:uid="{2A635AF2-EC29-4A9F-9ED3-343BED9B2CA0}"/>
    <cellStyle name="RISKltandbEdge 2 2 21" xfId="17850" xr:uid="{83281924-8236-492D-9648-9448B6C7C167}"/>
    <cellStyle name="RISKltandbEdge 2 2 21 2" xfId="38966" xr:uid="{0E972CC3-C946-4A9A-9A62-94DBD1489AA5}"/>
    <cellStyle name="RISKltandbEdge 2 2 22" xfId="26678" xr:uid="{3448F4BF-47D6-4848-BA26-E59890A2D34F}"/>
    <cellStyle name="RISKltandbEdge 2 2 22 2" xfId="45227" xr:uid="{DEB53AA2-D6C7-48C1-B6FD-536FC6C097C5}"/>
    <cellStyle name="RISKltandbEdge 2 2 23" xfId="26245" xr:uid="{0D87A504-E6D1-41F2-870E-3E84B4CF8D9E}"/>
    <cellStyle name="RISKltandbEdge 2 2 23 2" xfId="44954" xr:uid="{59CD18AE-49A3-4ECD-B3DB-3A21F6B4AEA8}"/>
    <cellStyle name="RISKltandbEdge 2 2 24" xfId="26449" xr:uid="{A6BCD963-4DE9-4180-9E51-E473D15B0C0D}"/>
    <cellStyle name="RISKltandbEdge 2 2 24 2" xfId="45078" xr:uid="{4196B8CD-D50B-4833-AFA8-5A7AA92A2018}"/>
    <cellStyle name="RISKltandbEdge 2 2 25" xfId="26606" xr:uid="{9821DB9A-0B34-4B93-BF08-88E44EA833C7}"/>
    <cellStyle name="RISKltandbEdge 2 2 25 2" xfId="45164" xr:uid="{F1BA2010-530C-4408-8946-9BF84F38390A}"/>
    <cellStyle name="RISKltandbEdge 2 2 26" xfId="29349" xr:uid="{F95B690E-7AF3-49DC-A6DD-2CD11940EF02}"/>
    <cellStyle name="RISKltandbEdge 2 2 26 2" xfId="46822" xr:uid="{5D0F525F-5219-46B6-B136-5A4A4705864E}"/>
    <cellStyle name="RISKltandbEdge 2 2 27" xfId="30281" xr:uid="{6B41983A-4A2E-48D3-85D4-5F48398965BF}"/>
    <cellStyle name="RISKltandbEdge 2 2 27 2" xfId="47429" xr:uid="{6C251495-455E-49B4-8466-4AF6FFD16369}"/>
    <cellStyle name="RISKltandbEdge 2 2 28" xfId="29917" xr:uid="{6E376C1D-2504-47B9-9978-CC755F92F412}"/>
    <cellStyle name="RISKltandbEdge 2 2 28 2" xfId="47205" xr:uid="{1280537A-70F0-41E8-8E6F-E2513166ED7F}"/>
    <cellStyle name="RISKltandbEdge 2 2 29" xfId="30015" xr:uid="{A206E813-9B82-4A3B-8765-4DBCB14B521B}"/>
    <cellStyle name="RISKltandbEdge 2 2 29 2" xfId="47246" xr:uid="{EAEFFBAC-DFF3-47CF-B19C-4DBB923C2F5F}"/>
    <cellStyle name="RISKltandbEdge 2 2 3" xfId="3788" xr:uid="{63DD8EFD-F5B3-4808-BD0C-7584E8628EB0}"/>
    <cellStyle name="RISKltandbEdge 2 2 3 10" xfId="17263" xr:uid="{B6EF1AC5-BC30-4A1B-B1F4-DA791D277601}"/>
    <cellStyle name="RISKltandbEdge 2 2 3 10 2" xfId="38566" xr:uid="{498BAD31-164F-4E01-A20B-3D80DAA3F51C}"/>
    <cellStyle name="RISKltandbEdge 2 2 3 11" xfId="15764" xr:uid="{C1C8E39B-51B3-4E8D-A2FA-91903598495A}"/>
    <cellStyle name="RISKltandbEdge 2 2 3 11 2" xfId="37388" xr:uid="{7AC36D85-BECC-44C2-AAA2-02ECAE0688FD}"/>
    <cellStyle name="RISKltandbEdge 2 2 3 12" xfId="18959" xr:uid="{65701986-721B-4242-B388-B90E19E0C50A}"/>
    <cellStyle name="RISKltandbEdge 2 2 3 12 2" xfId="39791" xr:uid="{00944483-7F45-4E87-A76E-E1152BF2A386}"/>
    <cellStyle name="RISKltandbEdge 2 2 3 13" xfId="19181" xr:uid="{AC352E61-5D93-4E0B-88FF-5722DD8BFA92}"/>
    <cellStyle name="RISKltandbEdge 2 2 3 13 2" xfId="39990" xr:uid="{922C8153-DC69-4729-BCE4-E61F09EAFCDC}"/>
    <cellStyle name="RISKltandbEdge 2 2 3 14" xfId="19548" xr:uid="{D0D7777A-7EB7-4124-B0EE-F3117272C462}"/>
    <cellStyle name="RISKltandbEdge 2 2 3 14 2" xfId="40211" xr:uid="{438C57BC-9CDA-4ED5-B242-8323BB82BD8F}"/>
    <cellStyle name="RISKltandbEdge 2 2 3 15" xfId="18842" xr:uid="{725517DC-E731-4C04-8C40-D0EC513F1860}"/>
    <cellStyle name="RISKltandbEdge 2 2 3 15 2" xfId="39689" xr:uid="{C667BD36-1777-466D-9A77-5DC13AA59C75}"/>
    <cellStyle name="RISKltandbEdge 2 2 3 16" xfId="22178" xr:uid="{4416E32D-067E-457D-81B6-AB7129C430AC}"/>
    <cellStyle name="RISKltandbEdge 2 2 3 16 2" xfId="42057" xr:uid="{2BBEE30C-CBD0-486B-808E-0F0ED24C11C0}"/>
    <cellStyle name="RISKltandbEdge 2 2 3 17" xfId="21197" xr:uid="{C630436D-37B7-4E7A-ADA4-05A66DE6CD78}"/>
    <cellStyle name="RISKltandbEdge 2 2 3 17 2" xfId="41390" xr:uid="{D22E8A0E-F915-4DD4-83CA-262CC4A87C0C}"/>
    <cellStyle name="RISKltandbEdge 2 2 3 18" xfId="24608" xr:uid="{38312241-A6AF-413B-89E0-472F078D989A}"/>
    <cellStyle name="RISKltandbEdge 2 2 3 18 2" xfId="43790" xr:uid="{1426168E-F019-48F4-B372-109D813ADD64}"/>
    <cellStyle name="RISKltandbEdge 2 2 3 19" xfId="19389" xr:uid="{4B119173-792C-4BB7-8726-216F8D0A7779}"/>
    <cellStyle name="RISKltandbEdge 2 2 3 19 2" xfId="40110" xr:uid="{27880B0A-51E3-4F53-B2E8-BFD936D53160}"/>
    <cellStyle name="RISKltandbEdge 2 2 3 2" xfId="7470" xr:uid="{5615221C-7939-4C66-BD8C-01030032D6A7}"/>
    <cellStyle name="RISKltandbEdge 2 2 3 2 2" xfId="31828" xr:uid="{6021DAB5-2D75-4890-9B40-428A4940DBEA}"/>
    <cellStyle name="RISKltandbEdge 2 2 3 20" xfId="26677" xr:uid="{E3EFC396-AA42-46D3-A57B-7D8FD838B923}"/>
    <cellStyle name="RISKltandbEdge 2 2 3 20 2" xfId="45226" xr:uid="{64B266BB-4089-420C-8950-8C0F60497E6F}"/>
    <cellStyle name="RISKltandbEdge 2 2 3 21" xfId="26244" xr:uid="{63AF709A-36BA-4856-A258-C439FD9FDA20}"/>
    <cellStyle name="RISKltandbEdge 2 2 3 21 2" xfId="44953" xr:uid="{C7A0C239-6AF3-41C3-867E-F983516AD2DA}"/>
    <cellStyle name="RISKltandbEdge 2 2 3 22" xfId="25944" xr:uid="{BA7AC41F-A9C5-426F-91D1-8E0EABFC577B}"/>
    <cellStyle name="RISKltandbEdge 2 2 3 22 2" xfId="44735" xr:uid="{9A1812AD-B907-40D9-AA56-CBC592FB66FB}"/>
    <cellStyle name="RISKltandbEdge 2 2 3 23" xfId="26640" xr:uid="{172B6009-0530-47DF-8AB2-A3DFAE44DEA8}"/>
    <cellStyle name="RISKltandbEdge 2 2 3 23 2" xfId="45190" xr:uid="{BC6EE48C-5550-4600-8DAB-F423959ECBF1}"/>
    <cellStyle name="RISKltandbEdge 2 2 3 24" xfId="27023" xr:uid="{7E408F20-78FC-41BA-A683-3260C65DD9EF}"/>
    <cellStyle name="RISKltandbEdge 2 2 3 24 2" xfId="45426" xr:uid="{7BE21DB4-8A21-434A-AFC7-C90443BBB794}"/>
    <cellStyle name="RISKltandbEdge 2 2 3 25" xfId="30280" xr:uid="{1FE10FB5-0A67-4641-BBA0-61B0E359CED2}"/>
    <cellStyle name="RISKltandbEdge 2 2 3 25 2" xfId="47428" xr:uid="{FB84A54A-346A-4E90-BE03-0FB82019F22D}"/>
    <cellStyle name="RISKltandbEdge 2 2 3 26" xfId="25203" xr:uid="{89BE157D-331B-4C76-806A-B873D7655315}"/>
    <cellStyle name="RISKltandbEdge 2 2 3 26 2" xfId="44142" xr:uid="{3594ABED-CF24-48B1-B4F6-95DE1F025C5A}"/>
    <cellStyle name="RISKltandbEdge 2 2 3 27" xfId="30254" xr:uid="{4A22E1EF-E1BB-42F0-9974-129A2B6E561C}"/>
    <cellStyle name="RISKltandbEdge 2 2 3 27 2" xfId="47415" xr:uid="{51CE570A-88D5-480E-A82B-F0226B71ADC3}"/>
    <cellStyle name="RISKltandbEdge 2 2 3 28" xfId="29040" xr:uid="{5232CF55-601E-4E0B-AA27-F36EECDEB914}"/>
    <cellStyle name="RISKltandbEdge 2 2 3 28 2" xfId="46627" xr:uid="{7A87A259-4799-4FE2-B9A0-EE4808F1278B}"/>
    <cellStyle name="RISKltandbEdge 2 2 3 29" xfId="31101" xr:uid="{7B9A1E70-15C1-4791-A3C8-339954DE3C9B}"/>
    <cellStyle name="RISKltandbEdge 2 2 3 29 2" xfId="47831" xr:uid="{55BC4A29-3910-4DAB-BB55-A69DE5347ED7}"/>
    <cellStyle name="RISKltandbEdge 2 2 3 3" xfId="10143" xr:uid="{7F59C4DF-B692-4077-AE63-F8F9B83466CC}"/>
    <cellStyle name="RISKltandbEdge 2 2 3 3 2" xfId="33807" xr:uid="{78E06EC4-0204-4C8F-AC73-BE95128A0173}"/>
    <cellStyle name="RISKltandbEdge 2 2 3 30" xfId="6120" xr:uid="{16C90173-59CF-4D15-94E4-20B35793A4A4}"/>
    <cellStyle name="RISKltandbEdge 2 2 3 4" xfId="7152" xr:uid="{3220FF2A-97E0-4339-B354-200C6E094A5A}"/>
    <cellStyle name="RISKltandbEdge 2 2 3 4 2" xfId="31519" xr:uid="{767B8CB8-4D42-4A60-A09F-CB46F5EADB02}"/>
    <cellStyle name="RISKltandbEdge 2 2 3 5" xfId="11842" xr:uid="{35470280-96B3-4C1F-ACA1-A5C4953D165E}"/>
    <cellStyle name="RISKltandbEdge 2 2 3 5 2" xfId="34454" xr:uid="{88F3C45A-AD49-4F66-926C-34BA873B71E9}"/>
    <cellStyle name="RISKltandbEdge 2 2 3 6" xfId="14725" xr:uid="{972428FF-F2D8-4FFE-A9E4-D2D1D3BD3F7C}"/>
    <cellStyle name="RISKltandbEdge 2 2 3 6 2" xfId="36637" xr:uid="{8B6CB6DC-4B60-49DF-9697-45A6391EE5D6}"/>
    <cellStyle name="RISKltandbEdge 2 2 3 7" xfId="12476" xr:uid="{D571BEDF-081A-4F72-A188-3AE8D3C645EE}"/>
    <cellStyle name="RISKltandbEdge 2 2 3 7 2" xfId="34922" xr:uid="{A1749882-4D4E-4C09-81A3-E55343974E29}"/>
    <cellStyle name="RISKltandbEdge 2 2 3 8" xfId="17545" xr:uid="{E354CB73-E5D6-4300-9D98-6B84D870C290}"/>
    <cellStyle name="RISKltandbEdge 2 2 3 8 2" xfId="38792" xr:uid="{F1B066CE-0A06-4B15-8242-B78A8E3DB483}"/>
    <cellStyle name="RISKltandbEdge 2 2 3 9" xfId="18395" xr:uid="{4A2C8669-2EB7-4CE5-B61D-D87E0C24E08F}"/>
    <cellStyle name="RISKltandbEdge 2 2 3 9 2" xfId="39406" xr:uid="{CAAC471B-B286-4066-B12E-CAE1FF95BA81}"/>
    <cellStyle name="RISKltandbEdge 2 2 30" xfId="29236" xr:uid="{716EA337-1838-47D7-B670-4466C4F39338}"/>
    <cellStyle name="RISKltandbEdge 2 2 30 2" xfId="46755" xr:uid="{FA0C2024-C2D1-40C0-B98A-7FB145691BDD}"/>
    <cellStyle name="RISKltandbEdge 2 2 31" xfId="30205" xr:uid="{D45D9508-312B-459B-81E5-63742A723E0F}"/>
    <cellStyle name="RISKltandbEdge 2 2 31 2" xfId="47366" xr:uid="{DB12F843-878E-4007-B229-16E7053E4C44}"/>
    <cellStyle name="RISKltandbEdge 2 2 32" xfId="6122" xr:uid="{16DC3E2D-47BB-4B84-A091-A1C1BBF214F1}"/>
    <cellStyle name="RISKltandbEdge 2 2 4" xfId="7471" xr:uid="{68EC6396-3354-4765-9242-F0077742239D}"/>
    <cellStyle name="RISKltandbEdge 2 2 4 2" xfId="31829" xr:uid="{14FBDBD5-D5DF-4ACE-B90F-30B3140FC38E}"/>
    <cellStyle name="RISKltandbEdge 2 2 5" xfId="10142" xr:uid="{D3E7E849-3401-4467-9757-D5453B08558F}"/>
    <cellStyle name="RISKltandbEdge 2 2 5 2" xfId="33806" xr:uid="{82FD1DC1-E750-4C3C-BCDB-F73B9D80E5E4}"/>
    <cellStyle name="RISKltandbEdge 2 2 6" xfId="7154" xr:uid="{B69330C6-4A95-48FA-A50F-078ED871EC33}"/>
    <cellStyle name="RISKltandbEdge 2 2 6 2" xfId="31521" xr:uid="{820BA1CF-51E9-4485-A13B-A1068510B116}"/>
    <cellStyle name="RISKltandbEdge 2 2 7" xfId="11824" xr:uid="{46F7639D-9A5D-408B-ADD2-DEC72ADD7E2E}"/>
    <cellStyle name="RISKltandbEdge 2 2 7 2" xfId="34436" xr:uid="{72DBB35E-29D3-4033-B0F7-A4B9E95ADC4E}"/>
    <cellStyle name="RISKltandbEdge 2 2 8" xfId="14726" xr:uid="{CAB2FDB8-602F-4E21-8650-85714345E9A4}"/>
    <cellStyle name="RISKltandbEdge 2 2 8 2" xfId="36638" xr:uid="{96C33994-DA4C-416F-8801-680D0E22C38D}"/>
    <cellStyle name="RISKltandbEdge 2 2 9" xfId="12474" xr:uid="{6842157B-43AA-4FD9-9E08-95541E06EC4E}"/>
    <cellStyle name="RISKltandbEdge 2 2 9 2" xfId="34920" xr:uid="{9074A1CD-75AC-4F29-88BD-7871BBB8C5D0}"/>
    <cellStyle name="RISKltandbEdge 2 20" xfId="22104" xr:uid="{E8CFA6C4-138A-4CC2-A58B-FCF9B589D31B}"/>
    <cellStyle name="RISKltandbEdge 2 20 2" xfId="41989" xr:uid="{BD2977BF-ADEB-4CAC-8CE7-3061EEE87544}"/>
    <cellStyle name="RISKltandbEdge 2 21" xfId="22815" xr:uid="{5E08CC21-4BB1-4C54-B64D-97D156E40114}"/>
    <cellStyle name="RISKltandbEdge 2 21 2" xfId="42551" xr:uid="{EDF30B35-7DDC-46AE-A045-A7439330ADC8}"/>
    <cellStyle name="RISKltandbEdge 2 22" xfId="21176" xr:uid="{CC1F8E77-A1B2-4F4D-BFC1-685F5A61C319}"/>
    <cellStyle name="RISKltandbEdge 2 22 2" xfId="41369" xr:uid="{AC958169-F91D-4E04-98E6-1C51E9FF426B}"/>
    <cellStyle name="RISKltandbEdge 2 23" xfId="23651" xr:uid="{03F66187-2DE4-46C3-85BF-14FFE90E3D27}"/>
    <cellStyle name="RISKltandbEdge 2 23 2" xfId="43075" xr:uid="{05955983-90BB-44AA-A483-DA33A6E6608D}"/>
    <cellStyle name="RISKltandbEdge 2 24" xfId="23827" xr:uid="{3C22A308-04C9-4DE6-85F2-BFE0BB2BBF5C}"/>
    <cellStyle name="RISKltandbEdge 2 24 2" xfId="43216" xr:uid="{9DDDC6B5-985B-492E-A2A5-E94EFFE383D6}"/>
    <cellStyle name="RISKltandbEdge 2 25" xfId="27930" xr:uid="{A43F4C5E-0055-4BD0-838A-6618FE1485C9}"/>
    <cellStyle name="RISKltandbEdge 2 25 2" xfId="46002" xr:uid="{C1FBCE86-9B78-4A79-AA5F-03325F1EE7B1}"/>
    <cellStyle name="RISKltandbEdge 2 26" xfId="26641" xr:uid="{9321F526-9BCD-4B54-942E-94DD47E514AE}"/>
    <cellStyle name="RISKltandbEdge 2 26 2" xfId="45191" xr:uid="{ACBC9D91-D38F-4EE8-863A-2CA5ADABA097}"/>
    <cellStyle name="RISKltandbEdge 2 27" xfId="26994" xr:uid="{066937E0-F714-4370-8DA0-2F6D83C6C06E}"/>
    <cellStyle name="RISKltandbEdge 2 27 2" xfId="45401" xr:uid="{EDC54EAC-C481-43ED-A37D-641EE1C4B5DF}"/>
    <cellStyle name="RISKltandbEdge 2 28" xfId="30438" xr:uid="{47F3CDDF-AEF7-48D8-AE55-E67B7B7D4A1F}"/>
    <cellStyle name="RISKltandbEdge 2 28 2" xfId="47488" xr:uid="{E8FFC1DF-B5E5-4464-ADB7-5288357316BC}"/>
    <cellStyle name="RISKltandbEdge 2 29" xfId="25890" xr:uid="{AC9FF624-B13D-497D-A55B-4919186D520B}"/>
    <cellStyle name="RISKltandbEdge 2 29 2" xfId="44697" xr:uid="{3AE1D073-A5CE-4C97-A11C-5100CCFFAD12}"/>
    <cellStyle name="RISKltandbEdge 2 3" xfId="3789" xr:uid="{3EA48DC4-7AEF-44FA-8694-06793F4A6E12}"/>
    <cellStyle name="RISKltandbEdge 2 3 10" xfId="15671" xr:uid="{11C6EF89-EED5-4CE6-8697-7E0F0BAF3DB2}"/>
    <cellStyle name="RISKltandbEdge 2 3 10 2" xfId="37314" xr:uid="{8002EF28-8E76-4E7B-B77D-4D5C9AE4FC84}"/>
    <cellStyle name="RISKltandbEdge 2 3 11" xfId="18107" xr:uid="{1F482BE7-A46A-496B-B0CF-DD7922C5E08A}"/>
    <cellStyle name="RISKltandbEdge 2 3 11 2" xfId="39181" xr:uid="{298CD06A-F189-45D2-B1DB-CB9FC3E02756}"/>
    <cellStyle name="RISKltandbEdge 2 3 12" xfId="15353" xr:uid="{C783DC10-5331-4F45-89D8-BB6C42073EFF}"/>
    <cellStyle name="RISKltandbEdge 2 3 12 2" xfId="37053" xr:uid="{9D5C9245-0996-4D03-BAE3-799443358697}"/>
    <cellStyle name="RISKltandbEdge 2 3 13" xfId="17190" xr:uid="{58AF87F5-720F-435F-BDB0-0D9EAF0E5460}"/>
    <cellStyle name="RISKltandbEdge 2 3 13 2" xfId="38519" xr:uid="{16478868-D45C-45B1-A3AF-D7F7AD809058}"/>
    <cellStyle name="RISKltandbEdge 2 3 14" xfId="22022" xr:uid="{C5DF337D-7980-4F67-8ECE-0677907AF64B}"/>
    <cellStyle name="RISKltandbEdge 2 3 14 2" xfId="41917" xr:uid="{5F4ED1F8-F7E9-4D35-B022-92A12301F887}"/>
    <cellStyle name="RISKltandbEdge 2 3 15" xfId="23271" xr:uid="{44083641-3353-401D-AEA2-383608038D2D}"/>
    <cellStyle name="RISKltandbEdge 2 3 15 2" xfId="42846" xr:uid="{CC329E83-864B-468F-BB88-29196D19588B}"/>
    <cellStyle name="RISKltandbEdge 2 3 16" xfId="24076" xr:uid="{9877004B-AF5A-4652-AC29-F05134D2984D}"/>
    <cellStyle name="RISKltandbEdge 2 3 16 2" xfId="43452" xr:uid="{C3EBC299-E99A-41D7-9A6D-E1ADAB10F80C}"/>
    <cellStyle name="RISKltandbEdge 2 3 17" xfId="22096" xr:uid="{A88F4F02-01D6-4902-B402-A098A8793F90}"/>
    <cellStyle name="RISKltandbEdge 2 3 17 2" xfId="41981" xr:uid="{08EF5B1E-311F-4BF5-A236-4032DD7F7265}"/>
    <cellStyle name="RISKltandbEdge 2 3 18" xfId="22814" xr:uid="{91651B2E-62CD-4785-B0FB-5D8D55914512}"/>
    <cellStyle name="RISKltandbEdge 2 3 18 2" xfId="42550" xr:uid="{441D8C27-79B8-4035-8509-606CE885E244}"/>
    <cellStyle name="RISKltandbEdge 2 3 19" xfId="22120" xr:uid="{423319CB-5C09-48B3-B84E-85E0D7FCC996}"/>
    <cellStyle name="RISKltandbEdge 2 3 19 2" xfId="42005" xr:uid="{C90BA6EE-248D-4071-A356-9F68ADF583E9}"/>
    <cellStyle name="RISKltandbEdge 2 3 2" xfId="11885" xr:uid="{22729535-0A15-41CD-A342-85993E22EC30}"/>
    <cellStyle name="RISKltandbEdge 2 3 2 2" xfId="34497" xr:uid="{2A948CC7-2F1D-4A45-8DF0-C1A9C28A07D9}"/>
    <cellStyle name="RISKltandbEdge 2 3 20" xfId="25411" xr:uid="{991867AE-7B33-4940-BA7C-5E9C81E518CA}"/>
    <cellStyle name="RISKltandbEdge 2 3 20 2" xfId="44303" xr:uid="{3D83E0E1-B160-4AC9-8D7F-9054176A7AD2}"/>
    <cellStyle name="RISKltandbEdge 2 3 21" xfId="23826" xr:uid="{2C8B543F-B9A1-4C8E-9BC9-33CA54DDD658}"/>
    <cellStyle name="RISKltandbEdge 2 3 21 2" xfId="43215" xr:uid="{D786612E-9888-470E-BEA7-1218D06AB9B3}"/>
    <cellStyle name="RISKltandbEdge 2 3 22" xfId="27928" xr:uid="{69A95EC9-AEBC-4798-ADC2-1EB9317164D4}"/>
    <cellStyle name="RISKltandbEdge 2 3 22 2" xfId="46000" xr:uid="{06BD265D-1246-4B3C-ADEE-A41890B88E68}"/>
    <cellStyle name="RISKltandbEdge 2 3 23" xfId="24230" xr:uid="{B9D0BF0E-609F-406E-86A4-D7DD8180227B}"/>
    <cellStyle name="RISKltandbEdge 2 3 23 2" xfId="43547" xr:uid="{B6AC1050-D19B-42BD-9BB1-C84463C5597B}"/>
    <cellStyle name="RISKltandbEdge 2 3 24" xfId="27589" xr:uid="{88AA5287-0BEF-4B78-8571-6C877BCF749E}"/>
    <cellStyle name="RISKltandbEdge 2 3 24 2" xfId="45738" xr:uid="{F38ADC87-0CC8-4B45-A37A-4A1CF6DC4C37}"/>
    <cellStyle name="RISKltandbEdge 2 3 25" xfId="30270" xr:uid="{685927ED-BD7A-4B4C-98B6-6D8C49DF931C}"/>
    <cellStyle name="RISKltandbEdge 2 3 25 2" xfId="47420" xr:uid="{3F68BC1E-9072-432C-B304-E68CF4346E38}"/>
    <cellStyle name="RISKltandbEdge 2 3 26" xfId="29808" xr:uid="{60376C07-EABB-420A-8371-3D5027D0DE95}"/>
    <cellStyle name="RISKltandbEdge 2 3 26 2" xfId="47127" xr:uid="{0B31D892-731B-45EC-B154-02B8AC8FE70E}"/>
    <cellStyle name="RISKltandbEdge 2 3 27" xfId="30730" xr:uid="{58BF3304-F29C-4E2A-9C4D-505BE2B44CE4}"/>
    <cellStyle name="RISKltandbEdge 2 3 27 2" xfId="47676" xr:uid="{507F76BF-2888-4DF5-AE89-7E9CA750756B}"/>
    <cellStyle name="RISKltandbEdge 2 3 28" xfId="25196" xr:uid="{8882CC89-78E0-44A2-8A3B-A56B822CF771}"/>
    <cellStyle name="RISKltandbEdge 2 3 28 2" xfId="44138" xr:uid="{E80EA89F-8C42-4413-BF65-624D40283142}"/>
    <cellStyle name="RISKltandbEdge 2 3 29" xfId="30637" xr:uid="{7092A71E-8B8E-4375-A272-3E9FEFFC18C3}"/>
    <cellStyle name="RISKltandbEdge 2 3 29 2" xfId="47583" xr:uid="{969A4D2D-6426-4F7A-8369-CA01430140AD}"/>
    <cellStyle name="RISKltandbEdge 2 3 3" xfId="13306" xr:uid="{F9E92F9C-1FBB-41B3-A131-EB665AF787AB}"/>
    <cellStyle name="RISKltandbEdge 2 3 3 2" xfId="35623" xr:uid="{0A02B39C-6C1A-4EA5-9498-989A06878B05}"/>
    <cellStyle name="RISKltandbEdge 2 3 30" xfId="6119" xr:uid="{8AD233E3-7EEA-4951-A6E0-49AB2D08D3FB}"/>
    <cellStyle name="RISKltandbEdge 2 3 4" xfId="7151" xr:uid="{10763E24-6E04-4BC3-9A62-1C13DE3B2BBC}"/>
    <cellStyle name="RISKltandbEdge 2 3 4 2" xfId="31518" xr:uid="{31398E81-D2A8-4B1B-A4A4-4AFFB1D465C3}"/>
    <cellStyle name="RISKltandbEdge 2 3 5" xfId="7422" xr:uid="{B9EA8F5E-C6AA-4DE5-967B-96D772108C9D}"/>
    <cellStyle name="RISKltandbEdge 2 3 5 2" xfId="31781" xr:uid="{26E8D48A-2095-4EDE-9D80-A8B554C8D24E}"/>
    <cellStyle name="RISKltandbEdge 2 3 6" xfId="12234" xr:uid="{621A71B9-8C22-4F54-8C9F-41B48E90E789}"/>
    <cellStyle name="RISKltandbEdge 2 3 6 2" xfId="34741" xr:uid="{F8300F1D-4219-48FB-AB9E-944F0348548A}"/>
    <cellStyle name="RISKltandbEdge 2 3 7" xfId="16673" xr:uid="{0E27BCBA-BFC7-488F-85DC-A55B8D58E6CC}"/>
    <cellStyle name="RISKltandbEdge 2 3 7 2" xfId="38164" xr:uid="{0B35B502-737E-47FD-89F4-46E2A370A6F4}"/>
    <cellStyle name="RISKltandbEdge 2 3 8" xfId="12708" xr:uid="{83318A0E-AE1D-48B0-84B2-1657ABDCF89A}"/>
    <cellStyle name="RISKltandbEdge 2 3 8 2" xfId="35121" xr:uid="{470816AD-9BF3-4A47-9530-9617B808B929}"/>
    <cellStyle name="RISKltandbEdge 2 3 9" xfId="12597" xr:uid="{7076DEAA-8B23-4ACF-9090-BD6C76FD002E}"/>
    <cellStyle name="RISKltandbEdge 2 3 9 2" xfId="35032" xr:uid="{0320C0EB-7029-4E19-B359-A1C3B8880EFF}"/>
    <cellStyle name="RISKltandbEdge 2 30" xfId="30732" xr:uid="{6B81E8CD-57CF-403C-A584-C6B33C270367}"/>
    <cellStyle name="RISKltandbEdge 2 30 2" xfId="47678" xr:uid="{1957229E-0F92-4A4B-82B6-D9948FCAD923}"/>
    <cellStyle name="RISKltandbEdge 2 31" xfId="29908" xr:uid="{14B7AD78-E442-4B05-9410-66BB822DE54E}"/>
    <cellStyle name="RISKltandbEdge 2 31 2" xfId="47196" xr:uid="{0D9151A4-64D9-45D4-98F9-35B0E5509F16}"/>
    <cellStyle name="RISKltandbEdge 2 32" xfId="30639" xr:uid="{C6FC13E0-FA64-4A4C-9D6D-BE61A0DE641B}"/>
    <cellStyle name="RISKltandbEdge 2 32 2" xfId="47585" xr:uid="{5656527A-153D-400B-A5CB-4B51A9B2FE19}"/>
    <cellStyle name="RISKltandbEdge 2 33" xfId="6123" xr:uid="{578872CF-591A-4812-B6E8-15D0D00D78D7}"/>
    <cellStyle name="RISKltandbEdge 2 4" xfId="3790" xr:uid="{A3FDA8B3-F15F-43C7-9153-BD0981F47FB0}"/>
    <cellStyle name="RISKltandbEdge 2 4 10" xfId="17262" xr:uid="{0940C9B2-F13A-40C3-AE20-6C6DEC62C96E}"/>
    <cellStyle name="RISKltandbEdge 2 4 10 2" xfId="38565" xr:uid="{30A11277-1E1A-4B8A-BF86-7D738B0E711D}"/>
    <cellStyle name="RISKltandbEdge 2 4 11" xfId="16212" xr:uid="{617C0ABE-B501-41A0-8819-4BFE584B8C98}"/>
    <cellStyle name="RISKltandbEdge 2 4 11 2" xfId="37766" xr:uid="{939419AB-D3C1-4B2C-9C98-4A51C07343C1}"/>
    <cellStyle name="RISKltandbEdge 2 4 12" xfId="18958" xr:uid="{40D2D772-E180-4F19-A272-527DC86AAE23}"/>
    <cellStyle name="RISKltandbEdge 2 4 12 2" xfId="39790" xr:uid="{BB2E5A56-7D9B-42C5-A061-451F482E950D}"/>
    <cellStyle name="RISKltandbEdge 2 4 13" xfId="19180" xr:uid="{2241FE68-BDCC-46D4-879A-07C89A79B41E}"/>
    <cellStyle name="RISKltandbEdge 2 4 13 2" xfId="39989" xr:uid="{89BC5AFF-CB97-457B-9FEC-D2C7B0DA981C}"/>
    <cellStyle name="RISKltandbEdge 2 4 14" xfId="17789" xr:uid="{54DEA4DA-6BF7-4112-B0C1-D32B904EBFE8}"/>
    <cellStyle name="RISKltandbEdge 2 4 14 2" xfId="38917" xr:uid="{F8986C5C-8216-4AE0-AF95-835481F70D6E}"/>
    <cellStyle name="RISKltandbEdge 2 4 15" xfId="20529" xr:uid="{BF01C7DB-2338-43BD-AD95-B71B1A5F19B1}"/>
    <cellStyle name="RISKltandbEdge 2 4 15 2" xfId="40909" xr:uid="{FD4A3DE3-A7B4-4368-9015-12ECFF7F9300}"/>
    <cellStyle name="RISKltandbEdge 2 4 16" xfId="20316" xr:uid="{B2F0FC62-418B-496E-8346-B454B4409A92}"/>
    <cellStyle name="RISKltandbEdge 2 4 16 2" xfId="40749" xr:uid="{EECBDAFB-2A1B-484A-96AC-4B96564B2D96}"/>
    <cellStyle name="RISKltandbEdge 2 4 17" xfId="17054" xr:uid="{A5F43E38-C2A9-4B99-BECC-DDC1ABC7A486}"/>
    <cellStyle name="RISKltandbEdge 2 4 17 2" xfId="38396" xr:uid="{9E9C75E4-9AFF-4C5F-8190-9EBB4888BD75}"/>
    <cellStyle name="RISKltandbEdge 2 4 18" xfId="24607" xr:uid="{72A30314-8D73-4163-BDEC-0D07FF149BA7}"/>
    <cellStyle name="RISKltandbEdge 2 4 18 2" xfId="43789" xr:uid="{24B1E867-48C2-4AC5-8C15-B05DCD9CD8DB}"/>
    <cellStyle name="RISKltandbEdge 2 4 19" xfId="21175" xr:uid="{1DC1172C-8870-41B1-AFD9-5407FBFB48AC}"/>
    <cellStyle name="RISKltandbEdge 2 4 19 2" xfId="41368" xr:uid="{C35AEDB7-FE23-4E60-8323-E1FBD15BD341}"/>
    <cellStyle name="RISKltandbEdge 2 4 2" xfId="7469" xr:uid="{E84326A8-8098-476A-8E49-5E60289BA836}"/>
    <cellStyle name="RISKltandbEdge 2 4 2 2" xfId="31827" xr:uid="{C94E3D64-8D61-422A-9B46-4CF80A0FC032}"/>
    <cellStyle name="RISKltandbEdge 2 4 20" xfId="26676" xr:uid="{B1E88D19-5FD8-401D-A3B5-A0137ECC0C65}"/>
    <cellStyle name="RISKltandbEdge 2 4 20 2" xfId="45225" xr:uid="{F3E26279-AAB8-4784-907A-7FBA16420D6A}"/>
    <cellStyle name="RISKltandbEdge 2 4 21" xfId="18555" xr:uid="{7786A49C-543A-46AB-8F94-3719BC22D631}"/>
    <cellStyle name="RISKltandbEdge 2 4 21 2" xfId="39499" xr:uid="{81599238-976C-45A1-A933-90876638FA3D}"/>
    <cellStyle name="RISKltandbEdge 2 4 22" xfId="25822" xr:uid="{DCFB0D06-7D0B-4255-BD2C-6F49E3EA1B7E}"/>
    <cellStyle name="RISKltandbEdge 2 4 22 2" xfId="44647" xr:uid="{B04B8826-6F47-4A28-BA43-1EEBB8234394}"/>
    <cellStyle name="RISKltandbEdge 2 4 23" xfId="26639" xr:uid="{6025011F-7A3C-4139-9FB2-49BE700F0029}"/>
    <cellStyle name="RISKltandbEdge 2 4 23 2" xfId="45189" xr:uid="{D5510A26-1D94-430D-A8F2-7D472B544611}"/>
    <cellStyle name="RISKltandbEdge 2 4 24" xfId="28316" xr:uid="{2DA7E1B5-4526-4E5C-9137-0BD5F84C4914}"/>
    <cellStyle name="RISKltandbEdge 2 4 24 2" xfId="46183" xr:uid="{C5074614-DD17-48E7-B1F7-FFEB25BED2C7}"/>
    <cellStyle name="RISKltandbEdge 2 4 25" xfId="27072" xr:uid="{F4A10F4A-31E0-4348-9E7A-54904B22BD3F}"/>
    <cellStyle name="RISKltandbEdge 2 4 25 2" xfId="45465" xr:uid="{3E1123C2-0788-4AC7-8C33-F72BD4A8B127}"/>
    <cellStyle name="RISKltandbEdge 2 4 26" xfId="29246" xr:uid="{BB4D9C61-0219-449A-BAB1-BC2006AF11FD}"/>
    <cellStyle name="RISKltandbEdge 2 4 26 2" xfId="46764" xr:uid="{1E5F02F3-027D-4C00-90BF-6D787A364277}"/>
    <cellStyle name="RISKltandbEdge 2 4 27" xfId="29094" xr:uid="{0C530962-E0F1-493D-BD80-29D4AF14291D}"/>
    <cellStyle name="RISKltandbEdge 2 4 27 2" xfId="46663" xr:uid="{C80E3F00-8D05-4E40-8ED0-AF29BAB9A302}"/>
    <cellStyle name="RISKltandbEdge 2 4 28" xfId="28911" xr:uid="{58F5721B-73AC-4FDB-9FEF-B2EBEED6AB99}"/>
    <cellStyle name="RISKltandbEdge 2 4 28 2" xfId="46515" xr:uid="{642216C7-472E-4AC4-9292-B53FE4AFD325}"/>
    <cellStyle name="RISKltandbEdge 2 4 29" xfId="31100" xr:uid="{F878D8DA-ED9C-472D-85E6-239946560498}"/>
    <cellStyle name="RISKltandbEdge 2 4 29 2" xfId="47830" xr:uid="{85FA6A4C-E30D-426E-A439-C938B55D9F0A}"/>
    <cellStyle name="RISKltandbEdge 2 4 3" xfId="10145" xr:uid="{5B8FE1B2-FDEF-488B-AE94-3466F8DC0DB6}"/>
    <cellStyle name="RISKltandbEdge 2 4 3 2" xfId="33809" xr:uid="{9331560E-2DCF-464A-9986-E0CD3E56EEE9}"/>
    <cellStyle name="RISKltandbEdge 2 4 30" xfId="6118" xr:uid="{2C714E16-330B-4B51-98A4-8FAA8A9AF5FD}"/>
    <cellStyle name="RISKltandbEdge 2 4 4" xfId="7150" xr:uid="{397239DB-0BED-43D2-9D1C-6A38D43AE338}"/>
    <cellStyle name="RISKltandbEdge 2 4 4 2" xfId="31517" xr:uid="{1B5F5FE0-9459-4907-A8F9-8FE6BA4DFABF}"/>
    <cellStyle name="RISKltandbEdge 2 4 5" xfId="11841" xr:uid="{FE524C52-7E55-4D3E-8DD3-03C29D13DC00}"/>
    <cellStyle name="RISKltandbEdge 2 4 5 2" xfId="34453" xr:uid="{C27504D8-D98A-47AE-8433-01CA3E1DA821}"/>
    <cellStyle name="RISKltandbEdge 2 4 6" xfId="14724" xr:uid="{79C53FCF-5374-4265-B887-73978361CF0B}"/>
    <cellStyle name="RISKltandbEdge 2 4 6 2" xfId="36636" xr:uid="{367DBED4-24E3-4F6E-939A-71F9A6B8EE70}"/>
    <cellStyle name="RISKltandbEdge 2 4 7" xfId="12477" xr:uid="{AAE94F77-7128-4A64-933E-5A52E5D97C09}"/>
    <cellStyle name="RISKltandbEdge 2 4 7 2" xfId="34923" xr:uid="{4EEB1F74-03E4-49A2-AD86-7B3D2B72BA06}"/>
    <cellStyle name="RISKltandbEdge 2 4 8" xfId="17544" xr:uid="{9A7441A7-F416-42E5-BBBC-2468CB597426}"/>
    <cellStyle name="RISKltandbEdge 2 4 8 2" xfId="38791" xr:uid="{873A4B21-1C7F-4ED5-A08F-3D03E5D57BF4}"/>
    <cellStyle name="RISKltandbEdge 2 4 9" xfId="18394" xr:uid="{EE31095F-9D9C-439A-B9B6-9C26BB1203E0}"/>
    <cellStyle name="RISKltandbEdge 2 4 9 2" xfId="39405" xr:uid="{297C4360-1FE8-498C-9577-51E9EBBC1213}"/>
    <cellStyle name="RISKltandbEdge 2 5" xfId="11887" xr:uid="{B5F211F1-E6E0-4493-AF87-97519C76F911}"/>
    <cellStyle name="RISKltandbEdge 2 5 2" xfId="34499" xr:uid="{D0DE3A69-49AE-4C16-B7CD-F100175BBA46}"/>
    <cellStyle name="RISKltandbEdge 2 6" xfId="13308" xr:uid="{71C7E8FE-6DE0-4A18-A311-CD88F73BDD9F}"/>
    <cellStyle name="RISKltandbEdge 2 6 2" xfId="35625" xr:uid="{BBD2FBB5-B451-4A8A-936C-D9AB621C0E10}"/>
    <cellStyle name="RISKltandbEdge 2 7" xfId="7155" xr:uid="{96EF346F-9B46-4EC5-B97F-7042416DD923}"/>
    <cellStyle name="RISKltandbEdge 2 7 2" xfId="31522" xr:uid="{026E04A8-3E68-49FD-92FB-0BA5CE8A1E9C}"/>
    <cellStyle name="RISKltandbEdge 2 8" xfId="11843" xr:uid="{B6B5D85F-5BB9-41C4-9F76-53810B64A95F}"/>
    <cellStyle name="RISKltandbEdge 2 8 2" xfId="34455" xr:uid="{7DFA1776-A7DC-48FE-9CA5-EB922638B84E}"/>
    <cellStyle name="RISKltandbEdge 2 9" xfId="15998" xr:uid="{71E5843E-58EB-4316-BAA8-2BF9DC65A43F}"/>
    <cellStyle name="RISKltandbEdge 2 9 2" xfId="37581" xr:uid="{B403FC99-9330-4CE8-95F5-10F6C319ED78}"/>
    <cellStyle name="RISKltandbEdge 20" xfId="18110" xr:uid="{18DB9F8F-8820-460E-99AE-4788A63F53DC}"/>
    <cellStyle name="RISKltandbEdge 20 2" xfId="39184" xr:uid="{EA0C46D2-633A-4C2D-A6E2-FA580599658B}"/>
    <cellStyle name="RISKltandbEdge 21" xfId="18531" xr:uid="{46B8DC84-CBAF-46BD-9C37-F9E8DDFEEEE3}"/>
    <cellStyle name="RISKltandbEdge 21 2" xfId="39483" xr:uid="{39B2574F-1E86-4282-A720-98EAAF34086F}"/>
    <cellStyle name="RISKltandbEdge 22" xfId="19183" xr:uid="{56FD57B1-9519-4887-93BB-CC695CDBB272}"/>
    <cellStyle name="RISKltandbEdge 22 2" xfId="39992" xr:uid="{09B4C093-A295-4D07-8F20-454C3EC5E4A6}"/>
    <cellStyle name="RISKltandbEdge 23" xfId="19549" xr:uid="{33899F25-5EB2-42F3-8B73-7D3E1B0EFECF}"/>
    <cellStyle name="RISKltandbEdge 23 2" xfId="40212" xr:uid="{47BB4C00-A2D0-41A4-9321-6E2281D9BDD2}"/>
    <cellStyle name="RISKltandbEdge 24" xfId="20532" xr:uid="{F4132D0D-DBBA-42FB-95F8-208987885E85}"/>
    <cellStyle name="RISKltandbEdge 24 2" xfId="40912" xr:uid="{0EB7FB68-1727-4F59-91D4-3381EA1FC7D5}"/>
    <cellStyle name="RISKltandbEdge 25" xfId="20938" xr:uid="{774261CF-06A1-4238-9706-92593D8767FE}"/>
    <cellStyle name="RISKltandbEdge 25 2" xfId="41239" xr:uid="{3FA56F21-CE86-4367-BA52-BF2D34A66C4E}"/>
    <cellStyle name="RISKltandbEdge 26" xfId="21198" xr:uid="{085D60D3-F49B-4B3D-BC3E-7075F262FE28}"/>
    <cellStyle name="RISKltandbEdge 26 2" xfId="41391" xr:uid="{4422F96F-DCE7-4C03-851E-054D2194D087}"/>
    <cellStyle name="RISKltandbEdge 27" xfId="20376" xr:uid="{69ACE307-D042-460A-A425-B44448349A6F}"/>
    <cellStyle name="RISKltandbEdge 27 2" xfId="40803" xr:uid="{B9E357B3-911D-490A-B0FE-5E265706A0EF}"/>
    <cellStyle name="RISKltandbEdge 28" xfId="25689" xr:uid="{889504E7-7621-4079-B5D6-7E78DB314C32}"/>
    <cellStyle name="RISKltandbEdge 28 2" xfId="44526" xr:uid="{8B21B84B-0636-4ED2-A7A7-BA0504FAFF05}"/>
    <cellStyle name="RISKltandbEdge 29" xfId="25811" xr:uid="{D9408C5C-C23A-49BB-90BF-97765EC1C1D0}"/>
    <cellStyle name="RISKltandbEdge 29 2" xfId="44637" xr:uid="{A6DED1BB-D937-42C1-8122-F7D15400EDE6}"/>
    <cellStyle name="RISKltandbEdge 3" xfId="3791" xr:uid="{AB68544C-70BF-4FD9-A958-A728392EA892}"/>
    <cellStyle name="RISKltandbEdge 3 10" xfId="13691" xr:uid="{3EFF8E65-FDFD-4328-9115-D3941661345F}"/>
    <cellStyle name="RISKltandbEdge 3 10 2" xfId="35847" xr:uid="{4ED6568A-54C9-418B-A2DB-80FE4C9AD1D5}"/>
    <cellStyle name="RISKltandbEdge 3 11" xfId="16350" xr:uid="{F6F1163F-0E54-4264-9FA9-3382D36D9232}"/>
    <cellStyle name="RISKltandbEdge 3 11 2" xfId="37878" xr:uid="{F0954585-5786-4FD8-BA1A-88FB7849F0AA}"/>
    <cellStyle name="RISKltandbEdge 3 12" xfId="14528" xr:uid="{B1A2F189-9A1B-408B-8350-18DAABF10903}"/>
    <cellStyle name="RISKltandbEdge 3 12 2" xfId="36465" xr:uid="{76FBC0F8-8982-42EC-9FA0-C70FBAC12557}"/>
    <cellStyle name="RISKltandbEdge 3 13" xfId="18106" xr:uid="{3A7B8887-61EB-4495-8AD7-6F99CD5D76B3}"/>
    <cellStyle name="RISKltandbEdge 3 13 2" xfId="39180" xr:uid="{571338FA-0153-4774-8866-D6ECDCC3A463}"/>
    <cellStyle name="RISKltandbEdge 3 14" xfId="17079" xr:uid="{27AE4232-6A01-45A3-A35D-44538DB6C758}"/>
    <cellStyle name="RISKltandbEdge 3 14 2" xfId="38418" xr:uid="{C7947FFA-D6F3-42E1-BA49-710BBA69B21A}"/>
    <cellStyle name="RISKltandbEdge 3 15" xfId="14542" xr:uid="{5E77E8F4-F0B2-41C3-BF59-D52F70404A11}"/>
    <cellStyle name="RISKltandbEdge 3 15 2" xfId="36475" xr:uid="{FDED6934-FEEB-4B7F-8E8E-4D259EBEB7DE}"/>
    <cellStyle name="RISKltandbEdge 3 16" xfId="18639" xr:uid="{C1F5A5E6-B836-4131-86E0-540578857B82}"/>
    <cellStyle name="RISKltandbEdge 3 16 2" xfId="39536" xr:uid="{77FF3A37-EC60-40E1-8CE7-0735B4C5A99F}"/>
    <cellStyle name="RISKltandbEdge 3 17" xfId="23270" xr:uid="{34115F35-78FD-4204-BB69-D8532B770281}"/>
    <cellStyle name="RISKltandbEdge 3 17 2" xfId="42845" xr:uid="{AB2D55E4-6520-480E-BD6E-AA65BD50923A}"/>
    <cellStyle name="RISKltandbEdge 3 18" xfId="24075" xr:uid="{20C5E7E7-DE0B-4975-80FA-7AF635C66006}"/>
    <cellStyle name="RISKltandbEdge 3 18 2" xfId="43451" xr:uid="{D3AD137F-C023-487C-8E86-3FA0015D3872}"/>
    <cellStyle name="RISKltandbEdge 3 19" xfId="17862" xr:uid="{D83AB994-FC3C-4B83-9AE0-3F7CC4E877AD}"/>
    <cellStyle name="RISKltandbEdge 3 19 2" xfId="38978" xr:uid="{08FD6977-A8BC-4309-B0BA-9FF13DF99015}"/>
    <cellStyle name="RISKltandbEdge 3 2" xfId="3792" xr:uid="{20643178-FD38-4325-865F-80DA46D6E934}"/>
    <cellStyle name="RISKltandbEdge 3 2 10" xfId="12675" xr:uid="{A246EFB9-FE82-463E-BA30-00478E9FF919}"/>
    <cellStyle name="RISKltandbEdge 3 2 10 2" xfId="35096" xr:uid="{0EDB046F-F736-4FC2-B0D4-932DA3F636EA}"/>
    <cellStyle name="RISKltandbEdge 3 2 11" xfId="12633" xr:uid="{7C37E14C-1AF6-48E2-9655-442D640354D1}"/>
    <cellStyle name="RISKltandbEdge 3 2 11 2" xfId="35061" xr:uid="{5ED62773-9DC3-40C8-BD64-543BA9E46C9C}"/>
    <cellStyle name="RISKltandbEdge 3 2 12" xfId="20765" xr:uid="{A5A718A9-55DD-4418-9B83-752AE5CC20DD}"/>
    <cellStyle name="RISKltandbEdge 3 2 12 2" xfId="41125" xr:uid="{0C3CB5C0-0E65-4268-8EA6-DC5081FB5FFB}"/>
    <cellStyle name="RISKltandbEdge 3 2 13" xfId="19179" xr:uid="{F6B99346-AC58-477D-9519-F3C940E23313}"/>
    <cellStyle name="RISKltandbEdge 3 2 13 2" xfId="39988" xr:uid="{3D11A838-A74E-4BAA-93D6-9DBB317B7A79}"/>
    <cellStyle name="RISKltandbEdge 3 2 14" xfId="21269" xr:uid="{1C73E27A-5142-4650-8135-E8290DD15A8E}"/>
    <cellStyle name="RISKltandbEdge 3 2 14 2" xfId="41450" xr:uid="{2BB9F3E4-B5AA-43EE-8BFD-97E9345B2003}"/>
    <cellStyle name="RISKltandbEdge 3 2 15" xfId="15382" xr:uid="{8698B187-6E25-4F99-B55A-D79CF32A8755}"/>
    <cellStyle name="RISKltandbEdge 3 2 15 2" xfId="37080" xr:uid="{756F1E39-CB92-476B-8F82-E346A6DDDB3B}"/>
    <cellStyle name="RISKltandbEdge 3 2 16" xfId="20940" xr:uid="{B6C0BE99-65DA-4A4E-BBCF-2B6C3EB69E7A}"/>
    <cellStyle name="RISKltandbEdge 3 2 16 2" xfId="41241" xr:uid="{3FCE28D8-96FE-4B1F-A864-6D6866D75271}"/>
    <cellStyle name="RISKltandbEdge 3 2 17" xfId="21196" xr:uid="{5CE2FFE9-68BF-47D8-9262-D5DF3A2AC317}"/>
    <cellStyle name="RISKltandbEdge 3 2 17 2" xfId="41389" xr:uid="{F47346CD-460B-4ED3-90A3-FDCC35B440A1}"/>
    <cellStyle name="RISKltandbEdge 3 2 18" xfId="24209" xr:uid="{C0FD75C4-8141-4B36-957C-E3D57615430D}"/>
    <cellStyle name="RISKltandbEdge 3 2 18 2" xfId="43530" xr:uid="{2E2375F3-A63A-4E54-9C33-81050BAFD853}"/>
    <cellStyle name="RISKltandbEdge 3 2 19" xfId="22121" xr:uid="{020750DD-C67F-4861-B530-FB65EF65D7B1}"/>
    <cellStyle name="RISKltandbEdge 3 2 19 2" xfId="42006" xr:uid="{666EFACB-D0E3-4720-A56B-B150CC91A3C7}"/>
    <cellStyle name="RISKltandbEdge 3 2 2" xfId="7468" xr:uid="{B5479C3C-9757-47FF-8D4F-FCBCAA11FB06}"/>
    <cellStyle name="RISKltandbEdge 3 2 2 2" xfId="31826" xr:uid="{2C05D9D8-7B25-4EAB-9FD4-A1B38704A173}"/>
    <cellStyle name="RISKltandbEdge 3 2 20" xfId="25421" xr:uid="{1248F4A2-3E05-42E9-80FC-2322FEF2B3CD}"/>
    <cellStyle name="RISKltandbEdge 3 2 20 2" xfId="44312" xr:uid="{BF42649A-B1BA-438F-BB29-7BD3D220E634}"/>
    <cellStyle name="RISKltandbEdge 3 2 21" xfId="26243" xr:uid="{1FD1D290-7F67-4041-8CF2-519D5BCB133A}"/>
    <cellStyle name="RISKltandbEdge 3 2 21 2" xfId="44952" xr:uid="{2E81AA66-1FBB-45D9-A806-3FA15A1B88EA}"/>
    <cellStyle name="RISKltandbEdge 3 2 22" xfId="25054" xr:uid="{6CE17C86-B3A7-4A0F-AF9E-AE18E9C6310E}"/>
    <cellStyle name="RISKltandbEdge 3 2 22 2" xfId="44081" xr:uid="{116ACC57-6F6A-4100-A1E1-1B03867781E6}"/>
    <cellStyle name="RISKltandbEdge 3 2 23" xfId="26638" xr:uid="{EE3F30A2-A0DA-4626-9D16-BFA8EC14E89A}"/>
    <cellStyle name="RISKltandbEdge 3 2 23 2" xfId="45188" xr:uid="{68F3CB4A-9AA3-44E3-845F-AF665666352F}"/>
    <cellStyle name="RISKltandbEdge 3 2 24" xfId="26040" xr:uid="{2484EF73-9539-4943-86D3-304772DE1D1D}"/>
    <cellStyle name="RISKltandbEdge 3 2 24 2" xfId="44810" xr:uid="{CCB2DEEB-357B-44FF-9F94-468C831C6142}"/>
    <cellStyle name="RISKltandbEdge 3 2 25" xfId="28420" xr:uid="{1DAC46C5-EDBD-4E00-9188-CA782DB09F57}"/>
    <cellStyle name="RISKltandbEdge 3 2 25 2" xfId="46267" xr:uid="{7C3535B7-8715-4EF8-B088-CD5BFD296223}"/>
    <cellStyle name="RISKltandbEdge 3 2 26" xfId="26546" xr:uid="{425CCB56-28AD-49E0-AF42-8544CC91C85B}"/>
    <cellStyle name="RISKltandbEdge 3 2 26 2" xfId="45119" xr:uid="{839B2990-96CE-4C95-9FAE-E6953E43A9F9}"/>
    <cellStyle name="RISKltandbEdge 3 2 27" xfId="30253" xr:uid="{FA979031-E857-4DAD-A2D4-530EDCC7383A}"/>
    <cellStyle name="RISKltandbEdge 3 2 27 2" xfId="47414" xr:uid="{D4B0FA36-F70A-4E87-8AA2-0CD31F408348}"/>
    <cellStyle name="RISKltandbEdge 3 2 28" xfId="28132" xr:uid="{450CAFC7-A55E-4C6E-B562-B5E2188DD3EE}"/>
    <cellStyle name="RISKltandbEdge 3 2 28 2" xfId="46072" xr:uid="{C1A037FD-EC3E-4225-A0F8-2FE762794C7E}"/>
    <cellStyle name="RISKltandbEdge 3 2 29" xfId="31099" xr:uid="{81E5380A-50A3-4318-BA85-13F8E45154CB}"/>
    <cellStyle name="RISKltandbEdge 3 2 29 2" xfId="47829" xr:uid="{3CA153F0-BCF9-424C-99F6-2D2123B14B58}"/>
    <cellStyle name="RISKltandbEdge 3 2 3" xfId="10146" xr:uid="{77A011D6-C796-45AF-B6AF-F72A41A765C9}"/>
    <cellStyle name="RISKltandbEdge 3 2 3 2" xfId="33810" xr:uid="{D16A60A9-0701-4631-A859-6CE5F2269623}"/>
    <cellStyle name="RISKltandbEdge 3 2 30" xfId="6116" xr:uid="{F85AEAA0-D4AA-49E6-9738-745D4298EF4F}"/>
    <cellStyle name="RISKltandbEdge 3 2 4" xfId="7148" xr:uid="{DA37C889-7B83-448D-B5B4-372AE7A429EB}"/>
    <cellStyle name="RISKltandbEdge 3 2 4 2" xfId="31515" xr:uid="{5A4F23D2-1EB0-4B50-957F-4E47B3E8E84F}"/>
    <cellStyle name="RISKltandbEdge 3 2 5" xfId="11840" xr:uid="{C87EC2C2-0BBD-473F-ACEE-C9E916738BC1}"/>
    <cellStyle name="RISKltandbEdge 3 2 5 2" xfId="34452" xr:uid="{B185D869-376A-4C5F-973B-8B4C9C23BE4F}"/>
    <cellStyle name="RISKltandbEdge 3 2 6" xfId="12235" xr:uid="{6106FEE3-DE5F-4998-8CE9-49299FF793F0}"/>
    <cellStyle name="RISKltandbEdge 3 2 6 2" xfId="34742" xr:uid="{F5003C3D-3922-40E3-8CD5-0D77844F3FCE}"/>
    <cellStyle name="RISKltandbEdge 3 2 7" xfId="15116" xr:uid="{4619425A-3630-4FEF-91EA-B5CCEB1C63C6}"/>
    <cellStyle name="RISKltandbEdge 3 2 7 2" xfId="36942" xr:uid="{FEB91DAC-1F6F-4BAE-B4FE-F5FDEB9AE2EA}"/>
    <cellStyle name="RISKltandbEdge 3 2 8" xfId="17543" xr:uid="{F092F79C-9C6A-4F7A-8ED8-7BC1F45E5C3E}"/>
    <cellStyle name="RISKltandbEdge 3 2 8 2" xfId="38790" xr:uid="{CC33F898-28F0-4DA7-B4CE-3FFA0DF6CF2D}"/>
    <cellStyle name="RISKltandbEdge 3 2 9" xfId="18393" xr:uid="{F46259ED-137A-4745-86EA-5E9400CCD3BA}"/>
    <cellStyle name="RISKltandbEdge 3 2 9 2" xfId="39404" xr:uid="{7834D622-B236-4CC8-84DC-426147FC10D8}"/>
    <cellStyle name="RISKltandbEdge 3 20" xfId="21731" xr:uid="{49D1C75E-92FB-4443-A705-A72D083EB37C}"/>
    <cellStyle name="RISKltandbEdge 3 20 2" xfId="41753" xr:uid="{A911EA69-6CFD-4EC3-9395-362C3BF039C0}"/>
    <cellStyle name="RISKltandbEdge 3 21" xfId="17815" xr:uid="{B7015E7C-8C59-4293-9316-D6B39ADD52E7}"/>
    <cellStyle name="RISKltandbEdge 3 21 2" xfId="38940" xr:uid="{7E44C4F7-7D52-4C42-91B4-DEB79B1D88D7}"/>
    <cellStyle name="RISKltandbEdge 3 22" xfId="22254" xr:uid="{C2540524-46F2-4290-BC6A-0053D0F80615}"/>
    <cellStyle name="RISKltandbEdge 3 22 2" xfId="42124" xr:uid="{94AB462D-B97B-459E-BA59-BC679E11EBBF}"/>
    <cellStyle name="RISKltandbEdge 3 23" xfId="23825" xr:uid="{BAD7BFB2-8BBB-4106-90C2-D1B36A789F1E}"/>
    <cellStyle name="RISKltandbEdge 3 23 2" xfId="43214" xr:uid="{A9952B78-F50B-4475-9DF7-942C90912A97}"/>
    <cellStyle name="RISKltandbEdge 3 24" xfId="27927" xr:uid="{4A48D3B3-F021-4FD8-9164-F7D84997279E}"/>
    <cellStyle name="RISKltandbEdge 3 24 2" xfId="45999" xr:uid="{F2337CDD-62AB-4D72-807B-08316DF13C53}"/>
    <cellStyle name="RISKltandbEdge 3 25" xfId="25812" xr:uid="{F7106464-41C5-485C-817A-15B80F22EAC9}"/>
    <cellStyle name="RISKltandbEdge 3 25 2" xfId="44638" xr:uid="{1FC8D766-D5CB-4CA5-973D-06D9A6C4A623}"/>
    <cellStyle name="RISKltandbEdge 3 26" xfId="28967" xr:uid="{1B66B1C6-180A-4450-B6D4-EC072650A621}"/>
    <cellStyle name="RISKltandbEdge 3 26 2" xfId="46561" xr:uid="{AB3A0334-1091-4890-89F2-119B0D99F1B5}"/>
    <cellStyle name="RISKltandbEdge 3 27" xfId="29541" xr:uid="{818037E8-9C1E-4A47-B4C4-C050578F4A41}"/>
    <cellStyle name="RISKltandbEdge 3 27 2" xfId="46942" xr:uid="{5B490D6F-5017-4D03-993E-5A394147269C}"/>
    <cellStyle name="RISKltandbEdge 3 28" xfId="29710" xr:uid="{2827B757-3E9D-4EDF-9B06-7B7D03642F6C}"/>
    <cellStyle name="RISKltandbEdge 3 28 2" xfId="47055" xr:uid="{F43343E9-20AF-49A6-8ECD-9A131AB6B513}"/>
    <cellStyle name="RISKltandbEdge 3 29" xfId="30729" xr:uid="{67745741-148D-499D-8C53-91E1E3FADBF9}"/>
    <cellStyle name="RISKltandbEdge 3 29 2" xfId="47675" xr:uid="{2D0A230C-5739-464C-B064-5EFA37B872CF}"/>
    <cellStyle name="RISKltandbEdge 3 3" xfId="3793" xr:uid="{E7DD0BB9-FF98-48A6-B065-62F2BA124440}"/>
    <cellStyle name="RISKltandbEdge 3 3 10" xfId="17260" xr:uid="{AD5F7765-6DDA-4A57-BD99-9A7E55A694FD}"/>
    <cellStyle name="RISKltandbEdge 3 3 10 2" xfId="38564" xr:uid="{251A0E6D-72D0-4C44-A8B1-1033565DAE2E}"/>
    <cellStyle name="RISKltandbEdge 3 3 11" xfId="18105" xr:uid="{A2AD575B-84C7-4754-B0D4-926F2FCA2384}"/>
    <cellStyle name="RISKltandbEdge 3 3 11 2" xfId="39179" xr:uid="{3F9809A0-D21F-4613-9EA7-C04657456921}"/>
    <cellStyle name="RISKltandbEdge 3 3 12" xfId="16101" xr:uid="{CB112C08-65FE-4317-A54B-23E832EDE18E}"/>
    <cellStyle name="RISKltandbEdge 3 3 12 2" xfId="37671" xr:uid="{53CFE50D-B50D-49F4-B0BB-2A57AD653CEF}"/>
    <cellStyle name="RISKltandbEdge 3 3 13" xfId="17189" xr:uid="{F4358D18-25E4-404B-8272-8696A77E4B71}"/>
    <cellStyle name="RISKltandbEdge 3 3 13 2" xfId="38518" xr:uid="{761287F8-F89A-4CAC-8FD0-4C36BEE0AFE9}"/>
    <cellStyle name="RISKltandbEdge 3 3 14" xfId="22023" xr:uid="{6726CBDB-14A7-415A-B9E4-24C5DDF669F4}"/>
    <cellStyle name="RISKltandbEdge 3 3 14 2" xfId="41918" xr:uid="{B3992A92-48B9-45AF-B420-34B1BEEA4861}"/>
    <cellStyle name="RISKltandbEdge 3 3 15" xfId="23269" xr:uid="{838853BF-C7C7-4AC2-8A7A-E209C0B7506A}"/>
    <cellStyle name="RISKltandbEdge 3 3 15 2" xfId="42844" xr:uid="{393B628E-938D-4213-9252-BBDCCA40D21C}"/>
    <cellStyle name="RISKltandbEdge 3 3 16" xfId="24074" xr:uid="{8CD7B52E-365F-4090-A4E7-5029AB009451}"/>
    <cellStyle name="RISKltandbEdge 3 3 16 2" xfId="43450" xr:uid="{905E0137-84FC-42B8-97F4-63957D06B7E1}"/>
    <cellStyle name="RISKltandbEdge 3 3 17" xfId="22097" xr:uid="{3B9EA381-ECAA-4D98-9221-D032D9F9F002}"/>
    <cellStyle name="RISKltandbEdge 3 3 17 2" xfId="41982" xr:uid="{ADDFEC44-76D0-4CA4-BC94-05CE6E591454}"/>
    <cellStyle name="RISKltandbEdge 3 3 18" xfId="23555" xr:uid="{FA404610-C314-485C-8E84-60F14159580B}"/>
    <cellStyle name="RISKltandbEdge 3 3 18 2" xfId="42995" xr:uid="{91F6A509-15FC-4569-9528-67B70157AE16}"/>
    <cellStyle name="RISKltandbEdge 3 3 19" xfId="21174" xr:uid="{B6D7AEBD-ED24-4103-8482-CDD8929F1262}"/>
    <cellStyle name="RISKltandbEdge 3 3 19 2" xfId="41367" xr:uid="{47AFDEF8-CD05-461F-9F1F-ABE09F9BDAFF}"/>
    <cellStyle name="RISKltandbEdge 3 3 2" xfId="11883" xr:uid="{4E220E80-EACF-4738-9DA2-230BD30F635D}"/>
    <cellStyle name="RISKltandbEdge 3 3 2 2" xfId="34495" xr:uid="{491E867C-FEBB-46C4-B22A-C1C383150705}"/>
    <cellStyle name="RISKltandbEdge 3 3 20" xfId="26675" xr:uid="{751E2390-77EB-4FCF-9CB6-A6588D1C663F}"/>
    <cellStyle name="RISKltandbEdge 3 3 20 2" xfId="45224" xr:uid="{C3083156-B904-42AA-A3A9-F6033FCD8977}"/>
    <cellStyle name="RISKltandbEdge 3 3 21" xfId="20287" xr:uid="{8F4C6D27-DD73-4616-A21F-E088BD28C5B2}"/>
    <cellStyle name="RISKltandbEdge 3 3 21 2" xfId="40724" xr:uid="{BA986F28-B611-441E-8723-284E151C86C0}"/>
    <cellStyle name="RISKltandbEdge 3 3 22" xfId="25492" xr:uid="{4D086891-98C5-4FA5-8891-675CB2391F10}"/>
    <cellStyle name="RISKltandbEdge 3 3 22 2" xfId="44370" xr:uid="{25F5992D-BD8B-4EF1-B029-695E6C8372AC}"/>
    <cellStyle name="RISKltandbEdge 3 3 23" xfId="23656" xr:uid="{EAADE06D-C82B-493F-8523-5D0BEEB985D3}"/>
    <cellStyle name="RISKltandbEdge 3 3 23 2" xfId="43080" xr:uid="{5BD6CDF6-F151-4789-9162-A2757AB6A4F3}"/>
    <cellStyle name="RISKltandbEdge 3 3 24" xfId="26993" xr:uid="{B4022E84-11F8-4901-8E60-15C388705B7E}"/>
    <cellStyle name="RISKltandbEdge 3 3 24 2" xfId="45400" xr:uid="{BB327AF1-D6CB-44E1-95C2-E5694FBFDC5B}"/>
    <cellStyle name="RISKltandbEdge 3 3 25" xfId="29330" xr:uid="{C8141C87-55B9-4D24-A52C-0DDC43B28652}"/>
    <cellStyle name="RISKltandbEdge 3 3 25 2" xfId="46808" xr:uid="{099F7975-07D6-4C3D-A529-D0C2A6B50357}"/>
    <cellStyle name="RISKltandbEdge 3 3 26" xfId="29911" xr:uid="{87498A72-615B-4A4A-9FFB-EC61B89EFCD7}"/>
    <cellStyle name="RISKltandbEdge 3 3 26 2" xfId="47199" xr:uid="{4755A971-91EE-4E04-9BCB-982839255BFF}"/>
    <cellStyle name="RISKltandbEdge 3 3 27" xfId="26472" xr:uid="{F026F40A-E8CD-41CE-849B-B10CC3D68B81}"/>
    <cellStyle name="RISKltandbEdge 3 3 27 2" xfId="45097" xr:uid="{3D77BEC9-5E94-4517-9841-7772ACB0618D}"/>
    <cellStyle name="RISKltandbEdge 3 3 28" xfId="28134" xr:uid="{11179CD5-6F36-4A95-B2EA-09C1CDC895A8}"/>
    <cellStyle name="RISKltandbEdge 3 3 28 2" xfId="46074" xr:uid="{98C31C60-0833-4E1C-89E2-09585A2474A7}"/>
    <cellStyle name="RISKltandbEdge 3 3 29" xfId="30636" xr:uid="{770C0E47-E92D-43B2-99D6-1398D66F49A5}"/>
    <cellStyle name="RISKltandbEdge 3 3 29 2" xfId="47582" xr:uid="{EB87B08D-1A00-45A5-ABCE-AA9BBB21D1E6}"/>
    <cellStyle name="RISKltandbEdge 3 3 3" xfId="13304" xr:uid="{41B97792-B01B-4AC2-B851-990E9433C476}"/>
    <cellStyle name="RISKltandbEdge 3 3 3 2" xfId="35621" xr:uid="{136FB382-341D-48B0-8875-1C937A7E861D}"/>
    <cellStyle name="RISKltandbEdge 3 3 30" xfId="6115" xr:uid="{464E9F15-535C-46A0-A0E3-8BAFF5140E27}"/>
    <cellStyle name="RISKltandbEdge 3 3 4" xfId="7147" xr:uid="{AF57B763-D202-4073-A8DE-ACC0FE0EEF96}"/>
    <cellStyle name="RISKltandbEdge 3 3 4 2" xfId="31514" xr:uid="{169F8C05-2487-497C-8F93-9C7A7C2E4EF7}"/>
    <cellStyle name="RISKltandbEdge 3 3 5" xfId="7420" xr:uid="{0F5E4345-DE33-499D-986D-797F6C946138}"/>
    <cellStyle name="RISKltandbEdge 3 3 5 2" xfId="31779" xr:uid="{28CB6CC3-76CC-48E7-871C-63DF7546B959}"/>
    <cellStyle name="RISKltandbEdge 3 3 6" xfId="14722" xr:uid="{73E3A3BA-0F15-4451-AF56-AD90C8F557CF}"/>
    <cellStyle name="RISKltandbEdge 3 3 6 2" xfId="36634" xr:uid="{091E4C06-3464-47A7-A411-50BBFAEC6EA8}"/>
    <cellStyle name="RISKltandbEdge 3 3 7" xfId="16671" xr:uid="{CBE912A4-BB81-4659-BC86-474511500010}"/>
    <cellStyle name="RISKltandbEdge 3 3 7 2" xfId="38162" xr:uid="{3C99C5D9-863E-4927-9BCF-67361EAF7147}"/>
    <cellStyle name="RISKltandbEdge 3 3 8" xfId="15604" xr:uid="{68795A58-D719-4C33-95BA-5BEA07EC958C}"/>
    <cellStyle name="RISKltandbEdge 3 3 8 2" xfId="37262" xr:uid="{8631CED6-C1BA-4A90-AFC3-18285229BC93}"/>
    <cellStyle name="RISKltandbEdge 3 3 9" xfId="15831" xr:uid="{B627A5D7-17C9-4E73-B434-1BF78FE8CA8A}"/>
    <cellStyle name="RISKltandbEdge 3 3 9 2" xfId="37440" xr:uid="{BCB3141A-A0FD-4123-AAA9-ED98D79E7888}"/>
    <cellStyle name="RISKltandbEdge 3 30" xfId="29828" xr:uid="{6BDB5779-7510-4F5F-A8E5-84FBFBB3E911}"/>
    <cellStyle name="RISKltandbEdge 3 30 2" xfId="47145" xr:uid="{42D4CB39-8E47-4B3B-8F14-A9A73F9DB345}"/>
    <cellStyle name="RISKltandbEdge 3 31" xfId="30204" xr:uid="{0B2D84A3-5E80-403D-87C6-8C8551C7AD7E}"/>
    <cellStyle name="RISKltandbEdge 3 31 2" xfId="47365" xr:uid="{556E4F98-2653-4D27-BE3D-62B7716ABC12}"/>
    <cellStyle name="RISKltandbEdge 3 32" xfId="6117" xr:uid="{3451DC9E-AAE7-4F47-98CD-950E96913118}"/>
    <cellStyle name="RISKltandbEdge 3 4" xfId="11884" xr:uid="{A2952F59-2FBF-4733-8D47-5E7E9414D4DC}"/>
    <cellStyle name="RISKltandbEdge 3 4 2" xfId="34496" xr:uid="{A7558871-D083-4CF6-913A-B021C681FF1E}"/>
    <cellStyle name="RISKltandbEdge 3 5" xfId="13305" xr:uid="{575D5633-0462-4CE9-9592-DB1EBE2D3568}"/>
    <cellStyle name="RISKltandbEdge 3 5 2" xfId="35622" xr:uid="{83BAF15D-B5F8-4F57-9C85-4BDB3E6754B3}"/>
    <cellStyle name="RISKltandbEdge 3 6" xfId="7149" xr:uid="{D9E93B0D-43F9-4119-9893-6B21D72CE159}"/>
    <cellStyle name="RISKltandbEdge 3 6 2" xfId="31516" xr:uid="{671B0FFA-E03B-4E6F-A5F4-B4F91D2CF9FD}"/>
    <cellStyle name="RISKltandbEdge 3 7" xfId="7421" xr:uid="{D8781DCB-7500-4A4D-A887-C2AA1F776A9B}"/>
    <cellStyle name="RISKltandbEdge 3 7 2" xfId="31780" xr:uid="{CF474CA7-91B9-4374-9C48-E34586022D31}"/>
    <cellStyle name="RISKltandbEdge 3 8" xfId="12236" xr:uid="{71E2D63E-2A7B-4394-869E-D4983D297135}"/>
    <cellStyle name="RISKltandbEdge 3 8 2" xfId="34743" xr:uid="{F6538876-BEF0-446F-905E-109349FCA1E9}"/>
    <cellStyle name="RISKltandbEdge 3 9" xfId="16672" xr:uid="{EA5486F4-D275-453E-A00E-67FFC4B574D8}"/>
    <cellStyle name="RISKltandbEdge 3 9 2" xfId="38163" xr:uid="{D7268086-916B-4265-A034-4989EF771AC6}"/>
    <cellStyle name="RISKltandbEdge 30" xfId="26246" xr:uid="{E47D3FA6-EE80-441A-9710-F05C85C4182E}"/>
    <cellStyle name="RISKltandbEdge 30 2" xfId="44955" xr:uid="{E10367E4-2D6B-409C-8858-F61656B1186F}"/>
    <cellStyle name="RISKltandbEdge 31" xfId="27931" xr:uid="{294FB41F-B7EA-4BE2-B542-4B1744BBBE0A}"/>
    <cellStyle name="RISKltandbEdge 31 2" xfId="46003" xr:uid="{75029536-B5BD-4B0E-9BA2-43442FB4A25A}"/>
    <cellStyle name="RISKltandbEdge 32" xfId="26642" xr:uid="{82F83BD7-9E0D-4EE1-BB11-240CE414C5E0}"/>
    <cellStyle name="RISKltandbEdge 32 2" xfId="45192" xr:uid="{12C6E343-6608-475A-9101-3180D17C5DE4}"/>
    <cellStyle name="RISKltandbEdge 33" xfId="29574" xr:uid="{087C03B2-9645-46B5-9570-6D74E2AA09DC}"/>
    <cellStyle name="RISKltandbEdge 33 2" xfId="46969" xr:uid="{ECEB5207-7DB3-4FB9-8894-9E85DE595B1A}"/>
    <cellStyle name="RISKltandbEdge 34" xfId="25627" xr:uid="{0284D042-77EA-4FA4-9306-CD19E1E28212}"/>
    <cellStyle name="RISKltandbEdge 34 2" xfId="44484" xr:uid="{FADDE3BD-B041-4322-842E-97BA33B79EBD}"/>
    <cellStyle name="RISKltandbEdge 35" xfId="29711" xr:uid="{A1BAE22F-A7C3-4E2B-BEB9-D134EAE586E3}"/>
    <cellStyle name="RISKltandbEdge 35 2" xfId="47056" xr:uid="{B8EB3F81-7D60-421D-A69C-0B3461AE2716}"/>
    <cellStyle name="RISKltandbEdge 36" xfId="30733" xr:uid="{8E311EB3-2D22-44BB-BC01-7A567389F0A2}"/>
    <cellStyle name="RISKltandbEdge 36 2" xfId="47679" xr:uid="{67508812-7D25-4EE7-979B-9137BE7B4D1D}"/>
    <cellStyle name="RISKltandbEdge 37" xfId="28918" xr:uid="{97DDA2AC-31DA-49AC-AB08-E21FEEC2EEE8}"/>
    <cellStyle name="RISKltandbEdge 37 2" xfId="46522" xr:uid="{087A8644-2CBE-4FDF-9220-E3F1A7363888}"/>
    <cellStyle name="RISKltandbEdge 38" xfId="30640" xr:uid="{EDF4A979-573D-4819-AC3F-A761701ED1C1}"/>
    <cellStyle name="RISKltandbEdge 38 2" xfId="47586" xr:uid="{C2028C07-A811-4E7F-BB9A-41713985CD53}"/>
    <cellStyle name="RISKltandbEdge 39" xfId="6125" xr:uid="{1F58D56B-AF7A-42BA-AB3B-0CACE3ED9440}"/>
    <cellStyle name="RISKltandbEdge 4" xfId="3794" xr:uid="{08B1FD5B-E44E-4CB5-846F-C75840163A86}"/>
    <cellStyle name="RISKltandbEdge 4 10" xfId="17542" xr:uid="{F3412003-22B6-4220-AB12-1B1DDBC00BB5}"/>
    <cellStyle name="RISKltandbEdge 4 10 2" xfId="38789" xr:uid="{104C7394-CD53-4131-88D0-AD8E4337949A}"/>
    <cellStyle name="RISKltandbEdge 4 11" xfId="18392" xr:uid="{7C01A68A-E1DE-433C-9AF4-4E59C52A38C7}"/>
    <cellStyle name="RISKltandbEdge 4 11 2" xfId="39403" xr:uid="{E05949E9-5641-48D0-A083-D33E7D727554}"/>
    <cellStyle name="RISKltandbEdge 4 12" xfId="13781" xr:uid="{8A3CE1D4-42E5-44C4-A11F-6BB76EE537F7}"/>
    <cellStyle name="RISKltandbEdge 4 12 2" xfId="35917" xr:uid="{E725EC5A-F860-47F6-9F98-F95599CED343}"/>
    <cellStyle name="RISKltandbEdge 4 13" xfId="16211" xr:uid="{BB203FA0-92AF-4F2E-B73A-D025F0BC4FDC}"/>
    <cellStyle name="RISKltandbEdge 4 13 2" xfId="37765" xr:uid="{F693508E-6551-46A6-A08B-0AF8C2962C1D}"/>
    <cellStyle name="RISKltandbEdge 4 14" xfId="20764" xr:uid="{3BD97B6A-9128-4700-9002-8D84A198DD3A}"/>
    <cellStyle name="RISKltandbEdge 4 14 2" xfId="41124" xr:uid="{AAD768F1-F40F-4DBD-B475-903B69AA28BE}"/>
    <cellStyle name="RISKltandbEdge 4 15" xfId="19178" xr:uid="{AFC31F4D-37B7-4F2D-B952-962EA64590A3}"/>
    <cellStyle name="RISKltandbEdge 4 15 2" xfId="39987" xr:uid="{39DB27EC-7BA1-442C-92B7-04A785F01A4C}"/>
    <cellStyle name="RISKltandbEdge 4 16" xfId="19547" xr:uid="{C849D03B-232D-4201-B4E2-E750BE40042C}"/>
    <cellStyle name="RISKltandbEdge 4 16 2" xfId="40210" xr:uid="{15A3CF52-8AB3-46ED-B233-CAFD0C4A4733}"/>
    <cellStyle name="RISKltandbEdge 4 17" xfId="20528" xr:uid="{240A4DCD-F0FC-493A-B629-0732AC1F4DB2}"/>
    <cellStyle name="RISKltandbEdge 4 17 2" xfId="40908" xr:uid="{50983F53-4C82-46B7-B2EA-16D344FB1163}"/>
    <cellStyle name="RISKltandbEdge 4 18" xfId="22179" xr:uid="{F98D1300-AA42-45CA-8467-10A55FC62E5F}"/>
    <cellStyle name="RISKltandbEdge 4 18 2" xfId="42058" xr:uid="{DF71C860-4746-4530-AEDE-A943D267A745}"/>
    <cellStyle name="RISKltandbEdge 4 19" xfId="22575" xr:uid="{53DD9974-F4F2-405E-B1D8-32C5E6637673}"/>
    <cellStyle name="RISKltandbEdge 4 19 2" xfId="42361" xr:uid="{515E31CF-F330-4632-9544-F352902DA159}"/>
    <cellStyle name="RISKltandbEdge 4 2" xfId="3795" xr:uid="{9367D078-7832-4AB4-B013-639CCEF50029}"/>
    <cellStyle name="RISKltandbEdge 4 2 10" xfId="17259" xr:uid="{F5658CDE-E429-4EB6-AD05-89F1560086D9}"/>
    <cellStyle name="RISKltandbEdge 4 2 10 2" xfId="38563" xr:uid="{3B2FE5F2-571D-4014-8090-1D7564CBFA89}"/>
    <cellStyle name="RISKltandbEdge 4 2 11" xfId="18104" xr:uid="{7C5F28A0-36F0-4DB6-B6BC-4CE602FFD9E3}"/>
    <cellStyle name="RISKltandbEdge 4 2 11 2" xfId="39178" xr:uid="{EB76C6DF-4401-4C3D-93FF-28553AA24C1F}"/>
    <cellStyle name="RISKltandbEdge 4 2 12" xfId="18956" xr:uid="{4E492945-B320-4A60-9534-81A06B092B4E}"/>
    <cellStyle name="RISKltandbEdge 4 2 12 2" xfId="39788" xr:uid="{85E9B905-67B7-462E-8480-D1C278252856}"/>
    <cellStyle name="RISKltandbEdge 4 2 13" xfId="19177" xr:uid="{59EC465C-7C1C-4847-9781-BBC23226026B}"/>
    <cellStyle name="RISKltandbEdge 4 2 13 2" xfId="39986" xr:uid="{0D2D35CD-E284-4960-B01F-3483199CE15F}"/>
    <cellStyle name="RISKltandbEdge 4 2 14" xfId="17902" xr:uid="{EED03882-4345-4293-AA52-F6705493A199}"/>
    <cellStyle name="RISKltandbEdge 4 2 14 2" xfId="39009" xr:uid="{79B73DD5-1767-4FF8-A915-1CFF682CDE9E}"/>
    <cellStyle name="RISKltandbEdge 4 2 15" xfId="23268" xr:uid="{90EC1939-74DB-4E87-B9EC-FF8B69707C2E}"/>
    <cellStyle name="RISKltandbEdge 4 2 15 2" xfId="42843" xr:uid="{1FECA669-A9AC-4896-86EC-2B616650A11F}"/>
    <cellStyle name="RISKltandbEdge 4 2 16" xfId="24073" xr:uid="{5BBF5537-5BFB-41B7-B5DE-467C277E763D}"/>
    <cellStyle name="RISKltandbEdge 4 2 16 2" xfId="43449" xr:uid="{AC2851B6-A4D1-4A4D-8BED-3543CF6266B4}"/>
    <cellStyle name="RISKltandbEdge 4 2 17" xfId="20158" xr:uid="{07438255-1D64-4C4A-9EC9-2D66A9A9ABC9}"/>
    <cellStyle name="RISKltandbEdge 4 2 17 2" xfId="40665" xr:uid="{E5211E82-BA1B-4809-8B9B-038F1BD4C3EA}"/>
    <cellStyle name="RISKltandbEdge 4 2 18" xfId="24605" xr:uid="{7A6BCD43-3A8A-4E67-A0BC-AF06E9EAAF48}"/>
    <cellStyle name="RISKltandbEdge 4 2 18 2" xfId="43787" xr:uid="{57EA687F-93CC-4837-B6F1-9C2F6021DD77}"/>
    <cellStyle name="RISKltandbEdge 4 2 19" xfId="19419" xr:uid="{99F2FF78-9F2C-44A7-AAB4-BED1EB18E160}"/>
    <cellStyle name="RISKltandbEdge 4 2 19 2" xfId="40140" xr:uid="{1787AD7F-041B-4DDC-818E-00957895F4C2}"/>
    <cellStyle name="RISKltandbEdge 4 2 2" xfId="11882" xr:uid="{B1017872-384D-40CE-9C46-461457A4D0A3}"/>
    <cellStyle name="RISKltandbEdge 4 2 2 2" xfId="34494" xr:uid="{D6E8B60A-E815-432F-8942-4D6AF2DB571A}"/>
    <cellStyle name="RISKltandbEdge 4 2 20" xfId="26674" xr:uid="{DF40037F-7282-4257-BAD4-A4117B9276A7}"/>
    <cellStyle name="RISKltandbEdge 4 2 20 2" xfId="45223" xr:uid="{9BAE101D-703C-478A-BF5C-4CD0E1C200A6}"/>
    <cellStyle name="RISKltandbEdge 4 2 21" xfId="23824" xr:uid="{09E8E8E7-C98E-4614-90CB-05ECEE7B073B}"/>
    <cellStyle name="RISKltandbEdge 4 2 21 2" xfId="43213" xr:uid="{CFC61DA8-C574-43E7-8B5D-6159BF89912C}"/>
    <cellStyle name="RISKltandbEdge 4 2 22" xfId="21940" xr:uid="{D5111197-953A-4AD3-A4A4-2E73FA1FCDC2}"/>
    <cellStyle name="RISKltandbEdge 4 2 22 2" xfId="41854" xr:uid="{CA58F894-9E09-46B4-AF2D-535B76E5E9BB}"/>
    <cellStyle name="RISKltandbEdge 4 2 23" xfId="21867" xr:uid="{170CC39D-D624-48E2-BF7A-59E40D2608A0}"/>
    <cellStyle name="RISKltandbEdge 4 2 23 2" xfId="41806" xr:uid="{E63095A5-416C-46B3-BE25-4E6D9F52CF48}"/>
    <cellStyle name="RISKltandbEdge 4 2 24" xfId="28968" xr:uid="{D45D4FE0-E4B7-4267-BC4B-A945246DC418}"/>
    <cellStyle name="RISKltandbEdge 4 2 24 2" xfId="46562" xr:uid="{07DDAF48-AE41-4E18-B039-3ED43B7C348D}"/>
    <cellStyle name="RISKltandbEdge 4 2 25" xfId="30441" xr:uid="{3D82F715-5B97-470A-AD54-2EC8B5887AD3}"/>
    <cellStyle name="RISKltandbEdge 4 2 25 2" xfId="47491" xr:uid="{C61DCD31-212D-456F-9593-166217DC2A82}"/>
    <cellStyle name="RISKltandbEdge 4 2 26" xfId="25850" xr:uid="{D8815D57-1AB6-4F72-A467-D8ABE53B7B10}"/>
    <cellStyle name="RISKltandbEdge 4 2 26 2" xfId="44668" xr:uid="{2BEC6136-40B0-4003-BF6E-1FE277862F1C}"/>
    <cellStyle name="RISKltandbEdge 4 2 27" xfId="26943" xr:uid="{EBFB8B5F-3FE1-4AB5-B7AA-D550B9676DE5}"/>
    <cellStyle name="RISKltandbEdge 4 2 27 2" xfId="45356" xr:uid="{E8C8ECD0-FF79-4D70-8E8A-C9C6CF014E85}"/>
    <cellStyle name="RISKltandbEdge 4 2 28" xfId="28053" xr:uid="{DB80DEA7-93E3-4CCD-8E6E-45C8E5D8F686}"/>
    <cellStyle name="RISKltandbEdge 4 2 28 2" xfId="46048" xr:uid="{BBC1F322-2DA1-4004-88CF-0749BCAB1DA5}"/>
    <cellStyle name="RISKltandbEdge 4 2 29" xfId="29225" xr:uid="{DAEF8A95-46CE-4948-B0C6-56F240D3FC65}"/>
    <cellStyle name="RISKltandbEdge 4 2 29 2" xfId="46744" xr:uid="{5C8BAC86-9105-420D-A901-C3250038C674}"/>
    <cellStyle name="RISKltandbEdge 4 2 3" xfId="13303" xr:uid="{C8ADE3FE-A526-4199-8FDA-225EACAE64CF}"/>
    <cellStyle name="RISKltandbEdge 4 2 3 2" xfId="35620" xr:uid="{DEA28D18-334E-4F70-9133-890708B09BF0}"/>
    <cellStyle name="RISKltandbEdge 4 2 30" xfId="6113" xr:uid="{20F6614C-BABD-489F-B511-6380461EE959}"/>
    <cellStyle name="RISKltandbEdge 4 2 4" xfId="7145" xr:uid="{B6A6DC81-E3DA-4B29-B29D-C31F4885CD35}"/>
    <cellStyle name="RISKltandbEdge 4 2 4 2" xfId="31512" xr:uid="{83515644-DFE9-45C6-8F3E-9B9B0A68B315}"/>
    <cellStyle name="RISKltandbEdge 4 2 5" xfId="7419" xr:uid="{39FA883C-783A-447A-84C0-39036E0F0157}"/>
    <cellStyle name="RISKltandbEdge 4 2 5 2" xfId="31778" xr:uid="{CEED453A-AF13-486E-98EC-71FB14EDD747}"/>
    <cellStyle name="RISKltandbEdge 4 2 6" xfId="14721" xr:uid="{13336067-2BE5-4AE1-8067-F75D683B7BFA}"/>
    <cellStyle name="RISKltandbEdge 4 2 6 2" xfId="36633" xr:uid="{D1D81E6B-54CE-42B1-B543-FD26A8BF3A4F}"/>
    <cellStyle name="RISKltandbEdge 4 2 7" xfId="16670" xr:uid="{057103CB-EDC2-47E9-8CF9-982D764828CA}"/>
    <cellStyle name="RISKltandbEdge 4 2 7 2" xfId="38161" xr:uid="{11E948F2-45AC-41C4-B916-6D6DE5CFF0F1}"/>
    <cellStyle name="RISKltandbEdge 4 2 8" xfId="14438" xr:uid="{95D2A7F0-D076-4503-B885-1A7355A90EE9}"/>
    <cellStyle name="RISKltandbEdge 4 2 8 2" xfId="36427" xr:uid="{8F9381E1-211B-4DD6-A231-A28CB3EFAB31}"/>
    <cellStyle name="RISKltandbEdge 4 2 9" xfId="16349" xr:uid="{E290FA8D-6FEA-4E83-86E6-4C6D9E359A05}"/>
    <cellStyle name="RISKltandbEdge 4 2 9 2" xfId="37877" xr:uid="{1ADE0F94-8FC7-47A1-AC05-1224CD659F0C}"/>
    <cellStyle name="RISKltandbEdge 4 20" xfId="24606" xr:uid="{F1FA0082-0EB4-492E-BAE8-92CDDFD7E303}"/>
    <cellStyle name="RISKltandbEdge 4 20 2" xfId="43788" xr:uid="{B1240526-A79A-4E47-9E9D-E6B51170335B}"/>
    <cellStyle name="RISKltandbEdge 4 21" xfId="17849" xr:uid="{0B8365F1-AC25-43B6-B8E0-069C7ED7C601}"/>
    <cellStyle name="RISKltandbEdge 4 21 2" xfId="38965" xr:uid="{A7F1274A-8049-4CF8-BE44-37A5331C3AB3}"/>
    <cellStyle name="RISKltandbEdge 4 22" xfId="25038" xr:uid="{19EE00E4-69D9-496D-85F7-D845D263951E}"/>
    <cellStyle name="RISKltandbEdge 4 22 2" xfId="44071" xr:uid="{8C5D8C7C-1F57-4DF4-82D6-EC0A91C42C88}"/>
    <cellStyle name="RISKltandbEdge 4 23" xfId="26242" xr:uid="{BF0AA782-2114-4D00-86B2-A3A3A4EB464F}"/>
    <cellStyle name="RISKltandbEdge 4 23 2" xfId="44951" xr:uid="{84FE9FC4-53D8-4CEE-99A4-CB040EF7959A}"/>
    <cellStyle name="RISKltandbEdge 4 24" xfId="27926" xr:uid="{A3BE35C9-3B12-4A6E-B15A-812BAAB6B008}"/>
    <cellStyle name="RISKltandbEdge 4 24 2" xfId="45998" xr:uid="{E8F7676E-92B2-4BAD-A17A-D56C9A96A44D}"/>
    <cellStyle name="RISKltandbEdge 4 25" xfId="26637" xr:uid="{311A44E6-E5F0-4C1E-A38F-15B2ABB59443}"/>
    <cellStyle name="RISKltandbEdge 4 25 2" xfId="45187" xr:uid="{C834CCA1-D0A2-4A3F-951B-CCA7C39A4D7A}"/>
    <cellStyle name="RISKltandbEdge 4 26" xfId="28315" xr:uid="{D941E38C-2480-4755-A139-7088D5BE09DE}"/>
    <cellStyle name="RISKltandbEdge 4 26 2" xfId="46182" xr:uid="{F526791C-CA8B-4A79-93D2-5F2C42426CFF}"/>
    <cellStyle name="RISKltandbEdge 4 27" xfId="28419" xr:uid="{7247F6BF-6EE4-48CB-A480-7DD969BDC4F2}"/>
    <cellStyle name="RISKltandbEdge 4 27 2" xfId="46266" xr:uid="{F4997721-1088-4045-A3CB-51ED90F87B29}"/>
    <cellStyle name="RISKltandbEdge 4 28" xfId="29375" xr:uid="{6B24B11B-AD05-4B4D-B9E7-0DAB37B47853}"/>
    <cellStyle name="RISKltandbEdge 4 28 2" xfId="46844" xr:uid="{0F5BD012-593F-46B9-A14B-36CA5FFE20F3}"/>
    <cellStyle name="RISKltandbEdge 4 29" xfId="30728" xr:uid="{D76783BA-5608-4DF2-B99B-60E55CD29115}"/>
    <cellStyle name="RISKltandbEdge 4 29 2" xfId="47674" xr:uid="{EC556150-C064-47BC-8272-2243AB720F2B}"/>
    <cellStyle name="RISKltandbEdge 4 3" xfId="3796" xr:uid="{94C62A74-AD28-49D7-A484-BC71CC6CE8EC}"/>
    <cellStyle name="RISKltandbEdge 4 3 10" xfId="15672" xr:uid="{6DC22043-4521-4203-B15C-DAD5C9648AFE}"/>
    <cellStyle name="RISKltandbEdge 4 3 10 2" xfId="37315" xr:uid="{BF55946E-ECF2-410B-8D9F-EAF8D13CAFAA}"/>
    <cellStyle name="RISKltandbEdge 4 3 11" xfId="15763" xr:uid="{E56EA975-601E-4574-AC47-BE1F2861BB06}"/>
    <cellStyle name="RISKltandbEdge 4 3 11 2" xfId="37387" xr:uid="{171DCC7E-8255-4690-9CF0-24513A836EEC}"/>
    <cellStyle name="RISKltandbEdge 4 3 12" xfId="20763" xr:uid="{75DEEEA9-AE64-4F6B-9FEB-4A7E3F019946}"/>
    <cellStyle name="RISKltandbEdge 4 3 12 2" xfId="41123" xr:uid="{8478F2E8-3B11-4BFE-BA21-4E97FD84FC16}"/>
    <cellStyle name="RISKltandbEdge 4 3 13" xfId="18516" xr:uid="{2AAE0259-7707-425C-B17D-52EB85D5DCC0}"/>
    <cellStyle name="RISKltandbEdge 4 3 13 2" xfId="39472" xr:uid="{C05DFF81-7D6A-4356-A498-9D2E3D33D65F}"/>
    <cellStyle name="RISKltandbEdge 4 3 14" xfId="21268" xr:uid="{22AD6F72-28B5-40C4-B16B-2B7E3C33D5B0}"/>
    <cellStyle name="RISKltandbEdge 4 3 14 2" xfId="41449" xr:uid="{950DE7F8-7BD5-42DC-89CF-24F52768CD2F}"/>
    <cellStyle name="RISKltandbEdge 4 3 15" xfId="20123" xr:uid="{757C8017-2DB8-434B-B283-190226740687}"/>
    <cellStyle name="RISKltandbEdge 4 3 15 2" xfId="40635" xr:uid="{3CD52382-DF08-4F57-96F7-201A9A244074}"/>
    <cellStyle name="RISKltandbEdge 4 3 16" xfId="18725" xr:uid="{5CF50B7F-C358-4F71-968D-0323603FAD87}"/>
    <cellStyle name="RISKltandbEdge 4 3 16 2" xfId="39600" xr:uid="{D1963F0A-FE02-4E12-BB94-D5A9E79239FD}"/>
    <cellStyle name="RISKltandbEdge 4 3 17" xfId="19406" xr:uid="{1EABE18E-3160-485B-B525-A49E15657261}"/>
    <cellStyle name="RISKltandbEdge 4 3 17 2" xfId="40127" xr:uid="{016550CC-9D07-4689-B508-C392511F8705}"/>
    <cellStyle name="RISKltandbEdge 4 3 18" xfId="25776" xr:uid="{6C994C1E-2541-49A5-B144-C53E97032631}"/>
    <cellStyle name="RISKltandbEdge 4 3 18 2" xfId="44605" xr:uid="{6FCA866A-E758-4FC4-94C8-1E2E1E4713ED}"/>
    <cellStyle name="RISKltandbEdge 4 3 19" xfId="25680" xr:uid="{E9B7BFB4-3D2F-47A7-9358-E101F1804975}"/>
    <cellStyle name="RISKltandbEdge 4 3 19 2" xfId="44517" xr:uid="{C570167B-2391-427A-A81C-A32D9436D1F3}"/>
    <cellStyle name="RISKltandbEdge 4 3 2" xfId="7466" xr:uid="{940732B1-483A-47F2-998E-FB9759C9FB12}"/>
    <cellStyle name="RISKltandbEdge 4 3 2 2" xfId="31824" xr:uid="{5A48D7C2-D2CE-441D-A9E1-280FB89445C4}"/>
    <cellStyle name="RISKltandbEdge 4 3 20" xfId="24220" xr:uid="{69CCE22A-13E9-41B7-88E1-F5EF9EA9D797}"/>
    <cellStyle name="RISKltandbEdge 4 3 20 2" xfId="43539" xr:uid="{8E08D4DD-A6CA-4956-8383-583AED5E460B}"/>
    <cellStyle name="RISKltandbEdge 4 3 21" xfId="26241" xr:uid="{D520A34C-DCF2-4D54-89C7-86EEDB89F07C}"/>
    <cellStyle name="RISKltandbEdge 4 3 21 2" xfId="44950" xr:uid="{AE9E8D6E-1526-4F06-BF17-F32B5DA6D9F9}"/>
    <cellStyle name="RISKltandbEdge 4 3 22" xfId="27925" xr:uid="{0B4CCCE1-6685-4B22-8368-562BA401E54D}"/>
    <cellStyle name="RISKltandbEdge 4 3 22 2" xfId="45997" xr:uid="{594C22A9-D605-4452-8262-CC2F3EC4850D}"/>
    <cellStyle name="RISKltandbEdge 4 3 23" xfId="26636" xr:uid="{74C28502-3010-4402-9905-4C6E4B4CF60F}"/>
    <cellStyle name="RISKltandbEdge 4 3 23 2" xfId="45186" xr:uid="{CB358A28-1CA7-4FFC-9C51-F3B1EE207B03}"/>
    <cellStyle name="RISKltandbEdge 4 3 24" xfId="27022" xr:uid="{6E7C606F-8A98-4CBE-9A1A-089ADB8065A2}"/>
    <cellStyle name="RISKltandbEdge 4 3 24 2" xfId="45425" xr:uid="{A0ECFB3B-2A14-47D6-8F1E-CEC1A830DBF1}"/>
    <cellStyle name="RISKltandbEdge 4 3 25" xfId="29329" xr:uid="{BE094218-1A22-4940-87FD-26D74A438534}"/>
    <cellStyle name="RISKltandbEdge 4 3 25 2" xfId="46807" xr:uid="{E6ADB34E-09EA-4233-9548-8E17242AED8D}"/>
    <cellStyle name="RISKltandbEdge 4 3 26" xfId="30086" xr:uid="{B6F95DA9-B9AB-42A0-8A96-C1996E2D3D6D}"/>
    <cellStyle name="RISKltandbEdge 4 3 26 2" xfId="47282" xr:uid="{6CF91B14-5C2F-49B1-9203-19813E664534}"/>
    <cellStyle name="RISKltandbEdge 4 3 27" xfId="30727" xr:uid="{482787C4-7542-407D-AEB3-AB26154395EF}"/>
    <cellStyle name="RISKltandbEdge 4 3 27 2" xfId="47673" xr:uid="{52DBD78F-B938-4EDE-8DE8-13F4CCE8B0AA}"/>
    <cellStyle name="RISKltandbEdge 4 3 28" xfId="29609" xr:uid="{998BBB8F-E6F2-462C-9EB9-235968954B3B}"/>
    <cellStyle name="RISKltandbEdge 4 3 28 2" xfId="47001" xr:uid="{C654164E-1737-4BE7-B6AE-177FF35F690C}"/>
    <cellStyle name="RISKltandbEdge 4 3 29" xfId="31097" xr:uid="{27511E01-F584-41B6-9668-93CDC40C5B3D}"/>
    <cellStyle name="RISKltandbEdge 4 3 29 2" xfId="47827" xr:uid="{DB99C9CF-5EFD-4F32-BB50-39BFD6716245}"/>
    <cellStyle name="RISKltandbEdge 4 3 3" xfId="10148" xr:uid="{D4530CB6-F0E2-43CD-9725-2257D7E5ED34}"/>
    <cellStyle name="RISKltandbEdge 4 3 3 2" xfId="33812" xr:uid="{A2648C9C-3440-418B-AD04-FDB27CDBCC48}"/>
    <cellStyle name="RISKltandbEdge 4 3 30" xfId="6112" xr:uid="{16157677-6813-4AC4-BBFA-1AAAC2525C1F}"/>
    <cellStyle name="RISKltandbEdge 4 3 4" xfId="7143" xr:uid="{91241EC2-006C-4A86-9897-D10AD6079CF3}"/>
    <cellStyle name="RISKltandbEdge 4 3 4 2" xfId="31510" xr:uid="{CA9CFFC2-E3E0-4DBB-B6D8-AA2C1A8E3E19}"/>
    <cellStyle name="RISKltandbEdge 4 3 5" xfId="11838" xr:uid="{30E1F291-90E8-44C8-B623-B82EE7B502D9}"/>
    <cellStyle name="RISKltandbEdge 4 3 5 2" xfId="34450" xr:uid="{69502C24-00A2-4331-AC35-D3161D1A5F9E}"/>
    <cellStyle name="RISKltandbEdge 4 3 6" xfId="12240" xr:uid="{7F802C73-6D46-4558-B5BE-00A4C31DB72C}"/>
    <cellStyle name="RISKltandbEdge 4 3 6 2" xfId="34746" xr:uid="{B2C3946D-51B2-422F-B0B7-15F5F94BEC13}"/>
    <cellStyle name="RISKltandbEdge 4 3 7" xfId="12478" xr:uid="{5A5FECFF-169B-4423-BA02-56C59C2268B1}"/>
    <cellStyle name="RISKltandbEdge 4 3 7 2" xfId="34924" xr:uid="{A01383B9-653F-4D23-9E1E-71DCEB37562D}"/>
    <cellStyle name="RISKltandbEdge 4 3 8" xfId="17541" xr:uid="{D0BC5480-F909-446D-B735-F45E4432398F}"/>
    <cellStyle name="RISKltandbEdge 4 3 8 2" xfId="38788" xr:uid="{4C220CF0-167F-4C06-9160-39078700CE2E}"/>
    <cellStyle name="RISKltandbEdge 4 3 9" xfId="18391" xr:uid="{C13437E4-4097-499D-B24A-558485DCC76B}"/>
    <cellStyle name="RISKltandbEdge 4 3 9 2" xfId="39402" xr:uid="{7920ECAD-9456-430B-8E37-2265BFBE5987}"/>
    <cellStyle name="RISKltandbEdge 4 30" xfId="29803" xr:uid="{0C4B6F34-8220-47B2-B0B0-30737F21DA1F}"/>
    <cellStyle name="RISKltandbEdge 4 30 2" xfId="47122" xr:uid="{BC4D0710-BBD2-428A-831B-7B0C3A99DCA2}"/>
    <cellStyle name="RISKltandbEdge 4 31" xfId="31098" xr:uid="{81764671-73E3-40FE-8BDF-619F7CE37AB6}"/>
    <cellStyle name="RISKltandbEdge 4 31 2" xfId="47828" xr:uid="{EBAA4F19-BF7E-43F5-88E3-EFA2023C19C2}"/>
    <cellStyle name="RISKltandbEdge 4 32" xfId="6114" xr:uid="{018C4FA6-62A0-4728-BC5E-5EED96D1D935}"/>
    <cellStyle name="RISKltandbEdge 4 4" xfId="7467" xr:uid="{004D410D-B55C-43C8-AD41-D95499EC6D0E}"/>
    <cellStyle name="RISKltandbEdge 4 4 2" xfId="31825" xr:uid="{76895F63-CC69-4E7B-8369-E5B5CF9DED4A}"/>
    <cellStyle name="RISKltandbEdge 4 5" xfId="10147" xr:uid="{F3D6FC7E-7FBC-4F85-99F0-69F3BA3329F6}"/>
    <cellStyle name="RISKltandbEdge 4 5 2" xfId="33811" xr:uid="{75E0EEF2-02FF-40BE-9757-F1346550B184}"/>
    <cellStyle name="RISKltandbEdge 4 6" xfId="7146" xr:uid="{DE15ED19-3312-48E9-88CE-6100D50E28A7}"/>
    <cellStyle name="RISKltandbEdge 4 6 2" xfId="31513" xr:uid="{E24D03F6-B01D-4DE2-B5A9-CFF8904D3673}"/>
    <cellStyle name="RISKltandbEdge 4 7" xfId="11839" xr:uid="{B3AD128B-F031-4385-A5C1-00AC97529C38}"/>
    <cellStyle name="RISKltandbEdge 4 7 2" xfId="34451" xr:uid="{E9C908D3-42A6-45D6-9D9A-491555FF9B65}"/>
    <cellStyle name="RISKltandbEdge 4 8" xfId="12239" xr:uid="{46C2C460-46F0-4DF5-BEDE-984A01FADC8C}"/>
    <cellStyle name="RISKltandbEdge 4 8 2" xfId="34745" xr:uid="{3157893D-A7D4-4C9F-A67A-4C97730FDECA}"/>
    <cellStyle name="RISKltandbEdge 4 9" xfId="14088" xr:uid="{B0CA2918-8A43-4FEF-8AAC-7CACFEE28EEB}"/>
    <cellStyle name="RISKltandbEdge 4 9 2" xfId="36182" xr:uid="{5D64E86E-3A55-4B4D-8BAC-15D98524631B}"/>
    <cellStyle name="RISKltandbEdge 5" xfId="3797" xr:uid="{E972FF5B-3DB9-408A-BEE6-12BA77D87595}"/>
    <cellStyle name="RISKltandbEdge 5 10" xfId="13861" xr:uid="{B71838B2-CD52-47E9-8868-900728FA19FD}"/>
    <cellStyle name="RISKltandbEdge 5 10 2" xfId="35984" xr:uid="{67401A7B-5957-4908-9EEF-449B96B04574}"/>
    <cellStyle name="RISKltandbEdge 5 11" xfId="13971" xr:uid="{6703E4F5-17C5-494C-914C-1A31A2ADA96D}"/>
    <cellStyle name="RISKltandbEdge 5 11 2" xfId="36074" xr:uid="{C8C56ABB-2777-4C44-B8A0-5CA7E9F71F52}"/>
    <cellStyle name="RISKltandbEdge 5 12" xfId="15675" xr:uid="{1E477DD5-7AC8-4FA3-8BFF-01195275CDB5}"/>
    <cellStyle name="RISKltandbEdge 5 12 2" xfId="37318" xr:uid="{EF4FE7C4-9E9E-477D-A76F-10BFAAC5D5FC}"/>
    <cellStyle name="RISKltandbEdge 5 13" xfId="18103" xr:uid="{CE8CDC35-8476-4C28-A057-466FC6D33B71}"/>
    <cellStyle name="RISKltandbEdge 5 13 2" xfId="39177" xr:uid="{9123D799-D5B7-4EB8-BBEF-8304823E2772}"/>
    <cellStyle name="RISKltandbEdge 5 14" xfId="18532" xr:uid="{4A749EB5-F31B-41A1-B759-177337BFACE7}"/>
    <cellStyle name="RISKltandbEdge 5 14 2" xfId="39484" xr:uid="{40F7E0F6-0440-4D9E-A16D-84655F71A23B}"/>
    <cellStyle name="RISKltandbEdge 5 15" xfId="19130" xr:uid="{3BF8EC40-A114-4B6A-AC5F-DE849526E413}"/>
    <cellStyle name="RISKltandbEdge 5 15 2" xfId="39939" xr:uid="{6ABB1594-6F8F-4930-8232-7BE9B4D5616A}"/>
    <cellStyle name="RISKltandbEdge 5 16" xfId="22024" xr:uid="{3BF8778F-56DE-4FC9-B891-6EEC7E52B5C5}"/>
    <cellStyle name="RISKltandbEdge 5 16 2" xfId="41919" xr:uid="{605607C0-A310-49CD-9F10-286D20FC71CC}"/>
    <cellStyle name="RISKltandbEdge 5 17" xfId="23267" xr:uid="{9738DD5B-9A08-47C6-9493-092DFC1742FB}"/>
    <cellStyle name="RISKltandbEdge 5 17 2" xfId="42842" xr:uid="{A6920FC6-3C76-4B7D-BD49-C20B1C1D6E14}"/>
    <cellStyle name="RISKltandbEdge 5 18" xfId="24072" xr:uid="{5CAF3627-67FA-4812-ADC7-210B34F7CDA4}"/>
    <cellStyle name="RISKltandbEdge 5 18 2" xfId="43448" xr:uid="{D83269EB-480C-41CE-BEE0-889A158AA55B}"/>
    <cellStyle name="RISKltandbEdge 5 19" xfId="22098" xr:uid="{3526A5D6-4B53-431D-AE77-C94C97DA2D13}"/>
    <cellStyle name="RISKltandbEdge 5 19 2" xfId="41983" xr:uid="{DE27284C-ACC4-44BC-A77E-10FC96DECDB9}"/>
    <cellStyle name="RISKltandbEdge 5 2" xfId="3798" xr:uid="{B6428927-809B-4D39-99F7-3B345C5DBD57}"/>
    <cellStyle name="RISKltandbEdge 5 2 10" xfId="17258" xr:uid="{C9E6B409-7591-451B-9346-D34FF16E4382}"/>
    <cellStyle name="RISKltandbEdge 5 2 10 2" xfId="38562" xr:uid="{30D00129-4208-4A43-8FFD-760290DD0E7A}"/>
    <cellStyle name="RISKltandbEdge 5 2 11" xfId="16210" xr:uid="{774F5CC7-3C1D-447C-9B05-985055B7C255}"/>
    <cellStyle name="RISKltandbEdge 5 2 11 2" xfId="37764" xr:uid="{32DA4AAC-A926-4EAB-9ADA-7D47CAD84037}"/>
    <cellStyle name="RISKltandbEdge 5 2 12" xfId="20762" xr:uid="{41B02B69-87D5-418C-88E6-359ABC9222DD}"/>
    <cellStyle name="RISKltandbEdge 5 2 12 2" xfId="41122" xr:uid="{88651C36-0B87-4E6E-89AE-29055B2809A4}"/>
    <cellStyle name="RISKltandbEdge 5 2 13" xfId="16818" xr:uid="{1EBE8B95-ABB3-47B9-A7D0-D2D1630CE247}"/>
    <cellStyle name="RISKltandbEdge 5 2 13 2" xfId="38246" xr:uid="{9E8C87DE-8CDC-4C14-A2B8-DBB5AFE99A67}"/>
    <cellStyle name="RISKltandbEdge 5 2 14" xfId="17035" xr:uid="{4BE53237-C2BC-4E1F-B20C-A414D0DF77D4}"/>
    <cellStyle name="RISKltandbEdge 5 2 14 2" xfId="38378" xr:uid="{CC5A93B7-73A5-40C9-B925-B73F813925BD}"/>
    <cellStyle name="RISKltandbEdge 5 2 15" xfId="21694" xr:uid="{A8539E36-C44C-4D50-A2A7-D50E0961CCC6}"/>
    <cellStyle name="RISKltandbEdge 5 2 15 2" xfId="41749" xr:uid="{A185D241-A015-4F77-984A-441E7E338D6C}"/>
    <cellStyle name="RISKltandbEdge 5 2 16" xfId="20317" xr:uid="{D8F7AA3A-FFCD-4574-9AA3-F316FBCB2908}"/>
    <cellStyle name="RISKltandbEdge 5 2 16 2" xfId="40750" xr:uid="{7468EDBD-8180-42B2-86F1-418E9107A24C}"/>
    <cellStyle name="RISKltandbEdge 5 2 17" xfId="17810" xr:uid="{F4C10C62-C4FF-44E1-A98F-551A16C26D33}"/>
    <cellStyle name="RISKltandbEdge 5 2 17 2" xfId="38935" xr:uid="{979B6F7E-21C1-4455-9DE5-D55F82980DBF}"/>
    <cellStyle name="RISKltandbEdge 5 2 18" xfId="24604" xr:uid="{9933FAED-2BFD-4E05-9FA7-C8F2D948EB8F}"/>
    <cellStyle name="RISKltandbEdge 5 2 18 2" xfId="43786" xr:uid="{DC1A55B8-2D7F-4555-9A17-48D33D84E874}"/>
    <cellStyle name="RISKltandbEdge 5 2 19" xfId="21173" xr:uid="{82270C4E-8B9F-4F82-9E70-359CCE39613B}"/>
    <cellStyle name="RISKltandbEdge 5 2 19 2" xfId="41366" xr:uid="{358469DA-9B12-414D-8CC2-8331E440F1E8}"/>
    <cellStyle name="RISKltandbEdge 5 2 2" xfId="7465" xr:uid="{0622F3FC-6DAF-443F-9BA6-2ABE32EAC21D}"/>
    <cellStyle name="RISKltandbEdge 5 2 2 2" xfId="31823" xr:uid="{F9051F77-F362-40FD-BD8F-246B39ED1ED1}"/>
    <cellStyle name="RISKltandbEdge 5 2 20" xfId="25412" xr:uid="{1E238383-1D80-4F01-A331-4A081DA1457E}"/>
    <cellStyle name="RISKltandbEdge 5 2 20 2" xfId="44304" xr:uid="{913DC396-7110-4B12-827A-D2B33A46A223}"/>
    <cellStyle name="RISKltandbEdge 5 2 21" xfId="26240" xr:uid="{040D40F3-70C4-434D-B9E4-4616F2A15D18}"/>
    <cellStyle name="RISKltandbEdge 5 2 21 2" xfId="44949" xr:uid="{0794AC94-C593-41B9-81D3-8405AB663E2C}"/>
    <cellStyle name="RISKltandbEdge 5 2 22" xfId="27924" xr:uid="{40CEE1F8-26F1-4401-920B-06FE356187B0}"/>
    <cellStyle name="RISKltandbEdge 5 2 22 2" xfId="45996" xr:uid="{BEE2A69D-ED29-4383-91D2-A8E209FF9C5D}"/>
    <cellStyle name="RISKltandbEdge 5 2 23" xfId="26635" xr:uid="{956F7C71-7AFA-476A-8ABE-BB95C9728371}"/>
    <cellStyle name="RISKltandbEdge 5 2 23 2" xfId="45185" xr:uid="{DA386247-7FCF-44C0-9F29-A510C114F9C6}"/>
    <cellStyle name="RISKltandbEdge 5 2 24" xfId="23751" xr:uid="{02D5F035-0EEE-4362-B30E-63AD2A53C8CC}"/>
    <cellStyle name="RISKltandbEdge 5 2 24 2" xfId="43163" xr:uid="{FEA41F0E-0149-4E7E-9C27-47F4BC32CD6F}"/>
    <cellStyle name="RISKltandbEdge 5 2 25" xfId="28418" xr:uid="{1FFFF54F-8E55-42DE-A82D-8F9478F51FCC}"/>
    <cellStyle name="RISKltandbEdge 5 2 25 2" xfId="46265" xr:uid="{5CCA4F11-B8DE-4C5B-BA3B-53DEF2E3EE7A}"/>
    <cellStyle name="RISKltandbEdge 5 2 26" xfId="29399" xr:uid="{8BD7FF83-B078-471E-B37D-DE7EEA747182}"/>
    <cellStyle name="RISKltandbEdge 5 2 26 2" xfId="46866" xr:uid="{C9A54E7E-068F-4810-A950-B597472E3DCA}"/>
    <cellStyle name="RISKltandbEdge 5 2 27" xfId="30726" xr:uid="{4206E9E7-819C-41BA-8243-4A5707EAD6F1}"/>
    <cellStyle name="RISKltandbEdge 5 2 27 2" xfId="47672" xr:uid="{4013747C-FEBF-4E3F-BA16-8A74CF76B487}"/>
    <cellStyle name="RISKltandbEdge 5 2 28" xfId="27506" xr:uid="{82933F22-F061-4BA4-8CDC-CE7E90BCD642}"/>
    <cellStyle name="RISKltandbEdge 5 2 28 2" xfId="45700" xr:uid="{17D5DC59-BA8D-4469-8A9E-F602C13F1AC5}"/>
    <cellStyle name="RISKltandbEdge 5 2 29" xfId="29096" xr:uid="{281013A3-0804-4744-8709-354003148431}"/>
    <cellStyle name="RISKltandbEdge 5 2 29 2" xfId="46665" xr:uid="{03A02D73-AB32-424E-85F2-1B84025068B3}"/>
    <cellStyle name="RISKltandbEdge 5 2 3" xfId="10149" xr:uid="{5C854610-6490-4B3F-B42A-32461C04DD67}"/>
    <cellStyle name="RISKltandbEdge 5 2 3 2" xfId="33813" xr:uid="{1F0DEF69-B2FD-4F62-A375-47876493A443}"/>
    <cellStyle name="RISKltandbEdge 5 2 30" xfId="6110" xr:uid="{E722442C-B53C-4C7A-ACC4-CE1D18349F75}"/>
    <cellStyle name="RISKltandbEdge 5 2 4" xfId="7141" xr:uid="{E3BA1B44-F75F-48B9-9446-69243C8CB2FF}"/>
    <cellStyle name="RISKltandbEdge 5 2 4 2" xfId="31508" xr:uid="{7BD965DE-DCCE-4886-BE4F-55E1802C682D}"/>
    <cellStyle name="RISKltandbEdge 5 2 5" xfId="11837" xr:uid="{DF459487-52F1-4A6A-A6E0-115F08E5D9F9}"/>
    <cellStyle name="RISKltandbEdge 5 2 5 2" xfId="34449" xr:uid="{04C41803-2A84-4A8E-9EC0-EBF9742F57DA}"/>
    <cellStyle name="RISKltandbEdge 5 2 6" xfId="14720" xr:uid="{C6108A54-80DB-4C12-B9A5-AB1F8916FCB7}"/>
    <cellStyle name="RISKltandbEdge 5 2 6 2" xfId="36632" xr:uid="{2BB46CA0-A34A-4CBD-9002-E3AD04EABB82}"/>
    <cellStyle name="RISKltandbEdge 5 2 7" xfId="14087" xr:uid="{6E49534D-8C0A-4751-A34F-7A1DDEBEB591}"/>
    <cellStyle name="RISKltandbEdge 5 2 7 2" xfId="36181" xr:uid="{71DCACA1-665B-473E-80F2-75981C987833}"/>
    <cellStyle name="RISKltandbEdge 5 2 8" xfId="14447" xr:uid="{9EC19C1C-EBCB-4B04-BE8B-15FCDCF2295D}"/>
    <cellStyle name="RISKltandbEdge 5 2 8 2" xfId="36436" xr:uid="{203FD2C0-A050-4565-B869-66987FF1F832}"/>
    <cellStyle name="RISKltandbEdge 5 2 9" xfId="16329" xr:uid="{2D7F399C-A13F-4569-A4C2-076ADDD776D5}"/>
    <cellStyle name="RISKltandbEdge 5 2 9 2" xfId="37866" xr:uid="{BA1E753C-80F7-42F8-90A4-DA641237D462}"/>
    <cellStyle name="RISKltandbEdge 5 20" xfId="22304" xr:uid="{1EEEBA8D-B67F-4B08-B45F-61B2D18263BD}"/>
    <cellStyle name="RISKltandbEdge 5 20 2" xfId="42168" xr:uid="{6686863E-227C-4318-8090-0BFC913E8CB9}"/>
    <cellStyle name="RISKltandbEdge 5 21" xfId="22122" xr:uid="{843CB49F-742A-452B-8A3F-E95F8394FA58}"/>
    <cellStyle name="RISKltandbEdge 5 21 2" xfId="42007" xr:uid="{B0A0DDA9-96E5-4CC0-A432-47E63E6D76A8}"/>
    <cellStyle name="RISKltandbEdge 5 22" xfId="26673" xr:uid="{A8E88DAB-F232-4CFF-8F62-7C7E4CC58806}"/>
    <cellStyle name="RISKltandbEdge 5 22 2" xfId="45222" xr:uid="{72EB3444-F37C-476C-AD1E-9269B94BEB37}"/>
    <cellStyle name="RISKltandbEdge 5 23" xfId="22606" xr:uid="{C41F0DF9-C159-4022-B7B9-C0B676BEEC83}"/>
    <cellStyle name="RISKltandbEdge 5 23 2" xfId="42388" xr:uid="{218792D1-EB29-4F9C-B5F1-6E2DE6992D9F}"/>
    <cellStyle name="RISKltandbEdge 5 24" xfId="25945" xr:uid="{C638B0EB-5669-4DE2-B3CF-EB049A608F5D}"/>
    <cellStyle name="RISKltandbEdge 5 24 2" xfId="44736" xr:uid="{6660DBB9-D772-4D41-89B8-25FFEFFDC895}"/>
    <cellStyle name="RISKltandbEdge 5 25" xfId="25422" xr:uid="{A5A93441-978C-4B86-8E36-0E3A3B85397D}"/>
    <cellStyle name="RISKltandbEdge 5 25 2" xfId="44313" xr:uid="{8BA66841-F84D-4364-8150-2A0D3F6215FA}"/>
    <cellStyle name="RISKltandbEdge 5 26" xfId="28314" xr:uid="{512BD368-9D5F-4622-87D2-8F2B325D923F}"/>
    <cellStyle name="RISKltandbEdge 5 26 2" xfId="46181" xr:uid="{E17E3780-D923-4353-9B3F-B092A7BDB300}"/>
    <cellStyle name="RISKltandbEdge 5 27" xfId="27071" xr:uid="{29957394-9269-4D12-BA73-0B735ED9C806}"/>
    <cellStyle name="RISKltandbEdge 5 27 2" xfId="45464" xr:uid="{7DD18482-8F8D-4F5E-82F4-3786E46AB96E}"/>
    <cellStyle name="RISKltandbEdge 5 28" xfId="29832" xr:uid="{6161236E-438D-4117-A931-D3021A52F376}"/>
    <cellStyle name="RISKltandbEdge 5 28 2" xfId="47149" xr:uid="{C8EAD250-E029-4F74-845C-27593EDBBC3E}"/>
    <cellStyle name="RISKltandbEdge 5 29" xfId="30252" xr:uid="{23D938A1-2622-48A4-8A00-B884F8502399}"/>
    <cellStyle name="RISKltandbEdge 5 29 2" xfId="47413" xr:uid="{E986F64F-85E1-4461-995D-54ACB67084D4}"/>
    <cellStyle name="RISKltandbEdge 5 3" xfId="3799" xr:uid="{3C6412F8-07FA-4B13-A817-3813AF6F0EA7}"/>
    <cellStyle name="RISKltandbEdge 5 3 10" xfId="14529" xr:uid="{5B0178F5-2204-4414-B529-DEDBB594EEBD}"/>
    <cellStyle name="RISKltandbEdge 5 3 10 2" xfId="36466" xr:uid="{EDEBEB1F-42B4-4FD1-B90C-712A107032BC}"/>
    <cellStyle name="RISKltandbEdge 5 3 11" xfId="18102" xr:uid="{98AFC564-36E0-4B99-88DD-E119C23A2A80}"/>
    <cellStyle name="RISKltandbEdge 5 3 11 2" xfId="39176" xr:uid="{9E7137B8-2FA8-401E-A0FC-0875EDF4091D}"/>
    <cellStyle name="RISKltandbEdge 5 3 12" xfId="18955" xr:uid="{B871D98A-301A-415F-9F31-79B9C5A06702}"/>
    <cellStyle name="RISKltandbEdge 5 3 12 2" xfId="39787" xr:uid="{AB8D307D-FDD4-442E-B99C-CA9433C83A17}"/>
    <cellStyle name="RISKltandbEdge 5 3 13" xfId="19129" xr:uid="{0CB4CB84-E89C-4124-91FC-D51852F8AFF8}"/>
    <cellStyle name="RISKltandbEdge 5 3 13 2" xfId="39938" xr:uid="{F2F99147-A31A-4862-998F-2155BF207ABD}"/>
    <cellStyle name="RISKltandbEdge 5 3 14" xfId="17038" xr:uid="{D0D53732-0230-4798-A347-DC6BF7A933F8}"/>
    <cellStyle name="RISKltandbEdge 5 3 14 2" xfId="38381" xr:uid="{212AC4B8-37E9-4E1B-A201-128102C08995}"/>
    <cellStyle name="RISKltandbEdge 5 3 15" xfId="15388" xr:uid="{A2031A86-08FC-434E-8FC4-52CC47F6F6F1}"/>
    <cellStyle name="RISKltandbEdge 5 3 15 2" xfId="37086" xr:uid="{468B7C6F-383D-4089-B341-CBDF954A74A9}"/>
    <cellStyle name="RISKltandbEdge 5 3 16" xfId="20946" xr:uid="{1DE29577-7281-40A6-B465-5441853AD056}"/>
    <cellStyle name="RISKltandbEdge 5 3 16 2" xfId="41247" xr:uid="{9F5ED61E-03CF-4E63-86AE-4C28589E05EE}"/>
    <cellStyle name="RISKltandbEdge 5 3 17" xfId="21748" xr:uid="{4C496159-68A2-4E98-B6FF-EE3F20F0EA7C}"/>
    <cellStyle name="RISKltandbEdge 5 3 17 2" xfId="41769" xr:uid="{D4EE2B9D-EC5F-4C68-832A-FA1DB91D20D4}"/>
    <cellStyle name="RISKltandbEdge 5 3 18" xfId="20375" xr:uid="{B8D77E15-E4AC-4711-B3C9-9E0331CE77C8}"/>
    <cellStyle name="RISKltandbEdge 5 3 18 2" xfId="40802" xr:uid="{DB77FC6C-96A4-4532-9394-0EC991A47688}"/>
    <cellStyle name="RISKltandbEdge 5 3 19" xfId="20146" xr:uid="{329C017A-C1BB-4F3A-8AD1-9CBEFFA936BE}"/>
    <cellStyle name="RISKltandbEdge 5 3 19 2" xfId="40653" xr:uid="{654023E4-8271-4868-9BA6-FF1300DE0686}"/>
    <cellStyle name="RISKltandbEdge 5 3 2" xfId="11880" xr:uid="{93AB269A-C9FD-4FF2-BEFC-967652C245B4}"/>
    <cellStyle name="RISKltandbEdge 5 3 2 2" xfId="34492" xr:uid="{BE1B1B28-9BBF-4847-B7FD-82B587E4C628}"/>
    <cellStyle name="RISKltandbEdge 5 3 20" xfId="26672" xr:uid="{88B034D3-4E32-4BBA-BE92-86DE6A1C8076}"/>
    <cellStyle name="RISKltandbEdge 5 3 20 2" xfId="45221" xr:uid="{B7B3EBBF-5BE9-4D56-96B2-AE612B62BEF5}"/>
    <cellStyle name="RISKltandbEdge 5 3 21" xfId="23823" xr:uid="{0ACC3862-A6D1-4450-B40E-74E79BB856C2}"/>
    <cellStyle name="RISKltandbEdge 5 3 21 2" xfId="43212" xr:uid="{37882C21-C75D-43B5-A885-72049C036A3A}"/>
    <cellStyle name="RISKltandbEdge 5 3 22" xfId="24322" xr:uid="{FA106C79-474A-4C33-9897-1D64CFF0A6EB}"/>
    <cellStyle name="RISKltandbEdge 5 3 22 2" xfId="43587" xr:uid="{11F02919-8258-403D-8A7E-82575416EF62}"/>
    <cellStyle name="RISKltandbEdge 5 3 23" xfId="24231" xr:uid="{584A84F4-86E5-4EF1-A73A-C73DBA72914C}"/>
    <cellStyle name="RISKltandbEdge 5 3 23 2" xfId="43548" xr:uid="{B2855979-7072-48F1-99F3-BAFE7D3FA122}"/>
    <cellStyle name="RISKltandbEdge 5 3 24" xfId="27588" xr:uid="{A2F6E114-90B2-478B-AD12-F55BD6E73E7C}"/>
    <cellStyle name="RISKltandbEdge 5 3 24 2" xfId="45737" xr:uid="{49294AA3-6BAF-4035-AD67-11FA9DBDB069}"/>
    <cellStyle name="RISKltandbEdge 5 3 25" xfId="25085" xr:uid="{30631D7B-E14E-4F21-8CB5-C618CE401332}"/>
    <cellStyle name="RISKltandbEdge 5 3 25 2" xfId="44090" xr:uid="{603617F3-B9E3-4F96-B9A1-AA6D0EA90DD6}"/>
    <cellStyle name="RISKltandbEdge 5 3 26" xfId="29916" xr:uid="{4AA24C6F-BB08-4B7F-9CFE-2C744E91F0E2}"/>
    <cellStyle name="RISKltandbEdge 5 3 26 2" xfId="47204" xr:uid="{0047E306-868D-4BE9-A89F-1AB22E51195C}"/>
    <cellStyle name="RISKltandbEdge 5 3 27" xfId="30016" xr:uid="{7BA6EDFA-283C-401D-965B-33E3CEBA63C4}"/>
    <cellStyle name="RISKltandbEdge 5 3 27 2" xfId="47247" xr:uid="{BDD9FB71-61E9-4279-BD19-9A20E14AE96F}"/>
    <cellStyle name="RISKltandbEdge 5 3 28" xfId="27724" xr:uid="{E33E1D7F-061F-4D8C-B40C-572ECF4B3ADA}"/>
    <cellStyle name="RISKltandbEdge 5 3 28 2" xfId="45831" xr:uid="{CC82A22D-6338-411E-9450-26E9A3BC846C}"/>
    <cellStyle name="RISKltandbEdge 5 3 29" xfId="31096" xr:uid="{593244C8-805B-48AF-AAAF-256F068E84B4}"/>
    <cellStyle name="RISKltandbEdge 5 3 29 2" xfId="47826" xr:uid="{66DBB55D-C6D9-4F81-8C67-A8AC332806F6}"/>
    <cellStyle name="RISKltandbEdge 5 3 3" xfId="10187" xr:uid="{DDDEF6A8-3973-4818-A717-AA3B9541C59A}"/>
    <cellStyle name="RISKltandbEdge 5 3 3 2" xfId="33841" xr:uid="{06EF876A-8FF2-41FC-86FB-EDDBDCBE5205}"/>
    <cellStyle name="RISKltandbEdge 5 3 30" xfId="6109" xr:uid="{9897F1F0-8D32-4B06-9110-D89D0CC511F9}"/>
    <cellStyle name="RISKltandbEdge 5 3 4" xfId="7140" xr:uid="{1F0BC25C-384D-4A0E-A689-5B90134809EB}"/>
    <cellStyle name="RISKltandbEdge 5 3 4 2" xfId="31507" xr:uid="{00885513-C4BF-4B69-97E5-C1A69AF4AF3A}"/>
    <cellStyle name="RISKltandbEdge 5 3 5" xfId="7417" xr:uid="{75114CCC-4F5E-4E24-A063-9BCACB8318B4}"/>
    <cellStyle name="RISKltandbEdge 5 3 5 2" xfId="31776" xr:uid="{6BD24139-CDEC-4E4B-A099-28388B438DDF}"/>
    <cellStyle name="RISKltandbEdge 5 3 6" xfId="12241" xr:uid="{533A83FA-F8D3-4608-9874-F0616E41EEC3}"/>
    <cellStyle name="RISKltandbEdge 5 3 6 2" xfId="34747" xr:uid="{4F37A3FC-9191-4C26-A386-0951642E9C25}"/>
    <cellStyle name="RISKltandbEdge 5 3 7" xfId="13474" xr:uid="{FE94165D-1ECD-4E7B-934C-CB822883184A}"/>
    <cellStyle name="RISKltandbEdge 5 3 7 2" xfId="35730" xr:uid="{75D7C5B1-A404-4BF3-B42D-A9F731465063}"/>
    <cellStyle name="RISKltandbEdge 5 3 8" xfId="17540" xr:uid="{51803D75-48D5-48FC-8F69-0BCC2EA4E7EE}"/>
    <cellStyle name="RISKltandbEdge 5 3 8 2" xfId="38787" xr:uid="{3B3DF4F4-FEDE-459D-8CA1-8BA1AAD4E71D}"/>
    <cellStyle name="RISKltandbEdge 5 3 9" xfId="18390" xr:uid="{A8E6358F-166E-48D3-A441-88B4EE999125}"/>
    <cellStyle name="RISKltandbEdge 5 3 9 2" xfId="39401" xr:uid="{98161B6D-163D-4A8F-9178-0C81A94DF802}"/>
    <cellStyle name="RISKltandbEdge 5 30" xfId="30078" xr:uid="{7452C45F-1BAA-4742-B747-4B8D528872DB}"/>
    <cellStyle name="RISKltandbEdge 5 30 2" xfId="47274" xr:uid="{1C0150F1-2719-431C-832B-3054A10D82FA}"/>
    <cellStyle name="RISKltandbEdge 5 31" xfId="30635" xr:uid="{1279E775-CCD0-419A-92BF-9A28D45A8F67}"/>
    <cellStyle name="RISKltandbEdge 5 31 2" xfId="47581" xr:uid="{2E2C0446-C4B7-4A9D-A673-29E77A190D21}"/>
    <cellStyle name="RISKltandbEdge 5 32" xfId="6111" xr:uid="{9D8412A3-3E60-46CB-A2C4-E195570F1AA3}"/>
    <cellStyle name="RISKltandbEdge 5 4" xfId="11881" xr:uid="{A0F9B5ED-4BB4-49C1-BCB9-2AC78E001C6E}"/>
    <cellStyle name="RISKltandbEdge 5 4 2" xfId="34493" xr:uid="{31D1546D-8972-49BA-AC05-618261FA0E87}"/>
    <cellStyle name="RISKltandbEdge 5 5" xfId="13302" xr:uid="{A48E8F6A-6A6B-4856-A5A6-D0549A501C0A}"/>
    <cellStyle name="RISKltandbEdge 5 5 2" xfId="35619" xr:uid="{B3834C46-CAF5-4637-8999-EE4881B5AD8E}"/>
    <cellStyle name="RISKltandbEdge 5 6" xfId="7142" xr:uid="{0E4A133C-8835-4CE4-A1A6-DD42EE611B42}"/>
    <cellStyle name="RISKltandbEdge 5 6 2" xfId="31509" xr:uid="{716CE8A2-94FA-4E5A-81B1-D0B8AC0BFCFD}"/>
    <cellStyle name="RISKltandbEdge 5 7" xfId="7418" xr:uid="{2EB2C437-BDA3-44D4-873B-CD31F73CD918}"/>
    <cellStyle name="RISKltandbEdge 5 7 2" xfId="31777" xr:uid="{AE0CD92D-45A0-4F67-820A-6DF69896C176}"/>
    <cellStyle name="RISKltandbEdge 5 8" xfId="12255" xr:uid="{62105826-55B7-4784-99FF-22668A629A1A}"/>
    <cellStyle name="RISKltandbEdge 5 8 2" xfId="34761" xr:uid="{380E1274-A029-4A44-81F4-EE6A4286D008}"/>
    <cellStyle name="RISKltandbEdge 5 9" xfId="16669" xr:uid="{40781108-42BF-4AE4-9908-34F7F7C53BBE}"/>
    <cellStyle name="RISKltandbEdge 5 9 2" xfId="38160" xr:uid="{B55A04AA-A052-402A-AA73-E46DBC042BE8}"/>
    <cellStyle name="RISKltandbEdge 6" xfId="3800" xr:uid="{49C04874-3B16-4C99-A4C8-1763CFC1D215}"/>
    <cellStyle name="RISKltandbEdge 6 10" xfId="13692" xr:uid="{B1AEED97-5251-452E-B581-3DC40DF3BC3B}"/>
    <cellStyle name="RISKltandbEdge 6 10 2" xfId="35848" xr:uid="{4D75C9A9-4F84-461D-B06E-E11B3528C2B5}"/>
    <cellStyle name="RISKltandbEdge 6 11" xfId="16348" xr:uid="{BC9EC7E9-9DB4-4CA8-8438-47BE7D59CDC6}"/>
    <cellStyle name="RISKltandbEdge 6 11 2" xfId="37876" xr:uid="{683D7F46-4BA1-49A3-987D-457EF3B95F60}"/>
    <cellStyle name="RISKltandbEdge 6 12" xfId="17257" xr:uid="{BCD71D8C-6000-4D2A-B660-2AAED1719E82}"/>
    <cellStyle name="RISKltandbEdge 6 12 2" xfId="38561" xr:uid="{22357488-1E37-4084-BA7A-525460E9CB6A}"/>
    <cellStyle name="RISKltandbEdge 6 13" xfId="12827" xr:uid="{0E84FDE6-3DB0-441F-9530-BDE2FC74F798}"/>
    <cellStyle name="RISKltandbEdge 6 13 2" xfId="35213" xr:uid="{DC53A0A1-2BF2-4EDC-B770-CBE0A6566131}"/>
    <cellStyle name="RISKltandbEdge 6 14" xfId="20761" xr:uid="{06378A4B-D609-424D-AA26-625C11A26465}"/>
    <cellStyle name="RISKltandbEdge 6 14 2" xfId="41121" xr:uid="{A166E2E6-0CEC-42E8-9F8B-C4119C7720A0}"/>
    <cellStyle name="RISKltandbEdge 6 15" xfId="13798" xr:uid="{76F86BE7-52A7-4920-B0D6-040C706444FB}"/>
    <cellStyle name="RISKltandbEdge 6 15 2" xfId="35929" xr:uid="{618C890B-DF94-4181-BE08-E0F54EBD12CF}"/>
    <cellStyle name="RISKltandbEdge 6 16" xfId="18638" xr:uid="{9C619926-395C-4EC5-8ABE-5C7E4AC22F81}"/>
    <cellStyle name="RISKltandbEdge 6 16 2" xfId="39535" xr:uid="{D26D670E-7DA8-41FF-BD63-37C7D4D8718F}"/>
    <cellStyle name="RISKltandbEdge 6 17" xfId="23266" xr:uid="{D376B3BA-7F02-4BC7-8AE6-AABFABA2C8CA}"/>
    <cellStyle name="RISKltandbEdge 6 17 2" xfId="42841" xr:uid="{E5FB7AFB-62E2-4556-A673-7BBC5A3E93A7}"/>
    <cellStyle name="RISKltandbEdge 6 18" xfId="24071" xr:uid="{DCEC8502-DAB2-4EC9-A775-BE20AB489828}"/>
    <cellStyle name="RISKltandbEdge 6 18 2" xfId="43447" xr:uid="{0E812806-C28E-449D-8A38-F5BA525837B6}"/>
    <cellStyle name="RISKltandbEdge 6 19" xfId="21194" xr:uid="{7228B933-945B-4554-BBB1-C15921BE636A}"/>
    <cellStyle name="RISKltandbEdge 6 19 2" xfId="41387" xr:uid="{3A4E00EA-FFA0-48A7-B8B7-AA77B7D9AB1A}"/>
    <cellStyle name="RISKltandbEdge 6 2" xfId="3801" xr:uid="{E9C193E1-E6D4-4EF0-B946-41D33EF13791}"/>
    <cellStyle name="RISKltandbEdge 6 2 10" xfId="13782" xr:uid="{B03274AF-07D8-4004-818D-D0CECC9E828D}"/>
    <cellStyle name="RISKltandbEdge 6 2 10 2" xfId="35918" xr:uid="{F4C5AB4B-C20F-4CA4-879E-26A7742BB73B}"/>
    <cellStyle name="RISKltandbEdge 6 2 11" xfId="18101" xr:uid="{1AEC0E05-7F70-426F-BD4D-945AE276B83D}"/>
    <cellStyle name="RISKltandbEdge 6 2 11 2" xfId="39175" xr:uid="{3CF232C2-F88C-4C33-92B8-AF264BA0C4AA}"/>
    <cellStyle name="RISKltandbEdge 6 2 12" xfId="17078" xr:uid="{F4413D34-57C6-422A-BB5D-B28DB86436B4}"/>
    <cellStyle name="RISKltandbEdge 6 2 12 2" xfId="38417" xr:uid="{FA18CCA9-5B96-4A07-B361-A2ED6FAC9BA6}"/>
    <cellStyle name="RISKltandbEdge 6 2 13" xfId="17164" xr:uid="{A0F6DB84-8680-415B-B808-C10C63A46578}"/>
    <cellStyle name="RISKltandbEdge 6 2 13 2" xfId="38493" xr:uid="{D52D547E-1974-4F05-8E81-27BDA2E58212}"/>
    <cellStyle name="RISKltandbEdge 6 2 14" xfId="22559" xr:uid="{4D40FFF3-E66B-44A5-9EFD-0BF11B2AFB84}"/>
    <cellStyle name="RISKltandbEdge 6 2 14 2" xfId="42349" xr:uid="{CCF206D9-DD24-408C-AF06-9EE85B436C02}"/>
    <cellStyle name="RISKltandbEdge 6 2 15" xfId="21045" xr:uid="{9E100145-701A-42F3-9E98-772082D954CA}"/>
    <cellStyle name="RISKltandbEdge 6 2 15 2" xfId="41293" xr:uid="{3171B6BC-66AB-43E8-8D06-542D712F8BDE}"/>
    <cellStyle name="RISKltandbEdge 6 2 16" xfId="20941" xr:uid="{7FF456A1-052B-4C68-97EF-735EF2D2700F}"/>
    <cellStyle name="RISKltandbEdge 6 2 16 2" xfId="41242" xr:uid="{E81CB2DD-E944-4CA8-8189-D3C3E4D83BFD}"/>
    <cellStyle name="RISKltandbEdge 6 2 17" xfId="22099" xr:uid="{1C6E0B2C-F960-4E1F-ACCE-21AA76284B1F}"/>
    <cellStyle name="RISKltandbEdge 6 2 17 2" xfId="41984" xr:uid="{282B15B1-D4E7-4C38-A404-471142810490}"/>
    <cellStyle name="RISKltandbEdge 6 2 18" xfId="24603" xr:uid="{91B10514-9EDB-4181-8057-CF7824F36CD8}"/>
    <cellStyle name="RISKltandbEdge 6 2 18 2" xfId="43785" xr:uid="{06AE4BB8-D57D-467F-BE76-04463884A247}"/>
    <cellStyle name="RISKltandbEdge 6 2 19" xfId="22123" xr:uid="{E6AF5879-AC12-42E3-9870-198434E674E0}"/>
    <cellStyle name="RISKltandbEdge 6 2 19 2" xfId="42008" xr:uid="{313007DF-E3E6-4934-807D-591E3835143A}"/>
    <cellStyle name="RISKltandbEdge 6 2 2" xfId="11879" xr:uid="{63FFB459-6C6F-4B3C-B2B5-E78471D00FF8}"/>
    <cellStyle name="RISKltandbEdge 6 2 2 2" xfId="34491" xr:uid="{065FF859-13BA-4B38-85F5-C2B34F256A04}"/>
    <cellStyle name="RISKltandbEdge 6 2 20" xfId="26671" xr:uid="{0B8D72B3-48C9-4131-807B-FB9D562E78B7}"/>
    <cellStyle name="RISKltandbEdge 6 2 20 2" xfId="45220" xr:uid="{25E83315-757E-41F1-97C5-363C79B1EA7D}"/>
    <cellStyle name="RISKltandbEdge 6 2 21" xfId="20345" xr:uid="{17ED952D-0826-4CA6-B0B7-93D3D5A499BE}"/>
    <cellStyle name="RISKltandbEdge 6 2 21 2" xfId="40777" xr:uid="{C2C6CF03-C2B4-4F2C-982B-0603189DCE9A}"/>
    <cellStyle name="RISKltandbEdge 6 2 22" xfId="23727" xr:uid="{25A460C6-2BA2-4F2B-AF10-8DB96885C3B3}"/>
    <cellStyle name="RISKltandbEdge 6 2 22 2" xfId="43143" xr:uid="{9BB36E3F-7563-4B86-9EDA-576F9172CB81}"/>
    <cellStyle name="RISKltandbEdge 6 2 23" xfId="26634" xr:uid="{D5D98246-5D86-4DD2-BF5B-B002490D6E51}"/>
    <cellStyle name="RISKltandbEdge 6 2 23 2" xfId="45184" xr:uid="{DA33B1BC-0D84-465C-9D12-AB13679D63A1}"/>
    <cellStyle name="RISKltandbEdge 6 2 24" xfId="28969" xr:uid="{EBAA7378-38C0-4E8E-9DD2-0AD7BFBF0714}"/>
    <cellStyle name="RISKltandbEdge 6 2 24 2" xfId="46563" xr:uid="{90156525-5588-431A-A783-F78AD259838B}"/>
    <cellStyle name="RISKltandbEdge 6 2 25" xfId="28417" xr:uid="{E0EBB809-29B1-4574-B747-C2070C33BD4E}"/>
    <cellStyle name="RISKltandbEdge 6 2 25 2" xfId="46264" xr:uid="{86251B27-5C66-43B6-A06F-6018C352D217}"/>
    <cellStyle name="RISKltandbEdge 6 2 26" xfId="29624" xr:uid="{AA3FBC90-32FC-4276-92ED-405B2B328876}"/>
    <cellStyle name="RISKltandbEdge 6 2 26 2" xfId="47015" xr:uid="{D9EA799A-AA3D-4D39-860B-025C7DEA3B54}"/>
    <cellStyle name="RISKltandbEdge 6 2 27" xfId="30251" xr:uid="{4C1BBEB2-6704-43C2-BB58-85CFA353A5A8}"/>
    <cellStyle name="RISKltandbEdge 6 2 27 2" xfId="47412" xr:uid="{4B4FBFDD-1B51-4A7D-9648-9F77B18DBCF5}"/>
    <cellStyle name="RISKltandbEdge 6 2 28" xfId="26479" xr:uid="{108B51C9-C6A1-4BD2-9759-630D001E8121}"/>
    <cellStyle name="RISKltandbEdge 6 2 28 2" xfId="45102" xr:uid="{D3C9CAD1-952B-44F4-96DC-C8BACB7A5232}"/>
    <cellStyle name="RISKltandbEdge 6 2 29" xfId="31095" xr:uid="{E76D9927-E62D-41A3-A649-5B0DA22B2C70}"/>
    <cellStyle name="RISKltandbEdge 6 2 29 2" xfId="47825" xr:uid="{CC4F51FA-B583-44D7-8494-EF351501A888}"/>
    <cellStyle name="RISKltandbEdge 6 2 3" xfId="10150" xr:uid="{7499E14B-666B-49BF-98E6-FAE07B80FD17}"/>
    <cellStyle name="RISKltandbEdge 6 2 3 2" xfId="33814" xr:uid="{F9B35814-A86D-40A6-BA89-8C6DEC3FC85E}"/>
    <cellStyle name="RISKltandbEdge 6 2 30" xfId="6107" xr:uid="{E252DC78-7D92-4999-A9E1-58B4AB6405DE}"/>
    <cellStyle name="RISKltandbEdge 6 2 4" xfId="7101" xr:uid="{4ADAA562-BD29-43D9-93EF-1E3E9DF066C4}"/>
    <cellStyle name="RISKltandbEdge 6 2 4 2" xfId="31468" xr:uid="{F7200138-A363-4041-B189-9EE66EC71E5F}"/>
    <cellStyle name="RISKltandbEdge 6 2 5" xfId="7416" xr:uid="{E9B9D9EA-35F3-462A-B3B8-5C3EDE717A6C}"/>
    <cellStyle name="RISKltandbEdge 6 2 5 2" xfId="31775" xr:uid="{A1CC713B-8A45-4B1E-94F4-E7F62DD44CA3}"/>
    <cellStyle name="RISKltandbEdge 6 2 6" xfId="12242" xr:uid="{8FCCE852-F781-44FD-BF70-D9C537195AC0}"/>
    <cellStyle name="RISKltandbEdge 6 2 6 2" xfId="34748" xr:uid="{E00629B9-80D7-4D9C-BC64-CE928A9844B3}"/>
    <cellStyle name="RISKltandbEdge 6 2 7" xfId="12479" xr:uid="{8EC440CE-89A6-4E77-BFA8-84F567F7157D}"/>
    <cellStyle name="RISKltandbEdge 6 2 7 2" xfId="34925" xr:uid="{FC2BB3B5-430A-496B-9520-98D7A7C1024A}"/>
    <cellStyle name="RISKltandbEdge 6 2 8" xfId="17539" xr:uid="{6C44A0F3-FE26-4156-8D97-F6DAE28D8DD8}"/>
    <cellStyle name="RISKltandbEdge 6 2 8 2" xfId="38786" xr:uid="{2A83B4E4-38A1-436B-AED2-4C2584F79CF7}"/>
    <cellStyle name="RISKltandbEdge 6 2 9" xfId="18389" xr:uid="{257FD025-FB75-4D89-836F-15D665FAA5C8}"/>
    <cellStyle name="RISKltandbEdge 6 2 9 2" xfId="39400" xr:uid="{5EC2133B-0414-4DCA-BE45-FEDD50D07E12}"/>
    <cellStyle name="RISKltandbEdge 6 20" xfId="20373" xr:uid="{B8D231D5-1121-4A92-A42A-33CC40D151A0}"/>
    <cellStyle name="RISKltandbEdge 6 20 2" xfId="40800" xr:uid="{4EE762BC-4B51-48B6-8802-5308C341BD55}"/>
    <cellStyle name="RISKltandbEdge 6 21" xfId="17061" xr:uid="{45E32DEB-82E4-4022-BE02-0239AD2FC873}"/>
    <cellStyle name="RISKltandbEdge 6 21 2" xfId="38403" xr:uid="{57F67FD1-C6BB-4EDE-866F-627FF68BFEFA}"/>
    <cellStyle name="RISKltandbEdge 6 22" xfId="21736" xr:uid="{C7B381D0-2766-45A7-B6AA-91EFE6857D58}"/>
    <cellStyle name="RISKltandbEdge 6 22 2" xfId="41758" xr:uid="{D46AE8DC-FF06-4C7F-8F8F-E80980F28A5E}"/>
    <cellStyle name="RISKltandbEdge 6 23" xfId="26239" xr:uid="{F1CE7E91-E77E-4AE7-873D-DE3E389988CE}"/>
    <cellStyle name="RISKltandbEdge 6 23 2" xfId="44948" xr:uid="{E8EB5340-4661-47C5-A68B-BDBD4FC2343B}"/>
    <cellStyle name="RISKltandbEdge 6 24" xfId="27923" xr:uid="{5F70F5E9-F3CB-4E56-AFC0-C155D04D7338}"/>
    <cellStyle name="RISKltandbEdge 6 24 2" xfId="45995" xr:uid="{0B66BED5-CD93-41EB-A572-F753C2BD75A5}"/>
    <cellStyle name="RISKltandbEdge 6 25" xfId="24240" xr:uid="{3571AADB-1696-4787-B5E8-B4CC09F93589}"/>
    <cellStyle name="RISKltandbEdge 6 25 2" xfId="43554" xr:uid="{5B550ED3-AFE2-42A8-B534-752877E0277E}"/>
    <cellStyle name="RISKltandbEdge 6 26" xfId="28313" xr:uid="{A58AFCA9-F1D6-4BD1-83CA-3F54E7FF6EC1}"/>
    <cellStyle name="RISKltandbEdge 6 26 2" xfId="46180" xr:uid="{F3719B46-BD8F-4A41-BBD2-A6704AE684FB}"/>
    <cellStyle name="RISKltandbEdge 6 27" xfId="28401" xr:uid="{C23FF080-F141-4781-A465-B1699FEBA644}"/>
    <cellStyle name="RISKltandbEdge 6 27 2" xfId="46248" xr:uid="{4920412F-CD0F-49A9-BA82-84F17C8ED001}"/>
    <cellStyle name="RISKltandbEdge 6 28" xfId="29709" xr:uid="{DF18DF35-790D-41AB-B8F7-69EA1F99FC6E}"/>
    <cellStyle name="RISKltandbEdge 6 28 2" xfId="47054" xr:uid="{1BC06117-A9AE-4F26-82CB-5A5A15543AED}"/>
    <cellStyle name="RISKltandbEdge 6 29" xfId="30725" xr:uid="{49C6A97D-98FC-4CEB-9D4D-43993A809665}"/>
    <cellStyle name="RISKltandbEdge 6 29 2" xfId="47671" xr:uid="{47BD5282-6789-4E70-9A1B-497BCCDD8E03}"/>
    <cellStyle name="RISKltandbEdge 6 3" xfId="3802" xr:uid="{1CE0C38B-0B51-498E-8A98-DCEE98CF94C1}"/>
    <cellStyle name="RISKltandbEdge 6 3 10" xfId="17256" xr:uid="{2987A3F9-E78B-4280-A7C6-5C0830AF527D}"/>
    <cellStyle name="RISKltandbEdge 6 3 10 2" xfId="38560" xr:uid="{618D135B-C5D9-4C40-8D6D-13CF832A8354}"/>
    <cellStyle name="RISKltandbEdge 6 3 11" xfId="16209" xr:uid="{0F69E93E-35B0-40E0-A480-167FBEA91E58}"/>
    <cellStyle name="RISKltandbEdge 6 3 11 2" xfId="37763" xr:uid="{E98842FB-FC5A-4583-A841-7289C8A53064}"/>
    <cellStyle name="RISKltandbEdge 6 3 12" xfId="15358" xr:uid="{F4C8CC07-006D-4188-9B0D-18D5627EC362}"/>
    <cellStyle name="RISKltandbEdge 6 3 12 2" xfId="37058" xr:uid="{CAE70A5B-56BC-4AF0-A3BE-56D5037A94C8}"/>
    <cellStyle name="RISKltandbEdge 6 3 13" xfId="19128" xr:uid="{2ACFFBA2-1007-4AA9-A49E-A4C1466B529A}"/>
    <cellStyle name="RISKltandbEdge 6 3 13 2" xfId="39937" xr:uid="{DEE8748C-FD35-41D0-84D3-B65CFADC0133}"/>
    <cellStyle name="RISKltandbEdge 6 3 14" xfId="22025" xr:uid="{8F20ACAE-B38F-474B-B7A4-C8BEF91E2516}"/>
    <cellStyle name="RISKltandbEdge 6 3 14 2" xfId="41920" xr:uid="{A7E95931-A86F-4135-9227-9AC98EDC8F0D}"/>
    <cellStyle name="RISKltandbEdge 6 3 15" xfId="23265" xr:uid="{DBA7BB50-65AC-409D-926A-F8090DF94E95}"/>
    <cellStyle name="RISKltandbEdge 6 3 15 2" xfId="42840" xr:uid="{E2414576-E16D-41FC-909D-FA44F0AAD372}"/>
    <cellStyle name="RISKltandbEdge 6 3 16" xfId="24070" xr:uid="{E9D20B44-A27B-4858-BBC3-2721906583AE}"/>
    <cellStyle name="RISKltandbEdge 6 3 16 2" xfId="43446" xr:uid="{8705D876-7245-43B4-824A-0BBD1B644578}"/>
    <cellStyle name="RISKltandbEdge 6 3 17" xfId="19407" xr:uid="{9DFF95D8-6FA5-450E-9902-DDF61ACD44F2}"/>
    <cellStyle name="RISKltandbEdge 6 3 17 2" xfId="40128" xr:uid="{2838B348-B9D8-4792-8946-0B8F0FB27E94}"/>
    <cellStyle name="RISKltandbEdge 6 3 18" xfId="25778" xr:uid="{764A03EB-C6E7-4CBF-B5EB-4B77413D78FD}"/>
    <cellStyle name="RISKltandbEdge 6 3 18 2" xfId="44607" xr:uid="{A72E5FEF-7C1E-441B-9767-14C3AFA846B4}"/>
    <cellStyle name="RISKltandbEdge 6 3 19" xfId="22579" xr:uid="{33F5B095-FC1B-486A-AAF1-75B1C0F192FD}"/>
    <cellStyle name="RISKltandbEdge 6 3 19 2" xfId="42365" xr:uid="{7C7885B9-3F52-4282-B380-F76CCDADC95B}"/>
    <cellStyle name="RISKltandbEdge 6 3 2" xfId="7463" xr:uid="{B5A71288-D326-4293-82D3-D7ADD4A7C121}"/>
    <cellStyle name="RISKltandbEdge 6 3 2 2" xfId="31821" xr:uid="{7AC6313A-8183-409F-94B5-63C4E31E3DE9}"/>
    <cellStyle name="RISKltandbEdge 6 3 20" xfId="22677" xr:uid="{65B3B812-9FA6-4B5B-96F9-38AB6661AA5F}"/>
    <cellStyle name="RISKltandbEdge 6 3 20 2" xfId="42445" xr:uid="{EACC592C-F35C-4063-BF67-2DE60FCC6EA6}"/>
    <cellStyle name="RISKltandbEdge 6 3 21" xfId="26238" xr:uid="{82C88576-7C11-4A96-BE50-AF0C8F888AE8}"/>
    <cellStyle name="RISKltandbEdge 6 3 21 2" xfId="44947" xr:uid="{E7637FAA-1844-45AB-AC3A-B164D25EAB5C}"/>
    <cellStyle name="RISKltandbEdge 6 3 22" xfId="27922" xr:uid="{25C0CC76-144A-4812-9F3E-E3FA54647B35}"/>
    <cellStyle name="RISKltandbEdge 6 3 22 2" xfId="45994" xr:uid="{9ACE178A-B8E7-4250-985A-E94AC6BCC42C}"/>
    <cellStyle name="RISKltandbEdge 6 3 23" xfId="22675" xr:uid="{C13E1CE4-D59A-449F-880D-A8B4CD50E9CA}"/>
    <cellStyle name="RISKltandbEdge 6 3 23 2" xfId="42443" xr:uid="{069713E0-ECD6-40CD-8833-D33D16BD94B2}"/>
    <cellStyle name="RISKltandbEdge 6 3 24" xfId="27021" xr:uid="{CFE3E68A-75BB-4485-8039-21B0A1C24856}"/>
    <cellStyle name="RISKltandbEdge 6 3 24 2" xfId="45424" xr:uid="{2FD9D442-56FA-4D23-817D-ECC354A4D589}"/>
    <cellStyle name="RISKltandbEdge 6 3 25" xfId="29542" xr:uid="{DA36D499-8D58-4D82-9621-6B34C8AAAD27}"/>
    <cellStyle name="RISKltandbEdge 6 3 25 2" xfId="46943" xr:uid="{8CC4F274-C328-4C7B-A1DA-D10D7454E5A5}"/>
    <cellStyle name="RISKltandbEdge 6 3 26" xfId="28239" xr:uid="{B47C0136-3535-4FE1-A658-87E4B660773B}"/>
    <cellStyle name="RISKltandbEdge 6 3 26 2" xfId="46114" xr:uid="{3DBDD234-550B-4CCA-93A4-517981823E1B}"/>
    <cellStyle name="RISKltandbEdge 6 3 27" xfId="30724" xr:uid="{3CCE24B4-78A6-4482-8F55-B6F9DC8F6A08}"/>
    <cellStyle name="RISKltandbEdge 6 3 27 2" xfId="47670" xr:uid="{75F08511-6A98-4E15-A766-339B20FA55B5}"/>
    <cellStyle name="RISKltandbEdge 6 3 28" xfId="29039" xr:uid="{7F3A754B-0E99-418F-ABB3-63AAC896E30C}"/>
    <cellStyle name="RISKltandbEdge 6 3 28 2" xfId="46626" xr:uid="{CABC4F49-5DE2-4C6E-8CEE-406F34CC7584}"/>
    <cellStyle name="RISKltandbEdge 6 3 29" xfId="30634" xr:uid="{84A8A70A-3D43-4C46-AE75-A95E0B2F4ABC}"/>
    <cellStyle name="RISKltandbEdge 6 3 29 2" xfId="47580" xr:uid="{1D49701D-E69A-4360-BD8E-AA8C76A5CCA4}"/>
    <cellStyle name="RISKltandbEdge 6 3 3" xfId="13300" xr:uid="{1E2C7EE1-34E0-46D8-8CEF-9F0321144E66}"/>
    <cellStyle name="RISKltandbEdge 6 3 3 2" xfId="35617" xr:uid="{981C3F97-4BD1-47D2-A59D-DB08C36EE25A}"/>
    <cellStyle name="RISKltandbEdge 6 3 30" xfId="6106" xr:uid="{5C0CD4D6-9373-4997-90D0-854CC29D0192}"/>
    <cellStyle name="RISKltandbEdge 6 3 4" xfId="7138" xr:uid="{DE006867-518C-4BDB-9235-B8FC514F22A7}"/>
    <cellStyle name="RISKltandbEdge 6 3 4 2" xfId="31505" xr:uid="{F15CA2DF-B02F-46D2-9CCC-3892D8E6A2C9}"/>
    <cellStyle name="RISKltandbEdge 6 3 5" xfId="11835" xr:uid="{8FAB664F-F8C6-4D50-9E13-B9980DC93E9B}"/>
    <cellStyle name="RISKltandbEdge 6 3 5 2" xfId="34447" xr:uid="{B6DFD630-08EF-408C-A363-BD5C4702ECB5}"/>
    <cellStyle name="RISKltandbEdge 6 3 6" xfId="14718" xr:uid="{11593E0D-F64C-4510-BAA9-8DB0CE923A84}"/>
    <cellStyle name="RISKltandbEdge 6 3 6 2" xfId="36630" xr:uid="{990AC749-F6CB-4270-AC03-882881656524}"/>
    <cellStyle name="RISKltandbEdge 6 3 7" xfId="16667" xr:uid="{612008ED-E134-47BE-99F0-B4C70BDC532C}"/>
    <cellStyle name="RISKltandbEdge 6 3 7 2" xfId="38158" xr:uid="{65D6C793-9A12-48E1-9B81-374A53A9EE00}"/>
    <cellStyle name="RISKltandbEdge 6 3 8" xfId="15605" xr:uid="{AE289D18-1718-4FC1-9F3B-F36E4082F1C3}"/>
    <cellStyle name="RISKltandbEdge 6 3 8 2" xfId="37263" xr:uid="{F31796C1-5A94-41D1-824C-D634FE7D9CAF}"/>
    <cellStyle name="RISKltandbEdge 6 3 9" xfId="12598" xr:uid="{0FA9E8BB-AFD5-4539-9B30-BF859D1FC8A8}"/>
    <cellStyle name="RISKltandbEdge 6 3 9 2" xfId="35033" xr:uid="{27FBB100-DF98-416B-90E2-0A58E43E2389}"/>
    <cellStyle name="RISKltandbEdge 6 30" xfId="28721" xr:uid="{F1505DAE-60F2-4FE0-9A20-FF6D046F964A}"/>
    <cellStyle name="RISKltandbEdge 6 30 2" xfId="46434" xr:uid="{2F6C747D-311E-4E61-99EC-1E8DFC78654E}"/>
    <cellStyle name="RISKltandbEdge 6 31" xfId="30203" xr:uid="{8CD92790-50E6-4A78-8035-C9BF3FEA10ED}"/>
    <cellStyle name="RISKltandbEdge 6 31 2" xfId="47364" xr:uid="{2B497C2D-7781-4F31-A1CC-58CFD3DA736A}"/>
    <cellStyle name="RISKltandbEdge 6 32" xfId="6108" xr:uid="{238FC3B7-FB35-4989-8759-F59B59C197EF}"/>
    <cellStyle name="RISKltandbEdge 6 4" xfId="7464" xr:uid="{E1AFE96D-ADF5-4B54-8DF3-643C7B438815}"/>
    <cellStyle name="RISKltandbEdge 6 4 2" xfId="31822" xr:uid="{386DD389-E03E-4566-94A8-6EC319E0C8FB}"/>
    <cellStyle name="RISKltandbEdge 6 5" xfId="13301" xr:uid="{899E8D79-4C1C-445A-8266-CE3019BB3938}"/>
    <cellStyle name="RISKltandbEdge 6 5 2" xfId="35618" xr:uid="{F51E0DE5-84DB-4A77-BAEE-62BE3BFF7AE7}"/>
    <cellStyle name="RISKltandbEdge 6 6" xfId="7139" xr:uid="{6513C99B-F241-4EB0-9523-D6797B2BA1B5}"/>
    <cellStyle name="RISKltandbEdge 6 6 2" xfId="31506" xr:uid="{00B9E1A1-C359-49E9-818E-8C23E3A6BF48}"/>
    <cellStyle name="RISKltandbEdge 6 7" xfId="11836" xr:uid="{7EDB0E51-A944-41B1-9194-2A5A162F872A}"/>
    <cellStyle name="RISKltandbEdge 6 7 2" xfId="34448" xr:uid="{B172D2B8-B765-4996-8821-0A6D15404F53}"/>
    <cellStyle name="RISKltandbEdge 6 8" xfId="14719" xr:uid="{3084485A-A234-4842-956A-C2864534569B}"/>
    <cellStyle name="RISKltandbEdge 6 8 2" xfId="36631" xr:uid="{31E3C114-AC21-44F3-B2D7-C5E0B03EF2EC}"/>
    <cellStyle name="RISKltandbEdge 6 9" xfId="16668" xr:uid="{034F213E-3F00-488E-A0E1-828161D2AB90}"/>
    <cellStyle name="RISKltandbEdge 6 9 2" xfId="38159" xr:uid="{2C69A726-046C-4752-9D99-B765358B9E38}"/>
    <cellStyle name="RISKltandbEdge 7" xfId="3803" xr:uid="{F2BC1E33-BD4E-4EE7-9C76-A1EE2D30F3CB}"/>
    <cellStyle name="RISKltandbEdge 7 10" xfId="17538" xr:uid="{095CE4E1-718A-4F9A-AC72-97A8F424201B}"/>
    <cellStyle name="RISKltandbEdge 7 10 2" xfId="38785" xr:uid="{911E56A7-1AD5-4CA7-B9DB-614244A4F694}"/>
    <cellStyle name="RISKltandbEdge 7 11" xfId="18388" xr:uid="{9252BCA1-2AEC-4484-9AAB-EA34A8BCEBA7}"/>
    <cellStyle name="RISKltandbEdge 7 11 2" xfId="39399" xr:uid="{BDF13A0F-1E89-4FDB-9D26-F507B638EF84}"/>
    <cellStyle name="RISKltandbEdge 7 12" xfId="14530" xr:uid="{29410881-CB9E-4C9A-8E31-89AB84F03A6A}"/>
    <cellStyle name="RISKltandbEdge 7 12 2" xfId="36467" xr:uid="{562BF0CB-7EBE-4068-AA54-D8E19D37EFA7}"/>
    <cellStyle name="RISKltandbEdge 7 13" xfId="18100" xr:uid="{08A96348-39B7-4700-ADD1-5FAF76E0F6C5}"/>
    <cellStyle name="RISKltandbEdge 7 13 2" xfId="39174" xr:uid="{666CA8DD-CF39-4B7D-82F1-DEE418AA3EB5}"/>
    <cellStyle name="RISKltandbEdge 7 14" xfId="20760" xr:uid="{90FC7E21-F007-43B1-B5F0-E918CE9106D1}"/>
    <cellStyle name="RISKltandbEdge 7 14 2" xfId="41120" xr:uid="{03392FFA-97B3-414F-9351-1208E7C6D61A}"/>
    <cellStyle name="RISKltandbEdge 7 15" xfId="15162" xr:uid="{49BCD68D-BFEC-4B9E-B574-1A17148D16BB}"/>
    <cellStyle name="RISKltandbEdge 7 15 2" xfId="36951" xr:uid="{4B8DB943-DD3E-4AF4-B089-C8A73D5016BD}"/>
    <cellStyle name="RISKltandbEdge 7 16" xfId="21267" xr:uid="{F09847E2-536D-4762-B749-4A2E503E72DA}"/>
    <cellStyle name="RISKltandbEdge 7 16 2" xfId="41448" xr:uid="{108040E6-08BE-4E5E-B26B-6F9C2783F882}"/>
    <cellStyle name="RISKltandbEdge 7 17" xfId="20527" xr:uid="{693B5D98-C101-4C53-9080-915B364352CF}"/>
    <cellStyle name="RISKltandbEdge 7 17 2" xfId="40907" xr:uid="{CAEC7CA9-FEC0-4C8E-BE0B-2D1C032EB399}"/>
    <cellStyle name="RISKltandbEdge 7 18" xfId="22180" xr:uid="{B11FB010-C832-4A65-9C81-9379BF9CB8BE}"/>
    <cellStyle name="RISKltandbEdge 7 18 2" xfId="42059" xr:uid="{0398A614-8C08-448B-A27F-810956296093}"/>
    <cellStyle name="RISKltandbEdge 7 19" xfId="17861" xr:uid="{1870321D-5ECF-4B2A-9FF8-BB6A4A2979C3}"/>
    <cellStyle name="RISKltandbEdge 7 19 2" xfId="38977" xr:uid="{AC26D9A8-8702-4CBA-9766-7BE6754E44F2}"/>
    <cellStyle name="RISKltandbEdge 7 2" xfId="3804" xr:uid="{F9F9B9B8-9C87-4EAB-A245-B514630A4529}"/>
    <cellStyle name="RISKltandbEdge 7 2 10" xfId="17255" xr:uid="{A1551AB7-D174-425C-AED5-89A7C79C8C5D}"/>
    <cellStyle name="RISKltandbEdge 7 2 10 2" xfId="38559" xr:uid="{CAD0451B-DE66-4B31-84BD-61AD0D1A9E75}"/>
    <cellStyle name="RISKltandbEdge 7 2 11" xfId="13937" xr:uid="{E7DA4546-259B-4ED2-8226-9A005D8AD485}"/>
    <cellStyle name="RISKltandbEdge 7 2 11 2" xfId="36046" xr:uid="{1E9D138B-2B81-4C1B-945E-646A04A616F5}"/>
    <cellStyle name="RISKltandbEdge 7 2 12" xfId="16830" xr:uid="{D46BD598-BD2E-467C-A5AA-FED714C3247C}"/>
    <cellStyle name="RISKltandbEdge 7 2 12 2" xfId="38258" xr:uid="{92E0CE9D-BA44-4F48-8EB1-7D98CB90FE84}"/>
    <cellStyle name="RISKltandbEdge 7 2 13" xfId="18515" xr:uid="{EE893906-377A-4E79-AA9B-9A03CAE76B7E}"/>
    <cellStyle name="RISKltandbEdge 7 2 13 2" xfId="39471" xr:uid="{DD9A38F6-1406-45D7-B2D6-3E00E8355DC2}"/>
    <cellStyle name="RISKltandbEdge 7 2 14" xfId="17901" xr:uid="{A6623192-31EC-42D2-917B-DD2227544673}"/>
    <cellStyle name="RISKltandbEdge 7 2 14 2" xfId="39008" xr:uid="{342C6A6D-D6F0-4AF1-A329-4C7190C04BC9}"/>
    <cellStyle name="RISKltandbEdge 7 2 15" xfId="23264" xr:uid="{38DB4FBE-297A-4CE4-9A6B-88B6E441EDA1}"/>
    <cellStyle name="RISKltandbEdge 7 2 15 2" xfId="42839" xr:uid="{C6890D21-1560-4F03-BDC2-977AD7879AA9}"/>
    <cellStyle name="RISKltandbEdge 7 2 16" xfId="24069" xr:uid="{F2875CA3-87EB-4A52-BF75-45AE393E3CEF}"/>
    <cellStyle name="RISKltandbEdge 7 2 16 2" xfId="43445" xr:uid="{4AE5A392-39C1-4928-9A90-861A8BF1D086}"/>
    <cellStyle name="RISKltandbEdge 7 2 17" xfId="21193" xr:uid="{F69AD40D-E1C5-4DF9-A8AB-3BFC626FEAF3}"/>
    <cellStyle name="RISKltandbEdge 7 2 17 2" xfId="41386" xr:uid="{D3644DE4-E866-4281-A9E2-3A2A2AC9AF6C}"/>
    <cellStyle name="RISKltandbEdge 7 2 18" xfId="24602" xr:uid="{6CAF7378-4767-4349-B861-56BB716EE5CC}"/>
    <cellStyle name="RISKltandbEdge 7 2 18 2" xfId="43784" xr:uid="{87AEB339-5B44-4C60-91C0-113234B9EFDC}"/>
    <cellStyle name="RISKltandbEdge 7 2 19" xfId="22124" xr:uid="{3AF27292-0305-41AB-8248-3EB86C59B750}"/>
    <cellStyle name="RISKltandbEdge 7 2 19 2" xfId="42009" xr:uid="{10E9AC0F-CFC4-4A30-9E51-0F2303FEC23D}"/>
    <cellStyle name="RISKltandbEdge 7 2 2" xfId="7462" xr:uid="{65BBF637-F113-4DDE-937C-632AC6E7FD71}"/>
    <cellStyle name="RISKltandbEdge 7 2 2 2" xfId="31820" xr:uid="{13AC9DF7-1C22-4450-879A-5A03F12A4848}"/>
    <cellStyle name="RISKltandbEdge 7 2 20" xfId="24222" xr:uid="{DDBC5C16-E6C7-4740-B397-7965950E7D26}"/>
    <cellStyle name="RISKltandbEdge 7 2 20 2" xfId="43540" xr:uid="{D2F02C33-7066-4FC9-BC3A-BF79DB4F56E8}"/>
    <cellStyle name="RISKltandbEdge 7 2 21" xfId="26237" xr:uid="{4251B2D3-2640-41F8-835D-D278F4BF105B}"/>
    <cellStyle name="RISKltandbEdge 7 2 21 2" xfId="44946" xr:uid="{1DD5982C-075F-4590-AC24-FE42BC9271CE}"/>
    <cellStyle name="RISKltandbEdge 7 2 22" xfId="27921" xr:uid="{521D4FDD-16E1-4C08-BA7E-4F88E74D93DC}"/>
    <cellStyle name="RISKltandbEdge 7 2 22 2" xfId="45993" xr:uid="{B7D85829-EAA4-45F9-A2A0-B9585194BE7D}"/>
    <cellStyle name="RISKltandbEdge 7 2 23" xfId="22251" xr:uid="{81628015-08CD-4740-B545-98ECCDD1CB39}"/>
    <cellStyle name="RISKltandbEdge 7 2 23 2" xfId="42121" xr:uid="{56CD1A81-D82C-4D62-A055-36448A9E4DC1}"/>
    <cellStyle name="RISKltandbEdge 7 2 24" xfId="29576" xr:uid="{F824DAC0-BD27-4C6C-9B25-65A77762C056}"/>
    <cellStyle name="RISKltandbEdge 7 2 24 2" xfId="46971" xr:uid="{86FA1766-6233-4D3F-81D9-60C15AC74089}"/>
    <cellStyle name="RISKltandbEdge 7 2 25" xfId="28416" xr:uid="{19FC6956-F59E-447A-94F5-8BF004AE1FD7}"/>
    <cellStyle name="RISKltandbEdge 7 2 25 2" xfId="46263" xr:uid="{2784AD1F-A4C1-4534-88F6-C421438B8193}"/>
    <cellStyle name="RISKltandbEdge 7 2 26" xfId="30085" xr:uid="{5C90D058-49AF-4D50-A615-ACACEDC90C39}"/>
    <cellStyle name="RISKltandbEdge 7 2 26 2" xfId="47281" xr:uid="{0BD645B3-1FAB-43D6-A2BD-9B28DBFFCF06}"/>
    <cellStyle name="RISKltandbEdge 7 2 27" xfId="30723" xr:uid="{00400635-D8D3-4223-8E43-07BF2E91FDCF}"/>
    <cellStyle name="RISKltandbEdge 7 2 27 2" xfId="47669" xr:uid="{EC712A75-E006-4B52-921F-1BFDBCD7D43D}"/>
    <cellStyle name="RISKltandbEdge 7 2 28" xfId="29802" xr:uid="{C5E86D13-2370-42A0-A52B-A5F4D78FC7C0}"/>
    <cellStyle name="RISKltandbEdge 7 2 28 2" xfId="47121" xr:uid="{9799251C-E02D-484F-B53D-A02838BF3647}"/>
    <cellStyle name="RISKltandbEdge 7 2 29" xfId="29032" xr:uid="{23EB9474-3E01-4DE2-86AB-E20B3B9C8D3A}"/>
    <cellStyle name="RISKltandbEdge 7 2 29 2" xfId="46619" xr:uid="{4318D8F5-AE87-4977-9037-C46C7FBAFF74}"/>
    <cellStyle name="RISKltandbEdge 7 2 3" xfId="13299" xr:uid="{0B4945A1-6CA0-455B-B527-06908756FEF6}"/>
    <cellStyle name="RISKltandbEdge 7 2 3 2" xfId="35616" xr:uid="{BF6B7CCB-0AD2-4A6E-9E69-C075A7957150}"/>
    <cellStyle name="RISKltandbEdge 7 2 30" xfId="6104" xr:uid="{04761DAE-BB29-4B62-8E3B-0AA8EB28155F}"/>
    <cellStyle name="RISKltandbEdge 7 2 4" xfId="7136" xr:uid="{68131363-BF41-439A-8DDC-701F2EC8AB5E}"/>
    <cellStyle name="RISKltandbEdge 7 2 4 2" xfId="31503" xr:uid="{0ED847C1-F382-4079-9D7A-5185BD420046}"/>
    <cellStyle name="RISKltandbEdge 7 2 5" xfId="11834" xr:uid="{06645944-1EC4-4196-87B3-79A2CA4DF343}"/>
    <cellStyle name="RISKltandbEdge 7 2 5 2" xfId="34446" xr:uid="{AFBD5B12-29E9-41D3-937F-F34687D19E4D}"/>
    <cellStyle name="RISKltandbEdge 7 2 6" xfId="12277" xr:uid="{2C254FBA-6D97-4746-A206-E4765596E9C3}"/>
    <cellStyle name="RISKltandbEdge 7 2 6 2" xfId="34783" xr:uid="{57D653D6-95F6-4456-B0CB-0FA79C2AC6F3}"/>
    <cellStyle name="RISKltandbEdge 7 2 7" xfId="16666" xr:uid="{48AF5138-B1E7-49E9-B3A3-C23BD8E96148}"/>
    <cellStyle name="RISKltandbEdge 7 2 7 2" xfId="38157" xr:uid="{E823E9B1-63EB-4EF0-A5EE-833CCAF08435}"/>
    <cellStyle name="RISKltandbEdge 7 2 8" xfId="16033" xr:uid="{C3198145-0D7A-4D6D-B971-F273BE87DDB8}"/>
    <cellStyle name="RISKltandbEdge 7 2 8 2" xfId="37616" xr:uid="{830A4315-2485-4836-A1E0-E3CAB0935622}"/>
    <cellStyle name="RISKltandbEdge 7 2 9" xfId="16347" xr:uid="{9F0374AE-AFCB-4CF6-82EB-FFBBCA921E71}"/>
    <cellStyle name="RISKltandbEdge 7 2 9 2" xfId="37875" xr:uid="{935B2BE1-A575-48C8-B7E3-08B7CAC1C632}"/>
    <cellStyle name="RISKltandbEdge 7 20" xfId="21789" xr:uid="{428648A7-FC09-43C2-B982-9391E4ECB970}"/>
    <cellStyle name="RISKltandbEdge 7 20 2" xfId="41786" xr:uid="{700C1E58-17A5-4CA7-833F-739C260326C4}"/>
    <cellStyle name="RISKltandbEdge 7 21" xfId="21172" xr:uid="{0C12249A-B400-42D8-9971-DC07BDA51525}"/>
    <cellStyle name="RISKltandbEdge 7 21 2" xfId="41365" xr:uid="{A235735B-92BA-48A9-ACDC-CB3FAABC5D2C}"/>
    <cellStyle name="RISKltandbEdge 7 22" xfId="26670" xr:uid="{559238E3-52BC-486B-81D9-392DB078D398}"/>
    <cellStyle name="RISKltandbEdge 7 22 2" xfId="45219" xr:uid="{4F2D2BEC-175D-411A-B49C-5912BF8AEED2}"/>
    <cellStyle name="RISKltandbEdge 7 23" xfId="23822" xr:uid="{018DCED9-EB1C-45C6-B73B-F8B77BAFE023}"/>
    <cellStyle name="RISKltandbEdge 7 23 2" xfId="43211" xr:uid="{CE630E76-1E10-406D-9A83-3ECA013EB217}"/>
    <cellStyle name="RISKltandbEdge 7 24" xfId="25489" xr:uid="{F14B3224-1E81-425E-A573-64555FB535EF}"/>
    <cellStyle name="RISKltandbEdge 7 24 2" xfId="44367" xr:uid="{C1196DCF-CBB8-409D-856C-E53E3D58A737}"/>
    <cellStyle name="RISKltandbEdge 7 25" xfId="26633" xr:uid="{E1096F9E-59BE-452A-AA6F-9B825523B658}"/>
    <cellStyle name="RISKltandbEdge 7 25 2" xfId="45183" xr:uid="{2A008B0E-B4CB-4C87-ACD6-62D6F409689E}"/>
    <cellStyle name="RISKltandbEdge 7 26" xfId="29350" xr:uid="{D201D9B9-6C94-4BE7-BD46-E5462693EB73}"/>
    <cellStyle name="RISKltandbEdge 7 26 2" xfId="46823" xr:uid="{A1F28D56-47F1-4ECA-9BF2-979449D55AC6}"/>
    <cellStyle name="RISKltandbEdge 7 27" xfId="27070" xr:uid="{1E134A1E-F67C-4738-B651-F2F61B81238B}"/>
    <cellStyle name="RISKltandbEdge 7 27 2" xfId="45463" xr:uid="{AAD36D4B-8BC1-425B-9F6D-B49178121DF7}"/>
    <cellStyle name="RISKltandbEdge 7 28" xfId="27759" xr:uid="{ACB6233A-5DC9-4057-82E9-731566EB2218}"/>
    <cellStyle name="RISKltandbEdge 7 28 2" xfId="45859" xr:uid="{A5025C47-ECB6-487E-B53E-D692EB012788}"/>
    <cellStyle name="RISKltandbEdge 7 29" xfId="28757" xr:uid="{E26E5DC7-D997-4DDA-B0BA-BE89145D5503}"/>
    <cellStyle name="RISKltandbEdge 7 29 2" xfId="46438" xr:uid="{10E6375F-EF34-4412-BE22-96481F87B51B}"/>
    <cellStyle name="RISKltandbEdge 7 3" xfId="3805" xr:uid="{82A8B968-9122-458A-A134-F19A8165467E}"/>
    <cellStyle name="RISKltandbEdge 7 3 10" xfId="13893" xr:uid="{1C31E0C5-1A04-46F6-A89F-6064C795D9E4}"/>
    <cellStyle name="RISKltandbEdge 7 3 10 2" xfId="36011" xr:uid="{FD30EB38-C039-4610-9453-931047A3F999}"/>
    <cellStyle name="RISKltandbEdge 7 3 11" xfId="18099" xr:uid="{1AC985ED-F44F-4EDA-995C-F6AE0A4A0425}"/>
    <cellStyle name="RISKltandbEdge 7 3 11 2" xfId="39173" xr:uid="{5BE98702-E4EB-4B1F-9ED3-B452339FEE28}"/>
    <cellStyle name="RISKltandbEdge 7 3 12" xfId="20759" xr:uid="{FB85D751-9162-4F8C-9CF5-41A04F958072}"/>
    <cellStyle name="RISKltandbEdge 7 3 12 2" xfId="41119" xr:uid="{92E43A21-B9F6-4775-B84D-39171C696B21}"/>
    <cellStyle name="RISKltandbEdge 7 3 13" xfId="17163" xr:uid="{B304F224-58EA-4C5C-B452-C8BF461F6E31}"/>
    <cellStyle name="RISKltandbEdge 7 3 13 2" xfId="38492" xr:uid="{AAC5F74F-1B88-4615-9842-CC60FE17FEA9}"/>
    <cellStyle name="RISKltandbEdge 7 3 14" xfId="19546" xr:uid="{DA2F6AB2-FCE5-47F1-8B5B-DE036C32EFA9}"/>
    <cellStyle name="RISKltandbEdge 7 3 14 2" xfId="40209" xr:uid="{E0A0585A-6B3A-4420-BAED-5B224C270342}"/>
    <cellStyle name="RISKltandbEdge 7 3 15" xfId="15383" xr:uid="{2384EAB6-F3A1-40A3-92FF-94DF80F3B788}"/>
    <cellStyle name="RISKltandbEdge 7 3 15 2" xfId="37081" xr:uid="{3CE520F9-C924-491D-9372-C3018691ED76}"/>
    <cellStyle name="RISKltandbEdge 7 3 16" xfId="18726" xr:uid="{10CB8444-990E-468D-9FAD-22E9E1AE2BFC}"/>
    <cellStyle name="RISKltandbEdge 7 3 16 2" xfId="39601" xr:uid="{2D49A21D-477C-4139-B93D-69FCAEEE6910}"/>
    <cellStyle name="RISKltandbEdge 7 3 17" xfId="22100" xr:uid="{2C375085-39C0-4F01-9D4C-DCA4973E5272}"/>
    <cellStyle name="RISKltandbEdge 7 3 17 2" xfId="41985" xr:uid="{6EA8CD22-2069-48A3-9ED9-315B226AFE15}"/>
    <cellStyle name="RISKltandbEdge 7 3 18" xfId="25777" xr:uid="{20B5534D-D258-4FD8-A1AF-B9A48ADB66F9}"/>
    <cellStyle name="RISKltandbEdge 7 3 18 2" xfId="44606" xr:uid="{9EF0FB0D-D3FE-42E3-807C-7ECA94577965}"/>
    <cellStyle name="RISKltandbEdge 7 3 19" xfId="19420" xr:uid="{6B1D188E-8499-4713-B17B-43B04E8693F5}"/>
    <cellStyle name="RISKltandbEdge 7 3 19 2" xfId="40141" xr:uid="{AC4DA4E9-441F-4406-A671-C6A18B5E144A}"/>
    <cellStyle name="RISKltandbEdge 7 3 2" xfId="11877" xr:uid="{7372579B-D90B-42B1-AED6-E2F88FDCBE93}"/>
    <cellStyle name="RISKltandbEdge 7 3 2 2" xfId="34489" xr:uid="{F92441FD-BC75-41BD-A8A3-C2EDE1365CB8}"/>
    <cellStyle name="RISKltandbEdge 7 3 20" xfId="26669" xr:uid="{DF702881-8D32-4FCB-8360-D2E09A8465FC}"/>
    <cellStyle name="RISKltandbEdge 7 3 20 2" xfId="45218" xr:uid="{C35A8B9A-254C-4E27-B205-9794E1CF3A39}"/>
    <cellStyle name="RISKltandbEdge 7 3 21" xfId="23407" xr:uid="{111473FA-A76B-4CFC-91F8-65BD5C7671DF}"/>
    <cellStyle name="RISKltandbEdge 7 3 21 2" xfId="42927" xr:uid="{DF9519CC-11E4-4259-9EF9-063BD86DC347}"/>
    <cellStyle name="RISKltandbEdge 7 3 22" xfId="25946" xr:uid="{0A408996-7BE3-4C02-8241-49B2BD243211}"/>
    <cellStyle name="RISKltandbEdge 7 3 22 2" xfId="44737" xr:uid="{1A0D6754-3F07-4938-9083-800D12633EBD}"/>
    <cellStyle name="RISKltandbEdge 7 3 23" xfId="26632" xr:uid="{64470211-D235-4BF5-BAE6-6740C5D06006}"/>
    <cellStyle name="RISKltandbEdge 7 3 23 2" xfId="45182" xr:uid="{D800B436-073E-4565-ABB6-B1029156A533}"/>
    <cellStyle name="RISKltandbEdge 7 3 24" xfId="26992" xr:uid="{9C41845E-A7C3-48D0-B85A-AD7416ABCE48}"/>
    <cellStyle name="RISKltandbEdge 7 3 24 2" xfId="45399" xr:uid="{AE1B3215-E42E-49EB-8858-F3777D554A77}"/>
    <cellStyle name="RISKltandbEdge 7 3 25" xfId="26064" xr:uid="{2C01FC18-8CC6-4FD4-9356-27779985CA20}"/>
    <cellStyle name="RISKltandbEdge 7 3 25 2" xfId="44829" xr:uid="{11DE24E7-A9CD-4068-B5CB-FD97F083A7EB}"/>
    <cellStyle name="RISKltandbEdge 7 3 26" xfId="28919" xr:uid="{41A13900-2B78-48A2-95D3-7FD781CDC94C}"/>
    <cellStyle name="RISKltandbEdge 7 3 26 2" xfId="46523" xr:uid="{2F7E6F90-AC8C-4C95-936B-A11307C88613}"/>
    <cellStyle name="RISKltandbEdge 7 3 27" xfId="30250" xr:uid="{2C23C8B7-A140-49ED-8096-8D932DBC61C3}"/>
    <cellStyle name="RISKltandbEdge 7 3 27 2" xfId="47411" xr:uid="{B634E13C-7454-4451-AEFC-B258B56EE999}"/>
    <cellStyle name="RISKltandbEdge 7 3 28" xfId="29906" xr:uid="{2CE33259-FCAC-49DE-9EC4-2424737DA62F}"/>
    <cellStyle name="RISKltandbEdge 7 3 28 2" xfId="47194" xr:uid="{AA875749-B6B4-4E14-AF1E-A6F108F47210}"/>
    <cellStyle name="RISKltandbEdge 7 3 29" xfId="31093" xr:uid="{0C7C0DB5-6992-4004-BD9A-E0D6A4AF4941}"/>
    <cellStyle name="RISKltandbEdge 7 3 29 2" xfId="47823" xr:uid="{D7BCA7B8-AA9E-4169-9C67-E7E746012591}"/>
    <cellStyle name="RISKltandbEdge 7 3 3" xfId="10152" xr:uid="{6E13E246-1ABB-433E-A72C-A9D895B83E08}"/>
    <cellStyle name="RISKltandbEdge 7 3 3 2" xfId="33816" xr:uid="{EEABE368-4285-4D1C-B5AF-C4006CD283AD}"/>
    <cellStyle name="RISKltandbEdge 7 3 30" xfId="6103" xr:uid="{078713A8-C7D8-449C-8F13-1B6231B5CF83}"/>
    <cellStyle name="RISKltandbEdge 7 3 4" xfId="7135" xr:uid="{E2222220-3C06-4F18-BB7E-73D8410D44BF}"/>
    <cellStyle name="RISKltandbEdge 7 3 4 2" xfId="31502" xr:uid="{2BD3053B-1AE4-40CA-91E5-7DE69B40D3E7}"/>
    <cellStyle name="RISKltandbEdge 7 3 5" xfId="7414" xr:uid="{70D45E5F-1819-464D-A4DE-2A622E6ABC2F}"/>
    <cellStyle name="RISKltandbEdge 7 3 5 2" xfId="31773" xr:uid="{A78D0091-9EE6-4C15-B53D-6B92A0292991}"/>
    <cellStyle name="RISKltandbEdge 7 3 6" xfId="14717" xr:uid="{E0B40625-7F11-4CE0-8CCB-81DCBDAF3B3D}"/>
    <cellStyle name="RISKltandbEdge 7 3 6 2" xfId="36629" xr:uid="{904F9720-0E6D-4373-842D-2F896A143237}"/>
    <cellStyle name="RISKltandbEdge 7 3 7" xfId="12480" xr:uid="{F638E029-1070-43D1-BF52-944D1C92D161}"/>
    <cellStyle name="RISKltandbEdge 7 3 7 2" xfId="34926" xr:uid="{A3F725FA-C79B-40EE-95E0-1031AE31C2C9}"/>
    <cellStyle name="RISKltandbEdge 7 3 8" xfId="17537" xr:uid="{16E5B167-3611-4D6C-A1A2-505A6DA10108}"/>
    <cellStyle name="RISKltandbEdge 7 3 8 2" xfId="38784" xr:uid="{4244432B-C710-4BCE-9CF3-1F68C6107827}"/>
    <cellStyle name="RISKltandbEdge 7 3 9" xfId="18387" xr:uid="{FC909FFD-23C3-4BB4-84A4-E411E8067F9F}"/>
    <cellStyle name="RISKltandbEdge 7 3 9 2" xfId="39398" xr:uid="{5CBA4147-5E7C-406D-B380-153F802397F8}"/>
    <cellStyle name="RISKltandbEdge 7 30" xfId="29504" xr:uid="{AEEC4759-F74C-488F-B0D7-CF7A29EDEF3D}"/>
    <cellStyle name="RISKltandbEdge 7 30 2" xfId="46917" xr:uid="{5C3C8658-067F-4929-93B7-9138DDA546E7}"/>
    <cellStyle name="RISKltandbEdge 7 31" xfId="31094" xr:uid="{DCD3AEB8-0D33-4A97-97AB-A73D1F0C528F}"/>
    <cellStyle name="RISKltandbEdge 7 31 2" xfId="47824" xr:uid="{DEBEAB2B-B008-45AF-AB83-3195067A2360}"/>
    <cellStyle name="RISKltandbEdge 7 32" xfId="6105" xr:uid="{7F3B953A-3603-4693-B5B5-C234319B8DAB}"/>
    <cellStyle name="RISKltandbEdge 7 4" xfId="11878" xr:uid="{02B76401-55C2-422F-9272-F508C6CE9D9D}"/>
    <cellStyle name="RISKltandbEdge 7 4 2" xfId="34490" xr:uid="{872C0C4C-CF8E-4A08-8E41-D81B932F1E76}"/>
    <cellStyle name="RISKltandbEdge 7 5" xfId="10151" xr:uid="{8179126C-5F91-42E0-9E20-2B5D19B12E58}"/>
    <cellStyle name="RISKltandbEdge 7 5 2" xfId="33815" xr:uid="{CEFCB7EF-2AA6-45BF-81C3-5AF191BD14FC}"/>
    <cellStyle name="RISKltandbEdge 7 6" xfId="7137" xr:uid="{3A83AD1F-6698-4011-AEDE-3FB948701A26}"/>
    <cellStyle name="RISKltandbEdge 7 6 2" xfId="31504" xr:uid="{D0D5AD9E-8C89-4031-92BB-2E57FE6A7B07}"/>
    <cellStyle name="RISKltandbEdge 7 7" xfId="7415" xr:uid="{F4599E85-A25F-4C61-9F4E-C8BBF4ECCCD7}"/>
    <cellStyle name="RISKltandbEdge 7 7 2" xfId="31774" xr:uid="{1E814587-3403-4616-BEE1-5FD1C58C8725}"/>
    <cellStyle name="RISKltandbEdge 7 8" xfId="12243" xr:uid="{446EA648-856E-43AD-A8E1-11E8DB6DFD36}"/>
    <cellStyle name="RISKltandbEdge 7 8 2" xfId="34749" xr:uid="{5C496F36-66C1-442E-A32C-CF065BC79F75}"/>
    <cellStyle name="RISKltandbEdge 7 9" xfId="14086" xr:uid="{FD2668DB-7AEF-41F2-A5DB-8FA05D8AC540}"/>
    <cellStyle name="RISKltandbEdge 7 9 2" xfId="36180" xr:uid="{70AA916A-447C-410E-A5DB-B59BE7C21D60}"/>
    <cellStyle name="RISKltandbEdge 8" xfId="3806" xr:uid="{09A3D950-9B1E-459F-9516-0DA41CB545AA}"/>
    <cellStyle name="RISKltandbEdge 8 10" xfId="12707" xr:uid="{5A1BE198-1424-4E8B-A85F-F57FE41E76A7}"/>
    <cellStyle name="RISKltandbEdge 8 10 2" xfId="35120" xr:uid="{D93823AB-7D28-4AAA-8FFF-92F79E684CDC}"/>
    <cellStyle name="RISKltandbEdge 8 11" xfId="13970" xr:uid="{56156120-2AA8-4B11-9F15-20DF6DA7D323}"/>
    <cellStyle name="RISKltandbEdge 8 11 2" xfId="36073" xr:uid="{99BB3558-B854-489B-92EE-4E7F53AC584F}"/>
    <cellStyle name="RISKltandbEdge 8 12" xfId="17254" xr:uid="{16F9AE2F-75CA-436F-B5C6-9FAB1B237F06}"/>
    <cellStyle name="RISKltandbEdge 8 12 2" xfId="38558" xr:uid="{EA1E5BB6-F7C9-4F2E-97B1-CB939E4040CD}"/>
    <cellStyle name="RISKltandbEdge 8 13" xfId="16208" xr:uid="{ADCB984A-4BB2-4B88-BD13-4DCC7865C1A9}"/>
    <cellStyle name="RISKltandbEdge 8 13 2" xfId="37762" xr:uid="{CD1F4696-2C09-4DEA-8523-8B23FAA31922}"/>
    <cellStyle name="RISKltandbEdge 8 14" xfId="18954" xr:uid="{5D1593B6-902C-43ED-B265-199AC90A0128}"/>
    <cellStyle name="RISKltandbEdge 8 14 2" xfId="39786" xr:uid="{BD7BB891-2ED4-4CDB-A8A8-3450EF521909}"/>
    <cellStyle name="RISKltandbEdge 8 15" xfId="19127" xr:uid="{61421A14-6E2F-4EE5-952F-914718BAA7AD}"/>
    <cellStyle name="RISKltandbEdge 8 15 2" xfId="39936" xr:uid="{7D0F77F1-4203-48BE-BD4A-E7C65C2FFE10}"/>
    <cellStyle name="RISKltandbEdge 8 16" xfId="22026" xr:uid="{B18F8F8F-F134-445B-B2C7-4B57CE5DC593}"/>
    <cellStyle name="RISKltandbEdge 8 16 2" xfId="41921" xr:uid="{1B1EA792-FB7B-424A-BDCA-284B30889845}"/>
    <cellStyle name="RISKltandbEdge 8 17" xfId="23263" xr:uid="{C8C9CE60-451C-4616-AFAF-2E119333DC52}"/>
    <cellStyle name="RISKltandbEdge 8 17 2" xfId="42838" xr:uid="{2580E311-4117-4643-9150-B462AFEEE80B}"/>
    <cellStyle name="RISKltandbEdge 8 18" xfId="24068" xr:uid="{915B504D-EE2C-4843-A8D6-56346BE7720F}"/>
    <cellStyle name="RISKltandbEdge 8 18 2" xfId="43444" xr:uid="{AEB43A20-2C11-43D4-A033-4577189F3FAD}"/>
    <cellStyle name="RISKltandbEdge 8 19" xfId="22576" xr:uid="{F821E238-1A6D-4B8B-B60D-DAB96AD93EE7}"/>
    <cellStyle name="RISKltandbEdge 8 19 2" xfId="42362" xr:uid="{81BA80E6-2B89-4A45-9D3B-0C1EB8A9308E}"/>
    <cellStyle name="RISKltandbEdge 8 2" xfId="3807" xr:uid="{5BBC6B3B-8E71-43FB-B4F1-534C1324478E}"/>
    <cellStyle name="RISKltandbEdge 8 2 10" xfId="16043" xr:uid="{AF11ABBD-E90F-4F15-ADAD-E5C819A928CF}"/>
    <cellStyle name="RISKltandbEdge 8 2 10 2" xfId="37624" xr:uid="{E7531FEB-E1FD-4BB3-939B-D425903AAA96}"/>
    <cellStyle name="RISKltandbEdge 8 2 11" xfId="18098" xr:uid="{DC6FD51C-E22E-4D5E-892A-EA1A26A7746D}"/>
    <cellStyle name="RISKltandbEdge 8 2 11 2" xfId="39172" xr:uid="{5CA0BBA3-5FD6-45E4-AA58-7F35DEA159B7}"/>
    <cellStyle name="RISKltandbEdge 8 2 12" xfId="20758" xr:uid="{0424B636-8492-4A37-9341-3366B017004A}"/>
    <cellStyle name="RISKltandbEdge 8 2 12 2" xfId="41118" xr:uid="{906F7041-B366-4BAF-813B-A977EFAD8098}"/>
    <cellStyle name="RISKltandbEdge 8 2 13" xfId="13797" xr:uid="{A4698E24-991E-4295-8EC9-83FC658165AD}"/>
    <cellStyle name="RISKltandbEdge 8 2 13 2" xfId="35928" xr:uid="{63069390-FE23-42FA-A8F6-1855BB0DA63A}"/>
    <cellStyle name="RISKltandbEdge 8 2 14" xfId="21266" xr:uid="{01DF8337-61B5-4B02-9A14-3815B15A1793}"/>
    <cellStyle name="RISKltandbEdge 8 2 14 2" xfId="41447" xr:uid="{2A28806F-E987-4256-A5DE-51ED4BB6688D}"/>
    <cellStyle name="RISKltandbEdge 8 2 15" xfId="20526" xr:uid="{87DEA336-B986-4F4D-BB4E-196F3132098D}"/>
    <cellStyle name="RISKltandbEdge 8 2 15 2" xfId="40906" xr:uid="{824F3A6D-84B0-4A61-AA52-191B3A676653}"/>
    <cellStyle name="RISKltandbEdge 8 2 16" xfId="18568" xr:uid="{DA7D61AF-F48A-44B7-99C2-E1CEFF36B364}"/>
    <cellStyle name="RISKltandbEdge 8 2 16 2" xfId="39512" xr:uid="{CB40E0EF-8134-4521-ADA6-D0A18BC752B9}"/>
    <cellStyle name="RISKltandbEdge 8 2 17" xfId="17860" xr:uid="{A9BC7F09-E5DD-441A-9048-E36FB0634612}"/>
    <cellStyle name="RISKltandbEdge 8 2 17 2" xfId="38976" xr:uid="{C9E03C12-D955-4D8B-8EF4-084810F4C45E}"/>
    <cellStyle name="RISKltandbEdge 8 2 18" xfId="24601" xr:uid="{EEE5515F-3CCC-4313-BDC9-FF7B1F31280D}"/>
    <cellStyle name="RISKltandbEdge 8 2 18 2" xfId="43783" xr:uid="{A5DAEB76-EF82-4065-8028-B1F5A37E3C33}"/>
    <cellStyle name="RISKltandbEdge 8 2 19" xfId="21171" xr:uid="{483DF006-ADF0-48F1-92A2-57CC5505754F}"/>
    <cellStyle name="RISKltandbEdge 8 2 19 2" xfId="41364" xr:uid="{0434CF8E-7687-4D30-A8FB-EDBFF56A0297}"/>
    <cellStyle name="RISKltandbEdge 8 2 2" xfId="11876" xr:uid="{D657C279-3CFA-4F7F-BBA2-01F24FCA08A7}"/>
    <cellStyle name="RISKltandbEdge 8 2 2 2" xfId="34488" xr:uid="{1C51D103-9057-4451-9E26-84F13108FB27}"/>
    <cellStyle name="RISKltandbEdge 8 2 20" xfId="26668" xr:uid="{11EAD863-0878-43D4-831F-3F6050B88C02}"/>
    <cellStyle name="RISKltandbEdge 8 2 20 2" xfId="45217" xr:uid="{4A5D6D97-408A-4A20-8B6A-32B247DE139E}"/>
    <cellStyle name="RISKltandbEdge 8 2 21" xfId="23821" xr:uid="{DA6AD3D1-76F4-448E-AC76-2FBD1E2DC72E}"/>
    <cellStyle name="RISKltandbEdge 8 2 21 2" xfId="43210" xr:uid="{7ECB7567-D467-40D4-BE07-53FF6751D215}"/>
    <cellStyle name="RISKltandbEdge 8 2 22" xfId="23627" xr:uid="{0FCF5E90-26C9-4937-A6C1-61D6C7328090}"/>
    <cellStyle name="RISKltandbEdge 8 2 22 2" xfId="43058" xr:uid="{23E40F52-6D2D-4B0A-B798-14681DE88D85}"/>
    <cellStyle name="RISKltandbEdge 8 2 23" xfId="26631" xr:uid="{023D6F55-487A-44CD-A9A7-6448E5D2158B}"/>
    <cellStyle name="RISKltandbEdge 8 2 23 2" xfId="45181" xr:uid="{7B392FF5-A995-4D49-A875-AE1472006635}"/>
    <cellStyle name="RISKltandbEdge 8 2 24" xfId="27587" xr:uid="{4AB29D93-2B7D-4B9E-9D75-201E3BFC42A1}"/>
    <cellStyle name="RISKltandbEdge 8 2 24 2" xfId="45736" xr:uid="{FACE7D62-93C5-4315-B88F-54EC2565A4BB}"/>
    <cellStyle name="RISKltandbEdge 8 2 25" xfId="27069" xr:uid="{CB6CCCB0-9B32-4892-BDF1-37BBDDD0D7E8}"/>
    <cellStyle name="RISKltandbEdge 8 2 25 2" xfId="45462" xr:uid="{867F2CF1-F83A-4029-9805-EC224C69D557}"/>
    <cellStyle name="RISKltandbEdge 8 2 26" xfId="29915" xr:uid="{444D2672-3B98-45C7-BDE1-72DE003E9F31}"/>
    <cellStyle name="RISKltandbEdge 8 2 26 2" xfId="47203" xr:uid="{D269E57B-BA6A-44F4-8A1C-88E8373BA975}"/>
    <cellStyle name="RISKltandbEdge 8 2 27" xfId="28252" xr:uid="{C70ECC14-2D35-4B43-8D80-AA30669190EC}"/>
    <cellStyle name="RISKltandbEdge 8 2 27 2" xfId="46126" xr:uid="{D7A9812A-63D9-4892-9B24-0DA3B5A2BE12}"/>
    <cellStyle name="RISKltandbEdge 8 2 28" xfId="29827" xr:uid="{4759BD1B-EF2E-4D27-874A-CD91E0ACFE30}"/>
    <cellStyle name="RISKltandbEdge 8 2 28 2" xfId="47144" xr:uid="{F093AD4A-079A-4462-AE4C-139E05506C9E}"/>
    <cellStyle name="RISKltandbEdge 8 2 29" xfId="31092" xr:uid="{4459CAD3-6C56-46EB-A4C7-6CB7E3680EED}"/>
    <cellStyle name="RISKltandbEdge 8 2 29 2" xfId="47822" xr:uid="{42E4CC9B-1E8F-47DE-86A2-C36A3F2E98F2}"/>
    <cellStyle name="RISKltandbEdge 8 2 3" xfId="10153" xr:uid="{ABB7F795-F054-4126-8D9F-533E32BD419C}"/>
    <cellStyle name="RISKltandbEdge 8 2 3 2" xfId="33817" xr:uid="{D0FA8392-FB9A-41FE-9541-372703EFF57F}"/>
    <cellStyle name="RISKltandbEdge 8 2 30" xfId="6101" xr:uid="{3EB38072-3687-4513-8921-07CF86D9515A}"/>
    <cellStyle name="RISKltandbEdge 8 2 4" xfId="7133" xr:uid="{9BE33F71-78FF-48C1-AE2C-0B680D14628C}"/>
    <cellStyle name="RISKltandbEdge 8 2 4 2" xfId="31500" xr:uid="{F7952C2D-6645-46E4-BE49-6435C63772D5}"/>
    <cellStyle name="RISKltandbEdge 8 2 5" xfId="11832" xr:uid="{709B0AB2-418F-43DB-AE85-DB80368477E1}"/>
    <cellStyle name="RISKltandbEdge 8 2 5 2" xfId="34444" xr:uid="{0E6C950D-391F-4E01-91E5-05DBA07A5DA7}"/>
    <cellStyle name="RISKltandbEdge 8 2 6" xfId="16000" xr:uid="{19253DF9-50D9-4BB2-A982-4561279E9771}"/>
    <cellStyle name="RISKltandbEdge 8 2 6 2" xfId="37583" xr:uid="{D8DC5813-00AB-4C35-8597-C6E4F55099F2}"/>
    <cellStyle name="RISKltandbEdge 8 2 7" xfId="14085" xr:uid="{B3CD5734-997C-43F3-8565-F9216CF9AE57}"/>
    <cellStyle name="RISKltandbEdge 8 2 7 2" xfId="36179" xr:uid="{E8C47400-6AC7-466A-9CBE-DF181DA0BFAE}"/>
    <cellStyle name="RISKltandbEdge 8 2 8" xfId="17536" xr:uid="{7F4A2773-B304-4E7E-96A9-C0F86C24ECF4}"/>
    <cellStyle name="RISKltandbEdge 8 2 8 2" xfId="38783" xr:uid="{0CBA1EF7-CD30-49A1-8A58-B7B032E9337E}"/>
    <cellStyle name="RISKltandbEdge 8 2 9" xfId="18386" xr:uid="{497EAC87-1EC1-44B3-ABEF-DEFFCDEFC878}"/>
    <cellStyle name="RISKltandbEdge 8 2 9 2" xfId="39397" xr:uid="{6A28C5BE-A559-43A3-B4CC-EA71E781CBB3}"/>
    <cellStyle name="RISKltandbEdge 8 20" xfId="22303" xr:uid="{82470161-774A-412A-9AAA-29CF68456CE0}"/>
    <cellStyle name="RISKltandbEdge 8 20 2" xfId="42167" xr:uid="{2FF738C7-1F3F-466C-816B-D9926A0876C2}"/>
    <cellStyle name="RISKltandbEdge 8 21" xfId="21746" xr:uid="{198A5B55-A9BB-439E-89A8-3A207C29BB22}"/>
    <cellStyle name="RISKltandbEdge 8 21 2" xfId="41767" xr:uid="{8C792184-E8E4-4721-9611-E0581063CF18}"/>
    <cellStyle name="RISKltandbEdge 8 22" xfId="25413" xr:uid="{1689E00C-3B4C-4EAC-BFEB-5B105FFDB341}"/>
    <cellStyle name="RISKltandbEdge 8 22 2" xfId="44305" xr:uid="{B39F435E-EC56-42D9-A8A2-01D58AA397AD}"/>
    <cellStyle name="RISKltandbEdge 8 23" xfId="26236" xr:uid="{18EAEE9A-7506-4B91-A25E-B457DF0B6B77}"/>
    <cellStyle name="RISKltandbEdge 8 23 2" xfId="44945" xr:uid="{AC1B75FD-6E57-45B5-8377-2DEFDAFD4778}"/>
    <cellStyle name="RISKltandbEdge 8 24" xfId="27920" xr:uid="{2E89B060-5E8F-4680-9B0E-F345D3C2E489}"/>
    <cellStyle name="RISKltandbEdge 8 24 2" xfId="45992" xr:uid="{545DA910-B121-4421-88E8-230947356F56}"/>
    <cellStyle name="RISKltandbEdge 8 25" xfId="24232" xr:uid="{17EC8896-058D-48FE-94E6-C15D91A75516}"/>
    <cellStyle name="RISKltandbEdge 8 25 2" xfId="43549" xr:uid="{A6064E27-BA7C-487D-86D2-B4FCC593361B}"/>
    <cellStyle name="RISKltandbEdge 8 26" xfId="28312" xr:uid="{1C945124-C449-4566-9870-398797DDF081}"/>
    <cellStyle name="RISKltandbEdge 8 26 2" xfId="46179" xr:uid="{F82C1965-792D-46B5-8365-C1813F2D509F}"/>
    <cellStyle name="RISKltandbEdge 8 27" xfId="28415" xr:uid="{33413D80-F171-45C5-8C53-9626456E65F2}"/>
    <cellStyle name="RISKltandbEdge 8 27 2" xfId="46262" xr:uid="{6BBE45C3-333C-472F-BF0B-1F9723496808}"/>
    <cellStyle name="RISKltandbEdge 8 28" xfId="29807" xr:uid="{53EFAC5A-EA87-4151-B4D2-0829181F8EBD}"/>
    <cellStyle name="RISKltandbEdge 8 28 2" xfId="47126" xr:uid="{3CDF3B52-4B95-4356-A5ED-3CD36E6894AA}"/>
    <cellStyle name="RISKltandbEdge 8 29" xfId="30722" xr:uid="{2CD52CD8-D35A-4F92-9F95-3AD3C4C42463}"/>
    <cellStyle name="RISKltandbEdge 8 29 2" xfId="47668" xr:uid="{A874A581-D5E1-4E8D-AF12-6B4DB75292EB}"/>
    <cellStyle name="RISKltandbEdge 8 3" xfId="3808" xr:uid="{7F7F85AB-6D32-4BC3-BDEB-801F39D5BB2C}"/>
    <cellStyle name="RISKltandbEdge 8 3 10" xfId="17253" xr:uid="{A7B9E424-BCA6-497A-8D86-A432735A28A4}"/>
    <cellStyle name="RISKltandbEdge 8 3 10 2" xfId="38557" xr:uid="{AA5EE65E-E96F-4A24-A6F5-EDF119905E90}"/>
    <cellStyle name="RISKltandbEdge 8 3 11" xfId="15762" xr:uid="{2294D4FF-26AC-49C9-B6B5-5B097E98E526}"/>
    <cellStyle name="RISKltandbEdge 8 3 11 2" xfId="37386" xr:uid="{D5D4686B-6A7F-44B0-B14D-27EC15A54D84}"/>
    <cellStyle name="RISKltandbEdge 8 3 12" xfId="15354" xr:uid="{110B068F-86C2-416B-AE95-D76471A0A618}"/>
    <cellStyle name="RISKltandbEdge 8 3 12 2" xfId="37054" xr:uid="{FF476B3D-7F7A-4050-956E-D18D82C0B19A}"/>
    <cellStyle name="RISKltandbEdge 8 3 13" xfId="19126" xr:uid="{E7E342B9-4BC5-4FFC-81BE-6B4C46D10E69}"/>
    <cellStyle name="RISKltandbEdge 8 3 13 2" xfId="39935" xr:uid="{0B99D17C-73AD-4EB8-A36D-BB0DE8ECBD3F}"/>
    <cellStyle name="RISKltandbEdge 8 3 14" xfId="18637" xr:uid="{59927B5A-5500-4EED-812F-70B542A61A94}"/>
    <cellStyle name="RISKltandbEdge 8 3 14 2" xfId="39534" xr:uid="{CF6FF36B-27CD-49EB-81C2-2BBBE04357B4}"/>
    <cellStyle name="RISKltandbEdge 8 3 15" xfId="23262" xr:uid="{8EB42E2E-855E-458A-9EDA-D781B98F8944}"/>
    <cellStyle name="RISKltandbEdge 8 3 15 2" xfId="42837" xr:uid="{97958174-C73C-4700-8E8B-C3C6D97F8E1A}"/>
    <cellStyle name="RISKltandbEdge 8 3 16" xfId="24067" xr:uid="{F0B2707C-A850-432D-8AA9-565E515D92EA}"/>
    <cellStyle name="RISKltandbEdge 8 3 16 2" xfId="43443" xr:uid="{AA529481-57D7-44E4-B9D9-450F01321127}"/>
    <cellStyle name="RISKltandbEdge 8 3 17" xfId="17055" xr:uid="{5A4B2AEA-3133-4536-9068-4EC9859470E3}"/>
    <cellStyle name="RISKltandbEdge 8 3 17 2" xfId="38397" xr:uid="{D93C94B3-3945-46FD-A0B5-C229A5C642C8}"/>
    <cellStyle name="RISKltandbEdge 8 3 18" xfId="21732" xr:uid="{3061B48F-C929-4E0A-91E0-F7CA8858EA09}"/>
    <cellStyle name="RISKltandbEdge 8 3 18 2" xfId="41754" xr:uid="{E069F83F-C5A1-4740-A022-B8559C1E229D}"/>
    <cellStyle name="RISKltandbEdge 8 3 19" xfId="21163" xr:uid="{20C6E18D-B9A9-4736-B5CC-66B8877F5BAE}"/>
    <cellStyle name="RISKltandbEdge 8 3 19 2" xfId="41356" xr:uid="{3AE95C25-F438-421D-A0DF-B4E9A3A5674F}"/>
    <cellStyle name="RISKltandbEdge 8 3 2" xfId="7460" xr:uid="{9A787F4C-7FEE-438D-823D-6091A801BFBF}"/>
    <cellStyle name="RISKltandbEdge 8 3 2 2" xfId="31818" xr:uid="{F3244FE8-D611-4EF1-B25D-00A2D9966CA6}"/>
    <cellStyle name="RISKltandbEdge 8 3 20" xfId="21865" xr:uid="{906EBACF-A9FF-4FDF-9685-6B9D80C89F05}"/>
    <cellStyle name="RISKltandbEdge 8 3 20 2" xfId="41804" xr:uid="{4F9AD3F6-16D2-4FF1-8176-71C47508EDE8}"/>
    <cellStyle name="RISKltandbEdge 8 3 21" xfId="26235" xr:uid="{329F169D-A042-4626-AA08-6A72F2C4FB07}"/>
    <cellStyle name="RISKltandbEdge 8 3 21 2" xfId="44944" xr:uid="{D0510B60-6087-423F-97A7-B136745D5631}"/>
    <cellStyle name="RISKltandbEdge 8 3 22" xfId="27919" xr:uid="{06C4C2C4-F86D-40BE-864B-0E61B02D7A1F}"/>
    <cellStyle name="RISKltandbEdge 8 3 22 2" xfId="45991" xr:uid="{26F34C9B-218E-4656-8911-87A789D32AF8}"/>
    <cellStyle name="RISKltandbEdge 8 3 23" xfId="21125" xr:uid="{3292FF71-5E1F-48F2-932B-D3A8F569693C}"/>
    <cellStyle name="RISKltandbEdge 8 3 23 2" xfId="41332" xr:uid="{B7070180-E51F-4AC1-892C-31D61FA493B3}"/>
    <cellStyle name="RISKltandbEdge 8 3 24" xfId="28978" xr:uid="{80536E11-9938-4CCE-9119-0AD3F7A82312}"/>
    <cellStyle name="RISKltandbEdge 8 3 24 2" xfId="46572" xr:uid="{A13F2377-E444-4F90-87FE-D142CFC21A76}"/>
    <cellStyle name="RISKltandbEdge 8 3 25" xfId="28414" xr:uid="{33885070-8E90-4A59-8840-B072250899FC}"/>
    <cellStyle name="RISKltandbEdge 8 3 25 2" xfId="46261" xr:uid="{7D93AF20-9A34-401F-BF51-775900D3C896}"/>
    <cellStyle name="RISKltandbEdge 8 3 26" xfId="29708" xr:uid="{CD276075-056A-41C5-B4FC-EFAF99EA1FA0}"/>
    <cellStyle name="RISKltandbEdge 8 3 26 2" xfId="47053" xr:uid="{92350F2C-A56E-4D7F-B6A6-D36CA959B27A}"/>
    <cellStyle name="RISKltandbEdge 8 3 27" xfId="30721" xr:uid="{4D4665F5-3E72-4837-882F-82DDDC6ED488}"/>
    <cellStyle name="RISKltandbEdge 8 3 27 2" xfId="47667" xr:uid="{A677BBD7-F8E4-4BF5-BC57-B02125A6E8E5}"/>
    <cellStyle name="RISKltandbEdge 8 3 28" xfId="30077" xr:uid="{446CF228-FF10-4652-A4C7-4FB0C4444F20}"/>
    <cellStyle name="RISKltandbEdge 8 3 28 2" xfId="47273" xr:uid="{2BD93AA7-AAD3-42B0-8158-BCE56CB14908}"/>
    <cellStyle name="RISKltandbEdge 8 3 29" xfId="30508" xr:uid="{0384CF0C-A9A7-4D7E-B546-8459D33D44A6}"/>
    <cellStyle name="RISKltandbEdge 8 3 29 2" xfId="47511" xr:uid="{EC1E66B6-C4EF-491B-B606-F9289898C9F8}"/>
    <cellStyle name="RISKltandbEdge 8 3 3" xfId="13297" xr:uid="{2631ED32-DA29-4305-8EF2-B8065E22D1D5}"/>
    <cellStyle name="RISKltandbEdge 8 3 3 2" xfId="35614" xr:uid="{AE4C3EBC-62B5-47E7-85B4-2240E7639B8E}"/>
    <cellStyle name="RISKltandbEdge 8 3 30" xfId="6100" xr:uid="{1816CD41-2A66-4221-BD0F-A85ED17DBBC9}"/>
    <cellStyle name="RISKltandbEdge 8 3 4" xfId="7132" xr:uid="{B3A6E5A6-14EF-42C6-8595-27B8C6E02F4B}"/>
    <cellStyle name="RISKltandbEdge 8 3 4 2" xfId="31499" xr:uid="{75F44938-0A7C-49EB-A447-069C6F3A013A}"/>
    <cellStyle name="RISKltandbEdge 8 3 5" xfId="7412" xr:uid="{E4B06DA8-84CD-4277-8BC2-B28AB9FA2E76}"/>
    <cellStyle name="RISKltandbEdge 8 3 5 2" xfId="31771" xr:uid="{7A902225-99B3-4F29-8687-26AC10FBCA08}"/>
    <cellStyle name="RISKltandbEdge 8 3 6" xfId="14716" xr:uid="{1B829C40-B716-4E99-A22F-BA07CFD599F0}"/>
    <cellStyle name="RISKltandbEdge 8 3 6 2" xfId="36628" xr:uid="{64318674-8B41-41E2-8115-9063C3884120}"/>
    <cellStyle name="RISKltandbEdge 8 3 7" xfId="16664" xr:uid="{B877F25D-9334-48E7-8477-B27ED0947E15}"/>
    <cellStyle name="RISKltandbEdge 8 3 7 2" xfId="38155" xr:uid="{80C9C7FF-3071-4FFE-AC4F-136819FF06AB}"/>
    <cellStyle name="RISKltandbEdge 8 3 8" xfId="14439" xr:uid="{E3991898-FB98-4AEF-B197-7231475744D7}"/>
    <cellStyle name="RISKltandbEdge 8 3 8 2" xfId="36428" xr:uid="{DB6B41AB-70E8-4841-8EBB-BAFFE28BB8C1}"/>
    <cellStyle name="RISKltandbEdge 8 3 9" xfId="16346" xr:uid="{AB6EAA66-77D5-43D2-AB19-98CDE37DB9F4}"/>
    <cellStyle name="RISKltandbEdge 8 3 9 2" xfId="37874" xr:uid="{9DB88B86-B329-419B-926D-F3EEEAE1A889}"/>
    <cellStyle name="RISKltandbEdge 8 30" xfId="28241" xr:uid="{1E6550DC-88C0-4AAB-A9E2-D1B5674D5E97}"/>
    <cellStyle name="RISKltandbEdge 8 30 2" xfId="46116" xr:uid="{1337774F-6332-4D35-877D-58E439E1C441}"/>
    <cellStyle name="RISKltandbEdge 8 31" xfId="30633" xr:uid="{38BA481D-8FE5-4C2D-A603-876FAD333800}"/>
    <cellStyle name="RISKltandbEdge 8 31 2" xfId="47579" xr:uid="{EE6A334D-FD11-4FD3-8516-129B83C1DFD0}"/>
    <cellStyle name="RISKltandbEdge 8 32" xfId="6102" xr:uid="{4F093E83-1515-4DFB-BEC1-5A829D73F000}"/>
    <cellStyle name="RISKltandbEdge 8 4" xfId="7461" xr:uid="{B6454FD5-FBDA-45D6-BDC7-EC31DF13B33E}"/>
    <cellStyle name="RISKltandbEdge 8 4 2" xfId="31819" xr:uid="{BA2E615F-BB68-4AE1-844B-8666CC62516C}"/>
    <cellStyle name="RISKltandbEdge 8 5" xfId="13298" xr:uid="{1EB2A791-396D-4E98-9D77-9F35C5E649D1}"/>
    <cellStyle name="RISKltandbEdge 8 5 2" xfId="35615" xr:uid="{88DC7785-638B-4628-89FF-1AE66F3813A9}"/>
    <cellStyle name="RISKltandbEdge 8 6" xfId="7134" xr:uid="{3A6BB7DF-4FCF-4BE1-91B2-DE981A41A809}"/>
    <cellStyle name="RISKltandbEdge 8 6 2" xfId="31501" xr:uid="{1B037555-A0E0-4160-8345-F7D4DFC07D05}"/>
    <cellStyle name="RISKltandbEdge 8 7" xfId="11833" xr:uid="{1A7CE069-8C0C-4159-96B7-A4E39C0DFC6C}"/>
    <cellStyle name="RISKltandbEdge 8 7 2" xfId="34445" xr:uid="{533A47A6-8325-4E30-8872-5896931B7CCE}"/>
    <cellStyle name="RISKltandbEdge 8 8" xfId="12244" xr:uid="{97243410-67F3-4565-ACD3-79664CB068FC}"/>
    <cellStyle name="RISKltandbEdge 8 8 2" xfId="34750" xr:uid="{81F73FD0-7A31-416B-8A0E-24A3341C9393}"/>
    <cellStyle name="RISKltandbEdge 8 9" xfId="16665" xr:uid="{778D3825-E3AC-405B-ADC3-219061AD2286}"/>
    <cellStyle name="RISKltandbEdge 8 9 2" xfId="38156" xr:uid="{A0F6A22D-F84F-413F-BBA0-AF650FD400E3}"/>
    <cellStyle name="RISKltandbEdge 9" xfId="3809" xr:uid="{A8182357-DC9C-4205-A696-211996D894B9}"/>
    <cellStyle name="RISKltandbEdge 9 10" xfId="15673" xr:uid="{5C7C03CE-6E67-48AE-B5BA-0F32CC9D7816}"/>
    <cellStyle name="RISKltandbEdge 9 10 2" xfId="37316" xr:uid="{7E999A7D-149A-40D0-893C-F019126A2194}"/>
    <cellStyle name="RISKltandbEdge 9 11" xfId="18097" xr:uid="{C1507DC9-0CF3-450F-A2FF-1FC8A68468F4}"/>
    <cellStyle name="RISKltandbEdge 9 11 2" xfId="39171" xr:uid="{F6D6BDC9-FF15-4E4A-8BB9-6590355C06A3}"/>
    <cellStyle name="RISKltandbEdge 9 12" xfId="20757" xr:uid="{B5561485-AB4F-4A69-AC97-E2C541051B86}"/>
    <cellStyle name="RISKltandbEdge 9 12 2" xfId="41117" xr:uid="{CA5D8EC0-BEDB-49A0-84DC-E3C2B71F7C21}"/>
    <cellStyle name="RISKltandbEdge 9 13" xfId="17162" xr:uid="{0487581B-1E41-4ED7-BE13-84FC05BFB7A7}"/>
    <cellStyle name="RISKltandbEdge 9 13 2" xfId="38491" xr:uid="{36BDFB2F-D4C6-45ED-88E6-828548E680AB}"/>
    <cellStyle name="RISKltandbEdge 9 14" xfId="20904" xr:uid="{8A3A0D52-6853-4482-AE0E-0DE4D2D1A62B}"/>
    <cellStyle name="RISKltandbEdge 9 14 2" xfId="41207" xr:uid="{3CFA18EC-2F21-45C9-A631-1384506F7B4A}"/>
    <cellStyle name="RISKltandbEdge 9 15" xfId="18840" xr:uid="{68AA8B46-B256-461B-9390-FE4402E5EC4E}"/>
    <cellStyle name="RISKltandbEdge 9 15 2" xfId="39687" xr:uid="{74FD3569-40E1-42DF-8596-F1A2C481E14C}"/>
    <cellStyle name="RISKltandbEdge 9 16" xfId="20942" xr:uid="{4BBBDEDF-346A-4F0C-97BD-48D39532EEA0}"/>
    <cellStyle name="RISKltandbEdge 9 16 2" xfId="41243" xr:uid="{5BCF2BAF-15AC-4829-84B4-C06025E0879E}"/>
    <cellStyle name="RISKltandbEdge 9 17" xfId="22101" xr:uid="{B53FCC0B-566F-4DAD-99D2-01F49BE2050E}"/>
    <cellStyle name="RISKltandbEdge 9 17 2" xfId="41986" xr:uid="{16997DE3-A22F-4F0B-8D81-8FBB7887DA4F}"/>
    <cellStyle name="RISKltandbEdge 9 18" xfId="24600" xr:uid="{56DB9CE4-0C47-4E88-B01A-86E6A41357C2}"/>
    <cellStyle name="RISKltandbEdge 9 18 2" xfId="43782" xr:uid="{3AEA4062-026B-4A87-A0B0-FE35CAC2B30E}"/>
    <cellStyle name="RISKltandbEdge 9 19" xfId="22125" xr:uid="{C59407BC-BFEC-4021-8C90-1B1D75E6FD96}"/>
    <cellStyle name="RISKltandbEdge 9 19 2" xfId="42010" xr:uid="{C349415C-EF07-4F4A-8C58-282204E21723}"/>
    <cellStyle name="RISKltandbEdge 9 2" xfId="11875" xr:uid="{D6C13DA3-A360-4B90-A7A9-DBCE20D38A0C}"/>
    <cellStyle name="RISKltandbEdge 9 2 2" xfId="34487" xr:uid="{218AB7B5-BC91-496D-938F-EF56C65FDAF3}"/>
    <cellStyle name="RISKltandbEdge 9 20" xfId="26667" xr:uid="{6FE7A96A-158B-4C74-8D0E-07491F4E907D}"/>
    <cellStyle name="RISKltandbEdge 9 20 2" xfId="45216" xr:uid="{A9942645-8577-491E-B86F-C48E026004EB}"/>
    <cellStyle name="RISKltandbEdge 9 21" xfId="21020" xr:uid="{766F16AD-1AB7-418B-A1E0-CAF9329CDCA5}"/>
    <cellStyle name="RISKltandbEdge 9 21 2" xfId="41277" xr:uid="{856BE2DD-BEA4-4891-B43D-FA094DF96715}"/>
    <cellStyle name="RISKltandbEdge 9 22" xfId="25568" xr:uid="{59F3C756-C3A6-4296-847D-E3D90A9A6D14}"/>
    <cellStyle name="RISKltandbEdge 9 22 2" xfId="44436" xr:uid="{683FF581-E247-410E-BC35-B2EFE2BE4EC3}"/>
    <cellStyle name="RISKltandbEdge 9 23" xfId="26630" xr:uid="{20766BA9-36C8-4770-8C0C-CBC0E42CED23}"/>
    <cellStyle name="RISKltandbEdge 9 23 2" xfId="45180" xr:uid="{A4BAF3F5-6BD1-4CF8-88AA-2EC325854EA8}"/>
    <cellStyle name="RISKltandbEdge 9 24" xfId="26039" xr:uid="{CD3AAF7E-8BB7-452A-B7AF-A3D2010AE8EB}"/>
    <cellStyle name="RISKltandbEdge 9 24 2" xfId="44809" xr:uid="{2F62E7A0-C0E9-475C-92D1-18F546BC1011}"/>
    <cellStyle name="RISKltandbEdge 9 25" xfId="27068" xr:uid="{7FF871B3-9D1C-4B53-8729-3A8B5FD3B077}"/>
    <cellStyle name="RISKltandbEdge 9 25 2" xfId="45461" xr:uid="{CFF4B4EE-29EC-4C6C-929A-66F9DB457465}"/>
    <cellStyle name="RISKltandbEdge 9 26" xfId="26015" xr:uid="{58D6C0EF-A715-4AEC-B1BC-9400C13C1205}"/>
    <cellStyle name="RISKltandbEdge 9 26 2" xfId="44789" xr:uid="{2FD4744C-8EC0-4780-A918-3A35E1BEFC32}"/>
    <cellStyle name="RISKltandbEdge 9 27" xfId="30249" xr:uid="{F0CA04F0-5D79-4B34-8D5B-C0561F52BC30}"/>
    <cellStyle name="RISKltandbEdge 9 27 2" xfId="47410" xr:uid="{583620AC-51DF-46A0-BCCE-4BD9A5D33014}"/>
    <cellStyle name="RISKltandbEdge 9 28" xfId="27755" xr:uid="{8E10F90E-AB41-4A09-B938-8F6D33F3CC0A}"/>
    <cellStyle name="RISKltandbEdge 9 28 2" xfId="45856" xr:uid="{3D51E3F2-82A7-4BF3-B4F9-4E85E5AE8E2A}"/>
    <cellStyle name="RISKltandbEdge 9 29" xfId="31091" xr:uid="{7B92E722-79DD-49C2-914B-E3D94196EFD4}"/>
    <cellStyle name="RISKltandbEdge 9 29 2" xfId="47821" xr:uid="{09CFE7B3-5863-44DE-9A70-E1CD6E2A98F1}"/>
    <cellStyle name="RISKltandbEdge 9 3" xfId="10154" xr:uid="{0E81EFB5-BBEB-4E7B-B12E-37C8D22E6191}"/>
    <cellStyle name="RISKltandbEdge 9 3 2" xfId="33818" xr:uid="{01371B84-8512-4173-BCF2-B1CA48E1D01F}"/>
    <cellStyle name="RISKltandbEdge 9 30" xfId="6099" xr:uid="{185B28D4-6EDF-49D2-A3BC-2F2961552D68}"/>
    <cellStyle name="RISKltandbEdge 9 4" xfId="7131" xr:uid="{635FD35A-1A31-46FD-AB71-3288A0EB4B6C}"/>
    <cellStyle name="RISKltandbEdge 9 4 2" xfId="31498" xr:uid="{B95B8FD9-D8EF-4A2B-98B7-5C48AC906AA6}"/>
    <cellStyle name="RISKltandbEdge 9 5" xfId="11831" xr:uid="{BD34F562-3013-49E8-9DC6-8777D678C4A8}"/>
    <cellStyle name="RISKltandbEdge 9 5 2" xfId="34443" xr:uid="{C61ED61A-C10C-4E36-A6B0-351917E5F821}"/>
    <cellStyle name="RISKltandbEdge 9 6" xfId="12245" xr:uid="{6FFA3D47-890B-4EC3-83F0-24279772CAFA}"/>
    <cellStyle name="RISKltandbEdge 9 6 2" xfId="34751" xr:uid="{A5D3D2ED-0CC3-4BD9-9D58-AB9B672A9145}"/>
    <cellStyle name="RISKltandbEdge 9 7" xfId="12481" xr:uid="{F618ABBF-9C09-4101-896F-2B6709E699A3}"/>
    <cellStyle name="RISKltandbEdge 9 7 2" xfId="34927" xr:uid="{DEC1AB7B-2F71-428D-8242-018F8A5FDF98}"/>
    <cellStyle name="RISKltandbEdge 9 8" xfId="17535" xr:uid="{2359BAB6-5747-4159-85D6-F4E7C7D010A8}"/>
    <cellStyle name="RISKltandbEdge 9 8 2" xfId="38782" xr:uid="{A83D384D-3FCB-42C2-B9F0-DFDF91D2A122}"/>
    <cellStyle name="RISKltandbEdge 9 9" xfId="18385" xr:uid="{1251B645-9E6A-411C-8B2B-BBB373498A89}"/>
    <cellStyle name="RISKltandbEdge 9 9 2" xfId="39396" xr:uid="{6BDA4BBE-10F1-4974-9883-B3ABD0D56225}"/>
    <cellStyle name="RISKnormBoxed" xfId="3810" xr:uid="{BBD4FD5C-CA0D-413F-97B7-A4647691BD0F}"/>
    <cellStyle name="RISKnormBoxed 10" xfId="3811" xr:uid="{221B40F4-49B5-4771-A4DF-D284A1BEF7A3}"/>
    <cellStyle name="RISKnormBoxed 10 10" xfId="13783" xr:uid="{776BF86C-3693-4BF9-BBF2-E470F27676AB}"/>
    <cellStyle name="RISKnormBoxed 10 10 2" xfId="35919" xr:uid="{181A0671-43BB-4022-A1F9-76600B12D7FD}"/>
    <cellStyle name="RISKnormBoxed 10 11" xfId="18096" xr:uid="{8A008CBE-49AD-42C9-AF03-A20E07C35C79}"/>
    <cellStyle name="RISKnormBoxed 10 11 2" xfId="39170" xr:uid="{9EC09FF4-2CB2-40FA-B6B9-2E4647AE685F}"/>
    <cellStyle name="RISKnormBoxed 10 12" xfId="20756" xr:uid="{8EC27B56-D058-4BAB-9118-F016FD5C91F3}"/>
    <cellStyle name="RISKnormBoxed 10 12 2" xfId="41116" xr:uid="{521C39DB-E8E6-4CAC-B0C7-F4CCF3DF2DFC}"/>
    <cellStyle name="RISKnormBoxed 10 13" xfId="15694" xr:uid="{9622035C-28BC-4D37-950E-C4B3A3E24893}"/>
    <cellStyle name="RISKnormBoxed 10 13 2" xfId="37331" xr:uid="{8173EABD-B044-4DD1-B30A-A65E108E0C57}"/>
    <cellStyle name="RISKnormBoxed 10 14" xfId="21265" xr:uid="{AA643C6C-B029-4089-BD08-ECF2C956A94C}"/>
    <cellStyle name="RISKnormBoxed 10 14 2" xfId="41446" xr:uid="{95376EFD-F927-467A-8E7C-7ADBB6C674BA}"/>
    <cellStyle name="RISKnormBoxed 10 15" xfId="20525" xr:uid="{B777B0FB-6EE4-4213-9EE0-978FC74E040E}"/>
    <cellStyle name="RISKnormBoxed 10 15 2" xfId="40905" xr:uid="{05481350-1384-4C5A-81B3-48ED37FDE7D8}"/>
    <cellStyle name="RISKnormBoxed 10 16" xfId="22181" xr:uid="{47AD623A-EA64-443D-8725-BD6B0EE8F0B1}"/>
    <cellStyle name="RISKnormBoxed 10 16 2" xfId="42060" xr:uid="{78A35BC4-1B10-47F7-9264-8E0EF6C938D6}"/>
    <cellStyle name="RISKnormBoxed 10 17" xfId="20156" xr:uid="{2BB04452-F0DF-4701-967A-8BFFE08EA943}"/>
    <cellStyle name="RISKnormBoxed 10 17 2" xfId="40663" xr:uid="{77321A20-9E40-4D5C-86A5-27274A959ACA}"/>
    <cellStyle name="RISKnormBoxed 10 18" xfId="20145" xr:uid="{7FCFA93F-FE2D-4D28-B9B1-7FC80CDF99DD}"/>
    <cellStyle name="RISKnormBoxed 10 18 2" xfId="40652" xr:uid="{7190E7B6-6E1C-455A-85FB-1ABF4CBE85C8}"/>
    <cellStyle name="RISKnormBoxed 10 19" xfId="26666" xr:uid="{13619DE5-B9A0-4FC5-B7D0-CFAAFA89A766}"/>
    <cellStyle name="RISKnormBoxed 10 19 2" xfId="45215" xr:uid="{53BF1CC6-85EA-4B9F-995A-05B56DA381FD}"/>
    <cellStyle name="RISKnormBoxed 10 2" xfId="11874" xr:uid="{71944CF2-49DB-44B8-890B-AC6432072F48}"/>
    <cellStyle name="RISKnormBoxed 10 2 2" xfId="34486" xr:uid="{C9E7EF11-D2E5-4CEC-A70C-ACE6A025E580}"/>
    <cellStyle name="RISKnormBoxed 10 20" xfId="23820" xr:uid="{360F3FDB-2B8F-4F8F-B785-090B80A2002C}"/>
    <cellStyle name="RISKnormBoxed 10 20 2" xfId="43209" xr:uid="{F3A1A334-AE31-4753-B950-2D4EDC97442C}"/>
    <cellStyle name="RISKnormBoxed 10 21" xfId="23688" xr:uid="{5C228CCD-C28B-44CD-A5A2-5C799D3E1D2C}"/>
    <cellStyle name="RISKnormBoxed 10 21 2" xfId="43108" xr:uid="{52363A36-EF65-496B-8C85-ED011D2AB14C}"/>
    <cellStyle name="RISKnormBoxed 10 22" xfId="26629" xr:uid="{7866C84E-1708-41D1-A892-2F2108B36187}"/>
    <cellStyle name="RISKnormBoxed 10 22 2" xfId="45179" xr:uid="{BFA0C325-D15F-4366-B9B5-67936BFD87B0}"/>
    <cellStyle name="RISKnormBoxed 10 23" xfId="28311" xr:uid="{9C15036F-C3C7-447D-BA29-668005C6A19A}"/>
    <cellStyle name="RISKnormBoxed 10 23 2" xfId="46178" xr:uid="{036FC543-230E-4F58-B9FB-4BF3F40B4434}"/>
    <cellStyle name="RISKnormBoxed 10 24" xfId="29543" xr:uid="{79C4C8CF-A2BA-4748-86B0-F4AA7B4DCA38}"/>
    <cellStyle name="RISKnormBoxed 10 24 2" xfId="46944" xr:uid="{C32E5D79-55C5-4A2E-BB45-07FFEAC52B29}"/>
    <cellStyle name="RISKnormBoxed 10 25" xfId="27504" xr:uid="{D1ECEE9C-F410-4F69-BCB0-60E94873A8A2}"/>
    <cellStyle name="RISKnormBoxed 10 25 2" xfId="45699" xr:uid="{7FC47466-902C-4AFA-A3C1-950B6380BFB0}"/>
    <cellStyle name="RISKnormBoxed 10 26" xfId="30030" xr:uid="{3450AECC-476F-4AB3-81CD-768099143260}"/>
    <cellStyle name="RISKnormBoxed 10 26 2" xfId="47261" xr:uid="{E674AB26-3AF8-4F50-BA5F-3A8628138579}"/>
    <cellStyle name="RISKnormBoxed 10 27" xfId="31090" xr:uid="{E2500F9E-EB97-4D7A-BCAA-25DD40D22E44}"/>
    <cellStyle name="RISKnormBoxed 10 27 2" xfId="47820" xr:uid="{B2F8EC7A-6CEA-4D99-9A3B-D5F8319B2FDE}"/>
    <cellStyle name="RISKnormBoxed 10 28" xfId="6758" xr:uid="{625FD31B-A28B-4514-A40B-9D1AF6B68CAD}"/>
    <cellStyle name="RISKnormBoxed 10 3" xfId="10155" xr:uid="{07C7FBA6-6E69-4EAA-9206-05C5F48FD087}"/>
    <cellStyle name="RISKnormBoxed 10 3 2" xfId="33819" xr:uid="{25BE68F0-A71C-438D-8527-6C2134CF88E2}"/>
    <cellStyle name="RISKnormBoxed 10 4" xfId="7129" xr:uid="{0CA87654-3CE3-4A7E-B187-C4D5EDAF828B}"/>
    <cellStyle name="RISKnormBoxed 10 4 2" xfId="31496" xr:uid="{C663AA93-39AD-451E-B6E5-CA124B2738AE}"/>
    <cellStyle name="RISKnormBoxed 10 5" xfId="11830" xr:uid="{CC6908F2-5785-4D24-B7F9-99C63451C50B}"/>
    <cellStyle name="RISKnormBoxed 10 5 2" xfId="34442" xr:uid="{8AE0A7FE-2633-45E2-956D-1446EA210717}"/>
    <cellStyle name="RISKnormBoxed 10 6" xfId="12246" xr:uid="{1B40DD0C-0BCB-4BCF-B909-8A80943A7032}"/>
    <cellStyle name="RISKnormBoxed 10 6 2" xfId="34752" xr:uid="{4D34EE62-AACD-4B2F-8207-25106A4DFF26}"/>
    <cellStyle name="RISKnormBoxed 10 7" xfId="14084" xr:uid="{32BDE641-1844-4D92-983E-B232A4149C1C}"/>
    <cellStyle name="RISKnormBoxed 10 7 2" xfId="36178" xr:uid="{2BE9CD2F-5A94-4B9E-BDE0-88E00774AB9C}"/>
    <cellStyle name="RISKnormBoxed 10 8" xfId="17534" xr:uid="{5873AAAB-2968-420C-A931-6232DD66C85A}"/>
    <cellStyle name="RISKnormBoxed 10 8 2" xfId="38781" xr:uid="{EB6AEE85-6249-442F-BC2A-2F21E6ECBD61}"/>
    <cellStyle name="RISKnormBoxed 10 9" xfId="18384" xr:uid="{7FCDE0A7-6FBA-4846-82BF-CBF1D27FC64B}"/>
    <cellStyle name="RISKnormBoxed 10 9 2" xfId="39395" xr:uid="{5A4A1E85-F21F-4259-A22D-D6F0E4380184}"/>
    <cellStyle name="RISKnormBoxed 11" xfId="7459" xr:uid="{385282B2-069D-4759-A97C-D6346C3CD90F}"/>
    <cellStyle name="RISKnormBoxed 11 2" xfId="31817" xr:uid="{E69C1CAC-98D5-428E-9E5D-6DBE5A6FD5B6}"/>
    <cellStyle name="RISKnormBoxed 12" xfId="13296" xr:uid="{1AAB5C40-5CB5-42A5-8FB5-47162A5967D7}"/>
    <cellStyle name="RISKnormBoxed 12 2" xfId="35613" xr:uid="{79EAF034-9C5B-4CB8-BF18-AFEA838E9EE4}"/>
    <cellStyle name="RISKnormBoxed 13" xfId="7130" xr:uid="{B240CE51-E79C-4D1C-9C92-7E66391A3A4E}"/>
    <cellStyle name="RISKnormBoxed 13 2" xfId="31497" xr:uid="{22E501EA-0E2C-46A3-8966-3AF4A40203DC}"/>
    <cellStyle name="RISKnormBoxed 14" xfId="7411" xr:uid="{7A79F9A4-7984-4A39-98D9-39C75076A3AF}"/>
    <cellStyle name="RISKnormBoxed 14 2" xfId="31770" xr:uid="{4EB24DB7-3330-4F75-BACB-DA1412EBA33F}"/>
    <cellStyle name="RISKnormBoxed 15" xfId="14715" xr:uid="{FB590890-B06E-47D3-A0D6-2BE8C91A4E56}"/>
    <cellStyle name="RISKnormBoxed 15 2" xfId="36627" xr:uid="{B00CA6AB-E11D-43B1-AB50-FA7DB67C2F07}"/>
    <cellStyle name="RISKnormBoxed 16" xfId="16663" xr:uid="{1BDC7F38-E5DF-40C1-AF19-C94E2B4597BC}"/>
    <cellStyle name="RISKnormBoxed 16 2" xfId="38154" xr:uid="{EBE8D76C-0C5B-449E-B1D0-CC1CA549BD8F}"/>
    <cellStyle name="RISKnormBoxed 17" xfId="15606" xr:uid="{D62DC5D7-6E74-4310-B86F-9D7D748FE288}"/>
    <cellStyle name="RISKnormBoxed 17 2" xfId="37264" xr:uid="{5956D92F-251F-491D-8B4F-33A2490DF286}"/>
    <cellStyle name="RISKnormBoxed 18" xfId="12822" xr:uid="{8BA6FDB5-7A3C-48A9-BE94-EB9F815C862C}"/>
    <cellStyle name="RISKnormBoxed 18 2" xfId="35209" xr:uid="{9B2A43B2-730B-45C3-8280-AFDF6B193B27}"/>
    <cellStyle name="RISKnormBoxed 19" xfId="17252" xr:uid="{F1C0FD02-09F5-4035-9BD4-6995EEBC842D}"/>
    <cellStyle name="RISKnormBoxed 19 2" xfId="38556" xr:uid="{30BAE606-A96F-4719-8A7C-1C66E9A0310B}"/>
    <cellStyle name="RISKnormBoxed 2" xfId="3812" xr:uid="{3579E64B-C210-41EF-90C2-35C248E17DFB}"/>
    <cellStyle name="RISKnormBoxed 2 10" xfId="16662" xr:uid="{EA3EF0B4-114D-4F4D-98BC-9E9E7800C2A2}"/>
    <cellStyle name="RISKnormBoxed 2 10 2" xfId="38153" xr:uid="{2ED62FD9-C073-419C-BD3F-317D6CA07541}"/>
    <cellStyle name="RISKnormBoxed 2 11" xfId="13693" xr:uid="{CAC66E8B-82AA-4B18-A701-9FCD0CFB7114}"/>
    <cellStyle name="RISKnormBoxed 2 11 2" xfId="35849" xr:uid="{14A03CEB-66A8-4521-96BB-A6934B090956}"/>
    <cellStyle name="RISKnormBoxed 2 12" xfId="16345" xr:uid="{04837D5D-F30C-4221-86E6-9F5B6DFC25FB}"/>
    <cellStyle name="RISKnormBoxed 2 12 2" xfId="37873" xr:uid="{7E90FAE5-BBA4-4A3F-87D6-CF9CC61E7DF3}"/>
    <cellStyle name="RISKnormBoxed 2 13" xfId="17251" xr:uid="{21B90ABF-0C52-42E8-9476-D480E727BB77}"/>
    <cellStyle name="RISKnormBoxed 2 13 2" xfId="38555" xr:uid="{D5D1A0A7-6E95-438F-87F8-AA1B602896AB}"/>
    <cellStyle name="RISKnormBoxed 2 14" xfId="12634" xr:uid="{34E5C10A-6043-49C9-8C26-C8C9F26377FA}"/>
    <cellStyle name="RISKnormBoxed 2 14 2" xfId="35062" xr:uid="{52FBB830-96E8-4C20-9CE1-6F77B438D854}"/>
    <cellStyle name="RISKnormBoxed 2 15" xfId="17077" xr:uid="{8A82EA16-EF58-4DD8-8D80-AA6BA79BF622}"/>
    <cellStyle name="RISKnormBoxed 2 15 2" xfId="38416" xr:uid="{E32EAE64-16A7-4881-9844-14D99713EC59}"/>
    <cellStyle name="RISKnormBoxed 2 16" xfId="19124" xr:uid="{CC2A8E00-1742-4137-A291-592A83F512F9}"/>
    <cellStyle name="RISKnormBoxed 2 16 2" xfId="39933" xr:uid="{782DE670-82B1-48D2-A96B-BFD9E01A3430}"/>
    <cellStyle name="RISKnormBoxed 2 17" xfId="17900" xr:uid="{B1CE9561-08E4-49BA-A535-511FE483E61F}"/>
    <cellStyle name="RISKnormBoxed 2 17 2" xfId="39007" xr:uid="{1CC5A3AF-3A47-4D0D-98A1-6777CC867121}"/>
    <cellStyle name="RISKnormBoxed 2 18" xfId="23260" xr:uid="{6643E77B-B414-424C-B245-92617A7BDBAD}"/>
    <cellStyle name="RISKnormBoxed 2 18 2" xfId="42835" xr:uid="{72A45E24-97DE-43C3-B2C3-CEE626E82636}"/>
    <cellStyle name="RISKnormBoxed 2 19" xfId="24065" xr:uid="{2150E119-0268-4ACE-ABCB-7F42DE537417}"/>
    <cellStyle name="RISKnormBoxed 2 19 2" xfId="43441" xr:uid="{7D62DEF8-B606-4FE0-8763-B6BA4452DCDE}"/>
    <cellStyle name="RISKnormBoxed 2 2" xfId="3813" xr:uid="{A8F5BBE3-B2F7-45E3-BFB5-AC412F3AF98C}"/>
    <cellStyle name="RISKnormBoxed 2 2 10" xfId="17533" xr:uid="{80F840F6-3C4A-497B-AB11-93C16E048F5E}"/>
    <cellStyle name="RISKnormBoxed 2 2 10 2" xfId="38780" xr:uid="{3884D582-433B-4908-AF1C-B69FDD88AC3B}"/>
    <cellStyle name="RISKnormBoxed 2 2 11" xfId="18383" xr:uid="{2D26572E-142D-403C-9418-FB569351D78C}"/>
    <cellStyle name="RISKnormBoxed 2 2 11 2" xfId="39394" xr:uid="{92061E16-B38C-432E-96FD-584B31CA7A73}"/>
    <cellStyle name="RISKnormBoxed 2 2 12" xfId="15163" xr:uid="{313969EC-791A-4873-ABF7-EBF6AA2E51B0}"/>
    <cellStyle name="RISKnormBoxed 2 2 12 2" xfId="36952" xr:uid="{53FA6BF6-C5CD-4F0A-BD77-1B6CFCFC3D6E}"/>
    <cellStyle name="RISKnormBoxed 2 2 13" xfId="18095" xr:uid="{4C62624F-0478-435B-A9CE-4CCC91CB9932}"/>
    <cellStyle name="RISKnormBoxed 2 2 13 2" xfId="39169" xr:uid="{E4C2AE6E-7833-4D60-B458-3E5B26970096}"/>
    <cellStyle name="RISKnormBoxed 2 2 14" xfId="20755" xr:uid="{CE79802A-191D-48DB-A429-221EB83B7680}"/>
    <cellStyle name="RISKnormBoxed 2 2 14 2" xfId="41115" xr:uid="{EA1DA08E-32AB-474B-B4F0-C35ED6158350}"/>
    <cellStyle name="RISKnormBoxed 2 2 15" xfId="17161" xr:uid="{17D9C7F2-7B13-4AC3-A6B1-B79DA07FBB6B}"/>
    <cellStyle name="RISKnormBoxed 2 2 15 2" xfId="38490" xr:uid="{E72C45B9-5538-4944-A0FC-BD109F4F8DAA}"/>
    <cellStyle name="RISKnormBoxed 2 2 16" xfId="17790" xr:uid="{8C4349D0-F1FF-4AB1-8893-BFBD640DD827}"/>
    <cellStyle name="RISKnormBoxed 2 2 16 2" xfId="38918" xr:uid="{3EB334DB-8220-4A50-9851-6B8BA2EC9F04}"/>
    <cellStyle name="RISKnormBoxed 2 2 17" xfId="16127" xr:uid="{3DCA60F7-FB89-4246-AC5B-5C7F82795E70}"/>
    <cellStyle name="RISKnormBoxed 2 2 17 2" xfId="37696" xr:uid="{6ADCB2B7-4748-4737-87E6-215506B7352E}"/>
    <cellStyle name="RISKnormBoxed 2 2 18" xfId="19469" xr:uid="{28139DA3-28C3-40D8-8C67-15646A677739}"/>
    <cellStyle name="RISKnormBoxed 2 2 18 2" xfId="40151" xr:uid="{DEF0E95D-9495-46EB-A7B4-263105F60839}"/>
    <cellStyle name="RISKnormBoxed 2 2 19" xfId="22102" xr:uid="{5C27A223-8BD6-4114-8AD7-B1AA57AC1D9D}"/>
    <cellStyle name="RISKnormBoxed 2 2 19 2" xfId="41987" xr:uid="{8512E74F-2E9E-4370-AD07-21509C031913}"/>
    <cellStyle name="RISKnormBoxed 2 2 2" xfId="3814" xr:uid="{65F01F4E-42D8-4B4D-A6D1-BA0ACDDFA410}"/>
    <cellStyle name="RISKnormBoxed 2 2 2 10" xfId="17250" xr:uid="{85621364-F480-49E2-BB02-2D264CD5D464}"/>
    <cellStyle name="RISKnormBoxed 2 2 2 10 2" xfId="38554" xr:uid="{2C9C7286-C418-4F86-9AF8-ECA164714786}"/>
    <cellStyle name="RISKnormBoxed 2 2 2 11" xfId="17680" xr:uid="{263F57FD-6A79-4DE1-AC0B-4B8CA96A9896}"/>
    <cellStyle name="RISKnormBoxed 2 2 2 11 2" xfId="38868" xr:uid="{D59B0C03-DEC5-42DB-AD59-C75952E72FBE}"/>
    <cellStyle name="RISKnormBoxed 2 2 2 12" xfId="18952" xr:uid="{65C7716E-42CD-47F6-8E6C-5FE651916225}"/>
    <cellStyle name="RISKnormBoxed 2 2 2 12 2" xfId="39784" xr:uid="{86EC9C92-5612-4263-B4EF-D61EEB32C0B0}"/>
    <cellStyle name="RISKnormBoxed 2 2 2 13" xfId="19123" xr:uid="{80EE07B9-F84C-4E86-A8BB-0529CAFC3570}"/>
    <cellStyle name="RISKnormBoxed 2 2 2 13 2" xfId="39932" xr:uid="{971697AB-E4B0-4A0C-A0E8-006679808D69}"/>
    <cellStyle name="RISKnormBoxed 2 2 2 14" xfId="22028" xr:uid="{0C28A34F-C351-4E23-8E9B-4C40FE905FE9}"/>
    <cellStyle name="RISKnormBoxed 2 2 2 14 2" xfId="41923" xr:uid="{37675F0D-2054-4FFD-81E3-1F472183FAB2}"/>
    <cellStyle name="RISKnormBoxed 2 2 2 15" xfId="23259" xr:uid="{3AA3A8CB-CA73-4E6A-962F-EEF4F29B828D}"/>
    <cellStyle name="RISKnormBoxed 2 2 2 15 2" xfId="42834" xr:uid="{A18D5AAF-3F87-4FFB-85F2-79AB92DB6D1E}"/>
    <cellStyle name="RISKnormBoxed 2 2 2 16" xfId="24064" xr:uid="{1C74449A-3F9D-4594-8F5D-2F61E4510E4A}"/>
    <cellStyle name="RISKnormBoxed 2 2 2 16 2" xfId="43440" xr:uid="{8578BFB1-D328-476B-A736-BF1C8EED58BD}"/>
    <cellStyle name="RISKnormBoxed 2 2 2 17" xfId="21192" xr:uid="{1DDEC66E-652C-4164-B980-3125059E5053}"/>
    <cellStyle name="RISKnormBoxed 2 2 2 17 2" xfId="41385" xr:uid="{4A289C70-F5A0-43B0-A2E3-902436C0127A}"/>
    <cellStyle name="RISKnormBoxed 2 2 2 18" xfId="19421" xr:uid="{F712EC0B-25D3-424F-A552-C11C55F32448}"/>
    <cellStyle name="RISKnormBoxed 2 2 2 18 2" xfId="40142" xr:uid="{0D28378C-09C7-4FEA-BB4C-6DCED222154D}"/>
    <cellStyle name="RISKnormBoxed 2 2 2 19" xfId="25414" xr:uid="{EA7B2962-FA5C-40D5-9C81-D7A3F23E4ED4}"/>
    <cellStyle name="RISKnormBoxed 2 2 2 19 2" xfId="44306" xr:uid="{F3D7732D-8618-4612-848E-9DB2F8B1D6E0}"/>
    <cellStyle name="RISKnormBoxed 2 2 2 2" xfId="7457" xr:uid="{EA709DBA-295F-43A4-8E90-CD70C4FFAA6B}"/>
    <cellStyle name="RISKnormBoxed 2 2 2 2 2" xfId="31815" xr:uid="{EE214ED2-F9BF-4C89-8A05-51D2993C72A8}"/>
    <cellStyle name="RISKnormBoxed 2 2 2 20" xfId="26232" xr:uid="{8A8F0E64-2427-4B02-8EC2-05DB62F0C6D2}"/>
    <cellStyle name="RISKnormBoxed 2 2 2 20 2" xfId="44941" xr:uid="{F17277A9-A4BD-4ED4-BA61-A763C3FCD506}"/>
    <cellStyle name="RISKnormBoxed 2 2 2 21" xfId="27916" xr:uid="{660B7C72-3417-41F0-812F-74A746C2D035}"/>
    <cellStyle name="RISKnormBoxed 2 2 2 21 2" xfId="45988" xr:uid="{EFB6CF80-A114-4A3A-BED3-CAA3D1013F6C}"/>
    <cellStyle name="RISKnormBoxed 2 2 2 22" xfId="23657" xr:uid="{CAB8BBCA-AEB1-444B-9613-B41C576334C2}"/>
    <cellStyle name="RISKnormBoxed 2 2 2 22 2" xfId="43081" xr:uid="{33CDEDAE-53EA-48B5-AA0A-44A6AA42728D}"/>
    <cellStyle name="RISKnormBoxed 2 2 2 23" xfId="27020" xr:uid="{2F3ED679-6A04-4A40-AEE6-C15604DB1515}"/>
    <cellStyle name="RISKnormBoxed 2 2 2 23 2" xfId="45423" xr:uid="{549A5241-99A5-4551-A015-905C2FBA44AA}"/>
    <cellStyle name="RISKnormBoxed 2 2 2 24" xfId="29547" xr:uid="{EF96982D-DDD0-4838-AC3E-3124C59B05B9}"/>
    <cellStyle name="RISKnormBoxed 2 2 2 24 2" xfId="46948" xr:uid="{091079C0-F16E-4A79-8B03-063E9FE089EA}"/>
    <cellStyle name="RISKnormBoxed 2 2 2 25" xfId="27725" xr:uid="{081CB6BE-FDB3-471E-B6D5-F7498FD8DA34}"/>
    <cellStyle name="RISKnormBoxed 2 2 2 25 2" xfId="45832" xr:uid="{7EF941DF-AC16-414F-A50F-8F08BC3469D9}"/>
    <cellStyle name="RISKnormBoxed 2 2 2 26" xfId="29801" xr:uid="{CA02FCA0-D7AA-4D7B-834C-9E08F468177A}"/>
    <cellStyle name="RISKnormBoxed 2 2 2 26 2" xfId="47120" xr:uid="{9D119551-8BA5-488E-981C-EEF6EA01AAC0}"/>
    <cellStyle name="RISKnormBoxed 2 2 2 27" xfId="30631" xr:uid="{C6CCF98C-29DF-476F-A7B3-10921EE7A7CB}"/>
    <cellStyle name="RISKnormBoxed 2 2 2 27 2" xfId="47577" xr:uid="{7D7F8CBD-8850-4E78-9497-531E2486CA21}"/>
    <cellStyle name="RISKnormBoxed 2 2 2 28" xfId="6761" xr:uid="{762F8F51-8C92-49DB-9CA9-BA07463B1687}"/>
    <cellStyle name="RISKnormBoxed 2 2 2 3" xfId="13294" xr:uid="{E157743A-38F7-448C-AF50-C0BB293CAB9E}"/>
    <cellStyle name="RISKnormBoxed 2 2 2 3 2" xfId="35611" xr:uid="{061F686C-1363-45AA-94DD-7A27730838BF}"/>
    <cellStyle name="RISKnormBoxed 2 2 2 4" xfId="7126" xr:uid="{38D6515A-BEBA-4516-8DB3-7D2EE5C45A97}"/>
    <cellStyle name="RISKnormBoxed 2 2 2 4 2" xfId="31493" xr:uid="{AC733707-D4B4-4826-B590-FF5CDDBD3DE6}"/>
    <cellStyle name="RISKnormBoxed 2 2 2 5" xfId="11829" xr:uid="{5CCCE227-60C7-409B-8F56-D2A6B537184A}"/>
    <cellStyle name="RISKnormBoxed 2 2 2 5 2" xfId="34441" xr:uid="{C3A12F6C-C1CD-4C94-BA4C-47290B5F24BC}"/>
    <cellStyle name="RISKnormBoxed 2 2 2 6" xfId="12247" xr:uid="{F78E9E86-4ED6-463C-846B-DFCE33377138}"/>
    <cellStyle name="RISKnormBoxed 2 2 2 6 2" xfId="34753" xr:uid="{5A73C281-EB68-47E9-9B93-20F626592C10}"/>
    <cellStyle name="RISKnormBoxed 2 2 2 7" xfId="16661" xr:uid="{8CAB1646-19C1-4530-960C-DA58909C9D52}"/>
    <cellStyle name="RISKnormBoxed 2 2 2 7 2" xfId="38152" xr:uid="{E59F02F9-3FEB-4C27-8A38-A742FEBC8DAC}"/>
    <cellStyle name="RISKnormBoxed 2 2 2 8" xfId="13862" xr:uid="{BD483763-CD8E-4CAB-BE4B-15CAACD7127E}"/>
    <cellStyle name="RISKnormBoxed 2 2 2 8 2" xfId="35985" xr:uid="{F5832781-EA2E-4093-9A7A-E3F3BF18CA72}"/>
    <cellStyle name="RISKnormBoxed 2 2 2 9" xfId="15830" xr:uid="{5782BEF4-31AC-4942-AC4E-C29F6D489110}"/>
    <cellStyle name="RISKnormBoxed 2 2 2 9 2" xfId="37439" xr:uid="{69E23EEF-B790-44F7-806C-12120DA8CAE4}"/>
    <cellStyle name="RISKnormBoxed 2 2 20" xfId="22126" xr:uid="{2B02A4EA-3D57-4F97-8D0D-039C3554968F}"/>
    <cellStyle name="RISKnormBoxed 2 2 20 2" xfId="42011" xr:uid="{EF3B3A4A-71D4-4FE0-9136-1037A3D03D40}"/>
    <cellStyle name="RISKnormBoxed 2 2 21" xfId="26665" xr:uid="{BF399270-DDF0-42C0-87BF-B8AB8C80FB41}"/>
    <cellStyle name="RISKnormBoxed 2 2 21 2" xfId="45214" xr:uid="{5B94E1BB-5A02-4DC9-B281-EEF50DF24D87}"/>
    <cellStyle name="RISKnormBoxed 2 2 22" xfId="20293" xr:uid="{AB1637A3-8D57-46B8-84DC-3DF766C29F0A}"/>
    <cellStyle name="RISKnormBoxed 2 2 22 2" xfId="40730" xr:uid="{9D493CB4-3D6C-413A-8D93-0C6A1D3C5B59}"/>
    <cellStyle name="RISKnormBoxed 2 2 23" xfId="25947" xr:uid="{6F6A1576-0CDE-4864-AB0A-B7538715A613}"/>
    <cellStyle name="RISKnormBoxed 2 2 23 2" xfId="44738" xr:uid="{8F9477A4-4470-455C-B4E8-FEE5112963F6}"/>
    <cellStyle name="RISKnormBoxed 2 2 24" xfId="26628" xr:uid="{017A1317-D2A4-412F-853D-1461EC6C8922}"/>
    <cellStyle name="RISKnormBoxed 2 2 24 2" xfId="45178" xr:uid="{17CAC626-CB75-4D76-829A-DF9BCD75B9F3}"/>
    <cellStyle name="RISKnormBoxed 2 2 25" xfId="26991" xr:uid="{0B610E01-5952-4A6A-B158-80178CF5BDC3}"/>
    <cellStyle name="RISKnormBoxed 2 2 25 2" xfId="45398" xr:uid="{C4C2C9D0-75BE-4EED-B954-5C9DCAF5EA3D}"/>
    <cellStyle name="RISKnormBoxed 2 2 26" xfId="27067" xr:uid="{EC46413A-A403-4E77-8E5A-36758A108C30}"/>
    <cellStyle name="RISKnormBoxed 2 2 26 2" xfId="45460" xr:uid="{05D96CDD-996F-4008-BB55-11C7195E5308}"/>
    <cellStyle name="RISKnormBoxed 2 2 27" xfId="29831" xr:uid="{D3F1B5F5-C0B7-44DF-B659-1FE2D9D3F4A9}"/>
    <cellStyle name="RISKnormBoxed 2 2 27 2" xfId="47148" xr:uid="{77970CCF-7F3F-465C-BA41-F53FFA5C1B6F}"/>
    <cellStyle name="RISKnormBoxed 2 2 28" xfId="29905" xr:uid="{7E66DBCD-B864-4392-933E-A690BC300EF5}"/>
    <cellStyle name="RISKnormBoxed 2 2 28 2" xfId="47193" xr:uid="{FE6EC335-B1AF-4711-9290-6403A93D8CC3}"/>
    <cellStyle name="RISKnormBoxed 2 2 29" xfId="31089" xr:uid="{F40FCCF1-4206-4E24-9971-A33D6A0FFF9D}"/>
    <cellStyle name="RISKnormBoxed 2 2 29 2" xfId="47819" xr:uid="{7F27125D-3235-492D-8B02-7818B1D6F1F5}"/>
    <cellStyle name="RISKnormBoxed 2 2 3" xfId="3815" xr:uid="{7483FA1C-8E9D-4793-AE43-C742CBAEF064}"/>
    <cellStyle name="RISKnormBoxed 2 2 3 10" xfId="14531" xr:uid="{29559E77-F422-4174-8D8F-DEEB11CCC960}"/>
    <cellStyle name="RISKnormBoxed 2 2 3 10 2" xfId="36468" xr:uid="{10B5554C-E3FE-45BB-8162-1AD69D70BC92}"/>
    <cellStyle name="RISKnormBoxed 2 2 3 11" xfId="18094" xr:uid="{B54D4A77-86A7-4FA6-B642-BD5E95D420EA}"/>
    <cellStyle name="RISKnormBoxed 2 2 3 11 2" xfId="39168" xr:uid="{83C34B1E-9290-4B00-8757-72511927AFDB}"/>
    <cellStyle name="RISKnormBoxed 2 2 3 12" xfId="20754" xr:uid="{13047606-93EF-4B77-ABED-2C3F44549A43}"/>
    <cellStyle name="RISKnormBoxed 2 2 3 12 2" xfId="41114" xr:uid="{7A19655D-D208-4CA2-9364-ECACF7851A2D}"/>
    <cellStyle name="RISKnormBoxed 2 2 3 13" xfId="16062" xr:uid="{6F5F91EC-6E55-4A5D-A63C-C195371DF5CC}"/>
    <cellStyle name="RISKnormBoxed 2 2 3 13 2" xfId="37638" xr:uid="{22E82FD2-ED33-46FC-835D-FD3FF9EDB823}"/>
    <cellStyle name="RISKnormBoxed 2 2 3 14" xfId="21264" xr:uid="{6106ADCF-5EBB-4359-B032-0DCEA5253A87}"/>
    <cellStyle name="RISKnormBoxed 2 2 3 14 2" xfId="41445" xr:uid="{96CFFBD7-993A-4602-A7E7-B03CA9910E0A}"/>
    <cellStyle name="RISKnormBoxed 2 2 3 15" xfId="20524" xr:uid="{A3E10E3C-5DD9-4BFC-AEEB-7AA215AA53D4}"/>
    <cellStyle name="RISKnormBoxed 2 2 3 15 2" xfId="40904" xr:uid="{FF6DD516-E281-4A39-8246-4CFB4ABB3D05}"/>
    <cellStyle name="RISKnormBoxed 2 2 3 16" xfId="20318" xr:uid="{7951E11F-6C14-4B32-8568-207EDF9673B2}"/>
    <cellStyle name="RISKnormBoxed 2 2 3 16 2" xfId="40751" xr:uid="{BAAE19CE-4DF0-4D42-8C3F-5534CE4B7B62}"/>
    <cellStyle name="RISKnormBoxed 2 2 3 17" xfId="17859" xr:uid="{DF984F5A-D9A1-44B4-8D59-128C4D784099}"/>
    <cellStyle name="RISKnormBoxed 2 2 3 17 2" xfId="38975" xr:uid="{ABE55782-3C3B-4592-8015-8E3293980F4B}"/>
    <cellStyle name="RISKnormBoxed 2 2 3 18" xfId="17847" xr:uid="{179D0322-03C1-4841-96CA-FB9423CA9194}"/>
    <cellStyle name="RISKnormBoxed 2 2 3 18 2" xfId="38963" xr:uid="{D724CB31-03FE-49D8-A16E-63315CAF4265}"/>
    <cellStyle name="RISKnormBoxed 2 2 3 19" xfId="26664" xr:uid="{CFC627E4-DEEF-4B40-9964-3B9A31425966}"/>
    <cellStyle name="RISKnormBoxed 2 2 3 19 2" xfId="45213" xr:uid="{F474D42B-8EF5-43DD-B426-7A5ACBC00ED7}"/>
    <cellStyle name="RISKnormBoxed 2 2 3 2" xfId="11872" xr:uid="{AFD8F099-9CDF-4378-A35B-D19E361B2E08}"/>
    <cellStyle name="RISKnormBoxed 2 2 3 2 2" xfId="34484" xr:uid="{094D53E0-6868-4599-B214-93B34D99C72C}"/>
    <cellStyle name="RISKnormBoxed 2 2 3 20" xfId="23819" xr:uid="{CA0222DD-3CD8-4D5E-AA4B-4E502CE77282}"/>
    <cellStyle name="RISKnormBoxed 2 2 3 20 2" xfId="43208" xr:uid="{0EADEE86-9FB6-4322-A6CE-4804B5C1A4F4}"/>
    <cellStyle name="RISKnormBoxed 2 2 3 21" xfId="26450" xr:uid="{066E2D5B-05AC-4589-97B8-E664E683F83C}"/>
    <cellStyle name="RISKnormBoxed 2 2 3 21 2" xfId="45079" xr:uid="{3A53FB80-CAE0-443A-9463-13C50EFE291F}"/>
    <cellStyle name="RISKnormBoxed 2 2 3 22" xfId="26627" xr:uid="{387E6F8C-DC1B-4578-9145-6FC290158033}"/>
    <cellStyle name="RISKnormBoxed 2 2 3 22 2" xfId="45177" xr:uid="{7D007867-3EC2-40BF-9654-2CFFD561EE61}"/>
    <cellStyle name="RISKnormBoxed 2 2 3 23" xfId="28971" xr:uid="{2AD4272D-B09E-4537-8B72-9741192B89D7}"/>
    <cellStyle name="RISKnormBoxed 2 2 3 23 2" xfId="46565" xr:uid="{6FA5A284-100A-4C0C-A69B-0B3D24904CAF}"/>
    <cellStyle name="RISKnormBoxed 2 2 3 24" xfId="23412" xr:uid="{BEE15E11-D8D3-4E74-86E8-AB9AE1BFEC68}"/>
    <cellStyle name="RISKnormBoxed 2 2 3 24 2" xfId="42929" xr:uid="{159FC345-3BA2-40B5-987A-860FB6B6DFBB}"/>
    <cellStyle name="RISKnormBoxed 2 2 3 25" xfId="29914" xr:uid="{25F93570-6CC1-4FCB-90C9-36011B217088}"/>
    <cellStyle name="RISKnormBoxed 2 2 3 25 2" xfId="47202" xr:uid="{3AB0BB8E-A1A5-4835-B26C-69D3F609B495}"/>
    <cellStyle name="RISKnormBoxed 2 2 3 26" xfId="29403" xr:uid="{CA8B7347-D017-44FB-82D7-1FF55B6F82FA}"/>
    <cellStyle name="RISKnormBoxed 2 2 3 26 2" xfId="46869" xr:uid="{C2437FB3-B086-446D-BB1A-9CA9FD168D72}"/>
    <cellStyle name="RISKnormBoxed 2 2 3 27" xfId="31088" xr:uid="{855179EB-3165-4961-974F-1030C3523D4C}"/>
    <cellStyle name="RISKnormBoxed 2 2 3 27 2" xfId="47818" xr:uid="{9B8F58B7-0496-4A1F-B8FC-880B4E59FDE4}"/>
    <cellStyle name="RISKnormBoxed 2 2 3 28" xfId="6762" xr:uid="{B3F41321-0C3F-4DF9-A124-E9CE117A5DE1}"/>
    <cellStyle name="RISKnormBoxed 2 2 3 3" xfId="10157" xr:uid="{501E351F-4131-40DD-A588-916A6DA97CC7}"/>
    <cellStyle name="RISKnormBoxed 2 2 3 3 2" xfId="33821" xr:uid="{C1C2BC9E-0ABE-4D38-973C-285D99D8F7F1}"/>
    <cellStyle name="RISKnormBoxed 2 2 3 4" xfId="7125" xr:uid="{E731B510-8834-460B-8D84-CEE97C0B8F6B}"/>
    <cellStyle name="RISKnormBoxed 2 2 3 4 2" xfId="31492" xr:uid="{618B48FB-077C-431B-AD5F-8AF4BD1FD28D}"/>
    <cellStyle name="RISKnormBoxed 2 2 3 5" xfId="7409" xr:uid="{4B765132-5A5B-42D6-BE18-B27CDCCE7B1B}"/>
    <cellStyle name="RISKnormBoxed 2 2 3 5 2" xfId="31768" xr:uid="{768E5C0B-D3D4-454E-A78A-AA41330DEDBE}"/>
    <cellStyle name="RISKnormBoxed 2 2 3 6" xfId="16001" xr:uid="{D8FD38A0-7455-491E-AA3F-9879AE8387D9}"/>
    <cellStyle name="RISKnormBoxed 2 2 3 6 2" xfId="37584" xr:uid="{FA47AD4F-AF3B-4145-941D-C1784F040ED3}"/>
    <cellStyle name="RISKnormBoxed 2 2 3 7" xfId="12482" xr:uid="{210B5C84-E71B-4506-B453-35DFB22C5A20}"/>
    <cellStyle name="RISKnormBoxed 2 2 3 7 2" xfId="34928" xr:uid="{E063C463-A733-48E2-891D-14C20E208CE6}"/>
    <cellStyle name="RISKnormBoxed 2 2 3 8" xfId="17532" xr:uid="{9ECDE905-5011-4BBE-BC0C-675A83697303}"/>
    <cellStyle name="RISKnormBoxed 2 2 3 8 2" xfId="38779" xr:uid="{DBF2CA91-2DAF-4990-9B89-33FF463B7629}"/>
    <cellStyle name="RISKnormBoxed 2 2 3 9" xfId="18382" xr:uid="{1BA636AC-0FC7-4150-912B-25CE209055E0}"/>
    <cellStyle name="RISKnormBoxed 2 2 3 9 2" xfId="39393" xr:uid="{6C4DDB27-A0FA-4FFE-A067-3F67FA1104E3}"/>
    <cellStyle name="RISKnormBoxed 2 2 30" xfId="6760" xr:uid="{06805986-9E1A-4BAE-9221-BEC188526110}"/>
    <cellStyle name="RISKnormBoxed 2 2 4" xfId="11873" xr:uid="{CD82F038-A344-4720-AE42-1A8511A2D112}"/>
    <cellStyle name="RISKnormBoxed 2 2 4 2" xfId="34485" xr:uid="{AF02721D-B795-4A7B-81B6-E5A7222B4B6B}"/>
    <cellStyle name="RISKnormBoxed 2 2 5" xfId="10156" xr:uid="{021D6178-46CE-4A34-9DF7-BE9215C8F77A}"/>
    <cellStyle name="RISKnormBoxed 2 2 5 2" xfId="33820" xr:uid="{DA47F4BF-D540-46D3-986E-26D7A4D6841B}"/>
    <cellStyle name="RISKnormBoxed 2 2 6" xfId="7127" xr:uid="{1BA4D322-9EF2-4E90-B077-D65254CFA0BD}"/>
    <cellStyle name="RISKnormBoxed 2 2 6 2" xfId="31494" xr:uid="{C6874D1C-1E87-496A-84EA-398950C823C0}"/>
    <cellStyle name="RISKnormBoxed 2 2 7" xfId="7410" xr:uid="{0F160302-8294-4D2D-9C44-41414B605559}"/>
    <cellStyle name="RISKnormBoxed 2 2 7 2" xfId="31769" xr:uid="{772F4A15-B9EC-42B6-BC1A-C002EEA8BB77}"/>
    <cellStyle name="RISKnormBoxed 2 2 8" xfId="14714" xr:uid="{A2381C0F-EF69-4DBE-8D6B-75540AFC0F4E}"/>
    <cellStyle name="RISKnormBoxed 2 2 8 2" xfId="36626" xr:uid="{2FEF66B0-F087-4B1A-B5A4-CA7A6585B674}"/>
    <cellStyle name="RISKnormBoxed 2 2 9" xfId="15115" xr:uid="{925108FB-4C90-4EF9-AE8B-E90EB04B2E44}"/>
    <cellStyle name="RISKnormBoxed 2 2 9 2" xfId="36941" xr:uid="{A9D320C5-C015-4D5E-8817-B98940F95072}"/>
    <cellStyle name="RISKnormBoxed 2 20" xfId="17811" xr:uid="{0FA68B33-092B-4C89-93EC-3779CEC5D127}"/>
    <cellStyle name="RISKnormBoxed 2 20 2" xfId="38936" xr:uid="{3F6FF63A-3661-479E-84A6-100D7AD86AEF}"/>
    <cellStyle name="RISKnormBoxed 2 21" xfId="21170" xr:uid="{AFA5D5DD-BB36-400E-A3EE-60AFE1B605E6}"/>
    <cellStyle name="RISKnormBoxed 2 21 2" xfId="41363" xr:uid="{ECF2B87D-DA09-45B3-BEBD-14660BE782D2}"/>
    <cellStyle name="RISKnormBoxed 2 22" xfId="24223" xr:uid="{86D7011B-B489-4E5F-858E-A9416355E7B7}"/>
    <cellStyle name="RISKnormBoxed 2 22 2" xfId="43541" xr:uid="{5C9A6D00-6F8A-4800-8C7C-876FA9C57C56}"/>
    <cellStyle name="RISKnormBoxed 2 23" xfId="26233" xr:uid="{15CA4CA8-9DAB-42E1-B1C4-305DDD50DC81}"/>
    <cellStyle name="RISKnormBoxed 2 23 2" xfId="44942" xr:uid="{AB218EBB-2514-47A1-8252-7602E7A8A248}"/>
    <cellStyle name="RISKnormBoxed 2 24" xfId="27917" xr:uid="{DF7C7108-05DD-462B-9A87-29855EA00986}"/>
    <cellStyle name="RISKnormBoxed 2 24 2" xfId="45989" xr:uid="{1F0E3237-BBC9-4B20-8825-D53954607033}"/>
    <cellStyle name="RISKnormBoxed 2 25" xfId="24233" xr:uid="{75AD40B6-D199-4FFA-98DE-3A836F7C879C}"/>
    <cellStyle name="RISKnormBoxed 2 25 2" xfId="43550" xr:uid="{ED44B26F-1DC0-4B28-88F5-602E266DAF59}"/>
    <cellStyle name="RISKnormBoxed 2 26" xfId="29577" xr:uid="{105CFEDA-E0DF-4C4C-95B7-A7766407C924}"/>
    <cellStyle name="RISKnormBoxed 2 26 2" xfId="46972" xr:uid="{B988F156-9630-478E-996C-4B666800F614}"/>
    <cellStyle name="RISKnormBoxed 2 27" xfId="28413" xr:uid="{478DA7D8-9E65-4CF5-86F5-EB191862A26E}"/>
    <cellStyle name="RISKnormBoxed 2 27 2" xfId="46260" xr:uid="{D92E9786-7EEA-4DA6-8656-8C4751C265A2}"/>
    <cellStyle name="RISKnormBoxed 2 28" xfId="30084" xr:uid="{A0469962-C1F6-4138-920A-B33C74B13BA2}"/>
    <cellStyle name="RISKnormBoxed 2 28 2" xfId="47280" xr:uid="{666FD6FB-3CD0-48B2-A4A4-EE5400A38A2F}"/>
    <cellStyle name="RISKnormBoxed 2 29" xfId="29100" xr:uid="{F618F8CB-5AC3-4105-B437-F78803473265}"/>
    <cellStyle name="RISKnormBoxed 2 29 2" xfId="46669" xr:uid="{B7682F21-5DFB-4226-8F78-34401A7D1535}"/>
    <cellStyle name="RISKnormBoxed 2 3" xfId="3816" xr:uid="{26A56F35-60A8-4BE7-8874-7A263C0618AF}"/>
    <cellStyle name="RISKnormBoxed 2 3 10" xfId="17249" xr:uid="{6FC23B3F-FB55-43BE-82BE-03231BEA8FBA}"/>
    <cellStyle name="RISKnormBoxed 2 3 10 2" xfId="38553" xr:uid="{1B9E844F-3B18-4EF4-B659-BFA9CDEB7DFC}"/>
    <cellStyle name="RISKnormBoxed 2 3 11" xfId="16206" xr:uid="{5C0DEE56-647B-40B5-B0AE-026AE838A0A8}"/>
    <cellStyle name="RISKnormBoxed 2 3 11 2" xfId="37760" xr:uid="{605F6350-4F25-4514-BB18-4DBC93E06C44}"/>
    <cellStyle name="RISKnormBoxed 2 3 12" xfId="16102" xr:uid="{058CBDA4-FF8D-4F49-85E3-0EF97CE1DB61}"/>
    <cellStyle name="RISKnormBoxed 2 3 12 2" xfId="37672" xr:uid="{F94DB33B-DA78-4B3B-B719-11441CAD85C5}"/>
    <cellStyle name="RISKnormBoxed 2 3 13" xfId="19122" xr:uid="{2A60182C-915B-4066-8CB6-3A3707DE1B06}"/>
    <cellStyle name="RISKnormBoxed 2 3 13 2" xfId="39931" xr:uid="{A161DA03-FC74-47E5-A92A-8F64EDE2BB62}"/>
    <cellStyle name="RISKnormBoxed 2 3 14" xfId="18636" xr:uid="{E5B9CDF2-3DE9-47C8-B2B9-400567A3DA3A}"/>
    <cellStyle name="RISKnormBoxed 2 3 14 2" xfId="39533" xr:uid="{87E17B8C-0142-423C-A239-E2769C7A1670}"/>
    <cellStyle name="RISKnormBoxed 2 3 15" xfId="23258" xr:uid="{5314199A-0013-4CE9-BEC6-2FA983B2B957}"/>
    <cellStyle name="RISKnormBoxed 2 3 15 2" xfId="42833" xr:uid="{763A309A-9B60-4D64-ADEA-654DB1E95EED}"/>
    <cellStyle name="RISKnormBoxed 2 3 16" xfId="24063" xr:uid="{CEE42D58-B6A8-4E6D-8491-8EF1FD144AA5}"/>
    <cellStyle name="RISKnormBoxed 2 3 16 2" xfId="43439" xr:uid="{2DAC6783-402C-4408-8A16-0B88C2741BF0}"/>
    <cellStyle name="RISKnormBoxed 2 3 17" xfId="19409" xr:uid="{40B928C2-F379-42B1-9468-E2C8C72B1B6F}"/>
    <cellStyle name="RISKnormBoxed 2 3 17 2" xfId="40130" xr:uid="{D4A73AD3-52F4-4A96-8AE4-0FE0C3D33D60}"/>
    <cellStyle name="RISKnormBoxed 2 3 18" xfId="22580" xr:uid="{96D96B30-0907-42B6-A724-B9306E38C916}"/>
    <cellStyle name="RISKnormBoxed 2 3 18 2" xfId="42366" xr:uid="{5CBE536B-BA32-44BB-A681-8EA62840B719}"/>
    <cellStyle name="RISKnormBoxed 2 3 19" xfId="22253" xr:uid="{E0330F71-352B-4A5B-849E-CC65388D164A}"/>
    <cellStyle name="RISKnormBoxed 2 3 19 2" xfId="42123" xr:uid="{ABD317DB-EE22-4EEB-88AB-F2CE9B79EBBA}"/>
    <cellStyle name="RISKnormBoxed 2 3 2" xfId="7456" xr:uid="{E515BAEB-2630-4DC4-A5BD-16E1C72F3AE3}"/>
    <cellStyle name="RISKnormBoxed 2 3 2 2" xfId="31814" xr:uid="{0050A442-CE1D-44A4-B923-E2EA7A86629B}"/>
    <cellStyle name="RISKnormBoxed 2 3 20" xfId="26231" xr:uid="{B8E11C03-63F1-42A4-80AD-E635C1323088}"/>
    <cellStyle name="RISKnormBoxed 2 3 20 2" xfId="44940" xr:uid="{3C31DD9C-A899-43C2-BEA3-24E01CC14422}"/>
    <cellStyle name="RISKnormBoxed 2 3 21" xfId="27915" xr:uid="{6CC95D0A-34E1-4812-A58F-D01E59DC3D38}"/>
    <cellStyle name="RISKnormBoxed 2 3 21 2" xfId="45987" xr:uid="{2EB1FBBA-B5D2-410B-9B6E-4823DA71F59C}"/>
    <cellStyle name="RISKnormBoxed 2 3 22" xfId="25813" xr:uid="{45ADD94D-C217-48D7-9732-757582A44624}"/>
    <cellStyle name="RISKnormBoxed 2 3 22 2" xfId="44639" xr:uid="{75B659E8-32E6-443D-BC10-376239C0F63C}"/>
    <cellStyle name="RISKnormBoxed 2 3 23" xfId="28310" xr:uid="{71DF7E08-C61A-474C-98F9-E2E9E7EA6FEF}"/>
    <cellStyle name="RISKnormBoxed 2 3 23 2" xfId="46177" xr:uid="{D1E3AE0D-B6C6-4AF5-8DF2-1B51D38F94CC}"/>
    <cellStyle name="RISKnormBoxed 2 3 24" xfId="28411" xr:uid="{99BF7046-AB13-43E8-9568-D6B14D4125EA}"/>
    <cellStyle name="RISKnormBoxed 2 3 24 2" xfId="46258" xr:uid="{82BB940A-ADEA-4AA0-A1C1-AA531C4F3696}"/>
    <cellStyle name="RISKnormBoxed 2 3 25" xfId="29707" xr:uid="{296C95C7-334F-4212-AF96-8BD69D3E62D1}"/>
    <cellStyle name="RISKnormBoxed 2 3 25 2" xfId="47052" xr:uid="{F96B9902-96CB-4AB4-82C7-8958BE5865BD}"/>
    <cellStyle name="RISKnormBoxed 2 3 26" xfId="26547" xr:uid="{3E4CCD97-D210-4C3D-84CB-FE52BF3D07CE}"/>
    <cellStyle name="RISKnormBoxed 2 3 26 2" xfId="45120" xr:uid="{4ED4311C-95BF-4A7B-AFD8-876E78F32F7D}"/>
    <cellStyle name="RISKnormBoxed 2 3 27" xfId="29229" xr:uid="{7C3C7C5A-C9CC-4523-997C-4D9198F966F3}"/>
    <cellStyle name="RISKnormBoxed 2 3 27 2" xfId="46748" xr:uid="{8EFC5640-60E5-409F-A83E-90CAC9B9FC3B}"/>
    <cellStyle name="RISKnormBoxed 2 3 28" xfId="6763" xr:uid="{E61A1D7C-CC29-4F15-B016-5ECFFFD0F7A7}"/>
    <cellStyle name="RISKnormBoxed 2 3 3" xfId="13293" xr:uid="{23F11C62-5B42-45A8-9C27-BFABAE176780}"/>
    <cellStyle name="RISKnormBoxed 2 3 3 2" xfId="35610" xr:uid="{2E641E55-8FF5-45A9-B509-7C9259D3E6E2}"/>
    <cellStyle name="RISKnormBoxed 2 3 4" xfId="7124" xr:uid="{BEECF84E-C740-431F-84A2-7AA20A889417}"/>
    <cellStyle name="RISKnormBoxed 2 3 4 2" xfId="31491" xr:uid="{0F9D4CEC-FC1F-4270-8271-1805C0215D51}"/>
    <cellStyle name="RISKnormBoxed 2 3 5" xfId="11828" xr:uid="{612ABA03-C06F-4634-B27A-A41E283E29C5}"/>
    <cellStyle name="RISKnormBoxed 2 3 5 2" xfId="34440" xr:uid="{467405C3-174E-431D-BC60-1586305E6805}"/>
    <cellStyle name="RISKnormBoxed 2 3 6" xfId="14713" xr:uid="{31249B3A-24F8-4898-A80F-12BC01C808FC}"/>
    <cellStyle name="RISKnormBoxed 2 3 6 2" xfId="36625" xr:uid="{6F046632-1770-49D4-8C8C-B842A5B13FAB}"/>
    <cellStyle name="RISKnormBoxed 2 3 7" xfId="16660" xr:uid="{F00C8499-34A9-4AE2-80A6-A95F4D800C2B}"/>
    <cellStyle name="RISKnormBoxed 2 3 7 2" xfId="38151" xr:uid="{4D5EB7D2-19BB-406B-A792-B0FBD8423F85}"/>
    <cellStyle name="RISKnormBoxed 2 3 8" xfId="14440" xr:uid="{93833445-A3EC-4A3D-BCD1-ED7622B35FBE}"/>
    <cellStyle name="RISKnormBoxed 2 3 8 2" xfId="36429" xr:uid="{F6E10D31-9B3C-4044-8230-9FD2059D0E6D}"/>
    <cellStyle name="RISKnormBoxed 2 3 9" xfId="16344" xr:uid="{CD3E7FB0-1429-4D86-AA7A-51733AA40D95}"/>
    <cellStyle name="RISKnormBoxed 2 3 9 2" xfId="37872" xr:uid="{870006B5-C9ED-48EF-9288-308741B0D49B}"/>
    <cellStyle name="RISKnormBoxed 2 30" xfId="30202" xr:uid="{0AA25228-2496-4D8D-95D5-A479963E22AF}"/>
    <cellStyle name="RISKnormBoxed 2 30 2" xfId="47363" xr:uid="{52B24D7A-4A98-48AE-8981-9E2580195AA4}"/>
    <cellStyle name="RISKnormBoxed 2 31" xfId="6759" xr:uid="{FD2A8C7E-B071-438A-A6D8-C3C8614F30D5}"/>
    <cellStyle name="RISKnormBoxed 2 4" xfId="3817" xr:uid="{D78D6FC8-DAA9-48D7-82DE-DDBE69FDB551}"/>
    <cellStyle name="RISKnormBoxed 2 4 10" xfId="15674" xr:uid="{042A34BB-A1B9-4BF6-85D7-4E808A5B7E8A}"/>
    <cellStyle name="RISKnormBoxed 2 4 10 2" xfId="37317" xr:uid="{81502A08-907C-419C-9CF2-5BF8B8103E38}"/>
    <cellStyle name="RISKnormBoxed 2 4 11" xfId="18093" xr:uid="{4731C7EF-028E-49E0-83CC-4F396A787209}"/>
    <cellStyle name="RISKnormBoxed 2 4 11 2" xfId="39167" xr:uid="{CFFA916E-ABF5-4B32-AF91-D7F875F02152}"/>
    <cellStyle name="RISKnormBoxed 2 4 12" xfId="20753" xr:uid="{118522D6-E2BA-4540-B20C-63968CC02A96}"/>
    <cellStyle name="RISKnormBoxed 2 4 12 2" xfId="41113" xr:uid="{5D2A2E13-9D6E-465D-AFB1-5659FC1B953D}"/>
    <cellStyle name="RISKnormBoxed 2 4 13" xfId="17160" xr:uid="{96646C3C-E060-4FAA-8956-95F7FFF96706}"/>
    <cellStyle name="RISKnormBoxed 2 4 13 2" xfId="38489" xr:uid="{D02F3BF0-3BC1-4E51-9790-B9762251112B}"/>
    <cellStyle name="RISKnormBoxed 2 4 14" xfId="19545" xr:uid="{3C07C423-0B2A-4909-89CD-D5D681B3D7EA}"/>
    <cellStyle name="RISKnormBoxed 2 4 14 2" xfId="40208" xr:uid="{04A7D8D8-98DC-4443-A9A0-E421DDF0FD79}"/>
    <cellStyle name="RISKnormBoxed 2 4 15" xfId="18839" xr:uid="{D1529CA9-FB21-4870-BA36-74E3F3F45936}"/>
    <cellStyle name="RISKnormBoxed 2 4 15 2" xfId="39686" xr:uid="{4B3A02F2-C8D0-425E-892F-0F433A378421}"/>
    <cellStyle name="RISKnormBoxed 2 4 16" xfId="20943" xr:uid="{C439D240-0D92-4535-8780-0605B6ED551B}"/>
    <cellStyle name="RISKnormBoxed 2 4 16 2" xfId="41244" xr:uid="{9459881C-B7F6-491D-A2EC-10E9CE6F1491}"/>
    <cellStyle name="RISKnormBoxed 2 4 17" xfId="23335" xr:uid="{E87F0FD8-08BD-4904-A92E-D149FD5AACCF}"/>
    <cellStyle name="RISKnormBoxed 2 4 17 2" xfId="42904" xr:uid="{D4123859-0F91-46B5-B71B-7A8070F88883}"/>
    <cellStyle name="RISKnormBoxed 2 4 18" xfId="22127" xr:uid="{05A44D7E-F220-4E15-AA53-931872EE9282}"/>
    <cellStyle name="RISKnormBoxed 2 4 18 2" xfId="42012" xr:uid="{D7DD7E3D-98A9-4E7E-8030-D7932947CFC1}"/>
    <cellStyle name="RISKnormBoxed 2 4 19" xfId="26663" xr:uid="{77FACE4B-1E3E-4542-8913-3556F429BF79}"/>
    <cellStyle name="RISKnormBoxed 2 4 19 2" xfId="45212" xr:uid="{384D8905-48B5-47E6-B125-8878A3DD7ABB}"/>
    <cellStyle name="RISKnormBoxed 2 4 2" xfId="11871" xr:uid="{D221D49A-5539-4D98-B095-80DA82CD94C2}"/>
    <cellStyle name="RISKnormBoxed 2 4 2 2" xfId="34483" xr:uid="{1EE5F583-FF97-4780-A255-CF29A6F109D0}"/>
    <cellStyle name="RISKnormBoxed 2 4 20" xfId="23818" xr:uid="{C7ABF63B-908E-4F42-AAFE-6EE7CFCBD20B}"/>
    <cellStyle name="RISKnormBoxed 2 4 20 2" xfId="43207" xr:uid="{0DF0078A-0960-4044-9932-702818A66BD3}"/>
    <cellStyle name="RISKnormBoxed 2 4 21" xfId="25025" xr:uid="{CCCBDEEB-749A-4485-809B-5DA590C6B6C1}"/>
    <cellStyle name="RISKnormBoxed 2 4 21 2" xfId="44058" xr:uid="{55CA75FF-BCBE-4F9B-9595-501C4CF34F42}"/>
    <cellStyle name="RISKnormBoxed 2 4 22" xfId="26626" xr:uid="{72D83B1F-A4FF-40E3-9590-2197F0AC368C}"/>
    <cellStyle name="RISKnormBoxed 2 4 22 2" xfId="45176" xr:uid="{AE985109-B995-408A-A133-E3D78B0DB667}"/>
    <cellStyle name="RISKnormBoxed 2 4 23" xfId="27586" xr:uid="{3B5707D3-B035-4599-A645-8DCCE2E4740A}"/>
    <cellStyle name="RISKnormBoxed 2 4 23 2" xfId="45735" xr:uid="{B66BA9ED-8C1E-4FCB-B8A3-48FFACED7124}"/>
    <cellStyle name="RISKnormBoxed 2 4 24" xfId="27066" xr:uid="{A015A5C7-7C85-4860-857E-21FC1D3D5918}"/>
    <cellStyle name="RISKnormBoxed 2 4 24 2" xfId="45459" xr:uid="{021FF3BD-F471-48B9-99AD-808D6C47D0BC}"/>
    <cellStyle name="RISKnormBoxed 2 4 25" xfId="29636" xr:uid="{97AAF7C6-D5B3-4B84-9182-1ACA39C651DC}"/>
    <cellStyle name="RISKnormBoxed 2 4 25 2" xfId="47019" xr:uid="{20B19CE1-8D8C-47A5-BC02-671A1DBE4B19}"/>
    <cellStyle name="RISKnormBoxed 2 4 26" xfId="25989" xr:uid="{284FE135-60F4-491E-9712-124549B78E75}"/>
    <cellStyle name="RISKnormBoxed 2 4 26 2" xfId="44772" xr:uid="{5A0DC52F-E652-47EA-84AA-6D88D8763E29}"/>
    <cellStyle name="RISKnormBoxed 2 4 27" xfId="31087" xr:uid="{5AFCD913-A09A-48AB-B97E-19B17B20BDE9}"/>
    <cellStyle name="RISKnormBoxed 2 4 27 2" xfId="47817" xr:uid="{EB8DC113-E575-4101-B6B5-040BC6FF171C}"/>
    <cellStyle name="RISKnormBoxed 2 4 28" xfId="6764" xr:uid="{0F98979F-1064-4068-961F-C96CB88B33E1}"/>
    <cellStyle name="RISKnormBoxed 2 4 3" xfId="10158" xr:uid="{7AF642B0-89A1-409F-82A6-0632E234DF34}"/>
    <cellStyle name="RISKnormBoxed 2 4 3 2" xfId="33822" xr:uid="{11050633-34FC-48B9-BECF-6289AD9A7ADB}"/>
    <cellStyle name="RISKnormBoxed 2 4 4" xfId="7123" xr:uid="{34BE1628-0D5D-4D72-ADCB-A8DFB6E8FA25}"/>
    <cellStyle name="RISKnormBoxed 2 4 4 2" xfId="31490" xr:uid="{F27D7AFE-CFA3-4C01-B697-368F037944CD}"/>
    <cellStyle name="RISKnormBoxed 2 4 5" xfId="7408" xr:uid="{1F7B9DF7-81CE-468F-913C-F8B1F8D1EFE2}"/>
    <cellStyle name="RISKnormBoxed 2 4 5 2" xfId="31767" xr:uid="{9DC6CB8E-B4CF-4D3E-9660-35446C3C750B}"/>
    <cellStyle name="RISKnormBoxed 2 4 6" xfId="14415" xr:uid="{D68361D3-16CC-47CD-A9C6-DC5B752377ED}"/>
    <cellStyle name="RISKnormBoxed 2 4 6 2" xfId="36404" xr:uid="{BEB21B71-62EC-4235-B622-671D9FDD122C}"/>
    <cellStyle name="RISKnormBoxed 2 4 7" xfId="14083" xr:uid="{23E47D73-5DC1-41B1-9225-AFFD2599BE39}"/>
    <cellStyle name="RISKnormBoxed 2 4 7 2" xfId="36177" xr:uid="{0E506A46-49A9-4DBA-811F-12F8B6B5631A}"/>
    <cellStyle name="RISKnormBoxed 2 4 8" xfId="17531" xr:uid="{19E9E93C-D748-46A4-96E5-A104CF3EC2BE}"/>
    <cellStyle name="RISKnormBoxed 2 4 8 2" xfId="38778" xr:uid="{FDC3A95A-8238-45A4-BB33-9F09E438D8AB}"/>
    <cellStyle name="RISKnormBoxed 2 4 9" xfId="18381" xr:uid="{B81D223F-9D0F-4208-A748-5979EF2A61E5}"/>
    <cellStyle name="RISKnormBoxed 2 4 9 2" xfId="39392" xr:uid="{974C00BF-4AC5-4936-86AA-20850D8AD4BD}"/>
    <cellStyle name="RISKnormBoxed 2 5" xfId="7458" xr:uid="{6E0EFFA4-C4E1-48C7-9920-9C98E3B8501A}"/>
    <cellStyle name="RISKnormBoxed 2 5 2" xfId="31816" xr:uid="{D0CFDE8F-37E3-44FC-8F8A-1486DFBC4AB9}"/>
    <cellStyle name="RISKnormBoxed 2 6" xfId="13295" xr:uid="{F14E20D7-2BA8-4218-82F8-506F4381F6AB}"/>
    <cellStyle name="RISKnormBoxed 2 6 2" xfId="35612" xr:uid="{B7CF1032-1BEF-49A1-ACC2-D5AD215E68F1}"/>
    <cellStyle name="RISKnormBoxed 2 7" xfId="7128" xr:uid="{FF3DCAC6-6A63-4D21-B4CD-D7B78DC6C0F2}"/>
    <cellStyle name="RISKnormBoxed 2 7 2" xfId="31495" xr:uid="{EAF22BF5-EEDB-49BE-A6BA-DC1D518B1578}"/>
    <cellStyle name="RISKnormBoxed 2 8" xfId="11812" xr:uid="{9C06B650-0630-416E-8FA2-6FC7C8155F4C}"/>
    <cellStyle name="RISKnormBoxed 2 8 2" xfId="34425" xr:uid="{77F94784-3DB5-4EC6-94EC-E5C836F6B819}"/>
    <cellStyle name="RISKnormBoxed 2 9" xfId="16002" xr:uid="{3A434ABA-3D49-4985-809B-81919F4B2020}"/>
    <cellStyle name="RISKnormBoxed 2 9 2" xfId="37585" xr:uid="{426ED601-E7EE-440A-8F15-98BF121E5C58}"/>
    <cellStyle name="RISKnormBoxed 20" xfId="16207" xr:uid="{6AE9CE50-6801-4A9F-B889-D9534FBB83C3}"/>
    <cellStyle name="RISKnormBoxed 20 2" xfId="37761" xr:uid="{7558BD12-1ABD-4A2A-BEE8-8396015D0539}"/>
    <cellStyle name="RISKnormBoxed 21" xfId="18953" xr:uid="{028FC998-B3E9-4066-9355-E0B8FDAFB5A8}"/>
    <cellStyle name="RISKnormBoxed 21 2" xfId="39785" xr:uid="{DC6DF391-BC2B-4D44-8EB8-C8B8E66867F7}"/>
    <cellStyle name="RISKnormBoxed 22" xfId="19125" xr:uid="{E5BBEDAD-47C4-4C0C-9D6B-AAEBE84A73A6}"/>
    <cellStyle name="RISKnormBoxed 22 2" xfId="39934" xr:uid="{116C9537-9656-49E7-AC91-BD73C4A8B731}"/>
    <cellStyle name="RISKnormBoxed 23" xfId="22027" xr:uid="{E93F72A0-2EAB-4B0B-B346-ADA2D8A63DCD}"/>
    <cellStyle name="RISKnormBoxed 23 2" xfId="41922" xr:uid="{751A5B91-6789-4A1C-9B2A-3DA18A168B36}"/>
    <cellStyle name="RISKnormBoxed 24" xfId="23261" xr:uid="{A0037201-762B-40DA-89A8-1731859C6ED0}"/>
    <cellStyle name="RISKnormBoxed 24 2" xfId="42836" xr:uid="{A370CBCD-BFC3-4EE0-93C8-4ED4C21BDB93}"/>
    <cellStyle name="RISKnormBoxed 25" xfId="24066" xr:uid="{1CD70BD0-E8B1-4EED-B8FD-4C2A9FA129B5}"/>
    <cellStyle name="RISKnormBoxed 25 2" xfId="43442" xr:uid="{41B8ED7E-A9CF-4943-BFFC-564029691C14}"/>
    <cellStyle name="RISKnormBoxed 26" xfId="19408" xr:uid="{D2A45EA8-489A-4FA3-815A-345C11D102DB}"/>
    <cellStyle name="RISKnormBoxed 26 2" xfId="40129" xr:uid="{DE35C1B1-C68F-469E-8BCF-834786808510}"/>
    <cellStyle name="RISKnormBoxed 27" xfId="17816" xr:uid="{4F6C7A7D-DCF3-4567-88E7-F48B5BCFCFC1}"/>
    <cellStyle name="RISKnormBoxed 27 2" xfId="38941" xr:uid="{C65403E6-54EC-4845-9BF7-1A8D9300A604}"/>
    <cellStyle name="RISKnormBoxed 28" xfId="23652" xr:uid="{8F522812-D685-4C68-A75D-7D4C2F8E3BA5}"/>
    <cellStyle name="RISKnormBoxed 28 2" xfId="43076" xr:uid="{23451532-02D0-41E3-B673-222806C0D396}"/>
    <cellStyle name="RISKnormBoxed 29" xfId="26234" xr:uid="{34CCEEF4-8C2D-44AB-9D30-E1C73341EA8E}"/>
    <cellStyle name="RISKnormBoxed 29 2" xfId="44943" xr:uid="{348C75DF-5742-40B7-A2CA-0FFDACFA5AF6}"/>
    <cellStyle name="RISKnormBoxed 3" xfId="3818" xr:uid="{ADDC1786-1738-4908-BD15-9F82FCC2587A}"/>
    <cellStyle name="RISKnormBoxed 3 10" xfId="15607" xr:uid="{1E5E2D53-2A8E-49E3-A018-35A6B51C612B}"/>
    <cellStyle name="RISKnormBoxed 3 10 2" xfId="37265" xr:uid="{5A73E07A-CAC0-4E7B-9533-C97DF7295CB3}"/>
    <cellStyle name="RISKnormBoxed 3 11" xfId="12599" xr:uid="{DD79919E-29BF-4659-A939-4459C5474116}"/>
    <cellStyle name="RISKnormBoxed 3 11 2" xfId="35034" xr:uid="{79E92C72-3547-4B74-BB36-53DAA96DA508}"/>
    <cellStyle name="RISKnormBoxed 3 12" xfId="17248" xr:uid="{0EA67CBE-069C-4861-A73B-5157529C18CE}"/>
    <cellStyle name="RISKnormBoxed 3 12 2" xfId="38552" xr:uid="{E8F2E433-B1EB-4131-A9C0-951B7A36015A}"/>
    <cellStyle name="RISKnormBoxed 3 13" xfId="15761" xr:uid="{EFE9FA0A-3FA0-4AFC-BDA6-122ECCA45B95}"/>
    <cellStyle name="RISKnormBoxed 3 13 2" xfId="37385" xr:uid="{0F2A9D4C-CECC-4241-A149-CCFFCD6CD510}"/>
    <cellStyle name="RISKnormBoxed 3 14" xfId="18951" xr:uid="{FD809B6F-7C1B-4723-A975-7A9F07EFEC8E}"/>
    <cellStyle name="RISKnormBoxed 3 14 2" xfId="39783" xr:uid="{92259D1B-3BB1-4CAF-BC87-6D82B1AE0AA0}"/>
    <cellStyle name="RISKnormBoxed 3 15" xfId="19121" xr:uid="{8A37BBED-2A4A-47C6-9BEC-72DC180B8D38}"/>
    <cellStyle name="RISKnormBoxed 3 15 2" xfId="39930" xr:uid="{B88A2AFD-95A5-49C3-87CD-145CB9288874}"/>
    <cellStyle name="RISKnormBoxed 3 16" xfId="22029" xr:uid="{40A5D971-AB7A-42D2-8242-2CF857C77E4E}"/>
    <cellStyle name="RISKnormBoxed 3 16 2" xfId="41924" xr:uid="{A7C6B120-E73E-4E34-966C-1E850FB2BA67}"/>
    <cellStyle name="RISKnormBoxed 3 17" xfId="23257" xr:uid="{3B887EA6-90F0-4FB0-9DB3-2E9EA9074303}"/>
    <cellStyle name="RISKnormBoxed 3 17 2" xfId="42832" xr:uid="{1A8608DA-CAA0-4BB8-A2E5-13530DE994F6}"/>
    <cellStyle name="RISKnormBoxed 3 18" xfId="24062" xr:uid="{F06E5342-ACDC-46BA-8521-EB9CC9123026}"/>
    <cellStyle name="RISKnormBoxed 3 18 2" xfId="43438" xr:uid="{2E8277C7-EEBB-465A-A08B-067FA9DCA507}"/>
    <cellStyle name="RISKnormBoxed 3 19" xfId="22103" xr:uid="{CAB75291-646A-467B-8BAD-8E682BC43B5E}"/>
    <cellStyle name="RISKnormBoxed 3 19 2" xfId="41988" xr:uid="{CD24AE0F-AB29-42C0-922F-57DAB620B3D7}"/>
    <cellStyle name="RISKnormBoxed 3 2" xfId="3819" xr:uid="{9D297453-4EDD-444B-81AE-1F6ED29DC515}"/>
    <cellStyle name="RISKnormBoxed 3 2 10" xfId="13784" xr:uid="{216C4C25-D2BF-4BFA-8F00-8C1ACA7974B1}"/>
    <cellStyle name="RISKnormBoxed 3 2 10 2" xfId="35920" xr:uid="{F27D076C-3F13-41D0-8CB0-0DD6F168A8A7}"/>
    <cellStyle name="RISKnormBoxed 3 2 11" xfId="16205" xr:uid="{3DC83501-1140-46B2-89D4-0B07765C19F7}"/>
    <cellStyle name="RISKnormBoxed 3 2 11 2" xfId="37759" xr:uid="{809C91C2-4EA2-4986-A063-86961040966C}"/>
    <cellStyle name="RISKnormBoxed 3 2 12" xfId="20752" xr:uid="{E8BC4396-A496-441C-8685-5CC5289A2198}"/>
    <cellStyle name="RISKnormBoxed 3 2 12 2" xfId="41112" xr:uid="{401BEAC5-8F53-4CE9-9731-FCD5871F9CE3}"/>
    <cellStyle name="RISKnormBoxed 3 2 13" xfId="13903" xr:uid="{64E49768-85AE-4518-8DA9-9E297225A552}"/>
    <cellStyle name="RISKnormBoxed 3 2 13 2" xfId="36018" xr:uid="{AD1A87E7-D8B4-46AC-82A2-1EB5F6FAF345}"/>
    <cellStyle name="RISKnormBoxed 3 2 14" xfId="21263" xr:uid="{5870A864-3A4D-4B4C-97DE-012DC6612F59}"/>
    <cellStyle name="RISKnormBoxed 3 2 14 2" xfId="41444" xr:uid="{630AB574-A2F3-4B69-B3C2-238E5EA4654A}"/>
    <cellStyle name="RISKnormBoxed 3 2 15" xfId="21693" xr:uid="{014C520B-286F-42EF-BFEC-0EE0628B415A}"/>
    <cellStyle name="RISKnormBoxed 3 2 15 2" xfId="41748" xr:uid="{6616B4F0-A30B-493E-946E-088CC4F1F56A}"/>
    <cellStyle name="RISKnormBoxed 3 2 16" xfId="22182" xr:uid="{CFBC47D2-F560-4AE9-8539-520199D52984}"/>
    <cellStyle name="RISKnormBoxed 3 2 16 2" xfId="42061" xr:uid="{28824A36-EA28-4D98-A099-27F549D2223B}"/>
    <cellStyle name="RISKnormBoxed 3 2 17" xfId="21191" xr:uid="{EB77E741-B870-4AD9-97EF-16CB4F1F2F48}"/>
    <cellStyle name="RISKnormBoxed 3 2 17 2" xfId="41384" xr:uid="{D9EFB745-7D76-45E5-9323-ADC25FB09620}"/>
    <cellStyle name="RISKnormBoxed 3 2 18" xfId="20144" xr:uid="{F683182E-A1D1-4A4B-97F8-A26646567A9A}"/>
    <cellStyle name="RISKnormBoxed 3 2 18 2" xfId="40651" xr:uid="{23D2FD4F-43B7-47D1-B714-854F50B1BA07}"/>
    <cellStyle name="RISKnormBoxed 3 2 19" xfId="26662" xr:uid="{BEE80AB2-925A-4786-84C3-F9261DCADE34}"/>
    <cellStyle name="RISKnormBoxed 3 2 19 2" xfId="45211" xr:uid="{BF0BEBEC-F4D1-4228-841A-49E69C6CED97}"/>
    <cellStyle name="RISKnormBoxed 3 2 2" xfId="11870" xr:uid="{70B9B171-3338-4E96-AA80-37411EC57896}"/>
    <cellStyle name="RISKnormBoxed 3 2 2 2" xfId="34482" xr:uid="{6845F19B-D8F0-4BE8-9550-89A05F6796EF}"/>
    <cellStyle name="RISKnormBoxed 3 2 20" xfId="16162" xr:uid="{2A65BA30-70F2-447D-9956-D3DDADD0701D}"/>
    <cellStyle name="RISKnormBoxed 3 2 20 2" xfId="37724" xr:uid="{C381DE6E-3641-4A21-9079-5D609DFDD5AF}"/>
    <cellStyle name="RISKnormBoxed 3 2 21" xfId="24323" xr:uid="{2590DB3E-38D7-44B4-909A-6BE53F894BAD}"/>
    <cellStyle name="RISKnormBoxed 3 2 21 2" xfId="43588" xr:uid="{778A1EFC-16AF-4CB3-90A3-43CEC1639B7C}"/>
    <cellStyle name="RISKnormBoxed 3 2 22" xfId="26625" xr:uid="{6F2017A0-77F5-422E-804D-7487299B10F3}"/>
    <cellStyle name="RISKnormBoxed 3 2 22 2" xfId="45175" xr:uid="{D77A7C49-F5C2-4E9A-9DF3-209DAC86AE85}"/>
    <cellStyle name="RISKnormBoxed 3 2 23" xfId="28972" xr:uid="{0002156B-D895-4821-A210-6E023C3D29F4}"/>
    <cellStyle name="RISKnormBoxed 3 2 23 2" xfId="46566" xr:uid="{37BC49EB-4D2D-4365-A471-D1F251847FB1}"/>
    <cellStyle name="RISKnormBoxed 3 2 24" xfId="26062" xr:uid="{6CF80C47-DB87-4DA2-AB32-506799C0CB27}"/>
    <cellStyle name="RISKnormBoxed 3 2 24 2" xfId="44827" xr:uid="{DCB44D40-93F5-45EA-B4C1-C371D7EA0448}"/>
    <cellStyle name="RISKnormBoxed 3 2 25" xfId="27758" xr:uid="{79ABC9AF-5DCE-4234-850E-16CB301AD610}"/>
    <cellStyle name="RISKnormBoxed 3 2 25 2" xfId="45858" xr:uid="{C343A095-10F6-4771-A06C-0D8D8BEC8540}"/>
    <cellStyle name="RISKnormBoxed 3 2 26" xfId="25889" xr:uid="{EED83CD6-42AB-4DE2-8ED8-81800ED36E5E}"/>
    <cellStyle name="RISKnormBoxed 3 2 26 2" xfId="44696" xr:uid="{5523D67A-4532-4A45-A8B2-5144E071AE36}"/>
    <cellStyle name="RISKnormBoxed 3 2 27" xfId="31086" xr:uid="{3CB3E85D-C94E-425D-BBF4-78F58B297D92}"/>
    <cellStyle name="RISKnormBoxed 3 2 27 2" xfId="47816" xr:uid="{92C7D4E4-F6BD-4D96-8FD6-DA8C5C0E6006}"/>
    <cellStyle name="RISKnormBoxed 3 2 28" xfId="6766" xr:uid="{1D407E7A-3246-4518-A4AD-DC79586F4199}"/>
    <cellStyle name="RISKnormBoxed 3 2 3" xfId="10159" xr:uid="{DE71CEEB-D8CF-4FFE-9342-905D60AE812E}"/>
    <cellStyle name="RISKnormBoxed 3 2 3 2" xfId="33823" xr:uid="{1E680E8C-1694-4C8A-8AF1-DA8319E9D6CF}"/>
    <cellStyle name="RISKnormBoxed 3 2 4" xfId="7121" xr:uid="{91D9FCCB-DADD-4C1F-AFD4-A7B93EADE0D0}"/>
    <cellStyle name="RISKnormBoxed 3 2 4 2" xfId="31488" xr:uid="{CF7AC04D-1D83-4A6E-956F-9EFEC4B40879}"/>
    <cellStyle name="RISKnormBoxed 3 2 5" xfId="7407" xr:uid="{48419A2C-51D8-4111-BF69-84BA8105F72D}"/>
    <cellStyle name="RISKnormBoxed 3 2 5 2" xfId="31766" xr:uid="{E381CF6F-FC9E-4495-832C-3B111960D605}"/>
    <cellStyle name="RISKnormBoxed 3 2 6" xfId="12248" xr:uid="{D8712EDE-6D20-4A05-844C-250B7787FF50}"/>
    <cellStyle name="RISKnormBoxed 3 2 6 2" xfId="34754" xr:uid="{E8505754-3A5B-43AA-AD03-895246676A9F}"/>
    <cellStyle name="RISKnormBoxed 3 2 7" xfId="12483" xr:uid="{7D48D290-327F-40A7-8D15-A470040DA616}"/>
    <cellStyle name="RISKnormBoxed 3 2 7 2" xfId="34929" xr:uid="{B97074AE-50A3-4797-93FD-A4BA8611C3C9}"/>
    <cellStyle name="RISKnormBoxed 3 2 8" xfId="17530" xr:uid="{70DBC25C-3C95-4A67-9CE2-5DD2A2C7B05D}"/>
    <cellStyle name="RISKnormBoxed 3 2 8 2" xfId="38777" xr:uid="{CC1AEE58-9C9F-43B9-B25E-6F6E81C997D3}"/>
    <cellStyle name="RISKnormBoxed 3 2 9" xfId="18380" xr:uid="{ACB08834-8A00-49CB-A8F0-4284E15DE209}"/>
    <cellStyle name="RISKnormBoxed 3 2 9 2" xfId="39391" xr:uid="{AED50C7D-541A-404B-A5FD-CFC606D0D1C4}"/>
    <cellStyle name="RISKnormBoxed 3 20" xfId="21169" xr:uid="{778874AA-4671-4D39-9E66-41D71BC0DF0D}"/>
    <cellStyle name="RISKnormBoxed 3 20 2" xfId="41362" xr:uid="{32E91962-71D5-4FE7-8087-9EF645CC3A93}"/>
    <cellStyle name="RISKnormBoxed 3 21" xfId="21958" xr:uid="{BB82BA8C-A872-4010-AF14-18F1F91255EF}"/>
    <cellStyle name="RISKnormBoxed 3 21 2" xfId="41870" xr:uid="{D4DC706F-6D3D-424F-A8FD-5FEE6726815E}"/>
    <cellStyle name="RISKnormBoxed 3 22" xfId="26230" xr:uid="{855F31DB-A140-4275-9436-134C260D7E8C}"/>
    <cellStyle name="RISKnormBoxed 3 22 2" xfId="44939" xr:uid="{688AFA3F-6AF4-4B3F-AD83-9FF15A0AEC35}"/>
    <cellStyle name="RISKnormBoxed 3 23" xfId="27914" xr:uid="{EBD407E6-2C13-46E0-B21E-142F2780F195}"/>
    <cellStyle name="RISKnormBoxed 3 23 2" xfId="45986" xr:uid="{4114E7EC-D9BD-4F05-8526-AC2E961B204C}"/>
    <cellStyle name="RISKnormBoxed 3 24" xfId="25424" xr:uid="{B9163BEB-5E94-40B1-8928-8754CF3E3EE9}"/>
    <cellStyle name="RISKnormBoxed 3 24 2" xfId="44315" xr:uid="{BDDAD8DB-E39E-405F-9B9B-2ECC1B3DE107}"/>
    <cellStyle name="RISKnormBoxed 3 25" xfId="25614" xr:uid="{C07850AA-4EED-411C-8C61-234D47EFE5E6}"/>
    <cellStyle name="RISKnormBoxed 3 25 2" xfId="44473" xr:uid="{E470BCDA-C9F0-44BF-994E-7B482C0CAFCA}"/>
    <cellStyle name="RISKnormBoxed 3 26" xfId="28410" xr:uid="{ED6D4F04-8972-421E-87F9-7B4B1A6CE0E9}"/>
    <cellStyle name="RISKnormBoxed 3 26 2" xfId="46257" xr:uid="{614DFF8B-E6B0-47C0-9B93-D43034B290F7}"/>
    <cellStyle name="RISKnormBoxed 3 27" xfId="29041" xr:uid="{AAFD47B4-7529-4E13-9DE6-729499C23F55}"/>
    <cellStyle name="RISKnormBoxed 3 27 2" xfId="46628" xr:uid="{683A82F1-465F-4081-B941-1F20C6151143}"/>
    <cellStyle name="RISKnormBoxed 3 28" xfId="26460" xr:uid="{E8B460E6-6687-4798-A05F-EC74C775D445}"/>
    <cellStyle name="RISKnormBoxed 3 28 2" xfId="45086" xr:uid="{318C8915-16AB-433F-A7BF-315290336CC9}"/>
    <cellStyle name="RISKnormBoxed 3 29" xfId="30630" xr:uid="{4628D67C-C68E-422A-8106-F6169792AB49}"/>
    <cellStyle name="RISKnormBoxed 3 29 2" xfId="47576" xr:uid="{AC20FBF3-EF70-43CF-B0D1-044BA3E719C6}"/>
    <cellStyle name="RISKnormBoxed 3 3" xfId="3820" xr:uid="{600657D0-2C81-41D5-9D96-EB1C2B9A5F67}"/>
    <cellStyle name="RISKnormBoxed 3 3 10" xfId="17247" xr:uid="{826C97DF-3801-4A19-BDA6-EE0D57EC84EC}"/>
    <cellStyle name="RISKnormBoxed 3 3 10 2" xfId="38551" xr:uid="{439C35F3-3004-4A8D-89BE-698493A96D66}"/>
    <cellStyle name="RISKnormBoxed 3 3 11" xfId="18091" xr:uid="{C6D3BD25-B132-43E6-ACA0-323CB81D70FB}"/>
    <cellStyle name="RISKnormBoxed 3 3 11 2" xfId="39165" xr:uid="{05AF291D-7285-41B2-9A8F-ED393C14F41E}"/>
    <cellStyle name="RISKnormBoxed 3 3 12" xfId="15355" xr:uid="{644C6949-3C72-4379-9FA4-B0AAFB279EDF}"/>
    <cellStyle name="RISKnormBoxed 3 3 12 2" xfId="37055" xr:uid="{577B2613-0D5A-4D72-B421-633C41B5CCBE}"/>
    <cellStyle name="RISKnormBoxed 3 3 13" xfId="19120" xr:uid="{D3EEE6C0-CB19-4F66-8108-83B1788997CE}"/>
    <cellStyle name="RISKnormBoxed 3 3 13 2" xfId="39929" xr:uid="{9EB57846-C062-4E68-B5BF-DD3CF8286057}"/>
    <cellStyle name="RISKnormBoxed 3 3 14" xfId="17899" xr:uid="{8A162F04-642B-458A-9317-A83C86FE1723}"/>
    <cellStyle name="RISKnormBoxed 3 3 14 2" xfId="39006" xr:uid="{DC0172B0-571E-4A36-97DA-DFA727D00E4B}"/>
    <cellStyle name="RISKnormBoxed 3 3 15" xfId="23256" xr:uid="{340E3D24-3065-450A-984B-23A3A2445D64}"/>
    <cellStyle name="RISKnormBoxed 3 3 15 2" xfId="42831" xr:uid="{AF6F3FDB-2890-4E54-97C1-2A1EBAED9290}"/>
    <cellStyle name="RISKnormBoxed 3 3 16" xfId="24061" xr:uid="{34C0709F-8EFB-40A7-B910-B160439100C1}"/>
    <cellStyle name="RISKnormBoxed 3 3 16 2" xfId="43437" xr:uid="{67127C4B-873A-48E2-8528-E966DECF804A}"/>
    <cellStyle name="RISKnormBoxed 3 3 17" xfId="20155" xr:uid="{B38665C9-628F-4455-A76A-3E9772A63DA1}"/>
    <cellStyle name="RISKnormBoxed 3 3 17 2" xfId="40662" xr:uid="{C2396E2C-DCC1-45EA-A482-0F8AB734F60C}"/>
    <cellStyle name="RISKnormBoxed 3 3 18" xfId="17780" xr:uid="{CB76963A-7757-42DF-BF6E-6BD8CAE111D4}"/>
    <cellStyle name="RISKnormBoxed 3 3 18 2" xfId="38912" xr:uid="{397B35D0-FEB3-4654-8B99-521B8049DA88}"/>
    <cellStyle name="RISKnormBoxed 3 3 19" xfId="24224" xr:uid="{88472514-0F7B-44DA-A64D-71B164F091DE}"/>
    <cellStyle name="RISKnormBoxed 3 3 19 2" xfId="43542" xr:uid="{78575680-1C48-4AB8-9899-8AA5B48EE455}"/>
    <cellStyle name="RISKnormBoxed 3 3 2" xfId="7454" xr:uid="{3F0A2427-AB1F-440F-9C4C-C48376932951}"/>
    <cellStyle name="RISKnormBoxed 3 3 2 2" xfId="31812" xr:uid="{EEDA8919-3B16-47DB-B33A-9BB8983A1283}"/>
    <cellStyle name="RISKnormBoxed 3 3 20" xfId="26229" xr:uid="{B5858F14-1F27-4943-9C7E-EED2347BFBB8}"/>
    <cellStyle name="RISKnormBoxed 3 3 20 2" xfId="44938" xr:uid="{18F9AD0E-AD46-45E9-8C64-90611CD3DC73}"/>
    <cellStyle name="RISKnormBoxed 3 3 21" xfId="27913" xr:uid="{B750B734-FCB1-4971-861B-CC2162C4F3C5}"/>
    <cellStyle name="RISKnormBoxed 3 3 21 2" xfId="45985" xr:uid="{60859F10-B78D-4A32-AC1F-5D9193B879FE}"/>
    <cellStyle name="RISKnormBoxed 3 3 22" xfId="21956" xr:uid="{EF950019-C360-40CE-B3AE-EA15E372F511}"/>
    <cellStyle name="RISKnormBoxed 3 3 22 2" xfId="41868" xr:uid="{3A1BF318-F7AF-4541-AD1F-58860F0A9CA3}"/>
    <cellStyle name="RISKnormBoxed 3 3 23" xfId="28309" xr:uid="{AC71F699-40D7-420D-9DD6-230B54C34EC3}"/>
    <cellStyle name="RISKnormBoxed 3 3 23 2" xfId="46176" xr:uid="{4F2BD3A2-8C56-4F77-8D2F-B8F6B8A11800}"/>
    <cellStyle name="RISKnormBoxed 3 3 24" xfId="28396" xr:uid="{DEE3CCE4-379D-42DE-AA3F-18FDCD9B3D7B}"/>
    <cellStyle name="RISKnormBoxed 3 3 24 2" xfId="46243" xr:uid="{71450709-39AE-4CF6-8C2D-75B6ED784255}"/>
    <cellStyle name="RISKnormBoxed 3 3 25" xfId="30083" xr:uid="{776E9181-9564-44F9-8D99-A0C6A33BF141}"/>
    <cellStyle name="RISKnormBoxed 3 3 25 2" xfId="47279" xr:uid="{8CC94EC1-A353-43DE-8DB9-4781FD40366D}"/>
    <cellStyle name="RISKnormBoxed 3 3 26" xfId="29235" xr:uid="{B5BA9F39-84B3-4155-9215-6A50D316EAC0}"/>
    <cellStyle name="RISKnormBoxed 3 3 26 2" xfId="46754" xr:uid="{6D6CA4EC-FCFB-4194-B2E7-E3284A45128C}"/>
    <cellStyle name="RISKnormBoxed 3 3 27" xfId="30201" xr:uid="{D7F9FA0B-E603-4D46-8833-FB20EE3E1A8C}"/>
    <cellStyle name="RISKnormBoxed 3 3 27 2" xfId="47362" xr:uid="{9354FAE4-3345-4024-AAE7-BCD4CDDC51DE}"/>
    <cellStyle name="RISKnormBoxed 3 3 28" xfId="6767" xr:uid="{B17890AE-C524-42FF-AD0B-1CDFE4A3FD05}"/>
    <cellStyle name="RISKnormBoxed 3 3 3" xfId="13291" xr:uid="{86844CC9-98A1-447A-B517-67486606C7F7}"/>
    <cellStyle name="RISKnormBoxed 3 3 3 2" xfId="35608" xr:uid="{DAA882AE-14A0-4731-9D01-8134B47BA964}"/>
    <cellStyle name="RISKnormBoxed 3 3 4" xfId="7120" xr:uid="{6286FA12-BE5F-4105-B1FB-9AFDEA2D8AAC}"/>
    <cellStyle name="RISKnormBoxed 3 3 4 2" xfId="31487" xr:uid="{B00EF26F-ED21-420C-B961-4F5EB5C7AE20}"/>
    <cellStyle name="RISKnormBoxed 3 3 5" xfId="11826" xr:uid="{D15CB879-84EE-4AA9-B020-6A686B0A63F7}"/>
    <cellStyle name="RISKnormBoxed 3 3 5 2" xfId="34438" xr:uid="{BEC97B80-17D1-4C40-8991-F2735355CDAB}"/>
    <cellStyle name="RISKnormBoxed 3 3 6" xfId="14711" xr:uid="{2F3B3061-A41E-4D81-B0B0-1D6F4FE162D3}"/>
    <cellStyle name="RISKnormBoxed 3 3 6 2" xfId="36623" xr:uid="{E181EB58-DADA-4D4F-97E5-D7C7773BE34B}"/>
    <cellStyle name="RISKnormBoxed 3 3 7" xfId="16658" xr:uid="{C0BF96D5-8856-4A6B-A38D-96F12DC7FC52}"/>
    <cellStyle name="RISKnormBoxed 3 3 7 2" xfId="38149" xr:uid="{C0A50DDF-C1C1-49FB-99DC-9E2BF3F414E3}"/>
    <cellStyle name="RISKnormBoxed 3 3 8" xfId="13694" xr:uid="{552D5535-17AD-42BF-95D0-F927A70A302A}"/>
    <cellStyle name="RISKnormBoxed 3 3 8 2" xfId="35850" xr:uid="{F9CB0471-CDC6-4F54-9456-AB2C572CCC6D}"/>
    <cellStyle name="RISKnormBoxed 3 3 9" xfId="16343" xr:uid="{D23B3D55-880D-4792-9F8A-12F354BB2C02}"/>
    <cellStyle name="RISKnormBoxed 3 3 9 2" xfId="37871" xr:uid="{25ECE92F-1385-41A9-AFD6-4EDC42915617}"/>
    <cellStyle name="RISKnormBoxed 3 30" xfId="6765" xr:uid="{42ACCCCF-396A-42BD-9794-5C6A8711F4DE}"/>
    <cellStyle name="RISKnormBoxed 3 4" xfId="7455" xr:uid="{CBDE215A-93FC-44AA-BED0-38B4D3731D64}"/>
    <cellStyle name="RISKnormBoxed 3 4 2" xfId="31813" xr:uid="{0A4DDC6F-7A52-4A38-BE1C-723E526849B2}"/>
    <cellStyle name="RISKnormBoxed 3 5" xfId="13292" xr:uid="{BE7A2285-AC6D-41BA-9294-8747EFE10976}"/>
    <cellStyle name="RISKnormBoxed 3 5 2" xfId="35609" xr:uid="{8D95F0D7-0025-4542-BD11-AEFA090748AE}"/>
    <cellStyle name="RISKnormBoxed 3 6" xfId="7122" xr:uid="{1DA0A277-47D4-4CFC-86EA-9B4F238AC9C7}"/>
    <cellStyle name="RISKnormBoxed 3 6 2" xfId="31489" xr:uid="{04982D11-F255-4ABD-993D-09806D7FD406}"/>
    <cellStyle name="RISKnormBoxed 3 7" xfId="11827" xr:uid="{F82FCB58-FA9F-43B4-B5CD-349905D844DB}"/>
    <cellStyle name="RISKnormBoxed 3 7 2" xfId="34439" xr:uid="{0CF08375-917B-46A1-8D93-472AE7BD20EC}"/>
    <cellStyle name="RISKnormBoxed 3 8" xfId="14712" xr:uid="{56BDB822-404F-45B4-A7FC-79038D050EAF}"/>
    <cellStyle name="RISKnormBoxed 3 8 2" xfId="36624" xr:uid="{D1C6C01F-C9B6-49CE-A792-C9476A0CC7E2}"/>
    <cellStyle name="RISKnormBoxed 3 9" xfId="16659" xr:uid="{379A6AE8-B6C3-448F-9C2B-82D3CC51B467}"/>
    <cellStyle name="RISKnormBoxed 3 9 2" xfId="38150" xr:uid="{C09A4C8F-6A2F-43A8-A172-B9A871971311}"/>
    <cellStyle name="RISKnormBoxed 30" xfId="27918" xr:uid="{FF00E399-39CA-4EE0-AF7A-E0C314324209}"/>
    <cellStyle name="RISKnormBoxed 30 2" xfId="45990" xr:uid="{404F9813-855A-44D6-B0DE-91A2B43DD24F}"/>
    <cellStyle name="RISKnormBoxed 31" xfId="25423" xr:uid="{E4B8071E-E1E2-4B35-8D73-B07DBBB3A561}"/>
    <cellStyle name="RISKnormBoxed 31 2" xfId="44314" xr:uid="{68135789-80C9-4422-BDA7-B054C3493E9E}"/>
    <cellStyle name="RISKnormBoxed 32" xfId="28970" xr:uid="{B68079FE-69D3-4A13-AC7E-2A3EDED181F1}"/>
    <cellStyle name="RISKnormBoxed 32 2" xfId="46564" xr:uid="{67DF3112-846A-4F55-9E5E-DE75FD036B69}"/>
    <cellStyle name="RISKnormBoxed 33" xfId="26063" xr:uid="{CBE98AE6-9A3C-4817-A6E8-9A4F5E346C6B}"/>
    <cellStyle name="RISKnormBoxed 33 2" xfId="44828" xr:uid="{04AB2041-332F-4D30-AE8C-5E45840DC2A8}"/>
    <cellStyle name="RISKnormBoxed 34" xfId="30026" xr:uid="{8C114E5F-378F-4EDD-8760-56C22BD3AD42}"/>
    <cellStyle name="RISKnormBoxed 34 2" xfId="47257" xr:uid="{1657FA94-77C6-462C-9CD7-4A13F3CB5EA8}"/>
    <cellStyle name="RISKnormBoxed 35" xfId="28910" xr:uid="{469F5640-E37C-4B1C-8E5E-B38A470B1943}"/>
    <cellStyle name="RISKnormBoxed 35 2" xfId="46514" xr:uid="{3F56E32D-E587-4535-A146-72A89878F97F}"/>
    <cellStyle name="RISKnormBoxed 36" xfId="30632" xr:uid="{4CA74347-DE83-4662-9F09-001D99C47C81}"/>
    <cellStyle name="RISKnormBoxed 36 2" xfId="47578" xr:uid="{65E2FF65-B5B3-458A-AAB9-06E574C8B662}"/>
    <cellStyle name="RISKnormBoxed 37" xfId="6757" xr:uid="{6DDDC5F5-15C8-41FA-BFD8-B04C4A29E090}"/>
    <cellStyle name="RISKnormBoxed 4" xfId="3821" xr:uid="{3D3540CA-8A2E-4C89-A811-E6B682CBF296}"/>
    <cellStyle name="RISKnormBoxed 4 10" xfId="17529" xr:uid="{7C8D3708-62A4-491C-B7F6-C6355DB249D1}"/>
    <cellStyle name="RISKnormBoxed 4 10 2" xfId="38776" xr:uid="{F451BB4F-D810-489E-BE65-8FD3775829F9}"/>
    <cellStyle name="RISKnormBoxed 4 11" xfId="18379" xr:uid="{E8DD9038-F4F0-4B34-9406-33D6EBF8B24A}"/>
    <cellStyle name="RISKnormBoxed 4 11 2" xfId="39390" xr:uid="{3C704E27-4355-4B8F-A4E5-07232DFA5A45}"/>
    <cellStyle name="RISKnormBoxed 4 12" xfId="12674" xr:uid="{9F01C9AC-A373-4613-BC10-077F9F1F4914}"/>
    <cellStyle name="RISKnormBoxed 4 12 2" xfId="35095" xr:uid="{C8BECA74-3E9A-4DAA-9B29-56859AD02E35}"/>
    <cellStyle name="RISKnormBoxed 4 13" xfId="12828" xr:uid="{375E6B18-FC34-4A03-908F-8B5A509DF1D6}"/>
    <cellStyle name="RISKnormBoxed 4 13 2" xfId="35214" xr:uid="{438F06E2-B0D1-4575-8DC7-1E972E819D3D}"/>
    <cellStyle name="RISKnormBoxed 4 14" xfId="20751" xr:uid="{7134A99E-2F19-4327-92BD-1E725F26A1E3}"/>
    <cellStyle name="RISKnormBoxed 4 14 2" xfId="41111" xr:uid="{F657DB6E-7B1A-4E7F-886E-FE2230AED413}"/>
    <cellStyle name="RISKnormBoxed 4 15" xfId="17159" xr:uid="{FCEB6532-4B92-4264-B1F1-D307B9B9BD03}"/>
    <cellStyle name="RISKnormBoxed 4 15 2" xfId="38488" xr:uid="{0980E360-DA94-4093-BDFE-778D15C1F365}"/>
    <cellStyle name="RISKnormBoxed 4 16" xfId="22560" xr:uid="{1745C605-0942-4613-B46A-8DC5D60EB1DC}"/>
    <cellStyle name="RISKnormBoxed 4 16 2" xfId="42350" xr:uid="{EB234830-C826-4B56-9290-C1DA25A36A03}"/>
    <cellStyle name="RISKnormBoxed 4 17" xfId="20523" xr:uid="{7BF4F170-3E18-4568-9DFF-9B8F0156A8EC}"/>
    <cellStyle name="RISKnormBoxed 4 17 2" xfId="40903" xr:uid="{1264AECD-023D-4755-B8FB-B0805F59A33A}"/>
    <cellStyle name="RISKnormBoxed 4 18" xfId="18692" xr:uid="{75F4B6AE-6635-4B58-BDCC-3DBC00855694}"/>
    <cellStyle name="RISKnormBoxed 4 18 2" xfId="39571" xr:uid="{068A05C7-60E0-4AE3-BF18-7539977BE023}"/>
    <cellStyle name="RISKnormBoxed 4 19" xfId="17056" xr:uid="{AE02346D-4B3F-48DD-BDB7-1A92A01416EC}"/>
    <cellStyle name="RISKnormBoxed 4 19 2" xfId="38398" xr:uid="{4D3A70BD-76A2-41DC-81CB-A8085F4ED81E}"/>
    <cellStyle name="RISKnormBoxed 4 2" xfId="3822" xr:uid="{DAD0DDFB-9B26-4FB6-BB8E-29A64DCD8A25}"/>
    <cellStyle name="RISKnormBoxed 4 2 10" xfId="17246" xr:uid="{0B1F52BF-2431-470C-BBAC-04B31E45A197}"/>
    <cellStyle name="RISKnormBoxed 4 2 10 2" xfId="38550" xr:uid="{0F220D9B-B5F7-4F90-AE9F-391C9AC97314}"/>
    <cellStyle name="RISKnormBoxed 4 2 11" xfId="18090" xr:uid="{73C29C17-2CC5-4CF8-9528-59AC5843E22F}"/>
    <cellStyle name="RISKnormBoxed 4 2 11 2" xfId="39164" xr:uid="{325C094D-C702-4153-AED0-7120945148B5}"/>
    <cellStyle name="RISKnormBoxed 4 2 12" xfId="18950" xr:uid="{949A9E4C-039D-48F1-837C-38CE74A96F93}"/>
    <cellStyle name="RISKnormBoxed 4 2 12 2" xfId="39782" xr:uid="{7E11438E-D422-4212-AC62-6C577ABB0504}"/>
    <cellStyle name="RISKnormBoxed 4 2 13" xfId="19119" xr:uid="{0D7AFD93-3A80-46B6-8241-E516499CCCBD}"/>
    <cellStyle name="RISKnormBoxed 4 2 13 2" xfId="39928" xr:uid="{B07C864E-F6F4-48F6-95A3-BB248F20F7B6}"/>
    <cellStyle name="RISKnormBoxed 4 2 14" xfId="22030" xr:uid="{93B229FF-2A83-43F0-B38D-2FF6B0E2DA82}"/>
    <cellStyle name="RISKnormBoxed 4 2 14 2" xfId="41925" xr:uid="{132E6755-68E4-481F-8928-B6A667260F3D}"/>
    <cellStyle name="RISKnormBoxed 4 2 15" xfId="23255" xr:uid="{A505BEC3-BA33-481A-B222-074C2980EF94}"/>
    <cellStyle name="RISKnormBoxed 4 2 15 2" xfId="42830" xr:uid="{E7520387-9ED5-4A63-B7D7-E38A8AE4FF6B}"/>
    <cellStyle name="RISKnormBoxed 4 2 16" xfId="24060" xr:uid="{83D788F1-1418-44D3-B9D3-4757DC6BF448}"/>
    <cellStyle name="RISKnormBoxed 4 2 16 2" xfId="43436" xr:uid="{1F704210-EC5E-4DB6-AB42-E72B6560DE41}"/>
    <cellStyle name="RISKnormBoxed 4 2 17" xfId="21190" xr:uid="{ACA17EAF-D5F2-491F-9F65-C2C14EA9C0E4}"/>
    <cellStyle name="RISKnormBoxed 4 2 17 2" xfId="41383" xr:uid="{C644E1C1-3C35-4CEC-8AA8-4537304164FB}"/>
    <cellStyle name="RISKnormBoxed 4 2 18" xfId="25686" xr:uid="{512711EB-7F7A-48BF-91A4-D2B4DE4A5B2D}"/>
    <cellStyle name="RISKnormBoxed 4 2 18 2" xfId="44523" xr:uid="{F06FD1ED-3075-470B-AE3D-CFD83BFDE7B8}"/>
    <cellStyle name="RISKnormBoxed 4 2 19" xfId="25415" xr:uid="{77211835-CB2F-46E4-A098-E758F6618DB2}"/>
    <cellStyle name="RISKnormBoxed 4 2 19 2" xfId="44307" xr:uid="{698A4319-5D8A-44E3-A360-1546CEE913B4}"/>
    <cellStyle name="RISKnormBoxed 4 2 2" xfId="7453" xr:uid="{32389668-6BC0-4B89-AD14-83A25159C03E}"/>
    <cellStyle name="RISKnormBoxed 4 2 2 2" xfId="31811" xr:uid="{34E208C4-1DEE-41C5-A71D-11C2C87AB2C5}"/>
    <cellStyle name="RISKnormBoxed 4 2 20" xfId="26228" xr:uid="{CE213916-6F1B-4221-A5E4-D442E7750506}"/>
    <cellStyle name="RISKnormBoxed 4 2 20 2" xfId="44937" xr:uid="{36C1D543-B4AF-446D-A60D-0BD31D1C9A37}"/>
    <cellStyle name="RISKnormBoxed 4 2 21" xfId="27912" xr:uid="{BCD10618-1536-4A4C-B7EF-9D2EC0B051AE}"/>
    <cellStyle name="RISKnormBoxed 4 2 21 2" xfId="45984" xr:uid="{5FAFAA77-AEDA-4F72-8056-A542775720DE}"/>
    <cellStyle name="RISKnormBoxed 4 2 22" xfId="24234" xr:uid="{87E9EC52-71F6-4F2F-8B37-8842D8B0C1F3}"/>
    <cellStyle name="RISKnormBoxed 4 2 22 2" xfId="43551" xr:uid="{68BED2A4-336C-4EAA-9B02-8D15954CB6B7}"/>
    <cellStyle name="RISKnormBoxed 4 2 23" xfId="28308" xr:uid="{6D6067CB-7215-49C3-87CF-6972EC32AD06}"/>
    <cellStyle name="RISKnormBoxed 4 2 23 2" xfId="46175" xr:uid="{9962F4C6-DB23-4A13-8EB7-3B3A88EC9653}"/>
    <cellStyle name="RISKnormBoxed 4 2 24" xfId="29544" xr:uid="{2C96CD26-E649-44CE-9593-8676CF161472}"/>
    <cellStyle name="RISKnormBoxed 4 2 24 2" xfId="46945" xr:uid="{27740E9D-EEDE-4624-85D8-511363A6791B}"/>
    <cellStyle name="RISKnormBoxed 4 2 25" xfId="29806" xr:uid="{8D6F6C9B-78D7-4E28-B79F-4A2268884B62}"/>
    <cellStyle name="RISKnormBoxed 4 2 25 2" xfId="47125" xr:uid="{C9A3B30E-7F54-4ED8-87AE-5A2FCC5C1014}"/>
    <cellStyle name="RISKnormBoxed 4 2 26" xfId="29800" xr:uid="{ECED92B7-640F-4902-BBC0-698089A334B2}"/>
    <cellStyle name="RISKnormBoxed 4 2 26 2" xfId="47119" xr:uid="{CEBC2CF1-F70C-45E6-BFC7-CCA0B6D8DD6F}"/>
    <cellStyle name="RISKnormBoxed 4 2 27" xfId="30629" xr:uid="{2B87225B-5C13-4540-9C49-331EC9DDC468}"/>
    <cellStyle name="RISKnormBoxed 4 2 27 2" xfId="47575" xr:uid="{FACFEA2A-90F8-466A-9E5D-2D2B3379E9D7}"/>
    <cellStyle name="RISKnormBoxed 4 2 28" xfId="6769" xr:uid="{987D1C3C-A93C-4757-AADF-2344A672859F}"/>
    <cellStyle name="RISKnormBoxed 4 2 3" xfId="13290" xr:uid="{838679FE-BC89-470E-BCA3-14650B795C5D}"/>
    <cellStyle name="RISKnormBoxed 4 2 3 2" xfId="35607" xr:uid="{857ABB0E-C7B8-4F67-8E8F-77BB5E880952}"/>
    <cellStyle name="RISKnormBoxed 4 2 4" xfId="7118" xr:uid="{31325916-0C31-452E-A55D-7702CA041935}"/>
    <cellStyle name="RISKnormBoxed 4 2 4 2" xfId="31485" xr:uid="{0FFEB207-A75E-4D9F-9F82-E7A9A8F648B9}"/>
    <cellStyle name="RISKnormBoxed 4 2 5" xfId="11825" xr:uid="{9DF4EEF8-970F-4FCA-82F4-791C2D945658}"/>
    <cellStyle name="RISKnormBoxed 4 2 5 2" xfId="34437" xr:uid="{2BB6B987-A227-49F0-A419-B18F374149B5}"/>
    <cellStyle name="RISKnormBoxed 4 2 6" xfId="14710" xr:uid="{9813C492-9915-4EEB-916A-D8DE0AC79691}"/>
    <cellStyle name="RISKnormBoxed 4 2 6 2" xfId="36622" xr:uid="{3698CB3C-1B31-4F70-AC57-74D9C956D7EC}"/>
    <cellStyle name="RISKnormBoxed 4 2 7" xfId="16657" xr:uid="{275A636C-F77A-4D92-A7C4-16B57235C688}"/>
    <cellStyle name="RISKnormBoxed 4 2 7 2" xfId="38148" xr:uid="{5946B98B-A55F-492A-B317-CAC0B57226D5}"/>
    <cellStyle name="RISKnormBoxed 4 2 8" xfId="12706" xr:uid="{721C307C-C67A-47AD-8699-0C8202519E16}"/>
    <cellStyle name="RISKnormBoxed 4 2 8 2" xfId="35119" xr:uid="{8244CE00-A013-4D89-83C3-54B7BFBC86AC}"/>
    <cellStyle name="RISKnormBoxed 4 2 9" xfId="15829" xr:uid="{1082ED03-8744-4198-A91C-A009BF31C38C}"/>
    <cellStyle name="RISKnormBoxed 4 2 9 2" xfId="37438" xr:uid="{D8328AAA-5A11-4BC6-ACB1-075CE9BE9637}"/>
    <cellStyle name="RISKnormBoxed 4 20" xfId="22128" xr:uid="{C12620C0-862D-49EE-916E-AC94A6E1FCD1}"/>
    <cellStyle name="RISKnormBoxed 4 20 2" xfId="42013" xr:uid="{E6FBBDA9-E5E7-4625-8410-0F328F495907}"/>
    <cellStyle name="RISKnormBoxed 4 21" xfId="26661" xr:uid="{C2BF91ED-0B2B-49F7-B3E1-72A7FD7E9060}"/>
    <cellStyle name="RISKnormBoxed 4 21 2" xfId="45210" xr:uid="{8B246EA2-243D-40E9-839D-73136AFA50A2}"/>
    <cellStyle name="RISKnormBoxed 4 22" xfId="23817" xr:uid="{C61DD8FC-C4A3-4270-9F75-8AF7A155F8C1}"/>
    <cellStyle name="RISKnormBoxed 4 22 2" xfId="43206" xr:uid="{BEDDA4F8-592C-46EE-A6AD-D7AFCA1B0D85}"/>
    <cellStyle name="RISKnormBoxed 4 23" xfId="25948" xr:uid="{AC5B83B7-04E2-45DF-AAA4-50EBC5094DEC}"/>
    <cellStyle name="RISKnormBoxed 4 23 2" xfId="44739" xr:uid="{6797A021-9944-4ADF-9D31-9DA371447CCA}"/>
    <cellStyle name="RISKnormBoxed 4 24" xfId="26623" xr:uid="{C041270E-EED6-4B68-BC84-DFD1E8296AB1}"/>
    <cellStyle name="RISKnormBoxed 4 24 2" xfId="45173" xr:uid="{FE249C9A-A565-43F2-ABA6-CB495A2C4662}"/>
    <cellStyle name="RISKnormBoxed 4 25" xfId="26990" xr:uid="{8BFC39E5-8CF7-4430-9491-87F319E7CACE}"/>
    <cellStyle name="RISKnormBoxed 4 25 2" xfId="45397" xr:uid="{6B0850E3-7BBC-4611-8693-FBBC70454C0F}"/>
    <cellStyle name="RISKnormBoxed 4 26" xfId="29331" xr:uid="{475629BA-71B0-430A-8170-4DEA8FABBA95}"/>
    <cellStyle name="RISKnormBoxed 4 26 2" xfId="46809" xr:uid="{CA9D905F-CB5C-4362-ACE3-DF3ABCDC21CF}"/>
    <cellStyle name="RISKnormBoxed 4 27" xfId="29623" xr:uid="{3C491D97-43E7-4EFC-B6DE-983F39219BD4}"/>
    <cellStyle name="RISKnormBoxed 4 27 2" xfId="47014" xr:uid="{C5556242-CA59-46AA-91E2-C0A20CD6C206}"/>
    <cellStyle name="RISKnormBoxed 4 28" xfId="25986" xr:uid="{1942D651-ECC6-44CF-B3AB-A80BA28C1070}"/>
    <cellStyle name="RISKnormBoxed 4 28 2" xfId="44769" xr:uid="{F7613E63-28C1-406B-9A17-E0D3793A07B1}"/>
    <cellStyle name="RISKnormBoxed 4 29" xfId="31085" xr:uid="{F2513A8C-57BC-4DC8-BD65-36CEA71CFE41}"/>
    <cellStyle name="RISKnormBoxed 4 29 2" xfId="47815" xr:uid="{A98F4B93-623C-4C21-8F5C-C2A962FCC805}"/>
    <cellStyle name="RISKnormBoxed 4 3" xfId="3823" xr:uid="{BEA63C8E-CE34-44DA-B496-ED2033399A18}"/>
    <cellStyle name="RISKnormBoxed 4 3 10" xfId="14532" xr:uid="{DBC6A8D0-CDA2-42F1-83C2-875C3A1C5050}"/>
    <cellStyle name="RISKnormBoxed 4 3 10 2" xfId="36469" xr:uid="{DE1D333B-4107-480D-9585-71A84D7EB57E}"/>
    <cellStyle name="RISKnormBoxed 4 3 11" xfId="16204" xr:uid="{6011F56C-2CD1-4A8B-A47D-FFD7A38286DC}"/>
    <cellStyle name="RISKnormBoxed 4 3 11 2" xfId="37758" xr:uid="{64BCD127-F159-4F28-B5D6-E8E254EB579B}"/>
    <cellStyle name="RISKnormBoxed 4 3 12" xfId="20750" xr:uid="{AA9A1F1C-5B01-4198-AACA-760637F89949}"/>
    <cellStyle name="RISKnormBoxed 4 3 12 2" xfId="41110" xr:uid="{261BCE74-5027-4C33-B668-3F097C29BE81}"/>
    <cellStyle name="RISKnormBoxed 4 3 13" xfId="14546" xr:uid="{EEBEF3FF-7FC7-4772-B7DC-273D0087006C}"/>
    <cellStyle name="RISKnormBoxed 4 3 13 2" xfId="36479" xr:uid="{C8598F5E-5AD7-4655-86CA-2B3BD2F26C91}"/>
    <cellStyle name="RISKnormBoxed 4 3 14" xfId="17036" xr:uid="{C26E0D24-9739-40FA-B7DB-BE1E7D251A3E}"/>
    <cellStyle name="RISKnormBoxed 4 3 14 2" xfId="38379" xr:uid="{78C73DEA-A527-461C-A375-0F30E86EC083}"/>
    <cellStyle name="RISKnormBoxed 4 3 15" xfId="15384" xr:uid="{204907A7-5188-4EDE-A76C-E8E05B81AA74}"/>
    <cellStyle name="RISKnormBoxed 4 3 15 2" xfId="37082" xr:uid="{D1DFBB6B-DF84-454E-85E9-E8A0EED8CCFC}"/>
    <cellStyle name="RISKnormBoxed 4 3 16" xfId="21741" xr:uid="{DD417719-1D5A-4999-A1D5-7CA4BDA99106}"/>
    <cellStyle name="RISKnormBoxed 4 3 16 2" xfId="41763" xr:uid="{05ED7A44-6B7D-442D-90EC-2FA7640035D2}"/>
    <cellStyle name="RISKnormBoxed 4 3 17" xfId="21747" xr:uid="{32052D81-F36B-4820-B201-9091FD9064EA}"/>
    <cellStyle name="RISKnormBoxed 4 3 17 2" xfId="41768" xr:uid="{173271F8-B35C-4658-89C8-54838AA62022}"/>
    <cellStyle name="RISKnormBoxed 4 3 18" xfId="21168" xr:uid="{8B492E53-E97E-4E8A-8533-DCABC4E70781}"/>
    <cellStyle name="RISKnormBoxed 4 3 18 2" xfId="41361" xr:uid="{DBF7A83C-6C45-45D0-BB76-0DC743E952D0}"/>
    <cellStyle name="RISKnormBoxed 4 3 19" xfId="26660" xr:uid="{D430403E-B440-4CB9-8B4B-CC4E630AB2F3}"/>
    <cellStyle name="RISKnormBoxed 4 3 19 2" xfId="45209" xr:uid="{02BD694B-8321-40C2-BB7A-A72C43973D52}"/>
    <cellStyle name="RISKnormBoxed 4 3 2" xfId="11868" xr:uid="{9DEE4C87-07E1-4EF8-A785-C8C5BA62B27E}"/>
    <cellStyle name="RISKnormBoxed 4 3 2 2" xfId="34480" xr:uid="{03C9930D-5D70-48B2-A2CF-6B7ACA6AA148}"/>
    <cellStyle name="RISKnormBoxed 4 3 20" xfId="20288" xr:uid="{A872B9D0-B12D-4C2D-A3BA-52D448114A5F}"/>
    <cellStyle name="RISKnormBoxed 4 3 20 2" xfId="40725" xr:uid="{B5A7E2F8-D701-4651-8355-A1E4D1E56523}"/>
    <cellStyle name="RISKnormBoxed 4 3 21" xfId="25490" xr:uid="{4350F0CC-C266-4794-8C68-1168750FFD6C}"/>
    <cellStyle name="RISKnormBoxed 4 3 21 2" xfId="44368" xr:uid="{648D9451-E366-4E40-8EA8-3586502B5094}"/>
    <cellStyle name="RISKnormBoxed 4 3 22" xfId="26622" xr:uid="{564BD343-2850-4131-ABC8-81D53DDC5F7E}"/>
    <cellStyle name="RISKnormBoxed 4 3 22 2" xfId="45172" xr:uid="{9463D307-3FAC-485A-B504-78BB6EEDC309}"/>
    <cellStyle name="RISKnormBoxed 4 3 23" xfId="28973" xr:uid="{CF6F7587-48F9-4555-B6BF-64FC96FAC050}"/>
    <cellStyle name="RISKnormBoxed 4 3 23 2" xfId="46567" xr:uid="{89EBB37B-4FEF-40CB-B057-FA2A6E352639}"/>
    <cellStyle name="RISKnormBoxed 4 3 24" xfId="29550" xr:uid="{4E78DEB4-4D43-4D16-BD44-AE119E0D5F0B}"/>
    <cellStyle name="RISKnormBoxed 4 3 24 2" xfId="46950" xr:uid="{A0A76960-FC64-49FC-AA0B-68990698E89E}"/>
    <cellStyle name="RISKnormBoxed 4 3 25" xfId="29913" xr:uid="{F25A5E1F-7E42-4919-B47E-7DADCE7D01E8}"/>
    <cellStyle name="RISKnormBoxed 4 3 25 2" xfId="47201" xr:uid="{E036476C-AD1D-4160-901C-D4AF2B0AD275}"/>
    <cellStyle name="RISKnormBoxed 4 3 26" xfId="27658" xr:uid="{18760FE1-AA06-40E5-ACC2-C6CD3C59C6CC}"/>
    <cellStyle name="RISKnormBoxed 4 3 26 2" xfId="45782" xr:uid="{5CF43ECA-D9C4-4DAB-B195-D1D8D4D493B9}"/>
    <cellStyle name="RISKnormBoxed 4 3 27" xfId="31084" xr:uid="{D26DDAA1-3C6D-45E2-BA27-0F25147AF956}"/>
    <cellStyle name="RISKnormBoxed 4 3 27 2" xfId="47814" xr:uid="{4370B6F2-3E8D-408A-87F6-728172F6863E}"/>
    <cellStyle name="RISKnormBoxed 4 3 28" xfId="6770" xr:uid="{F76A7C63-E24A-4D08-991C-FA64A0F9D2C5}"/>
    <cellStyle name="RISKnormBoxed 4 3 3" xfId="10161" xr:uid="{3B4CAED9-05BC-4C4D-A57C-00935EA6D34B}"/>
    <cellStyle name="RISKnormBoxed 4 3 3 2" xfId="33825" xr:uid="{F1B2198C-E174-44E9-9B12-19A2A9C8A6ED}"/>
    <cellStyle name="RISKnormBoxed 4 3 4" xfId="7117" xr:uid="{3287F327-B376-4015-963D-645221B16F0E}"/>
    <cellStyle name="RISKnormBoxed 4 3 4 2" xfId="31484" xr:uid="{7E31CF40-FABB-44C4-94C3-CDA7D23D66E9}"/>
    <cellStyle name="RISKnormBoxed 4 3 5" xfId="7405" xr:uid="{E339A660-73D1-4653-8F1E-C319BEC81D19}"/>
    <cellStyle name="RISKnormBoxed 4 3 5 2" xfId="31764" xr:uid="{4B8ABFC9-9405-4BF6-9C2E-9BAFAB8A29E6}"/>
    <cellStyle name="RISKnormBoxed 4 3 6" xfId="12250" xr:uid="{750673B5-DBED-462A-8BB7-C013A48EA6F0}"/>
    <cellStyle name="RISKnormBoxed 4 3 6 2" xfId="34756" xr:uid="{2A11569C-C6A2-40B6-A915-0BAE17E1C2C1}"/>
    <cellStyle name="RISKnormBoxed 4 3 7" xfId="15118" xr:uid="{02C111A7-FABF-4707-A39C-3283918475D4}"/>
    <cellStyle name="RISKnormBoxed 4 3 7 2" xfId="36944" xr:uid="{7E9ECD3F-0B59-4C04-9554-A243F380610F}"/>
    <cellStyle name="RISKnormBoxed 4 3 8" xfId="17528" xr:uid="{59CDF4EF-5B52-4316-8808-5A434E0713C3}"/>
    <cellStyle name="RISKnormBoxed 4 3 8 2" xfId="38775" xr:uid="{D81F8B54-8FB0-400B-8CD2-933F9C9AD697}"/>
    <cellStyle name="RISKnormBoxed 4 3 9" xfId="18378" xr:uid="{CA572138-84C4-4091-8164-B26B9E72D278}"/>
    <cellStyle name="RISKnormBoxed 4 3 9 2" xfId="39389" xr:uid="{A047080C-E9F3-42DF-B14E-A6F83E546129}"/>
    <cellStyle name="RISKnormBoxed 4 30" xfId="6768" xr:uid="{BA113C34-7FE9-4375-9CE0-F1103459D54D}"/>
    <cellStyle name="RISKnormBoxed 4 4" xfId="11869" xr:uid="{E6828183-E01A-4BCF-836F-E9CBF8655898}"/>
    <cellStyle name="RISKnormBoxed 4 4 2" xfId="34481" xr:uid="{151375C5-955F-4667-8573-2163A0B2E389}"/>
    <cellStyle name="RISKnormBoxed 4 5" xfId="10160" xr:uid="{6B060ECD-B358-488F-BC51-B2457078E034}"/>
    <cellStyle name="RISKnormBoxed 4 5 2" xfId="33824" xr:uid="{D56C6501-8109-4ACB-96E0-97FEEFD709B3}"/>
    <cellStyle name="RISKnormBoxed 4 6" xfId="7119" xr:uid="{4CEA704F-BA3D-4914-9A27-8E91AF077CD9}"/>
    <cellStyle name="RISKnormBoxed 4 6 2" xfId="31486" xr:uid="{5D6F0D16-F508-4916-8A20-CF7CAE8EFCED}"/>
    <cellStyle name="RISKnormBoxed 4 7" xfId="7406" xr:uid="{8EA23ECC-55FC-458D-ACA1-04447B068593}"/>
    <cellStyle name="RISKnormBoxed 4 7 2" xfId="31765" xr:uid="{B10F16EF-B056-4E11-B79A-4E67ADC225B9}"/>
    <cellStyle name="RISKnormBoxed 4 8" xfId="12249" xr:uid="{5FE22EDB-7EDA-4C0B-B059-40633CBDD093}"/>
    <cellStyle name="RISKnormBoxed 4 8 2" xfId="34755" xr:uid="{FCF2979C-750B-4659-8E25-072CA59E490D}"/>
    <cellStyle name="RISKnormBoxed 4 9" xfId="14082" xr:uid="{FE8416DD-EE41-478F-8A4B-E5E5ED769A4F}"/>
    <cellStyle name="RISKnormBoxed 4 9 2" xfId="36176" xr:uid="{983E4BD1-AAAB-47D5-A727-B40194236289}"/>
    <cellStyle name="RISKnormBoxed 5" xfId="3824" xr:uid="{F871894A-1392-43FB-99BE-B473E46D8B02}"/>
    <cellStyle name="RISKnormBoxed 5 10" xfId="14441" xr:uid="{427254F7-CB60-4D85-A068-8AD3346CCC52}"/>
    <cellStyle name="RISKnormBoxed 5 10 2" xfId="36430" xr:uid="{8D4C30D6-A9E1-41F4-84A9-147593D22871}"/>
    <cellStyle name="RISKnormBoxed 5 11" xfId="16342" xr:uid="{073B8AA7-9CDB-4B22-BE7F-185DFC95F5B5}"/>
    <cellStyle name="RISKnormBoxed 5 11 2" xfId="37870" xr:uid="{E4AE9F09-8D0F-4E62-9653-99C481F34337}"/>
    <cellStyle name="RISKnormBoxed 5 12" xfId="17245" xr:uid="{155044FF-EC59-4624-9F36-2C76182A9510}"/>
    <cellStyle name="RISKnormBoxed 5 12 2" xfId="38549" xr:uid="{63DEC124-1CD3-42A4-9645-7BE627CAD253}"/>
    <cellStyle name="RISKnormBoxed 5 13" xfId="18072" xr:uid="{AC3270D6-3EDA-4BCD-8EA0-867247F7044E}"/>
    <cellStyle name="RISKnormBoxed 5 13 2" xfId="39146" xr:uid="{8F96A558-E0DB-4A32-A15D-BBD12371DFF7}"/>
    <cellStyle name="RISKnormBoxed 5 14" xfId="16824" xr:uid="{453A0AB8-FCBA-47CA-A9ED-3C9A69C19743}"/>
    <cellStyle name="RISKnormBoxed 5 14 2" xfId="38252" xr:uid="{87482DE9-13CB-443D-A473-4737923B3E58}"/>
    <cellStyle name="RISKnormBoxed 5 15" xfId="17158" xr:uid="{9CF0517C-6769-4663-BA36-2FB84CB41577}"/>
    <cellStyle name="RISKnormBoxed 5 15 2" xfId="38487" xr:uid="{3CAE7C3B-88E9-47A7-A7F1-F692B6E8FE4B}"/>
    <cellStyle name="RISKnormBoxed 5 16" xfId="18635" xr:uid="{06041E1B-4EE9-4B79-94D6-AA229F2A681A}"/>
    <cellStyle name="RISKnormBoxed 5 16 2" xfId="39532" xr:uid="{1C54FEA6-2798-4AE1-9C7A-CA483FFB249D}"/>
    <cellStyle name="RISKnormBoxed 5 17" xfId="23254" xr:uid="{DF18A33E-E0D0-4C45-BB36-869C97F2E476}"/>
    <cellStyle name="RISKnormBoxed 5 17 2" xfId="42829" xr:uid="{7140EF8D-1EDC-4179-A8AB-30C8F60562FF}"/>
    <cellStyle name="RISKnormBoxed 5 18" xfId="24059" xr:uid="{B54FFD13-62C1-490B-8787-A21F7440F71C}"/>
    <cellStyle name="RISKnormBoxed 5 18 2" xfId="43435" xr:uid="{1524EC69-7A6E-4F3C-8B9B-EFBE019A23AD}"/>
    <cellStyle name="RISKnormBoxed 5 19" xfId="19410" xr:uid="{5141F29A-E426-4EE9-9B55-BBB1DD044794}"/>
    <cellStyle name="RISKnormBoxed 5 19 2" xfId="40131" xr:uid="{C668BD66-2B5D-4775-A5B6-BEABFECAD9AD}"/>
    <cellStyle name="RISKnormBoxed 5 2" xfId="3825" xr:uid="{902720FB-E9B9-4C88-9229-F2D72291F4ED}"/>
    <cellStyle name="RISKnormBoxed 5 2 10" xfId="16812" xr:uid="{C5682395-A215-4598-8CA1-D16C5F7D88D1}"/>
    <cellStyle name="RISKnormBoxed 5 2 10 2" xfId="38242" xr:uid="{CF0C706F-42D4-4092-B1AE-41BFFA602767}"/>
    <cellStyle name="RISKnormBoxed 5 2 11" xfId="13936" xr:uid="{7FEDBFCE-12DB-46E2-89EF-3F2B8F0E393A}"/>
    <cellStyle name="RISKnormBoxed 5 2 11 2" xfId="36045" xr:uid="{5928C87C-5C91-4AE9-8004-1C5628A41DDF}"/>
    <cellStyle name="RISKnormBoxed 5 2 12" xfId="20749" xr:uid="{9669D85A-5A57-4DF1-A46E-A0D0ABD2C56A}"/>
    <cellStyle name="RISKnormBoxed 5 2 12 2" xfId="41109" xr:uid="{A8544B12-66F7-4839-BB21-8C20F0ED4A15}"/>
    <cellStyle name="RISKnormBoxed 5 2 13" xfId="19117" xr:uid="{A005F589-106A-47A9-859D-53668B80A5DB}"/>
    <cellStyle name="RISKnormBoxed 5 2 13 2" xfId="39926" xr:uid="{5C920419-DA67-4AD6-A3B8-34DF130BE653}"/>
    <cellStyle name="RISKnormBoxed 5 2 14" xfId="21262" xr:uid="{2B25B6B8-48F2-4A37-A596-31B86E9CB2B7}"/>
    <cellStyle name="RISKnormBoxed 5 2 14 2" xfId="41443" xr:uid="{682EF258-E8CF-404B-A098-E925EC7AB6A9}"/>
    <cellStyle name="RISKnormBoxed 5 2 15" xfId="15393" xr:uid="{3D49EFF2-DA17-4AF9-A3DF-461A3FCECFE6}"/>
    <cellStyle name="RISKnormBoxed 5 2 15 2" xfId="37091" xr:uid="{57FF948F-D754-4288-AD35-D221E6C2D5BE}"/>
    <cellStyle name="RISKnormBoxed 5 2 16" xfId="20944" xr:uid="{0DC172C8-85D2-4FF6-ACF5-819B60FE86DA}"/>
    <cellStyle name="RISKnormBoxed 5 2 16 2" xfId="41245" xr:uid="{264F3413-7B05-4575-BACE-11DAA65EFE5D}"/>
    <cellStyle name="RISKnormBoxed 5 2 17" xfId="22105" xr:uid="{EB5777D7-25BC-42EF-81AE-0ECD24C6D532}"/>
    <cellStyle name="RISKnormBoxed 5 2 17 2" xfId="41990" xr:uid="{AD5EF004-0037-4709-B7FD-3922D4DC70CF}"/>
    <cellStyle name="RISKnormBoxed 5 2 18" xfId="25685" xr:uid="{A76027C6-D07D-4E4B-BD30-2B3DBDB2744D}"/>
    <cellStyle name="RISKnormBoxed 5 2 18 2" xfId="44522" xr:uid="{43041A8A-5496-4BAF-8F8A-5CE3AA159775}"/>
    <cellStyle name="RISKnormBoxed 5 2 19" xfId="26659" xr:uid="{1F752F94-B080-43CC-9B47-5B7BC7964E86}"/>
    <cellStyle name="RISKnormBoxed 5 2 19 2" xfId="45208" xr:uid="{F6322807-7BCB-4E12-BF72-A0DE8B6638F0}"/>
    <cellStyle name="RISKnormBoxed 5 2 2" xfId="11867" xr:uid="{59BA8A0F-EBE5-4652-A833-53B74D4B13EA}"/>
    <cellStyle name="RISKnormBoxed 5 2 2 2" xfId="34479" xr:uid="{F43184EB-3445-4FFC-A4C1-FB0E0BB196F8}"/>
    <cellStyle name="RISKnormBoxed 5 2 20" xfId="23816" xr:uid="{1D6EE83A-FA1A-4439-A707-59946E68918F}"/>
    <cellStyle name="RISKnormBoxed 5 2 20 2" xfId="43205" xr:uid="{2C0502AA-5324-445B-B986-98ACFABDE4D4}"/>
    <cellStyle name="RISKnormBoxed 5 2 21" xfId="25569" xr:uid="{77B37AC9-7D77-4F2A-8632-60CA0C7D09A6}"/>
    <cellStyle name="RISKnormBoxed 5 2 21 2" xfId="44437" xr:uid="{E0706777-B6FA-4E9C-B799-B2F364283C7E}"/>
    <cellStyle name="RISKnormBoxed 5 2 22" xfId="26621" xr:uid="{59F2B2EE-C123-4086-83CB-0E4BC0479A23}"/>
    <cellStyle name="RISKnormBoxed 5 2 22 2" xfId="45171" xr:uid="{E2D4AD96-81C2-4591-BD88-52B33337986E}"/>
    <cellStyle name="RISKnormBoxed 5 2 23" xfId="27585" xr:uid="{DA6C0920-B101-419A-AF12-C7D3CD5F4AF4}"/>
    <cellStyle name="RISKnormBoxed 5 2 23 2" xfId="45734" xr:uid="{A3BC86EF-D56A-4B5E-8B5D-729E4A5CDFEC}"/>
    <cellStyle name="RISKnormBoxed 5 2 24" xfId="27065" xr:uid="{FF901C2F-C8B1-4401-BDB5-2F4ACFB85964}"/>
    <cellStyle name="RISKnormBoxed 5 2 24 2" xfId="45458" xr:uid="{6CD36CA5-1B9A-4BC8-8C2C-63C369E528A7}"/>
    <cellStyle name="RISKnormBoxed 5 2 25" xfId="28871" xr:uid="{3C93554E-5B6B-41BF-AA96-415E79073A0A}"/>
    <cellStyle name="RISKnormBoxed 5 2 25 2" xfId="46486" xr:uid="{CEDFDF9D-12C6-4BA0-8C8E-39FEB83903BD}"/>
    <cellStyle name="RISKnormBoxed 5 2 26" xfId="25211" xr:uid="{13DA33FF-9004-499B-BB88-7FEB5D6FC6C3}"/>
    <cellStyle name="RISKnormBoxed 5 2 26 2" xfId="44150" xr:uid="{FF858E56-1C80-4DCB-9F25-0C8A84004135}"/>
    <cellStyle name="RISKnormBoxed 5 2 27" xfId="31083" xr:uid="{1B81D230-2892-42A0-B59A-FACF83D3A9ED}"/>
    <cellStyle name="RISKnormBoxed 5 2 27 2" xfId="47813" xr:uid="{B4274322-3465-4666-9177-CD55BD3F5DE5}"/>
    <cellStyle name="RISKnormBoxed 5 2 28" xfId="6772" xr:uid="{1A61D9D7-F4B7-4FF3-82DA-A306FD023A54}"/>
    <cellStyle name="RISKnormBoxed 5 2 3" xfId="10162" xr:uid="{415C8F52-F39C-4FAE-B2BB-36D9F99766CF}"/>
    <cellStyle name="RISKnormBoxed 5 2 3 2" xfId="33826" xr:uid="{2532E945-B444-4B3C-B2BA-93EE1FB751C1}"/>
    <cellStyle name="RISKnormBoxed 5 2 4" xfId="7115" xr:uid="{359A0701-7EC1-416E-B2B2-C32DDAE05F07}"/>
    <cellStyle name="RISKnormBoxed 5 2 4 2" xfId="31482" xr:uid="{7C685CFA-4FEE-46BB-B2AF-DDCE9D624FBE}"/>
    <cellStyle name="RISKnormBoxed 5 2 5" xfId="11823" xr:uid="{2741EE48-3979-4738-BD4D-CB1D35B79616}"/>
    <cellStyle name="RISKnormBoxed 5 2 5 2" xfId="34435" xr:uid="{23C9B307-64E7-437B-ADE2-F0C7D5C6D194}"/>
    <cellStyle name="RISKnormBoxed 5 2 6" xfId="12251" xr:uid="{AA3679C9-F392-444E-AC01-4D63F1895FA4}"/>
    <cellStyle name="RISKnormBoxed 5 2 6 2" xfId="34757" xr:uid="{AA8C548E-286D-418F-94D3-3E682089C158}"/>
    <cellStyle name="RISKnormBoxed 5 2 7" xfId="12484" xr:uid="{A6826F8A-6D97-4331-BBBE-D4213ED326BF}"/>
    <cellStyle name="RISKnormBoxed 5 2 7 2" xfId="34930" xr:uid="{F66599F6-32E5-4489-990A-638F5E99F2E9}"/>
    <cellStyle name="RISKnormBoxed 5 2 8" xfId="17527" xr:uid="{E00168D9-587F-4849-BFAA-99FFC619B0EE}"/>
    <cellStyle name="RISKnormBoxed 5 2 8 2" xfId="38774" xr:uid="{276B42D7-FC8B-4B91-9929-A981BBF7521F}"/>
    <cellStyle name="RISKnormBoxed 5 2 9" xfId="18377" xr:uid="{54DA277D-09F2-4A44-A746-5027336F0D97}"/>
    <cellStyle name="RISKnormBoxed 5 2 9 2" xfId="39388" xr:uid="{32D6889F-1F43-460F-B2E5-50E5BF815880}"/>
    <cellStyle name="RISKnormBoxed 5 20" xfId="18583" xr:uid="{65F48536-6EFD-4B26-B5BC-4EDCA644A14A}"/>
    <cellStyle name="RISKnormBoxed 5 20 2" xfId="39525" xr:uid="{0DA4FEB3-791B-4474-A7AF-F4472921FF97}"/>
    <cellStyle name="RISKnormBoxed 5 21" xfId="21123" xr:uid="{2FB29A10-43B8-4A8B-9578-5610A07B3BA0}"/>
    <cellStyle name="RISKnormBoxed 5 21 2" xfId="41330" xr:uid="{4120B95C-B821-40CB-A56B-885F716666DD}"/>
    <cellStyle name="RISKnormBoxed 5 22" xfId="26227" xr:uid="{6EED2172-1435-40DD-9C10-88079579FB12}"/>
    <cellStyle name="RISKnormBoxed 5 22 2" xfId="44936" xr:uid="{5A455F53-5577-495E-B66D-83C3B3CD630C}"/>
    <cellStyle name="RISKnormBoxed 5 23" xfId="27911" xr:uid="{810B3DE6-2630-4CEA-B3D1-EF5F4F0599BE}"/>
    <cellStyle name="RISKnormBoxed 5 23 2" xfId="45983" xr:uid="{F59A635B-D79A-44FE-A323-C72611207153}"/>
    <cellStyle name="RISKnormBoxed 5 24" xfId="25425" xr:uid="{9AD6CC90-2A7D-4506-A4AB-095DEEA728FC}"/>
    <cellStyle name="RISKnormBoxed 5 24 2" xfId="44316" xr:uid="{DB9FB2E3-AF3C-4349-AA14-FAAEB27936C9}"/>
    <cellStyle name="RISKnormBoxed 5 25" xfId="29351" xr:uid="{2F245DAD-D6FB-49FE-9444-16E4DB7743F2}"/>
    <cellStyle name="RISKnormBoxed 5 25 2" xfId="46824" xr:uid="{7BB9C8FC-CAD9-48F1-9C6A-4161579FC6F9}"/>
    <cellStyle name="RISKnormBoxed 5 26" xfId="28409" xr:uid="{A3D3BAA8-A5E5-41B2-B14D-E31202013778}"/>
    <cellStyle name="RISKnormBoxed 5 26 2" xfId="46256" xr:uid="{CF995872-EC54-4E61-9EBA-B3180E404F23}"/>
    <cellStyle name="RISKnormBoxed 5 27" xfId="29706" xr:uid="{A0AB76E8-536D-40C2-BB12-C863D51F25A6}"/>
    <cellStyle name="RISKnormBoxed 5 27 2" xfId="47051" xr:uid="{7D34E24E-6882-4CD9-A701-BB62B513A027}"/>
    <cellStyle name="RISKnormBoxed 5 28" xfId="29903" xr:uid="{2C5837E3-52B4-48FC-B838-2ABB5583D048}"/>
    <cellStyle name="RISKnormBoxed 5 28 2" xfId="47191" xr:uid="{C541BF9E-8994-4C99-9601-AE6E1C7AA9C1}"/>
    <cellStyle name="RISKnormBoxed 5 29" xfId="28246" xr:uid="{19AC33C2-DE51-418D-AC39-2CFF1C8E5BE4}"/>
    <cellStyle name="RISKnormBoxed 5 29 2" xfId="46121" xr:uid="{DCCD75E1-E9EF-4289-A49A-EB057D9C8CB7}"/>
    <cellStyle name="RISKnormBoxed 5 3" xfId="3826" xr:uid="{96CD6EDE-3BF4-474C-A1AF-62BD94F1EEBF}"/>
    <cellStyle name="RISKnormBoxed 5 3 10" xfId="17244" xr:uid="{C8AA3B97-BD6D-4F91-A7B1-7AF5565DADAE}"/>
    <cellStyle name="RISKnormBoxed 5 3 10 2" xfId="38548" xr:uid="{4B8ABC94-0570-4F66-A45C-6F8A39988C4C}"/>
    <cellStyle name="RISKnormBoxed 5 3 11" xfId="17681" xr:uid="{D517CCDD-6E27-42CA-BFD1-06BD1CE842A1}"/>
    <cellStyle name="RISKnormBoxed 5 3 11 2" xfId="38869" xr:uid="{582D032C-A7A0-45A3-9CFA-EA849E6FBB7D}"/>
    <cellStyle name="RISKnormBoxed 5 3 12" xfId="18949" xr:uid="{CC36A16B-4326-42C5-BE38-5C722C864FDE}"/>
    <cellStyle name="RISKnormBoxed 5 3 12 2" xfId="39781" xr:uid="{23DE9CF9-4D8D-4CE6-94A2-F4802C46C9C6}"/>
    <cellStyle name="RISKnormBoxed 5 3 13" xfId="15695" xr:uid="{57C8EC61-14C0-4246-80DF-6B95C9F21AC7}"/>
    <cellStyle name="RISKnormBoxed 5 3 13 2" xfId="37332" xr:uid="{5004EFDF-DC41-426F-A67F-01724BEAAEB9}"/>
    <cellStyle name="RISKnormBoxed 5 3 14" xfId="22031" xr:uid="{E34229D7-B7D6-437B-90A0-9E8AC39832EE}"/>
    <cellStyle name="RISKnormBoxed 5 3 14 2" xfId="41926" xr:uid="{41C4F3FB-4346-4D8A-B69D-0D2D7FC67B75}"/>
    <cellStyle name="RISKnormBoxed 5 3 15" xfId="23253" xr:uid="{1CF4CC96-40A2-496F-AD8F-76D806FAB114}"/>
    <cellStyle name="RISKnormBoxed 5 3 15 2" xfId="42828" xr:uid="{E053BBC4-C996-4FA1-9362-E5E27612229C}"/>
    <cellStyle name="RISKnormBoxed 5 3 16" xfId="24058" xr:uid="{3F8A5DA3-BD29-47A1-BA33-B5C077FCB5C0}"/>
    <cellStyle name="RISKnormBoxed 5 3 16 2" xfId="43434" xr:uid="{58F2B7C7-E05D-467A-BEC9-A418F33C267E}"/>
    <cellStyle name="RISKnormBoxed 5 3 17" xfId="21189" xr:uid="{00B594E0-E5D3-40E6-8C56-9CF18CF81BA5}"/>
    <cellStyle name="RISKnormBoxed 5 3 17 2" xfId="41382" xr:uid="{953AA1A3-95D1-4222-937C-197A9D2A3078}"/>
    <cellStyle name="RISKnormBoxed 5 3 18" xfId="19422" xr:uid="{AA87B430-D3CD-4918-BE77-FE55A0C32A35}"/>
    <cellStyle name="RISKnormBoxed 5 3 18 2" xfId="40143" xr:uid="{775001B3-8AB9-4B48-AF0C-A5435C414FBA}"/>
    <cellStyle name="RISKnormBoxed 5 3 19" xfId="23653" xr:uid="{36B88567-7D42-4553-B079-4AA58D86886E}"/>
    <cellStyle name="RISKnormBoxed 5 3 19 2" xfId="43077" xr:uid="{0FDE56A6-4EC9-48B6-83A1-8C8AC11B1D10}"/>
    <cellStyle name="RISKnormBoxed 5 3 2" xfId="7451" xr:uid="{544CA712-8C4C-4863-9224-F2F887524214}"/>
    <cellStyle name="RISKnormBoxed 5 3 2 2" xfId="31809" xr:uid="{D1143914-2AB3-45E5-8AE9-5EE01A8004BB}"/>
    <cellStyle name="RISKnormBoxed 5 3 20" xfId="26226" xr:uid="{DF6A1A4D-255B-43E0-B5BC-1FD1A64B18AC}"/>
    <cellStyle name="RISKnormBoxed 5 3 20 2" xfId="44935" xr:uid="{547F6EE6-FF02-4CEC-9A95-D15CC4658F10}"/>
    <cellStyle name="RISKnormBoxed 5 3 21" xfId="27910" xr:uid="{BA95E95F-5D46-4CF8-BE8B-CA419A3E7922}"/>
    <cellStyle name="RISKnormBoxed 5 3 21 2" xfId="45982" xr:uid="{C7307A3F-1DFE-405C-9330-63F5914954DA}"/>
    <cellStyle name="RISKnormBoxed 5 3 22" xfId="21868" xr:uid="{54F2008F-55C5-41CB-88CF-578A8447AF01}"/>
    <cellStyle name="RISKnormBoxed 5 3 22 2" xfId="41807" xr:uid="{DBD1A720-2F24-4F57-8981-0A9238571AAD}"/>
    <cellStyle name="RISKnormBoxed 5 3 23" xfId="26815" xr:uid="{BB53F9E9-E42E-4701-A9B9-FADC25C7F8B0}"/>
    <cellStyle name="RISKnormBoxed 5 3 23 2" xfId="45286" xr:uid="{417B500C-60D2-41D8-8C31-8832A2E2D32D}"/>
    <cellStyle name="RISKnormBoxed 5 3 24" xfId="28408" xr:uid="{95DC1E11-2578-4D0D-A5EE-C4726532DE9F}"/>
    <cellStyle name="RISKnormBoxed 5 3 24 2" xfId="46255" xr:uid="{A50732C5-F5D0-46A5-913F-147F4AB2B928}"/>
    <cellStyle name="RISKnormBoxed 5 3 25" xfId="29101" xr:uid="{A4AD39E1-E5B1-4A65-8BDA-1A70F04FC6FC}"/>
    <cellStyle name="RISKnormBoxed 5 3 25 2" xfId="46670" xr:uid="{944AB99E-21AC-4FB1-98F8-889BEA3890DC}"/>
    <cellStyle name="RISKnormBoxed 5 3 26" xfId="30025" xr:uid="{359E26D1-91E6-4921-B5B4-5A337DA2A4F3}"/>
    <cellStyle name="RISKnormBoxed 5 3 26 2" xfId="47256" xr:uid="{6503D4DE-88E3-4580-A3A5-0076F8AA76A2}"/>
    <cellStyle name="RISKnormBoxed 5 3 27" xfId="30628" xr:uid="{C8618821-9A58-492F-8B16-5778A7A902CE}"/>
    <cellStyle name="RISKnormBoxed 5 3 27 2" xfId="47574" xr:uid="{F4415DE4-5A09-4DB6-8D11-92482D0CE5E5}"/>
    <cellStyle name="RISKnormBoxed 5 3 28" xfId="6773" xr:uid="{EEECF972-D566-4C54-ACB4-3330973449CC}"/>
    <cellStyle name="RISKnormBoxed 5 3 3" xfId="13288" xr:uid="{CA78463A-DD29-4925-A215-A1BFA9009B3D}"/>
    <cellStyle name="RISKnormBoxed 5 3 3 2" xfId="35605" xr:uid="{B6B99FDF-12B7-4BB9-BA7E-B50A09E54F9C}"/>
    <cellStyle name="RISKnormBoxed 5 3 4" xfId="7114" xr:uid="{D8632F1C-FE06-4C3A-8276-F710B417EB87}"/>
    <cellStyle name="RISKnormBoxed 5 3 4 2" xfId="31481" xr:uid="{0840CA75-6703-4F92-9F3E-33C41D9DFA86}"/>
    <cellStyle name="RISKnormBoxed 5 3 5" xfId="7403" xr:uid="{B4BC6AB9-3955-48F3-ABB9-14045C9796AC}"/>
    <cellStyle name="RISKnormBoxed 5 3 5 2" xfId="31762" xr:uid="{EC825C2D-8944-438A-8101-D18A6C8934D5}"/>
    <cellStyle name="RISKnormBoxed 5 3 6" xfId="14708" xr:uid="{527B6488-6033-40F6-AC52-28D013D39857}"/>
    <cellStyle name="RISKnormBoxed 5 3 6 2" xfId="36620" xr:uid="{D761AE0F-188D-4A25-B329-901DAD66FEB8}"/>
    <cellStyle name="RISKnormBoxed 5 3 7" xfId="16655" xr:uid="{85085AA5-F090-4F08-94D4-F268E450368F}"/>
    <cellStyle name="RISKnormBoxed 5 3 7 2" xfId="38146" xr:uid="{516A4D52-AB83-4660-99CC-B37B4EE6BEAF}"/>
    <cellStyle name="RISKnormBoxed 5 3 8" xfId="15608" xr:uid="{C63323FD-A0EF-4529-A8B8-A074B48C0FFF}"/>
    <cellStyle name="RISKnormBoxed 5 3 8 2" xfId="37266" xr:uid="{AEB6AC90-D106-47AE-9D6F-2BFB565C7AA2}"/>
    <cellStyle name="RISKnormBoxed 5 3 9" xfId="13969" xr:uid="{D3F6EA6E-7037-4D4E-B90B-B8D3C5E24B9F}"/>
    <cellStyle name="RISKnormBoxed 5 3 9 2" xfId="36072" xr:uid="{31BADCB3-3273-400E-A800-E226616BFCB1}"/>
    <cellStyle name="RISKnormBoxed 5 30" xfId="6771" xr:uid="{FB4E6241-2B1E-4DE9-9367-50C1A8595893}"/>
    <cellStyle name="RISKnormBoxed 5 4" xfId="7452" xr:uid="{23B7BDB0-AAB2-4E53-BC40-CCE6B8E02DAC}"/>
    <cellStyle name="RISKnormBoxed 5 4 2" xfId="31810" xr:uid="{A6E7F3E2-0EF3-4F22-8579-31BABE31BA6F}"/>
    <cellStyle name="RISKnormBoxed 5 5" xfId="13289" xr:uid="{0F8D880C-30CC-44CD-B4B7-9980EF58BF52}"/>
    <cellStyle name="RISKnormBoxed 5 5 2" xfId="35606" xr:uid="{0FCED054-4BB3-43ED-80E0-5A5DE591DF17}"/>
    <cellStyle name="RISKnormBoxed 5 6" xfId="7116" xr:uid="{F272850A-7079-4CB9-B54E-0CCA6D27F7C8}"/>
    <cellStyle name="RISKnormBoxed 5 6 2" xfId="31483" xr:uid="{E3EA7A9B-9259-4EE1-9930-A9EEE0C27BD2}"/>
    <cellStyle name="RISKnormBoxed 5 7" xfId="7404" xr:uid="{C0D2E928-0247-450D-929A-37C0D8D6D3C9}"/>
    <cellStyle name="RISKnormBoxed 5 7 2" xfId="31763" xr:uid="{5EEBF752-A5FA-415D-8B95-681D29874D12}"/>
    <cellStyle name="RISKnormBoxed 5 8" xfId="14709" xr:uid="{36E8D562-4FD0-4B43-B2B3-56478EC87FDB}"/>
    <cellStyle name="RISKnormBoxed 5 8 2" xfId="36621" xr:uid="{A1976139-CCB3-4284-B6BA-FA47DE9F6FFC}"/>
    <cellStyle name="RISKnormBoxed 5 9" xfId="16656" xr:uid="{1FF58BFC-6224-44E9-ABC8-1CF2974FD92F}"/>
    <cellStyle name="RISKnormBoxed 5 9 2" xfId="38147" xr:uid="{CB847D26-8846-4A08-A036-A2D0033CAE95}"/>
    <cellStyle name="RISKnormBoxed 6" xfId="3827" xr:uid="{E29405D1-BA81-4E3A-86DE-9D9F9D04A76F}"/>
    <cellStyle name="RISKnormBoxed 6 10" xfId="17526" xr:uid="{E43D3843-9B73-4207-BBA5-D65A5F284494}"/>
    <cellStyle name="RISKnormBoxed 6 10 2" xfId="38773" xr:uid="{1739B746-F23C-4E94-9B5F-F6FFB624FB0C}"/>
    <cellStyle name="RISKnormBoxed 6 11" xfId="18376" xr:uid="{5FF4B05A-8C28-47E2-AE0F-7474513A1FB3}"/>
    <cellStyle name="RISKnormBoxed 6 11 2" xfId="39387" xr:uid="{62063E04-812C-43B8-9E55-1F3B2A8F45C0}"/>
    <cellStyle name="RISKnormBoxed 6 12" xfId="13894" xr:uid="{50570BCB-CEB5-4047-81BE-F73CFAB6DF2C}"/>
    <cellStyle name="RISKnormBoxed 6 12 2" xfId="36012" xr:uid="{6FC11B33-2137-4E61-81F1-A0F5599125CA}"/>
    <cellStyle name="RISKnormBoxed 6 13" xfId="18089" xr:uid="{AD10C7B8-9040-4C72-A35B-EAB562BD8C57}"/>
    <cellStyle name="RISKnormBoxed 6 13 2" xfId="39163" xr:uid="{997DAB51-B69A-482D-B8EC-3937B56E591A}"/>
    <cellStyle name="RISKnormBoxed 6 14" xfId="20748" xr:uid="{B54555C1-B524-416B-8CCD-C406515A00E8}"/>
    <cellStyle name="RISKnormBoxed 6 14 2" xfId="41108" xr:uid="{14060A77-0B7E-4D31-89BE-55365192EF4A}"/>
    <cellStyle name="RISKnormBoxed 6 15" xfId="19116" xr:uid="{DC009EE4-FC77-482F-9459-C5ADE9F78857}"/>
    <cellStyle name="RISKnormBoxed 6 15 2" xfId="39925" xr:uid="{CCF68312-40A0-4B9C-929E-5E49849E10CE}"/>
    <cellStyle name="RISKnormBoxed 6 16" xfId="17037" xr:uid="{3732B656-BAED-42FC-8F3C-2985387500E1}"/>
    <cellStyle name="RISKnormBoxed 6 16 2" xfId="38380" xr:uid="{413E42BD-3706-451A-92A0-178921396E39}"/>
    <cellStyle name="RISKnormBoxed 6 17" xfId="20522" xr:uid="{543DC6B7-6B5A-40B2-A3EE-B05D8308F5C9}"/>
    <cellStyle name="RISKnormBoxed 6 17 2" xfId="40902" xr:uid="{7E96C5C9-E2DD-4423-9CED-CC85B08EC609}"/>
    <cellStyle name="RISKnormBoxed 6 18" xfId="22183" xr:uid="{E8A7CF61-D235-4C6E-95BE-19F701E50EBA}"/>
    <cellStyle name="RISKnormBoxed 6 18 2" xfId="42062" xr:uid="{C2E9EEE7-6EE2-48FD-9B6F-C42AC66AB3D6}"/>
    <cellStyle name="RISKnormBoxed 6 19" xfId="22113" xr:uid="{5860F4A2-FBE4-431E-B081-9F166993AA47}"/>
    <cellStyle name="RISKnormBoxed 6 19 2" xfId="41998" xr:uid="{9A1708DB-31B1-44D1-9087-F099A71117D3}"/>
    <cellStyle name="RISKnormBoxed 6 2" xfId="3828" xr:uid="{87E8F15D-A960-47E9-A085-C4DA0C877983}"/>
    <cellStyle name="RISKnormBoxed 6 2 10" xfId="17243" xr:uid="{22840E9E-3D81-44E6-9951-985438053BEE}"/>
    <cellStyle name="RISKnormBoxed 6 2 10 2" xfId="38547" xr:uid="{72D40803-5BE3-495B-BF83-61D6548F511A}"/>
    <cellStyle name="RISKnormBoxed 6 2 11" xfId="16965" xr:uid="{F67A4EF1-B460-49E6-9E71-7A3C0FA34DC2}"/>
    <cellStyle name="RISKnormBoxed 6 2 11 2" xfId="38330" xr:uid="{62E1BA36-C232-4485-92DD-CC7217F8D00F}"/>
    <cellStyle name="RISKnormBoxed 6 2 12" xfId="17076" xr:uid="{F373AEF0-0A9A-451B-AFFB-5469732BDB92}"/>
    <cellStyle name="RISKnormBoxed 6 2 12 2" xfId="38415" xr:uid="{6E8ECD7D-C354-455A-AA56-91CD26DEFA91}"/>
    <cellStyle name="RISKnormBoxed 6 2 13" xfId="16063" xr:uid="{038A902E-0E29-4953-91FD-146A90FD4742}"/>
    <cellStyle name="RISKnormBoxed 6 2 13 2" xfId="37639" xr:uid="{F360F0E4-749C-4DDA-8AC5-0DADA054C787}"/>
    <cellStyle name="RISKnormBoxed 6 2 14" xfId="17898" xr:uid="{7E931073-15D5-471B-9C0D-38FA7E742ECB}"/>
    <cellStyle name="RISKnormBoxed 6 2 14 2" xfId="39005" xr:uid="{4726F8D9-7E37-4E49-A1EE-505CEEFE3AA7}"/>
    <cellStyle name="RISKnormBoxed 6 2 15" xfId="23252" xr:uid="{3F75BAB8-F6F5-4C28-B3AF-4D09809BED59}"/>
    <cellStyle name="RISKnormBoxed 6 2 15 2" xfId="42827" xr:uid="{C7B123DE-D03F-41B9-8B67-5F9D8F971CBB}"/>
    <cellStyle name="RISKnormBoxed 6 2 16" xfId="24057" xr:uid="{E2D5EDB4-2733-4E23-B92C-7797013AB118}"/>
    <cellStyle name="RISKnormBoxed 6 2 16 2" xfId="43433" xr:uid="{3EFDFF8D-0565-414C-9B5F-F4D99F466E1C}"/>
    <cellStyle name="RISKnormBoxed 6 2 17" xfId="17858" xr:uid="{69D63166-9A1F-4AD2-9F8F-4DB6485772DA}"/>
    <cellStyle name="RISKnormBoxed 6 2 17 2" xfId="38974" xr:uid="{ADD610CE-2DBD-4900-9F5B-AF279D6C096F}"/>
    <cellStyle name="RISKnormBoxed 6 2 18" xfId="25900" xr:uid="{D4B2BA17-38D0-4D1E-BF12-D6F36E82A1AC}"/>
    <cellStyle name="RISKnormBoxed 6 2 18 2" xfId="44705" xr:uid="{06960143-C41C-4D70-9099-348EBA2389B1}"/>
    <cellStyle name="RISKnormBoxed 6 2 19" xfId="24225" xr:uid="{0FFF0507-3B79-4BCC-9195-0F75E6C41443}"/>
    <cellStyle name="RISKnormBoxed 6 2 19 2" xfId="43543" xr:uid="{50A77313-CFCF-4B88-AAE8-0FDD9471B985}"/>
    <cellStyle name="RISKnormBoxed 6 2 2" xfId="7450" xr:uid="{4F89C474-2AD1-4361-B6F3-EED65BB8BBE8}"/>
    <cellStyle name="RISKnormBoxed 6 2 2 2" xfId="31808" xr:uid="{E981D242-9C5C-4AE9-8CC2-D0188DE6C6E5}"/>
    <cellStyle name="RISKnormBoxed 6 2 20" xfId="23803" xr:uid="{B005CCFF-6AC1-4121-B8F9-E4F0917CE8ED}"/>
    <cellStyle name="RISKnormBoxed 6 2 20 2" xfId="43198" xr:uid="{25BA43BE-638A-4B7A-AF10-72A5AB98B201}"/>
    <cellStyle name="RISKnormBoxed 6 2 21" xfId="27909" xr:uid="{2422F22F-6FE6-4A2B-84D1-BBDBF9673B26}"/>
    <cellStyle name="RISKnormBoxed 6 2 21 2" xfId="45981" xr:uid="{F7CBDA6D-3447-49B6-934C-8BB63FF229F0}"/>
    <cellStyle name="RISKnormBoxed 6 2 22" xfId="23658" xr:uid="{2FFE2FF2-B33A-4570-B959-47E962D978BC}"/>
    <cellStyle name="RISKnormBoxed 6 2 22 2" xfId="43082" xr:uid="{2577B7A6-27D2-4AFE-9421-405F5BB686FE}"/>
    <cellStyle name="RISKnormBoxed 6 2 23" xfId="28307" xr:uid="{9A0F00F7-7597-4D4F-BDB0-A4DD5609BDFA}"/>
    <cellStyle name="RISKnormBoxed 6 2 23 2" xfId="46174" xr:uid="{D94D9D98-5882-4C8C-9942-F68C11C23CB6}"/>
    <cellStyle name="RISKnormBoxed 6 2 24" xfId="29333" xr:uid="{E1EB8A3B-F3C8-4195-967F-767B3CCD5161}"/>
    <cellStyle name="RISKnormBoxed 6 2 24 2" xfId="46811" xr:uid="{F8A7BDD0-CAC7-467A-9C66-D58E28104DCA}"/>
    <cellStyle name="RISKnormBoxed 6 2 25" xfId="30082" xr:uid="{B82DC54A-9A6D-4C31-A330-6B6D72D0A9FD}"/>
    <cellStyle name="RISKnormBoxed 6 2 25 2" xfId="47278" xr:uid="{A65A5650-94CB-4658-9FD4-820E2AA65855}"/>
    <cellStyle name="RISKnormBoxed 6 2 26" xfId="29397" xr:uid="{386B1DC8-B485-4A34-9FA6-B04DB1C7E3C4}"/>
    <cellStyle name="RISKnormBoxed 6 2 26 2" xfId="46864" xr:uid="{87A7AF74-0D68-49B5-A1F9-24C4AF3C83BB}"/>
    <cellStyle name="RISKnormBoxed 6 2 27" xfId="30200" xr:uid="{232208FC-E92B-4FB6-8C41-5A263AE7402B}"/>
    <cellStyle name="RISKnormBoxed 6 2 27 2" xfId="47361" xr:uid="{4E4C30C9-1B44-4E9C-9F00-A560556EE42F}"/>
    <cellStyle name="RISKnormBoxed 6 2 28" xfId="6775" xr:uid="{A0D771A2-DC80-4605-A047-855D9C2802D2}"/>
    <cellStyle name="RISKnormBoxed 6 2 3" xfId="13287" xr:uid="{4BFF1EFE-1062-4385-BA86-A13DE1C8C329}"/>
    <cellStyle name="RISKnormBoxed 6 2 3 2" xfId="35604" xr:uid="{455D2652-AB95-46D6-95A5-5191733360C4}"/>
    <cellStyle name="RISKnormBoxed 6 2 4" xfId="7112" xr:uid="{B006875B-694A-477E-926E-54EE28C8D363}"/>
    <cellStyle name="RISKnormBoxed 6 2 4 2" xfId="31479" xr:uid="{D2A93A63-E96F-4CA8-91D4-882D97DF8F2B}"/>
    <cellStyle name="RISKnormBoxed 6 2 5" xfId="7402" xr:uid="{31558BA0-70C4-48CA-8EE1-AF1441253077}"/>
    <cellStyle name="RISKnormBoxed 6 2 5 2" xfId="31761" xr:uid="{B98310E3-D735-4F27-9B8E-2D98AD6B9B8A}"/>
    <cellStyle name="RISKnormBoxed 6 2 6" xfId="14707" xr:uid="{E203B4B2-6A57-4FD0-8AC8-8E64AB77F5B2}"/>
    <cellStyle name="RISKnormBoxed 6 2 6 2" xfId="36619" xr:uid="{35A9BD0D-9456-482A-AA92-23C85EC850B6}"/>
    <cellStyle name="RISKnormBoxed 6 2 7" xfId="16654" xr:uid="{BAD6DAF3-B5A5-4EFC-97FD-D5C4E5418DD4}"/>
    <cellStyle name="RISKnormBoxed 6 2 7 2" xfId="38145" xr:uid="{CCC658C7-5740-4895-B0D8-173724D3AA61}"/>
    <cellStyle name="RISKnormBoxed 6 2 8" xfId="13695" xr:uid="{CB31F05D-7B71-4752-9A9F-4DA10B9A112D}"/>
    <cellStyle name="RISKnormBoxed 6 2 8 2" xfId="35851" xr:uid="{F66E4D48-4D6D-4A45-8E79-B451A93858F6}"/>
    <cellStyle name="RISKnormBoxed 6 2 9" xfId="16341" xr:uid="{EAD5B064-9110-4C9A-9CD4-892161498592}"/>
    <cellStyle name="RISKnormBoxed 6 2 9 2" xfId="37869" xr:uid="{D213D2EA-2F1F-4CE7-9024-1CF9128A1EAA}"/>
    <cellStyle name="RISKnormBoxed 6 20" xfId="22129" xr:uid="{34DCE0C9-84F1-45B8-A419-A97A0BEA44A0}"/>
    <cellStyle name="RISKnormBoxed 6 20 2" xfId="42014" xr:uid="{C4AE24BA-F4C2-43D0-8A91-B9B53680564B}"/>
    <cellStyle name="RISKnormBoxed 6 21" xfId="26658" xr:uid="{C19BE209-6CFE-4ECF-8C0B-4019A682AA02}"/>
    <cellStyle name="RISKnormBoxed 6 21 2" xfId="45207" xr:uid="{0C87C149-44E6-40EC-831F-32835FB6A707}"/>
    <cellStyle name="RISKnormBoxed 6 22" xfId="26212" xr:uid="{67705971-3023-445A-A91E-A01839803B20}"/>
    <cellStyle name="RISKnormBoxed 6 22 2" xfId="44921" xr:uid="{6FE888CF-F0F8-4DF7-BFC1-CB596270F7D3}"/>
    <cellStyle name="RISKnormBoxed 6 23" xfId="23628" xr:uid="{A74C1C3B-C11E-4AB9-97E4-2349538B2B0D}"/>
    <cellStyle name="RISKnormBoxed 6 23 2" xfId="43059" xr:uid="{1549148C-39C7-4744-92EF-47308DD5664F}"/>
    <cellStyle name="RISKnormBoxed 6 24" xfId="26620" xr:uid="{ADC3ACCC-617A-49D7-B5AA-718590469E2A}"/>
    <cellStyle name="RISKnormBoxed 6 24 2" xfId="45170" xr:uid="{E0E1BD26-0872-44C5-B15B-BD26FCCED152}"/>
    <cellStyle name="RISKnormBoxed 6 25" xfId="28974" xr:uid="{59237B91-DFDE-4118-9BCD-153D4FB8CC0C}"/>
    <cellStyle name="RISKnormBoxed 6 25 2" xfId="46568" xr:uid="{958F4631-F475-4BFF-ABDE-52D5D04C9704}"/>
    <cellStyle name="RISKnormBoxed 6 26" xfId="23757" xr:uid="{208B8A46-3A91-4346-9EC2-58A44F3C1B4A}"/>
    <cellStyle name="RISKnormBoxed 6 26 2" xfId="43168" xr:uid="{60C9B88F-5190-41D1-81FD-911490303E0E}"/>
    <cellStyle name="RISKnormBoxed 6 27" xfId="23736" xr:uid="{4E313537-F6D7-42BF-BF9C-E1FB36FCAD7E}"/>
    <cellStyle name="RISKnormBoxed 6 27 2" xfId="43150" xr:uid="{2219FE8B-E728-4CBE-BEC2-A000D29F2764}"/>
    <cellStyle name="RISKnormBoxed 6 28" xfId="28869" xr:uid="{698A1D72-E799-4E60-9908-BA3503A810CA}"/>
    <cellStyle name="RISKnormBoxed 6 28 2" xfId="46484" xr:uid="{19961755-B215-47C7-914A-EFF3A5C5B072}"/>
    <cellStyle name="RISKnormBoxed 6 29" xfId="31082" xr:uid="{ABD4B362-2E7B-4F30-8A9E-F2C4C6F9C9C4}"/>
    <cellStyle name="RISKnormBoxed 6 29 2" xfId="47812" xr:uid="{B8930379-8898-4437-97E3-2BFDF42F48CA}"/>
    <cellStyle name="RISKnormBoxed 6 3" xfId="3829" xr:uid="{10E20F6A-1E96-4DB5-BC03-0AFE4E8F6C76}"/>
    <cellStyle name="RISKnormBoxed 6 3 10" xfId="16045" xr:uid="{8113F118-BC93-49FD-90D4-D1BBB5F1A009}"/>
    <cellStyle name="RISKnormBoxed 6 3 10 2" xfId="37625" xr:uid="{3D40B0C3-A8EC-43A0-9140-C643FC10F826}"/>
    <cellStyle name="RISKnormBoxed 6 3 11" xfId="18088" xr:uid="{F7258330-AAD4-4FBE-AEBB-D14E98DC751D}"/>
    <cellStyle name="RISKnormBoxed 6 3 11 2" xfId="39162" xr:uid="{5B7AD446-9A0B-403B-A97E-FA28D0AD5016}"/>
    <cellStyle name="RISKnormBoxed 6 3 12" xfId="20747" xr:uid="{513C81F4-070B-4725-B341-84CB0057E9D2}"/>
    <cellStyle name="RISKnormBoxed 6 3 12 2" xfId="41107" xr:uid="{7A138D6D-9C79-47BB-BA30-507FC45F394C}"/>
    <cellStyle name="RISKnormBoxed 6 3 13" xfId="19115" xr:uid="{EC991A5A-336D-4CA2-98B6-E1641847D05C}"/>
    <cellStyle name="RISKnormBoxed 6 3 13 2" xfId="39924" xr:uid="{6DCD4BAC-83D0-4D2F-A647-346BB2C72E21}"/>
    <cellStyle name="RISKnormBoxed 6 3 14" xfId="21261" xr:uid="{4C982CC4-E3AF-4F93-87EC-9D9542C44919}"/>
    <cellStyle name="RISKnormBoxed 6 3 14 2" xfId="41442" xr:uid="{ECAA0CC8-9243-4D07-9AFD-B9C7B516AD15}"/>
    <cellStyle name="RISKnormBoxed 6 3 15" xfId="18838" xr:uid="{E053A7AC-9524-4185-9642-AB6F7B78DE39}"/>
    <cellStyle name="RISKnormBoxed 6 3 15 2" xfId="39685" xr:uid="{4CE576ED-40D9-4843-9F9B-C2B1FFEF2913}"/>
    <cellStyle name="RISKnormBoxed 6 3 16" xfId="18727" xr:uid="{B0C1E643-AF07-4AA0-BA76-A26E291BAFF7}"/>
    <cellStyle name="RISKnormBoxed 6 3 16 2" xfId="39602" xr:uid="{1427EDED-731C-4306-B141-0C52F517C8EF}"/>
    <cellStyle name="RISKnormBoxed 6 3 17" xfId="17812" xr:uid="{9A98AD17-BBE4-479D-846B-F60B03FE255B}"/>
    <cellStyle name="RISKnormBoxed 6 3 17 2" xfId="38937" xr:uid="{73459EE5-1DB9-4849-8D3F-66CBAA4FC1DD}"/>
    <cellStyle name="RISKnormBoxed 6 3 18" xfId="21161" xr:uid="{E793B98A-C6EC-4C8E-A251-666001A86746}"/>
    <cellStyle name="RISKnormBoxed 6 3 18 2" xfId="41354" xr:uid="{C8D71503-9252-498E-A829-2B7FBF5452B4}"/>
    <cellStyle name="RISKnormBoxed 6 3 19" xfId="26657" xr:uid="{01A56278-2A2E-4A34-BC62-859B20741390}"/>
    <cellStyle name="RISKnormBoxed 6 3 19 2" xfId="45206" xr:uid="{25844EF5-1890-4CFC-B849-90C2A8BAAF89}"/>
    <cellStyle name="RISKnormBoxed 6 3 2" xfId="11865" xr:uid="{478ABA50-1E0A-4E83-9EBD-C5C0496AD872}"/>
    <cellStyle name="RISKnormBoxed 6 3 2 2" xfId="34477" xr:uid="{BF543B91-A654-46C4-B911-3E69599B5346}"/>
    <cellStyle name="RISKnormBoxed 6 3 20" xfId="26225" xr:uid="{F1CA88B9-51D3-409F-A620-C76284F5DD87}"/>
    <cellStyle name="RISKnormBoxed 6 3 20 2" xfId="44934" xr:uid="{B639C8DC-9594-4B1D-A72F-F675AC3FCC00}"/>
    <cellStyle name="RISKnormBoxed 6 3 21" xfId="25949" xr:uid="{90BD7B2E-796C-4F59-B55D-BEEB7B8CD48F}"/>
    <cellStyle name="RISKnormBoxed 6 3 21 2" xfId="44740" xr:uid="{006038DC-9CC9-45B2-9BBD-EA7CF3B7AF8A}"/>
    <cellStyle name="RISKnormBoxed 6 3 22" xfId="26619" xr:uid="{4BF1CA0F-9F02-4434-A6D3-1B6A57923BE4}"/>
    <cellStyle name="RISKnormBoxed 6 3 22 2" xfId="45169" xr:uid="{29F2BF09-59F3-4956-ACD4-B99E09417AA2}"/>
    <cellStyle name="RISKnormBoxed 6 3 23" xfId="26989" xr:uid="{591C3801-C404-4144-854A-55BBCB3E533F}"/>
    <cellStyle name="RISKnormBoxed 6 3 23 2" xfId="45396" xr:uid="{5E336BFC-569F-40C2-BE53-0E43A9A93C9D}"/>
    <cellStyle name="RISKnormBoxed 6 3 24" xfId="28407" xr:uid="{132E8BFC-3A27-4026-B63C-231FFA476962}"/>
    <cellStyle name="RISKnormBoxed 6 3 24 2" xfId="46254" xr:uid="{71A21078-F132-42BD-8576-134189537640}"/>
    <cellStyle name="RISKnormBoxed 6 3 25" xfId="29046" xr:uid="{8CD46002-B2E2-4235-8DD0-336B5B3B6443}"/>
    <cellStyle name="RISKnormBoxed 6 3 25 2" xfId="46632" xr:uid="{746DB662-9968-4F2C-A666-246DC7D18B4E}"/>
    <cellStyle name="RISKnormBoxed 6 3 26" xfId="25204" xr:uid="{92B3E020-3DF6-483F-A496-20C39D5E9AFF}"/>
    <cellStyle name="RISKnormBoxed 6 3 26 2" xfId="44143" xr:uid="{FA415EF2-5649-42E7-8957-629570BA361E}"/>
    <cellStyle name="RISKnormBoxed 6 3 27" xfId="31081" xr:uid="{0D0C2734-5254-478E-9DB9-2416FD5BDCD2}"/>
    <cellStyle name="RISKnormBoxed 6 3 27 2" xfId="47811" xr:uid="{586DF459-8236-43B1-A226-FFB7261DB910}"/>
    <cellStyle name="RISKnormBoxed 6 3 28" xfId="6776" xr:uid="{0ACCBAB5-A7B7-49B4-B96E-99D51A123BCF}"/>
    <cellStyle name="RISKnormBoxed 6 3 3" xfId="10164" xr:uid="{C7EF9942-2DD3-44BC-B014-85F54B700416}"/>
    <cellStyle name="RISKnormBoxed 6 3 3 2" xfId="33828" xr:uid="{E6AF6C23-F4A3-4113-812F-50719FFD1D49}"/>
    <cellStyle name="RISKnormBoxed 6 3 4" xfId="7111" xr:uid="{AB12ACDC-AB1B-4B03-BD1B-20323FA48A47}"/>
    <cellStyle name="RISKnormBoxed 6 3 4 2" xfId="31478" xr:uid="{78ABB739-9F2A-4DA5-99C6-2DB3AC6E3828}"/>
    <cellStyle name="RISKnormBoxed 6 3 5" xfId="11821" xr:uid="{F1877BED-4723-4E4A-BF22-1704FDAA9D4C}"/>
    <cellStyle name="RISKnormBoxed 6 3 5 2" xfId="34433" xr:uid="{37C05683-D58A-4C6F-B21E-F685E9683ADB}"/>
    <cellStyle name="RISKnormBoxed 6 3 6" xfId="12253" xr:uid="{7D19F083-4BD8-4E71-AFFD-72EEBB15BB2E}"/>
    <cellStyle name="RISKnormBoxed 6 3 6 2" xfId="34759" xr:uid="{50A89BB6-A195-4188-B8A1-56579493654C}"/>
    <cellStyle name="RISKnormBoxed 6 3 7" xfId="12485" xr:uid="{4FA21172-FDFD-40E2-B043-FAD336B5D71D}"/>
    <cellStyle name="RISKnormBoxed 6 3 7 2" xfId="34931" xr:uid="{A5C4D57B-A874-4BF6-801B-267DB51BFE9A}"/>
    <cellStyle name="RISKnormBoxed 6 3 8" xfId="17525" xr:uid="{3B3AF6B7-D56B-4371-9573-F415CE370036}"/>
    <cellStyle name="RISKnormBoxed 6 3 8 2" xfId="38772" xr:uid="{DF9EA3F1-D288-450D-ADC6-8069CC879E8C}"/>
    <cellStyle name="RISKnormBoxed 6 3 9" xfId="18375" xr:uid="{F18B9E5F-4560-4166-AD06-1B47DE1D2DA3}"/>
    <cellStyle name="RISKnormBoxed 6 3 9 2" xfId="39386" xr:uid="{6E12CEFF-5795-41C3-B917-2DBAED4284C3}"/>
    <cellStyle name="RISKnormBoxed 6 30" xfId="6774" xr:uid="{C63406FD-3D12-417A-A1B1-AB708D66EF4E}"/>
    <cellStyle name="RISKnormBoxed 6 4" xfId="11866" xr:uid="{CD866B5E-AA8D-4083-9E0D-544C588A33F5}"/>
    <cellStyle name="RISKnormBoxed 6 4 2" xfId="34478" xr:uid="{F155A4FA-5980-467D-AE90-D40BA5E4B1D0}"/>
    <cellStyle name="RISKnormBoxed 6 5" xfId="10163" xr:uid="{2C736169-117C-408A-BB17-E9F8BF2A9654}"/>
    <cellStyle name="RISKnormBoxed 6 5 2" xfId="33827" xr:uid="{D8BEB874-EEF1-4EF0-91A4-9A7FEFB3CE55}"/>
    <cellStyle name="RISKnormBoxed 6 6" xfId="7113" xr:uid="{AC7A92EF-5701-4132-A989-7D233A2647CA}"/>
    <cellStyle name="RISKnormBoxed 6 6 2" xfId="31480" xr:uid="{14160153-819E-487D-93DA-C51C1938BBD4}"/>
    <cellStyle name="RISKnormBoxed 6 7" xfId="11822" xr:uid="{3CDED4AA-4F45-4FB2-857C-042D691A2FAD}"/>
    <cellStyle name="RISKnormBoxed 6 7 2" xfId="34434" xr:uid="{06C36BBD-760E-41F9-99AE-0D44E49EEF2B}"/>
    <cellStyle name="RISKnormBoxed 6 8" xfId="12252" xr:uid="{F2B45894-8603-4C2D-BC83-D135D69F4284}"/>
    <cellStyle name="RISKnormBoxed 6 8 2" xfId="34758" xr:uid="{9E89534D-25DA-4CF8-A149-D3FB4B0E8EBC}"/>
    <cellStyle name="RISKnormBoxed 6 9" xfId="14081" xr:uid="{D0B37A57-74C1-4EC5-BC58-6773F334DD59}"/>
    <cellStyle name="RISKnormBoxed 6 9 2" xfId="36175" xr:uid="{3712A5D4-F69A-4E35-9C50-34D2D856F8AB}"/>
    <cellStyle name="RISKnormBoxed 7" xfId="3830" xr:uid="{8605A322-6A08-4B4B-8CEA-CCE3D5E617B0}"/>
    <cellStyle name="RISKnormBoxed 7 10" xfId="13863" xr:uid="{D80E70B2-43AB-4D22-B23A-2D93AD8B987E}"/>
    <cellStyle name="RISKnormBoxed 7 10 2" xfId="35986" xr:uid="{20BFBCC5-E579-4263-BFAD-26E5F781DDB4}"/>
    <cellStyle name="RISKnormBoxed 7 11" xfId="15828" xr:uid="{78B1C823-C3DE-4597-BD11-890A3B1B0AD4}"/>
    <cellStyle name="RISKnormBoxed 7 11 2" xfId="37437" xr:uid="{67372D3D-E64D-44AE-94AC-3CD9C6252A9A}"/>
    <cellStyle name="RISKnormBoxed 7 12" xfId="17242" xr:uid="{DE7F774C-1EB6-42EE-9979-78251B47673C}"/>
    <cellStyle name="RISKnormBoxed 7 12 2" xfId="38546" xr:uid="{0DD877F6-320F-4695-909E-67045C58EFE4}"/>
    <cellStyle name="RISKnormBoxed 7 13" xfId="12635" xr:uid="{21A7AA78-FD8E-47A7-B9C5-553F7D9BF13B}"/>
    <cellStyle name="RISKnormBoxed 7 13 2" xfId="35063" xr:uid="{D6220622-347B-41A2-8FCA-BF9044B03483}"/>
    <cellStyle name="RISKnormBoxed 7 14" xfId="18948" xr:uid="{483DCEA1-10E5-4C43-B499-92D90D7CB26C}"/>
    <cellStyle name="RISKnormBoxed 7 14 2" xfId="39780" xr:uid="{91B05A96-7A78-4414-A2B0-5BFB7CCD2BB2}"/>
    <cellStyle name="RISKnormBoxed 7 15" xfId="17157" xr:uid="{2AC3C202-A32A-4AEA-BBA9-D2D0D4CB3D45}"/>
    <cellStyle name="RISKnormBoxed 7 15 2" xfId="38486" xr:uid="{E30B4742-1560-4BE4-8FD2-A77B1CE3920E}"/>
    <cellStyle name="RISKnormBoxed 7 16" xfId="18634" xr:uid="{41E29353-42F9-40B3-A7A9-2773DBDEA923}"/>
    <cellStyle name="RISKnormBoxed 7 16 2" xfId="39531" xr:uid="{8D5BCB46-2492-4EEA-9233-2CDA7F4F78C3}"/>
    <cellStyle name="RISKnormBoxed 7 17" xfId="23251" xr:uid="{9C87BF0E-AD23-494E-9F80-1F03545C0F7D}"/>
    <cellStyle name="RISKnormBoxed 7 17 2" xfId="42826" xr:uid="{A0DBB61E-E17E-445C-BF8B-29F039F0D67B}"/>
    <cellStyle name="RISKnormBoxed 7 18" xfId="24056" xr:uid="{6E7DA3B6-76BC-4C52-A49E-93D53FC5641B}"/>
    <cellStyle name="RISKnormBoxed 7 18 2" xfId="43432" xr:uid="{2660B6BD-BDF8-4A60-A49C-333003C7DD89}"/>
    <cellStyle name="RISKnormBoxed 7 19" xfId="22106" xr:uid="{171F6966-C1C9-4731-B040-255C948AB1F5}"/>
    <cellStyle name="RISKnormBoxed 7 19 2" xfId="41991" xr:uid="{73518996-DCE2-435D-B790-4D140C16CFCC}"/>
    <cellStyle name="RISKnormBoxed 7 2" xfId="3831" xr:uid="{731929FA-3986-4010-92B4-998930F5DDE1}"/>
    <cellStyle name="RISKnormBoxed 7 2 10" xfId="13488" xr:uid="{37510AED-97E4-4C4C-837C-57F6C9055A38}"/>
    <cellStyle name="RISKnormBoxed 7 2 10 2" xfId="35742" xr:uid="{3C9BAED0-7C1C-4F31-93E7-DDAA2F173CA9}"/>
    <cellStyle name="RISKnormBoxed 7 2 11" xfId="18087" xr:uid="{D1BFBB4D-655E-4A45-ADCB-24F39674ACE9}"/>
    <cellStyle name="RISKnormBoxed 7 2 11 2" xfId="39161" xr:uid="{41DE18DE-A715-436F-822D-32908C8AC541}"/>
    <cellStyle name="RISKnormBoxed 7 2 12" xfId="20746" xr:uid="{5CC11F70-C544-41D8-9C5B-CA04DCBAD977}"/>
    <cellStyle name="RISKnormBoxed 7 2 12 2" xfId="41106" xr:uid="{C7C82AF2-0E67-41D7-BE4F-D208E67CBBA0}"/>
    <cellStyle name="RISKnormBoxed 7 2 13" xfId="19114" xr:uid="{0102F97A-90C7-4149-A4BD-160B35421268}"/>
    <cellStyle name="RISKnormBoxed 7 2 13 2" xfId="39923" xr:uid="{ABFB094F-A8E0-4323-8EDC-9716231EEB33}"/>
    <cellStyle name="RISKnormBoxed 7 2 14" xfId="19544" xr:uid="{51DA73C9-F513-4FE8-B37B-351C9BE5F433}"/>
    <cellStyle name="RISKnormBoxed 7 2 14 2" xfId="40207" xr:uid="{5F4E5191-0816-4485-B943-3730D0457A9D}"/>
    <cellStyle name="RISKnormBoxed 7 2 15" xfId="16128" xr:uid="{57962DD8-7C2A-4026-A995-528E3F9D11D4}"/>
    <cellStyle name="RISKnormBoxed 7 2 15 2" xfId="37697" xr:uid="{035109F0-EC6E-4B58-B2E7-83B81DE91E48}"/>
    <cellStyle name="RISKnormBoxed 7 2 16" xfId="15385" xr:uid="{5C107F29-B44C-4051-9D22-23865C744245}"/>
    <cellStyle name="RISKnormBoxed 7 2 16 2" xfId="37083" xr:uid="{61C55D9E-48E3-4087-9CB6-CCCAFC09BDDD}"/>
    <cellStyle name="RISKnormBoxed 7 2 17" xfId="21188" xr:uid="{3ABB69DE-7818-4739-8F4D-740FD4659E9B}"/>
    <cellStyle name="RISKnormBoxed 7 2 17 2" xfId="41381" xr:uid="{9A19567B-7F11-4077-B622-0D1A0525A1CB}"/>
    <cellStyle name="RISKnormBoxed 7 2 18" xfId="18581" xr:uid="{FE7D969A-0921-4E9F-90F0-24B455466CB4}"/>
    <cellStyle name="RISKnormBoxed 7 2 18 2" xfId="39523" xr:uid="{42E6A931-4BEF-4DD2-8EEC-F7C066479E0A}"/>
    <cellStyle name="RISKnormBoxed 7 2 19" xfId="26656" xr:uid="{93977CCB-CB40-4661-8C5B-4115B651681F}"/>
    <cellStyle name="RISKnormBoxed 7 2 19 2" xfId="45205" xr:uid="{44FDE05D-7D11-4EF6-82AA-2625185E4A22}"/>
    <cellStyle name="RISKnormBoxed 7 2 2" xfId="11864" xr:uid="{A452E824-CF86-4E4A-9B42-8FDFCF1E3726}"/>
    <cellStyle name="RISKnormBoxed 7 2 2 2" xfId="34476" xr:uid="{6FC82D71-3FCA-4BF5-9BE4-FF86A3DED4E2}"/>
    <cellStyle name="RISKnormBoxed 7 2 20" xfId="26224" xr:uid="{F27B9938-B523-4971-B483-5BFBD4C7805E}"/>
    <cellStyle name="RISKnormBoxed 7 2 20 2" xfId="44933" xr:uid="{C9E494DA-4473-46D8-BF39-62035A2DF1AE}"/>
    <cellStyle name="RISKnormBoxed 7 2 21" xfId="21939" xr:uid="{EAF26356-C48A-4BCD-8D61-790E434BE53F}"/>
    <cellStyle name="RISKnormBoxed 7 2 21 2" xfId="41853" xr:uid="{0A96E701-68DB-43F8-8538-90B3D02F16D1}"/>
    <cellStyle name="RISKnormBoxed 7 2 22" xfId="26618" xr:uid="{EEC437E1-056A-419A-A217-C9D5F9EB45EE}"/>
    <cellStyle name="RISKnormBoxed 7 2 22 2" xfId="45168" xr:uid="{620DC5E0-32DB-44E5-B254-B551DAD010F8}"/>
    <cellStyle name="RISKnormBoxed 7 2 23" xfId="28292" xr:uid="{BE9426C2-4FF5-4208-A39C-277C547E3311}"/>
    <cellStyle name="RISKnormBoxed 7 2 23 2" xfId="46159" xr:uid="{09FA1956-34F9-4823-9283-F8E0E41FC027}"/>
    <cellStyle name="RISKnormBoxed 7 2 24" xfId="29332" xr:uid="{B512641B-4389-4100-BE5D-B3A248D618C3}"/>
    <cellStyle name="RISKnormBoxed 7 2 24 2" xfId="46810" xr:uid="{EAC6A667-BFD5-423C-9FA9-40E31DD4A7C2}"/>
    <cellStyle name="RISKnormBoxed 7 2 25" xfId="29912" xr:uid="{883BDB3E-2302-4637-92F7-E8E8BDF05879}"/>
    <cellStyle name="RISKnormBoxed 7 2 25 2" xfId="47200" xr:uid="{C8D90617-8803-445F-82BC-00D14955E87D}"/>
    <cellStyle name="RISKnormBoxed 7 2 26" xfId="29902" xr:uid="{DBD6F852-1FE6-4373-96D7-43EC698580AB}"/>
    <cellStyle name="RISKnormBoxed 7 2 26 2" xfId="47190" xr:uid="{DD0D5B4B-D58D-4A23-8E56-58656663662D}"/>
    <cellStyle name="RISKnormBoxed 7 2 27" xfId="31080" xr:uid="{DD9FD617-1630-4584-9942-67B6A9DA0D0F}"/>
    <cellStyle name="RISKnormBoxed 7 2 27 2" xfId="47810" xr:uid="{0E6C49A9-D7AB-4433-9D74-3F20BBCC6ACA}"/>
    <cellStyle name="RISKnormBoxed 7 2 28" xfId="6778" xr:uid="{A650AC6D-B40B-4DE0-9E42-7167C196BD0E}"/>
    <cellStyle name="RISKnormBoxed 7 2 3" xfId="10165" xr:uid="{78A8C0D7-1E12-49CA-84A7-DB0C09D9BB4A}"/>
    <cellStyle name="RISKnormBoxed 7 2 3 2" xfId="33829" xr:uid="{B13ECC73-5A85-47DA-B182-2D5E908AF8C0}"/>
    <cellStyle name="RISKnormBoxed 7 2 4" xfId="7109" xr:uid="{90E1BCD7-8AD9-4BD3-8FCC-D52A2D781C8B}"/>
    <cellStyle name="RISKnormBoxed 7 2 4 2" xfId="31476" xr:uid="{127740D4-54FB-43DB-B49A-90E6C47FFB37}"/>
    <cellStyle name="RISKnormBoxed 7 2 5" xfId="7400" xr:uid="{D6E599C9-7164-45FE-8AA9-3AC3ADA32372}"/>
    <cellStyle name="RISKnormBoxed 7 2 5 2" xfId="31759" xr:uid="{AA80BE23-E39C-4C87-BDE0-DD49311E2C97}"/>
    <cellStyle name="RISKnormBoxed 7 2 6" xfId="14416" xr:uid="{68286566-520E-44FF-B039-730BE54DAC07}"/>
    <cellStyle name="RISKnormBoxed 7 2 6 2" xfId="36405" xr:uid="{ECC68368-9742-4668-9DAF-F0CD6B9C0550}"/>
    <cellStyle name="RISKnormBoxed 7 2 7" xfId="14080" xr:uid="{3963CE07-142A-4944-AB3A-849271D059D9}"/>
    <cellStyle name="RISKnormBoxed 7 2 7 2" xfId="36174" xr:uid="{2E2BC682-8317-4590-A42A-9FBF1803D1DD}"/>
    <cellStyle name="RISKnormBoxed 7 2 8" xfId="17524" xr:uid="{308D96DC-CA90-4BA5-9AC6-61820378EE14}"/>
    <cellStyle name="RISKnormBoxed 7 2 8 2" xfId="38771" xr:uid="{EE745DBE-52B0-4B12-B1BF-EBCE2CFB416E}"/>
    <cellStyle name="RISKnormBoxed 7 2 9" xfId="18374" xr:uid="{C9869890-9CD6-45B4-A47E-D39637C2A7BA}"/>
    <cellStyle name="RISKnormBoxed 7 2 9 2" xfId="39385" xr:uid="{D1D1577E-6457-4B2B-BB5B-7FA03BCAF8C0}"/>
    <cellStyle name="RISKnormBoxed 7 20" xfId="25684" xr:uid="{416404C9-653F-465F-90F1-96CEC36447E7}"/>
    <cellStyle name="RISKnormBoxed 7 20 2" xfId="44521" xr:uid="{E39484DB-304F-432C-A99D-5EB13B3CD8F1}"/>
    <cellStyle name="RISKnormBoxed 7 21" xfId="25416" xr:uid="{9E80FF70-A307-4F5E-A6AB-1E7E6ED103F9}"/>
    <cellStyle name="RISKnormBoxed 7 21 2" xfId="44308" xr:uid="{E25AF801-3524-4589-98E8-8B6990DCDFF1}"/>
    <cellStyle name="RISKnormBoxed 7 22" xfId="22607" xr:uid="{91191AF1-640B-4874-8023-605536A059D1}"/>
    <cellStyle name="RISKnormBoxed 7 22 2" xfId="42389" xr:uid="{669C3870-AEEF-4DB8-ACEF-41C97468D106}"/>
    <cellStyle name="RISKnormBoxed 7 23" xfId="27908" xr:uid="{4149519C-48D0-4EED-AE50-3C2464917001}"/>
    <cellStyle name="RISKnormBoxed 7 23 2" xfId="45980" xr:uid="{4F121C89-6D59-43FE-881F-12F6A59A3055}"/>
    <cellStyle name="RISKnormBoxed 7 24" xfId="24235" xr:uid="{A25F566D-DFAB-45E8-B6AE-EE33A737D02C}"/>
    <cellStyle name="RISKnormBoxed 7 24 2" xfId="43552" xr:uid="{1E080177-77D1-4D7D-887E-068EFA81A892}"/>
    <cellStyle name="RISKnormBoxed 7 25" xfId="27019" xr:uid="{21334CE6-D358-40DC-8B20-4B77232BE605}"/>
    <cellStyle name="RISKnormBoxed 7 25 2" xfId="45422" xr:uid="{907E11CC-12E7-4218-9E77-95D1FBB998E0}"/>
    <cellStyle name="RISKnormBoxed 7 26" xfId="28040" xr:uid="{2B7B1822-E641-4C2B-B670-DB40F809AF90}"/>
    <cellStyle name="RISKnormBoxed 7 26 2" xfId="46038" xr:uid="{94EE0719-9016-4181-9B0D-863758671292}"/>
    <cellStyle name="RISKnormBoxed 7 27" xfId="28912" xr:uid="{EDA0B98A-517E-40CD-9B1B-7FDE7D27F11A}"/>
    <cellStyle name="RISKnormBoxed 7 27 2" xfId="46516" xr:uid="{EBFA7044-9C84-40E1-B90E-C3FFEE553EE8}"/>
    <cellStyle name="RISKnormBoxed 7 28" xfId="26021" xr:uid="{74B7BADE-EBB9-4AD7-A368-3EB5B9EE66FD}"/>
    <cellStyle name="RISKnormBoxed 7 28 2" xfId="44794" xr:uid="{D760F981-0B9C-4D0D-A049-1C6F7F56DC3C}"/>
    <cellStyle name="RISKnormBoxed 7 29" xfId="30627" xr:uid="{862F4601-322E-4ABB-AFE8-E2E2B0A997CA}"/>
    <cellStyle name="RISKnormBoxed 7 29 2" xfId="47573" xr:uid="{CE76A870-7D6B-470C-BC50-89B40DB5CF6E}"/>
    <cellStyle name="RISKnormBoxed 7 3" xfId="3832" xr:uid="{EE783BA7-C9BC-4829-BDD1-DE0AA8888ECC}"/>
    <cellStyle name="RISKnormBoxed 7 3 10" xfId="17241" xr:uid="{7818FDB6-C445-4133-A65D-9E9E19C4B5EC}"/>
    <cellStyle name="RISKnormBoxed 7 3 10 2" xfId="38545" xr:uid="{306E6F7A-7F98-4225-A0BF-49605A4E7EE2}"/>
    <cellStyle name="RISKnormBoxed 7 3 11" xfId="15759" xr:uid="{C15EDDA8-DF3F-43DE-999E-3725559E3721}"/>
    <cellStyle name="RISKnormBoxed 7 3 11 2" xfId="37384" xr:uid="{88D53DCA-7D30-44F2-994D-776158392163}"/>
    <cellStyle name="RISKnormBoxed 7 3 12" xfId="16103" xr:uid="{60F9A719-CFDA-4271-8C7B-316AA081B3A9}"/>
    <cellStyle name="RISKnormBoxed 7 3 12 2" xfId="37673" xr:uid="{7BDDA606-3E79-42A2-B62D-C6ACAA6E73E9}"/>
    <cellStyle name="RISKnormBoxed 7 3 13" xfId="12665" xr:uid="{F562BDCC-7680-440D-A422-5F1AF230851C}"/>
    <cellStyle name="RISKnormBoxed 7 3 13 2" xfId="35089" xr:uid="{E026CB2F-7D29-4D62-B2A1-25301D6F8FBD}"/>
    <cellStyle name="RISKnormBoxed 7 3 14" xfId="17897" xr:uid="{A00EE742-8319-401D-BABC-18B0C1F9FF29}"/>
    <cellStyle name="RISKnormBoxed 7 3 14 2" xfId="39004" xr:uid="{063B5BAE-81A4-4C7C-8682-D5170417F0B9}"/>
    <cellStyle name="RISKnormBoxed 7 3 15" xfId="23250" xr:uid="{9C6A754A-B828-414D-A4F0-3010392B12FB}"/>
    <cellStyle name="RISKnormBoxed 7 3 15 2" xfId="42825" xr:uid="{68EB9317-5FE4-4E70-9BAD-5A30608BFABC}"/>
    <cellStyle name="RISKnormBoxed 7 3 16" xfId="24055" xr:uid="{3F876267-E02E-4B4C-8D61-D5DF02F4A657}"/>
    <cellStyle name="RISKnormBoxed 7 3 16 2" xfId="43431" xr:uid="{CB0CB6A1-08D1-479A-A1B3-2A741B585525}"/>
    <cellStyle name="RISKnormBoxed 7 3 17" xfId="20154" xr:uid="{BD40EDDE-39D8-4345-969F-C415015CF4FF}"/>
    <cellStyle name="RISKnormBoxed 7 3 17 2" xfId="40661" xr:uid="{913B5E8F-4C54-4978-9FB0-7099499F89A5}"/>
    <cellStyle name="RISKnormBoxed 7 3 18" xfId="19425" xr:uid="{BCFBF72A-9778-4790-898F-A8295D817459}"/>
    <cellStyle name="RISKnormBoxed 7 3 18 2" xfId="40146" xr:uid="{749A4954-BBB8-4DC5-B4DB-43CAE7DBBF22}"/>
    <cellStyle name="RISKnormBoxed 7 3 19" xfId="20351" xr:uid="{D4B5B908-6133-4418-BE9D-503A4293A80E}"/>
    <cellStyle name="RISKnormBoxed 7 3 19 2" xfId="40783" xr:uid="{BA570DCD-2DBC-469F-AFD5-0D959DBF7905}"/>
    <cellStyle name="RISKnormBoxed 7 3 2" xfId="7448" xr:uid="{0B1DBF3B-6987-4A49-9B90-533CA3F94DAA}"/>
    <cellStyle name="RISKnormBoxed 7 3 2 2" xfId="31806" xr:uid="{EB91CAF9-2000-4C6F-9DF2-EDDC22DAF82D}"/>
    <cellStyle name="RISKnormBoxed 7 3 20" xfId="23815" xr:uid="{1263EFAC-DBC8-4893-B324-3C83D5B66E18}"/>
    <cellStyle name="RISKnormBoxed 7 3 20 2" xfId="43204" xr:uid="{E7DD9EE9-E39D-4766-8D0A-357A85D713E0}"/>
    <cellStyle name="RISKnormBoxed 7 3 21" xfId="27907" xr:uid="{97126251-5538-420A-A0DF-ACA3E1201A51}"/>
    <cellStyle name="RISKnormBoxed 7 3 21 2" xfId="45979" xr:uid="{8CFB981E-8313-48F9-88C8-D5D70E9543BE}"/>
    <cellStyle name="RISKnormBoxed 7 3 22" xfId="25426" xr:uid="{5134667E-6545-4995-9179-DDE873927F90}"/>
    <cellStyle name="RISKnormBoxed 7 3 22 2" xfId="44317" xr:uid="{A1E0408A-5ECC-465C-B381-24FDFABD5BC7}"/>
    <cellStyle name="RISKnormBoxed 7 3 23" xfId="28975" xr:uid="{F87B724C-F622-4015-9D69-76380613B2C6}"/>
    <cellStyle name="RISKnormBoxed 7 3 23 2" xfId="46569" xr:uid="{45E7EC50-EE0F-4F39-8C56-0F2B68160879}"/>
    <cellStyle name="RISKnormBoxed 7 3 24" xfId="28406" xr:uid="{D93F5DDB-B99D-43F6-A7D4-AE36872056D3}"/>
    <cellStyle name="RISKnormBoxed 7 3 24 2" xfId="46253" xr:uid="{2FC18FF7-A750-4253-8A86-290275C31CF1}"/>
    <cellStyle name="RISKnormBoxed 7 3 25" xfId="29705" xr:uid="{BEABA460-889F-43E7-B569-C93681B856AE}"/>
    <cellStyle name="RISKnormBoxed 7 3 25 2" xfId="47050" xr:uid="{54CE0DEC-6CD2-4FEC-949C-88658B194631}"/>
    <cellStyle name="RISKnormBoxed 7 3 26" xfId="29799" xr:uid="{D4449D6B-E797-48F8-A331-1157214AC565}"/>
    <cellStyle name="RISKnormBoxed 7 3 26 2" xfId="47118" xr:uid="{3A6076FC-57B8-4F6E-9D36-FED8C9F315A5}"/>
    <cellStyle name="RISKnormBoxed 7 3 27" xfId="28130" xr:uid="{7FD6052B-49BF-42D7-A749-4DFE2F51FF90}"/>
    <cellStyle name="RISKnormBoxed 7 3 27 2" xfId="46070" xr:uid="{00CD7B55-C2E1-4913-9C91-DE76A819F815}"/>
    <cellStyle name="RISKnormBoxed 7 3 28" xfId="6779" xr:uid="{80D006E6-01E7-46BD-9A75-6130D9A5A63B}"/>
    <cellStyle name="RISKnormBoxed 7 3 3" xfId="13285" xr:uid="{9609A81E-6C12-4585-9EFD-530DD2DCFB89}"/>
    <cellStyle name="RISKnormBoxed 7 3 3 2" xfId="35602" xr:uid="{B7E8B693-D1A8-4B5E-ADC8-FA30F625A545}"/>
    <cellStyle name="RISKnormBoxed 7 3 4" xfId="7108" xr:uid="{CA6D35AC-C68F-43A1-A3EE-59C678766042}"/>
    <cellStyle name="RISKnormBoxed 7 3 4 2" xfId="31475" xr:uid="{A3D1F36E-DF1C-4D86-835B-52894E735002}"/>
    <cellStyle name="RISKnormBoxed 7 3 5" xfId="7399" xr:uid="{2626A8F1-8DEF-49A4-B941-482734FEA185}"/>
    <cellStyle name="RISKnormBoxed 7 3 5 2" xfId="31758" xr:uid="{6A4CCBC5-8D59-4ABE-94FC-204EB6075073}"/>
    <cellStyle name="RISKnormBoxed 7 3 6" xfId="14705" xr:uid="{5CF31556-D350-47EC-A27B-53B0EFCF7C5E}"/>
    <cellStyle name="RISKnormBoxed 7 3 6 2" xfId="36617" xr:uid="{DF4972DB-43CC-4A00-911A-62B24B9EEC9B}"/>
    <cellStyle name="RISKnormBoxed 7 3 7" xfId="16652" xr:uid="{0ABF1713-6A4C-4BCB-88F4-4251E0AC19F4}"/>
    <cellStyle name="RISKnormBoxed 7 3 7 2" xfId="38143" xr:uid="{F60A19B2-6FE8-43BD-BE46-A1255E33B4AB}"/>
    <cellStyle name="RISKnormBoxed 7 3 8" xfId="16034" xr:uid="{C9EA1FC9-5DB2-4850-AD0C-0134899DB28A}"/>
    <cellStyle name="RISKnormBoxed 7 3 8 2" xfId="37617" xr:uid="{74E4CB2F-8CE5-4744-892E-51041590C4DF}"/>
    <cellStyle name="RISKnormBoxed 7 3 9" xfId="16340" xr:uid="{AEC30D16-545A-4FE1-AC05-FF048FAAC422}"/>
    <cellStyle name="RISKnormBoxed 7 3 9 2" xfId="37868" xr:uid="{EE714763-69FB-40B9-875F-6B848A649DD1}"/>
    <cellStyle name="RISKnormBoxed 7 30" xfId="6777" xr:uid="{3EF9BC1C-96B7-414B-9201-BB3CC4647923}"/>
    <cellStyle name="RISKnormBoxed 7 4" xfId="7449" xr:uid="{619E7E9C-FD6E-4D4B-A805-FF1B9A8E98F4}"/>
    <cellStyle name="RISKnormBoxed 7 4 2" xfId="31807" xr:uid="{9E2FBA4A-685C-4C67-ADB6-30EEDD40B479}"/>
    <cellStyle name="RISKnormBoxed 7 5" xfId="13286" xr:uid="{C0E94808-ACCC-4479-AFE8-31A60502774C}"/>
    <cellStyle name="RISKnormBoxed 7 5 2" xfId="35603" xr:uid="{885BB7D6-F7F1-4903-A0D4-59C30559E37C}"/>
    <cellStyle name="RISKnormBoxed 7 6" xfId="7110" xr:uid="{7175565A-7072-4B9F-BF04-D2A17C56EDD8}"/>
    <cellStyle name="RISKnormBoxed 7 6 2" xfId="31477" xr:uid="{FBA41ED7-04AC-4E73-A1C0-57535DF63F8A}"/>
    <cellStyle name="RISKnormBoxed 7 7" xfId="7401" xr:uid="{B4A4D5D3-1D7D-4E4F-97BE-A9CB3116EAF9}"/>
    <cellStyle name="RISKnormBoxed 7 7 2" xfId="31760" xr:uid="{39399AC8-949F-442B-9249-23CDF18C83A6}"/>
    <cellStyle name="RISKnormBoxed 7 8" xfId="14706" xr:uid="{DB15B644-8D67-4BA8-A8FD-03F83C63E7A9}"/>
    <cellStyle name="RISKnormBoxed 7 8 2" xfId="36618" xr:uid="{51C55B37-C698-4371-87E4-D2A90D1AE038}"/>
    <cellStyle name="RISKnormBoxed 7 9" xfId="16653" xr:uid="{518A8437-09EC-4F72-8F98-46FCFF97E561}"/>
    <cellStyle name="RISKnormBoxed 7 9 2" xfId="38144" xr:uid="{D0677EF3-AB8D-4C00-B299-59F7EA690997}"/>
    <cellStyle name="RISKnormBoxed 8" xfId="3833" xr:uid="{ACB806E7-B33A-4EC9-A0FB-13C518DFC72F}"/>
    <cellStyle name="RISKnormBoxed 8 10" xfId="17523" xr:uid="{6EED7079-72AB-4CCA-B0E1-75FC33455FFE}"/>
    <cellStyle name="RISKnormBoxed 8 10 2" xfId="38770" xr:uid="{64E99A50-F82A-4C69-A87A-AEEE49A629FB}"/>
    <cellStyle name="RISKnormBoxed 8 11" xfId="18373" xr:uid="{8B27275B-01A9-4D72-941F-8731DAFA67A1}"/>
    <cellStyle name="RISKnormBoxed 8 11 2" xfId="39384" xr:uid="{2D7D2DE5-C1C1-4788-972F-38E432B17285}"/>
    <cellStyle name="RISKnormBoxed 8 12" xfId="13785" xr:uid="{8F8D3D78-6563-47C1-BF18-7E823B814C79}"/>
    <cellStyle name="RISKnormBoxed 8 12 2" xfId="35921" xr:uid="{CC0D54C9-07C9-4A0E-B543-3D05719A13B2}"/>
    <cellStyle name="RISKnormBoxed 8 13" xfId="18086" xr:uid="{E2F3B374-036E-43B9-957D-5C9E2F8F3528}"/>
    <cellStyle name="RISKnormBoxed 8 13 2" xfId="39160" xr:uid="{96E509E8-5E41-4AB1-B6A7-B59FA3F2D2E2}"/>
    <cellStyle name="RISKnormBoxed 8 14" xfId="20745" xr:uid="{411C2D7A-6CCB-45DD-8228-9E9870448831}"/>
    <cellStyle name="RISKnormBoxed 8 14 2" xfId="41105" xr:uid="{E2F55DAE-49AE-4EAC-B2A5-B9366FF791E2}"/>
    <cellStyle name="RISKnormBoxed 8 15" xfId="19113" xr:uid="{CE84A028-1140-4D23-B74D-F3819C27EDBE}"/>
    <cellStyle name="RISKnormBoxed 8 15 2" xfId="39922" xr:uid="{5BED8A58-0BC5-409E-9776-18AD3CD39E23}"/>
    <cellStyle name="RISKnormBoxed 8 16" xfId="21260" xr:uid="{FFD0A168-4BE3-4B33-A935-D5704280BDED}"/>
    <cellStyle name="RISKnormBoxed 8 16 2" xfId="41441" xr:uid="{20C3A2D3-F10D-4A3F-84A1-AAC096D4CE48}"/>
    <cellStyle name="RISKnormBoxed 8 17" xfId="20520" xr:uid="{5B704283-9771-4274-BAF8-89C7385B8D03}"/>
    <cellStyle name="RISKnormBoxed 8 17 2" xfId="40900" xr:uid="{B95CF70A-CE60-40BB-B123-7AADA8520A12}"/>
    <cellStyle name="RISKnormBoxed 8 18" xfId="20945" xr:uid="{1585BBF0-F54D-4E39-9AB6-A5A0596AB6C9}"/>
    <cellStyle name="RISKnormBoxed 8 18 2" xfId="41246" xr:uid="{32E344D0-2A28-4A68-AD63-AF4E524AD0E1}"/>
    <cellStyle name="RISKnormBoxed 8 19" xfId="19411" xr:uid="{67E66932-E777-4D4B-9B95-69114080420B}"/>
    <cellStyle name="RISKnormBoxed 8 19 2" xfId="40132" xr:uid="{3A93304F-D01E-4D9C-AF7F-CDF5E909F5B7}"/>
    <cellStyle name="RISKnormBoxed 8 2" xfId="3834" xr:uid="{BF8D1ADB-FC40-43AE-A856-082F549FA08F}"/>
    <cellStyle name="RISKnormBoxed 8 2 10" xfId="17240" xr:uid="{49716556-3219-47C4-B8DF-40D96F5D2AF8}"/>
    <cellStyle name="RISKnormBoxed 8 2 10 2" xfId="38544" xr:uid="{24A8A2D0-2E0B-4A24-A19F-5D151FBD20F8}"/>
    <cellStyle name="RISKnormBoxed 8 2 11" xfId="13935" xr:uid="{A4397324-5B90-45DA-8ACD-35D473285DDC}"/>
    <cellStyle name="RISKnormBoxed 8 2 11 2" xfId="36044" xr:uid="{3D18F509-76E4-4843-AD8C-5E0F0B2318DC}"/>
    <cellStyle name="RISKnormBoxed 8 2 12" xfId="18947" xr:uid="{998C2C49-64FF-4B2C-97C8-F151267EA607}"/>
    <cellStyle name="RISKnormBoxed 8 2 12 2" xfId="39779" xr:uid="{600D415B-A7BB-4321-85AA-1243B3BFBEE9}"/>
    <cellStyle name="RISKnormBoxed 8 2 13" xfId="17156" xr:uid="{349B3B8F-3213-42E7-A0AB-66E01138F7F6}"/>
    <cellStyle name="RISKnormBoxed 8 2 13 2" xfId="38485" xr:uid="{6C048323-D4C0-4EE5-BB92-4D9A270E0E01}"/>
    <cellStyle name="RISKnormBoxed 8 2 14" xfId="22032" xr:uid="{BFE58241-0523-4370-B106-497BCFED8CEF}"/>
    <cellStyle name="RISKnormBoxed 8 2 14 2" xfId="41927" xr:uid="{02986055-A4AC-4079-A8D0-407E1C3B9CF4}"/>
    <cellStyle name="RISKnormBoxed 8 2 15" xfId="23249" xr:uid="{B0F9AFDC-C175-4D03-B354-8F5B59EFD215}"/>
    <cellStyle name="RISKnormBoxed 8 2 15 2" xfId="42824" xr:uid="{7D8130FE-E481-4E84-82F5-A9330B25010F}"/>
    <cellStyle name="RISKnormBoxed 8 2 16" xfId="24054" xr:uid="{FDFB2CAD-10BC-4A39-A315-C7FC9F1D17E4}"/>
    <cellStyle name="RISKnormBoxed 8 2 16 2" xfId="43430" xr:uid="{2838E763-45B6-4A9E-A79D-797D1FA1098D}"/>
    <cellStyle name="RISKnormBoxed 8 2 17" xfId="22107" xr:uid="{5A374913-8DBE-4FA2-AAD3-57FB10701177}"/>
    <cellStyle name="RISKnormBoxed 8 2 17 2" xfId="41992" xr:uid="{D01441A1-7B96-4204-8E8A-C4DA2159ECEB}"/>
    <cellStyle name="RISKnormBoxed 8 2 18" xfId="22135" xr:uid="{91253A08-22EE-45C9-9844-90CEA95D5E2E}"/>
    <cellStyle name="RISKnormBoxed 8 2 18 2" xfId="42020" xr:uid="{16760575-65F2-4FAB-80C3-C07566479867}"/>
    <cellStyle name="RISKnormBoxed 8 2 19" xfId="23419" xr:uid="{29F6D612-5900-4C7F-8531-785CBFEA0214}"/>
    <cellStyle name="RISKnormBoxed 8 2 19 2" xfId="42936" xr:uid="{CFF7F1FE-629B-4A36-95E9-0ABD8A8122DB}"/>
    <cellStyle name="RISKnormBoxed 8 2 2" xfId="7447" xr:uid="{FDA78EAC-BBD4-4F1E-8BE3-F58B2232FFC4}"/>
    <cellStyle name="RISKnormBoxed 8 2 2 2" xfId="31805" xr:uid="{67B6B802-7B8C-4BD9-9994-D88AA0AE106B}"/>
    <cellStyle name="RISKnormBoxed 8 2 20" xfId="21021" xr:uid="{A86722DA-5D38-4C3D-BBBB-7D73C235287A}"/>
    <cellStyle name="RISKnormBoxed 8 2 20 2" xfId="41278" xr:uid="{EA1B1FCF-3770-4E21-9F20-58995CE0C852}"/>
    <cellStyle name="RISKnormBoxed 8 2 21" xfId="27906" xr:uid="{BFBFFD09-A19A-43FC-8066-B389626BA19B}"/>
    <cellStyle name="RISKnormBoxed 8 2 21 2" xfId="45978" xr:uid="{9D76ED3E-FC51-410F-81B1-948BC8D666F9}"/>
    <cellStyle name="RISKnormBoxed 8 2 22" xfId="22250" xr:uid="{4FD575B4-8686-41CB-9836-AF2AE849678F}"/>
    <cellStyle name="RISKnormBoxed 8 2 22 2" xfId="42120" xr:uid="{F46885FB-01F6-42E9-BDDD-A8AA665C2CEE}"/>
    <cellStyle name="RISKnormBoxed 8 2 23" xfId="27584" xr:uid="{050B8738-099A-4C6B-9A76-2BCB7F861B15}"/>
    <cellStyle name="RISKnormBoxed 8 2 23 2" xfId="45733" xr:uid="{D52A6551-F0C7-457F-BB21-D2F5D389E473}"/>
    <cellStyle name="RISKnormBoxed 8 2 24" xfId="27064" xr:uid="{A15C6B4E-B361-4F43-BAC4-DFB74A10B75A}"/>
    <cellStyle name="RISKnormBoxed 8 2 24 2" xfId="45457" xr:uid="{B4B2DDAB-F150-4C92-9D59-910F5CAF8FBC}"/>
    <cellStyle name="RISKnormBoxed 8 2 25" xfId="25605" xr:uid="{1ABF78B7-A3FC-4E5F-9F83-9014D708F1B0}"/>
    <cellStyle name="RISKnormBoxed 8 2 25 2" xfId="44465" xr:uid="{58B6E123-9646-4762-ADD0-A5D244CDF36A}"/>
    <cellStyle name="RISKnormBoxed 8 2 26" xfId="26007" xr:uid="{26FFAD2D-D547-4AE9-8F6A-4089275A55FE}"/>
    <cellStyle name="RISKnormBoxed 8 2 26 2" xfId="44784" xr:uid="{D0BA25BA-B85B-4F53-AA03-2424AF6CBC56}"/>
    <cellStyle name="RISKnormBoxed 8 2 27" xfId="30626" xr:uid="{965F192B-F79A-464A-BCDE-A31FD7500E1D}"/>
    <cellStyle name="RISKnormBoxed 8 2 27 2" xfId="47572" xr:uid="{60FBF685-FEA9-480D-8063-4465C2D3936A}"/>
    <cellStyle name="RISKnormBoxed 8 2 28" xfId="6781" xr:uid="{EC3163AF-50E1-4E0B-A2F6-35261F10D30C}"/>
    <cellStyle name="RISKnormBoxed 8 2 3" xfId="13284" xr:uid="{E15BE175-F631-4B0C-B683-3D441A286C4D}"/>
    <cellStyle name="RISKnormBoxed 8 2 3 2" xfId="35601" xr:uid="{55CB0A43-E335-49F6-801A-8353124006E5}"/>
    <cellStyle name="RISKnormBoxed 8 2 4" xfId="7106" xr:uid="{472F47F9-8435-47AC-8418-79D09D94216A}"/>
    <cellStyle name="RISKnormBoxed 8 2 4 2" xfId="31473" xr:uid="{617D72A7-681E-476E-8CDD-5D5C7F35D696}"/>
    <cellStyle name="RISKnormBoxed 8 2 5" xfId="7398" xr:uid="{0BF8231F-F398-46CD-A2FB-3972320E13FD}"/>
    <cellStyle name="RISKnormBoxed 8 2 5 2" xfId="31757" xr:uid="{0D65EB39-55DE-444B-8D1C-45A2880DB875}"/>
    <cellStyle name="RISKnormBoxed 8 2 6" xfId="14704" xr:uid="{74FDACD3-7D88-4B2D-821F-D68DDCAA35BA}"/>
    <cellStyle name="RISKnormBoxed 8 2 6 2" xfId="36616" xr:uid="{AB383C6D-4AB7-4024-895F-0186A29937B0}"/>
    <cellStyle name="RISKnormBoxed 8 2 7" xfId="16651" xr:uid="{CEA44BC8-2DB3-432C-B898-2EF9C35DA160}"/>
    <cellStyle name="RISKnormBoxed 8 2 7 2" xfId="38142" xr:uid="{5B4AFBA0-151E-4FF1-A697-12E37B40D8C2}"/>
    <cellStyle name="RISKnormBoxed 8 2 8" xfId="15609" xr:uid="{D3C327B8-58AE-45C2-99DF-1743F4774F87}"/>
    <cellStyle name="RISKnormBoxed 8 2 8 2" xfId="37267" xr:uid="{DC895E0C-1856-49A5-9BA4-1066332825E1}"/>
    <cellStyle name="RISKnormBoxed 8 2 9" xfId="12600" xr:uid="{A3B7DE3C-7DD4-485E-AE76-34CB0C647053}"/>
    <cellStyle name="RISKnormBoxed 8 2 9 2" xfId="35035" xr:uid="{5628C9D7-0090-4136-84A0-413E6D880836}"/>
    <cellStyle name="RISKnormBoxed 8 20" xfId="25914" xr:uid="{752D4B6B-5102-473A-BD8A-96109E0CF354}"/>
    <cellStyle name="RISKnormBoxed 8 20 2" xfId="44718" xr:uid="{C216D77E-A42F-4435-A330-C99C57082F1F}"/>
    <cellStyle name="RISKnormBoxed 8 21" xfId="26655" xr:uid="{18401F84-55C8-42F6-AF2C-B376E8A6E5AB}"/>
    <cellStyle name="RISKnormBoxed 8 21 2" xfId="45204" xr:uid="{5C5D2B4A-122D-4979-81BE-D17C12FB259C}"/>
    <cellStyle name="RISKnormBoxed 8 22" xfId="26223" xr:uid="{F2D77297-A7B6-470F-A6F0-2C8F55931C3F}"/>
    <cellStyle name="RISKnormBoxed 8 22 2" xfId="44932" xr:uid="{0A3ADB4B-360D-4FDF-9B92-FFA513F4E835}"/>
    <cellStyle name="RISKnormBoxed 8 23" xfId="22808" xr:uid="{708DE8E5-9E7A-4291-9AF8-07AD849152DF}"/>
    <cellStyle name="RISKnormBoxed 8 23 2" xfId="42547" xr:uid="{4574A8FC-64EA-4C48-A21B-2F12120CD490}"/>
    <cellStyle name="RISKnormBoxed 8 24" xfId="26617" xr:uid="{DFB6D73E-EDD0-4C6D-906C-B8DA07328E15}"/>
    <cellStyle name="RISKnormBoxed 8 24 2" xfId="45167" xr:uid="{C0378459-F75C-4CB4-830B-500C7BA7BF33}"/>
    <cellStyle name="RISKnormBoxed 8 25" xfId="28306" xr:uid="{5519F60E-B521-49F1-88AB-26F5D2962AE9}"/>
    <cellStyle name="RISKnormBoxed 8 25 2" xfId="46173" xr:uid="{F8685EA5-4105-4E38-A2D6-286557B850DC}"/>
    <cellStyle name="RISKnormBoxed 8 26" xfId="29545" xr:uid="{64A9531D-10FE-4F9C-954C-A0A07526BB30}"/>
    <cellStyle name="RISKnormBoxed 8 26 2" xfId="46946" xr:uid="{3332B2F2-561A-4539-803B-5D3865DD7B75}"/>
    <cellStyle name="RISKnormBoxed 8 27" xfId="29830" xr:uid="{AE9822E2-45A0-4E43-8D7E-8293DDC60888}"/>
    <cellStyle name="RISKnormBoxed 8 27 2" xfId="47147" xr:uid="{E13F8B19-1DFB-44BB-BDDF-59FB38CB41D8}"/>
    <cellStyle name="RISKnormBoxed 8 28" xfId="29619" xr:uid="{D99DE96A-851C-48CA-98A4-8910E0843F18}"/>
    <cellStyle name="RISKnormBoxed 8 28 2" xfId="47010" xr:uid="{B8FBD60A-E468-4FDC-9B75-E5922E143078}"/>
    <cellStyle name="RISKnormBoxed 8 29" xfId="31079" xr:uid="{5D08FD93-DE9E-4E6C-B7B0-8A6D624D759D}"/>
    <cellStyle name="RISKnormBoxed 8 29 2" xfId="47809" xr:uid="{8AC3A38D-B97F-4154-9168-B1F3E73B2328}"/>
    <cellStyle name="RISKnormBoxed 8 3" xfId="3835" xr:uid="{712A19B9-C9A2-4996-B9ED-CE0622DC903C}"/>
    <cellStyle name="RISKnormBoxed 8 3 10" xfId="17239" xr:uid="{610C6031-F25A-4ED0-9CD5-3998D331FF6B}"/>
    <cellStyle name="RISKnormBoxed 8 3 10 2" xfId="38543" xr:uid="{DFCF7439-D06B-48AD-8139-EC6E0617B12D}"/>
    <cellStyle name="RISKnormBoxed 8 3 11" xfId="18085" xr:uid="{9DF1CB85-3A03-4879-8858-CAECDDE244F4}"/>
    <cellStyle name="RISKnormBoxed 8 3 11 2" xfId="39159" xr:uid="{1C45FC3F-090E-47D4-BE52-B0186507985F}"/>
    <cellStyle name="RISKnormBoxed 8 3 12" xfId="20744" xr:uid="{BF725F25-8A0C-4F56-AE1B-1485D806831D}"/>
    <cellStyle name="RISKnormBoxed 8 3 12 2" xfId="41104" xr:uid="{39E6CE9D-D110-4EB2-A7E1-C01197E16A99}"/>
    <cellStyle name="RISKnormBoxed 8 3 13" xfId="17139" xr:uid="{39E2A929-88AA-4B1F-820A-1BB781F06AD9}"/>
    <cellStyle name="RISKnormBoxed 8 3 13 2" xfId="38478" xr:uid="{C546317D-7DB1-4D49-B4A0-02F39714195D}"/>
    <cellStyle name="RISKnormBoxed 8 3 14" xfId="20905" xr:uid="{BE29F93F-398F-412C-9BA5-7C357F272278}"/>
    <cellStyle name="RISKnormBoxed 8 3 14 2" xfId="41208" xr:uid="{277C57A9-047E-4860-B5F7-6D2E4A694E0D}"/>
    <cellStyle name="RISKnormBoxed 8 3 15" xfId="18837" xr:uid="{880EBE76-6E79-46F6-BA0E-5F763B3804C3}"/>
    <cellStyle name="RISKnormBoxed 8 3 15 2" xfId="39684" xr:uid="{4185F132-2881-478A-B109-3047319FF361}"/>
    <cellStyle name="RISKnormBoxed 8 3 16" xfId="22184" xr:uid="{0E9B631E-FF12-4AEB-A322-FE8E0FD10951}"/>
    <cellStyle name="RISKnormBoxed 8 3 16 2" xfId="42063" xr:uid="{70B07E36-6FF8-4E84-B351-27D510092C19}"/>
    <cellStyle name="RISKnormBoxed 8 3 17" xfId="21187" xr:uid="{E67C7F7F-2B82-4AAA-816D-09EE3250DFA6}"/>
    <cellStyle name="RISKnormBoxed 8 3 17 2" xfId="41380" xr:uid="{49650FCE-C3A0-4DFF-A09F-B2F66234F94E}"/>
    <cellStyle name="RISKnormBoxed 8 3 18" xfId="25683" xr:uid="{86676FCC-CE68-4C24-A483-CA7D5A60F150}"/>
    <cellStyle name="RISKnormBoxed 8 3 18 2" xfId="44520" xr:uid="{176716D6-DC8B-4840-98A3-96C429A9629B}"/>
    <cellStyle name="RISKnormBoxed 8 3 19" xfId="26654" xr:uid="{D26F7B1F-425E-4A61-892F-06546041AC47}"/>
    <cellStyle name="RISKnormBoxed 8 3 19 2" xfId="45203" xr:uid="{49D12AE3-55E8-4415-88BE-9E52823621FD}"/>
    <cellStyle name="RISKnormBoxed 8 3 2" xfId="11862" xr:uid="{09F1EC3B-371F-4046-899C-D78BF6F7FCCA}"/>
    <cellStyle name="RISKnormBoxed 8 3 2 2" xfId="34474" xr:uid="{A2C11999-0512-403B-B32D-4FCD7E085504}"/>
    <cellStyle name="RISKnormBoxed 8 3 20" xfId="26222" xr:uid="{A66CC1C5-3CFB-4480-AB61-EFFFD8ECE837}"/>
    <cellStyle name="RISKnormBoxed 8 3 20 2" xfId="44931" xr:uid="{DBEBE2D4-8640-41A8-A2A0-B3510D253982}"/>
    <cellStyle name="RISKnormBoxed 8 3 21" xfId="25824" xr:uid="{0424D7E8-091D-4B40-9C83-B411C3C0CBF8}"/>
    <cellStyle name="RISKnormBoxed 8 3 21 2" xfId="44649" xr:uid="{1CEE2640-0F3E-4E75-8F01-6D3CBB8078DD}"/>
    <cellStyle name="RISKnormBoxed 8 3 22" xfId="26616" xr:uid="{7E81068E-99E6-454E-9319-4413931C5D09}"/>
    <cellStyle name="RISKnormBoxed 8 3 22 2" xfId="45166" xr:uid="{8BF57846-ECD1-48F9-AD9B-05CB717EE6D3}"/>
    <cellStyle name="RISKnormBoxed 8 3 23" xfId="26038" xr:uid="{6CA25A39-1CAE-4D12-B438-511D59968A61}"/>
    <cellStyle name="RISKnormBoxed 8 3 23 2" xfId="44808" xr:uid="{E70D8DBC-6073-438C-96B3-20D353C79EFE}"/>
    <cellStyle name="RISKnormBoxed 8 3 24" xfId="28405" xr:uid="{4DAFBFA6-2183-4F1D-9B44-50B58045D87F}"/>
    <cellStyle name="RISKnormBoxed 8 3 24 2" xfId="46252" xr:uid="{BB0CAE37-F0D8-4928-9EBB-DE16D1F7C459}"/>
    <cellStyle name="RISKnormBoxed 8 3 25" xfId="28722" xr:uid="{87837F1E-CB47-4654-9FD4-D79175B36422}"/>
    <cellStyle name="RISKnormBoxed 8 3 25 2" xfId="46435" xr:uid="{644E0633-B225-4E34-88C9-230FDE6628D9}"/>
    <cellStyle name="RISKnormBoxed 8 3 26" xfId="29141" xr:uid="{80724FDD-2248-4BE0-8827-8D02B771DC13}"/>
    <cellStyle name="RISKnormBoxed 8 3 26 2" xfId="46682" xr:uid="{F00F608B-4777-456F-88B0-8442154EE4E4}"/>
    <cellStyle name="RISKnormBoxed 8 3 27" xfId="31078" xr:uid="{400C39A1-F975-4608-9E9B-E9BE5CF69E6B}"/>
    <cellStyle name="RISKnormBoxed 8 3 27 2" xfId="47808" xr:uid="{5A9525AB-BD55-42A5-9B87-D80008C504C6}"/>
    <cellStyle name="RISKnormBoxed 8 3 28" xfId="6782" xr:uid="{71A68A65-DA8C-4C6A-9EFF-DC77FD834E5F}"/>
    <cellStyle name="RISKnormBoxed 8 3 3" xfId="10167" xr:uid="{1821608B-6644-4326-8666-FF27038AEF77}"/>
    <cellStyle name="RISKnormBoxed 8 3 3 2" xfId="33831" xr:uid="{F32CE5B7-99E3-490F-BA17-BDFC14219AA8}"/>
    <cellStyle name="RISKnormBoxed 8 3 4" xfId="7105" xr:uid="{7BCEAD8A-6D79-4226-8D5C-9ED2BDAD06D6}"/>
    <cellStyle name="RISKnormBoxed 8 3 4 2" xfId="31472" xr:uid="{00C9D49D-6562-452D-91B4-C875CC7EED57}"/>
    <cellStyle name="RISKnormBoxed 8 3 5" xfId="11819" xr:uid="{746DA228-586C-4A10-BA5C-538188D6EE96}"/>
    <cellStyle name="RISKnormBoxed 8 3 5 2" xfId="34431" xr:uid="{9A0B720F-F1A0-49B3-9AC5-833C513EF939}"/>
    <cellStyle name="RISKnormBoxed 8 3 6" xfId="14703" xr:uid="{59C02C3B-58D6-414F-9735-A7EBA4AB6C02}"/>
    <cellStyle name="RISKnormBoxed 8 3 6 2" xfId="36615" xr:uid="{2AE75451-423B-4C1C-8A38-712F43BEC441}"/>
    <cellStyle name="RISKnormBoxed 8 3 7" xfId="14079" xr:uid="{8286D8FD-334D-4E95-AA53-9F1DE91AF504}"/>
    <cellStyle name="RISKnormBoxed 8 3 7 2" xfId="36173" xr:uid="{BF30A139-6F05-47A7-B698-34307A6309AA}"/>
    <cellStyle name="RISKnormBoxed 8 3 8" xfId="17522" xr:uid="{5A3C89B2-023E-4387-92EB-24D5A0BF3012}"/>
    <cellStyle name="RISKnormBoxed 8 3 8 2" xfId="38769" xr:uid="{86D6FAC7-E235-4373-AAC0-7003B7191D9E}"/>
    <cellStyle name="RISKnormBoxed 8 3 9" xfId="18372" xr:uid="{197B1FC7-18E4-4E89-96D4-E40D5438C027}"/>
    <cellStyle name="RISKnormBoxed 8 3 9 2" xfId="39383" xr:uid="{5DA8EE00-FC71-48EA-A894-B21000FD7C53}"/>
    <cellStyle name="RISKnormBoxed 8 30" xfId="6780" xr:uid="{C8B0F945-9002-4E2A-AE1D-6F784E416F42}"/>
    <cellStyle name="RISKnormBoxed 8 4" xfId="11863" xr:uid="{1B155A93-7846-4DF7-B46C-DBFDAF12D91B}"/>
    <cellStyle name="RISKnormBoxed 8 4 2" xfId="34475" xr:uid="{252DB624-5AE9-4B2F-B40B-F09E014AC2E0}"/>
    <cellStyle name="RISKnormBoxed 8 5" xfId="10166" xr:uid="{CD1BF918-2998-41C0-BEB7-7ED84F184C7A}"/>
    <cellStyle name="RISKnormBoxed 8 5 2" xfId="33830" xr:uid="{3E25CF67-B3A4-411A-9E65-37697D03E818}"/>
    <cellStyle name="RISKnormBoxed 8 6" xfId="7107" xr:uid="{667CE71B-46C1-446E-956B-BBDA0D358C2F}"/>
    <cellStyle name="RISKnormBoxed 8 6 2" xfId="31474" xr:uid="{6788142A-9C05-4C2A-BB44-1BC9FBDA2BF0}"/>
    <cellStyle name="RISKnormBoxed 8 7" xfId="11820" xr:uid="{A6AA565D-09B3-403E-B23E-14226C350317}"/>
    <cellStyle name="RISKnormBoxed 8 7 2" xfId="34432" xr:uid="{4DA989CC-9392-4954-9BA8-D267E6F734BD}"/>
    <cellStyle name="RISKnormBoxed 8 8" xfId="12254" xr:uid="{6B8C0B7B-F369-4530-A1E9-7BFEF8F88E9F}"/>
    <cellStyle name="RISKnormBoxed 8 8 2" xfId="34760" xr:uid="{E733C01A-E78E-4C6E-B203-96BDBD0E6395}"/>
    <cellStyle name="RISKnormBoxed 8 9" xfId="12486" xr:uid="{24B5A26E-A2EB-4264-9313-A68ED20D188A}"/>
    <cellStyle name="RISKnormBoxed 8 9 2" xfId="34932" xr:uid="{7CA01881-EDF3-4655-9FC3-CFF1017114EE}"/>
    <cellStyle name="RISKnormBoxed 9" xfId="3836" xr:uid="{F272D380-5B74-4DFC-8F51-4D1619A37F29}"/>
    <cellStyle name="RISKnormBoxed 9 10" xfId="14533" xr:uid="{091D728D-14BE-4763-BFA8-F08F7E35D59A}"/>
    <cellStyle name="RISKnormBoxed 9 10 2" xfId="36470" xr:uid="{3C8C4E19-D618-41B3-8A5A-4E06300D3EBC}"/>
    <cellStyle name="RISKnormBoxed 9 11" xfId="15758" xr:uid="{EC4A5BF1-7B9A-4C03-A411-D3F5FD10BD78}"/>
    <cellStyle name="RISKnormBoxed 9 11 2" xfId="37383" xr:uid="{B45A3FCF-C3D9-4663-81E2-DB24B57E74F6}"/>
    <cellStyle name="RISKnormBoxed 9 12" xfId="17075" xr:uid="{6F368FB3-0CCD-4858-9FCA-ECB6236ADBED}"/>
    <cellStyle name="RISKnormBoxed 9 12 2" xfId="38414" xr:uid="{5FB15042-B73A-45E4-A33E-45407AF05899}"/>
    <cellStyle name="RISKnormBoxed 9 13" xfId="19112" xr:uid="{D7AD6E25-65C1-4F17-819B-8B5BC4948897}"/>
    <cellStyle name="RISKnormBoxed 9 13 2" xfId="39921" xr:uid="{E802559B-2422-4D14-B816-5A8C30CA79ED}"/>
    <cellStyle name="RISKnormBoxed 9 14" xfId="18633" xr:uid="{CF72C314-9EA5-4427-8A83-89D7D288E0F2}"/>
    <cellStyle name="RISKnormBoxed 9 14 2" xfId="39530" xr:uid="{F016D462-B739-40B5-9F86-4CC097E7D68F}"/>
    <cellStyle name="RISKnormBoxed 9 15" xfId="23248" xr:uid="{BB078B7E-C1E6-4664-ADA2-DA10836D4426}"/>
    <cellStyle name="RISKnormBoxed 9 15 2" xfId="42823" xr:uid="{5A5A0289-B5D0-4597-801B-2B2781284086}"/>
    <cellStyle name="RISKnormBoxed 9 16" xfId="24053" xr:uid="{1ED77393-8E7F-451C-916F-03A8C5F3D0CE}"/>
    <cellStyle name="RISKnormBoxed 9 16 2" xfId="43429" xr:uid="{D337B6B7-0F85-44FE-8722-0717F54F091E}"/>
    <cellStyle name="RISKnormBoxed 9 17" xfId="17857" xr:uid="{CFC95EBC-D8B6-40A6-AFCE-D14C57F91AB8}"/>
    <cellStyle name="RISKnormBoxed 9 17 2" xfId="38973" xr:uid="{B99C04D3-152D-4490-A98D-ACB045DE18FF}"/>
    <cellStyle name="RISKnormBoxed 9 18" xfId="21160" xr:uid="{25B71FBE-EF4A-46C9-AC6E-0CC43B2622E6}"/>
    <cellStyle name="RISKnormBoxed 9 18 2" xfId="41353" xr:uid="{8A3652F9-1E7E-4138-B0F5-230D816AD041}"/>
    <cellStyle name="RISKnormBoxed 9 19" xfId="24226" xr:uid="{E025D342-6BB9-456F-B2DD-2739A1E5620A}"/>
    <cellStyle name="RISKnormBoxed 9 19 2" xfId="43544" xr:uid="{1FB9924F-5315-4297-8401-A4BF16EE40CF}"/>
    <cellStyle name="RISKnormBoxed 9 2" xfId="7446" xr:uid="{4251F6D3-EA30-4C8D-B3E7-879EC3FDB5D2}"/>
    <cellStyle name="RISKnormBoxed 9 2 2" xfId="31804" xr:uid="{C18865E8-FB37-4346-BA55-C021A7BD2D82}"/>
    <cellStyle name="RISKnormBoxed 9 20" xfId="23814" xr:uid="{2EBA14CC-0F4F-4D1A-A06D-CB7B8C78D9D2}"/>
    <cellStyle name="RISKnormBoxed 9 20 2" xfId="43203" xr:uid="{5C90EBE8-F668-4BC8-95BD-58E4C3B1038C}"/>
    <cellStyle name="RISKnormBoxed 9 21" xfId="27905" xr:uid="{EE040B7B-4AED-462A-ABE3-EE0DB6B5775D}"/>
    <cellStyle name="RISKnormBoxed 9 21 2" xfId="45977" xr:uid="{12FEF89C-756A-4A19-BA32-39EF3348F580}"/>
    <cellStyle name="RISKnormBoxed 9 22" xfId="23418" xr:uid="{57BC9DB8-0FD4-40E2-8686-A1869731617F}"/>
    <cellStyle name="RISKnormBoxed 9 22 2" xfId="42935" xr:uid="{91AFE6DB-1A16-4174-B300-BE542EAA55F8}"/>
    <cellStyle name="RISKnormBoxed 9 23" xfId="28976" xr:uid="{0B1A00AB-2803-4F3B-9092-39B10FE4FD65}"/>
    <cellStyle name="RISKnormBoxed 9 23 2" xfId="46570" xr:uid="{A4A0A616-6FF0-4EB2-B081-0137EAC3CEAC}"/>
    <cellStyle name="RISKnormBoxed 9 24" xfId="26061" xr:uid="{AD361425-B263-4E28-8509-D12BCD80C89B}"/>
    <cellStyle name="RISKnormBoxed 9 24 2" xfId="44826" xr:uid="{BBA38764-9A88-4A17-9C93-EFC2D0A92386}"/>
    <cellStyle name="RISKnormBoxed 9 25" xfId="30081" xr:uid="{CD4827FD-3946-474B-9090-01AD0FEA11E2}"/>
    <cellStyle name="RISKnormBoxed 9 25 2" xfId="47277" xr:uid="{57333C00-A41B-4C60-8A6F-02CD2D1C912D}"/>
    <cellStyle name="RISKnormBoxed 9 26" xfId="27723" xr:uid="{B251CDA3-76A4-4F7B-92C7-A6D1C18C124D}"/>
    <cellStyle name="RISKnormBoxed 9 26 2" xfId="45830" xr:uid="{AAC0C92B-C0A9-44F5-8ABF-825EDAADC262}"/>
    <cellStyle name="RISKnormBoxed 9 27" xfId="30199" xr:uid="{D44A00B1-A8A6-4F07-B23C-1EBA011D9559}"/>
    <cellStyle name="RISKnormBoxed 9 27 2" xfId="47360" xr:uid="{34543C12-FA50-4746-8786-BC99114B3E9E}"/>
    <cellStyle name="RISKnormBoxed 9 28" xfId="6783" xr:uid="{0FA4D287-4EBB-4154-9000-926C36FAC2C5}"/>
    <cellStyle name="RISKnormBoxed 9 3" xfId="13283" xr:uid="{7FC3F755-A790-42CD-81F8-0BF8D0504F43}"/>
    <cellStyle name="RISKnormBoxed 9 3 2" xfId="35600" xr:uid="{A32FFC3F-2FAE-44F2-A3A2-3F6D439C7AC2}"/>
    <cellStyle name="RISKnormBoxed 9 4" xfId="7104" xr:uid="{EEF00CB2-FC0D-4602-BF7D-66E5BEA61F42}"/>
    <cellStyle name="RISKnormBoxed 9 4 2" xfId="31471" xr:uid="{8110B76E-F685-40AF-AC77-99817AF834C8}"/>
    <cellStyle name="RISKnormBoxed 9 5" xfId="7397" xr:uid="{96BBA9BE-D7F1-45D4-9F8B-1F86AD686877}"/>
    <cellStyle name="RISKnormBoxed 9 5 2" xfId="31756" xr:uid="{60AFC6D2-7D08-4ABD-898F-8F12D8817AAE}"/>
    <cellStyle name="RISKnormBoxed 9 6" xfId="16003" xr:uid="{A0BD5AEF-11DA-4651-BD1E-B18342AC5AB9}"/>
    <cellStyle name="RISKnormBoxed 9 6 2" xfId="37586" xr:uid="{FC14E628-3CE4-4445-9D7E-ACAC0AC85C4A}"/>
    <cellStyle name="RISKnormBoxed 9 7" xfId="16650" xr:uid="{6223511F-C3FC-4B03-98F0-96E5203A7027}"/>
    <cellStyle name="RISKnormBoxed 9 7 2" xfId="38141" xr:uid="{7E4EA354-0175-442A-8473-0AD95BF4A9AD}"/>
    <cellStyle name="RISKnormBoxed 9 8" xfId="14442" xr:uid="{46513984-2D53-48BE-8F1C-37F216A047EC}"/>
    <cellStyle name="RISKnormBoxed 9 8 2" xfId="36431" xr:uid="{EE194201-C310-4C7F-9997-5D4056F7EA13}"/>
    <cellStyle name="RISKnormBoxed 9 9" xfId="16339" xr:uid="{7623BCE3-7E8A-49FD-B445-939CFACB8831}"/>
    <cellStyle name="RISKnormBoxed 9 9 2" xfId="37867" xr:uid="{1534F9ED-D0C5-42B1-8509-8617AB18DC89}"/>
    <cellStyle name="RISKnormCenter" xfId="3837" xr:uid="{90E13EBB-1E9B-4D3E-AB14-4B3B61595DDE}"/>
    <cellStyle name="RISKnormCenter 10" xfId="3838" xr:uid="{DED71506-7789-4D72-968E-B7126132DD49}"/>
    <cellStyle name="RISKnormCenter 2" xfId="3839" xr:uid="{AE83A52A-C133-4B05-A59B-43EC016FDE6D}"/>
    <cellStyle name="RISKnormCenter 2 2" xfId="3840" xr:uid="{AFAA648D-0F32-477D-9592-09FF550EDF70}"/>
    <cellStyle name="RISKnormCenter 2 2 2" xfId="3841" xr:uid="{B89E1602-696A-4464-971F-9385587ADF2B}"/>
    <cellStyle name="RISKnormCenter 2 2 3" xfId="3842" xr:uid="{093B8ADB-E7E1-479E-9418-32A940BF30D8}"/>
    <cellStyle name="RISKnormCenter 2 3" xfId="3843" xr:uid="{FDD004F8-FD95-4390-85E1-D0AB4DBD82F1}"/>
    <cellStyle name="RISKnormCenter 2 4" xfId="3844" xr:uid="{3533AC5E-4E34-406F-AE7A-047B0E9BCB3C}"/>
    <cellStyle name="RISKnormCenter 3" xfId="3845" xr:uid="{8B39FFB7-8C01-4A96-9DBD-0F70B0003152}"/>
    <cellStyle name="RISKnormCenter 3 2" xfId="3846" xr:uid="{388EB83F-DD0E-49CF-A45E-1F4C5FE8EA41}"/>
    <cellStyle name="RISKnormCenter 3 3" xfId="3847" xr:uid="{D11B9039-BDFE-4F4D-8373-34517C0C6AB2}"/>
    <cellStyle name="RISKnormCenter 4" xfId="3848" xr:uid="{B4078CD1-38D6-4C94-B8FF-7F46EDA854DA}"/>
    <cellStyle name="RISKnormCenter 4 2" xfId="3849" xr:uid="{AB3A9E85-4B04-4E5B-8767-271485C47574}"/>
    <cellStyle name="RISKnormCenter 4 3" xfId="3850" xr:uid="{E6A11DC9-885A-4D5E-BAC5-274B85B9D557}"/>
    <cellStyle name="RISKnormCenter 5" xfId="3851" xr:uid="{AD32843C-C410-46C6-9BB9-0AE94E8BF588}"/>
    <cellStyle name="RISKnormCenter 5 2" xfId="3852" xr:uid="{0D39C14D-7734-431E-A710-C95F3C700611}"/>
    <cellStyle name="RISKnormCenter 5 3" xfId="3853" xr:uid="{27C7DD36-6E5B-4C30-AE50-6A3C3C103C00}"/>
    <cellStyle name="RISKnormCenter 6" xfId="3854" xr:uid="{06285612-AA32-4351-8262-921C47780696}"/>
    <cellStyle name="RISKnormCenter 6 2" xfId="3855" xr:uid="{17278DAE-69BB-48D0-BBAE-F4D8D221B43E}"/>
    <cellStyle name="RISKnormCenter 6 3" xfId="3856" xr:uid="{4695F297-7CB9-47D1-9803-454AC12CCB30}"/>
    <cellStyle name="RISKnormCenter 7" xfId="3857" xr:uid="{79A2FB2A-07A8-41A9-ACDF-961C542321EF}"/>
    <cellStyle name="RISKnormCenter 7 2" xfId="3858" xr:uid="{28F2B035-8FC5-4984-B1CC-E7870E2B1245}"/>
    <cellStyle name="RISKnormCenter 7 3" xfId="3859" xr:uid="{280E79C9-9CE5-468A-86F1-8C1B8118F42C}"/>
    <cellStyle name="RISKnormCenter 8" xfId="3860" xr:uid="{9F51A92A-2BB4-4A21-8AC8-3F86256EF13F}"/>
    <cellStyle name="RISKnormCenter 8 2" xfId="3861" xr:uid="{00C8534D-D9A6-4771-81F1-4DE977D5E709}"/>
    <cellStyle name="RISKnormCenter 8 3" xfId="3862" xr:uid="{DDAA21E6-3B9D-48DA-AC43-2B42A5EB4063}"/>
    <cellStyle name="RISKnormCenter 9" xfId="3863" xr:uid="{D9FBC4F9-1013-401F-83EE-094D1861A351}"/>
    <cellStyle name="RISKnormHeading" xfId="3864" xr:uid="{2466334A-DE17-42A9-9F32-B5011914EA55}"/>
    <cellStyle name="RISKnormHeading 2" xfId="3865" xr:uid="{31A802EF-5C6C-406C-A535-67063B5957D9}"/>
    <cellStyle name="RISKnormHeading 2 2" xfId="3866" xr:uid="{93011EB6-806F-4613-B2E5-AFDF9A73C552}"/>
    <cellStyle name="RISKnormHeading 3" xfId="3867" xr:uid="{C4334F77-91B8-4D7E-B51E-522845E51034}"/>
    <cellStyle name="RISKnormHeading 4" xfId="3868" xr:uid="{62EDB40A-3F16-4CFC-BDD2-74CE167A1AA4}"/>
    <cellStyle name="RISKnormHeading 5" xfId="3869" xr:uid="{C2930B08-3B61-4454-A97B-03E87C05B2CA}"/>
    <cellStyle name="RISKnormItal" xfId="3870" xr:uid="{D28A154B-F9C7-4000-895B-C97056010D2E}"/>
    <cellStyle name="RISKnormItal 2" xfId="3871" xr:uid="{22D6CA22-65B5-43E7-B628-F65A50F0369C}"/>
    <cellStyle name="RISKnormItal 2 2" xfId="3872" xr:uid="{EFD31470-9CB5-49DD-8D6E-0A9B84195CDC}"/>
    <cellStyle name="RISKnormItal 3" xfId="3873" xr:uid="{16CBD41D-3CFA-4EE1-96F6-6BEAF4D45ECA}"/>
    <cellStyle name="RISKnormItal 4" xfId="3874" xr:uid="{067C2984-D798-4461-A636-7570C717F8BE}"/>
    <cellStyle name="RISKnormItal 5" xfId="3875" xr:uid="{607BEA1F-DBF1-4D83-B945-742E8518FB7F}"/>
    <cellStyle name="RISKnormLabel" xfId="3876" xr:uid="{1E7A39F5-6DC9-4F4A-ADA6-5E108AC0ED36}"/>
    <cellStyle name="RISKnormLabel 2" xfId="3877" xr:uid="{89A788AB-24A9-4A88-A955-0AE5C84EE3A0}"/>
    <cellStyle name="RISKnormLabel 2 2" xfId="3878" xr:uid="{5A0E97FC-8647-4DAC-BDB3-3BEBB6A3F549}"/>
    <cellStyle name="RISKnormLabel 3" xfId="3879" xr:uid="{28A03B04-4A8B-427C-8658-200754815903}"/>
    <cellStyle name="RISKnormLabel 4" xfId="3880" xr:uid="{2C7BB752-D603-4CA4-9401-3BF9B7D522F5}"/>
    <cellStyle name="RISKnormLabel 5" xfId="3881" xr:uid="{168515D1-F964-40E9-AA10-6C813AC6E3DD}"/>
    <cellStyle name="RISKnormShade" xfId="3882" xr:uid="{BBBA33FB-C057-4AA2-AF70-7E976CF46405}"/>
    <cellStyle name="RISKnormShade 10" xfId="3883" xr:uid="{8E3531B6-97CE-4AE8-B557-AB2603AA63CA}"/>
    <cellStyle name="RISKnormShade 2" xfId="3884" xr:uid="{CEC7BC3F-47C6-441A-A9AD-E5F55B1B77E7}"/>
    <cellStyle name="RISKnormShade 2 2" xfId="3885" xr:uid="{F0B673B2-533B-485A-9C57-37F9587B3E86}"/>
    <cellStyle name="RISKnormShade 2 2 2" xfId="3886" xr:uid="{AE9774A5-4485-4250-9CB4-773E28885CB5}"/>
    <cellStyle name="RISKnormShade 2 2 3" xfId="3887" xr:uid="{9F00911C-57F3-4260-AFB1-B03FFFDA73AD}"/>
    <cellStyle name="RISKnormShade 2 3" xfId="3888" xr:uid="{0F036A10-7307-4A23-8827-B8B9158FA180}"/>
    <cellStyle name="RISKnormShade 2 4" xfId="3889" xr:uid="{8933333F-AB6C-449D-B23F-4371E676C064}"/>
    <cellStyle name="RISKnormShade 3" xfId="3890" xr:uid="{F251BE34-58C2-4B6A-A542-8C197E1B7BB8}"/>
    <cellStyle name="RISKnormShade 3 2" xfId="3891" xr:uid="{92213E00-C315-424C-B790-6AAC09E09A7E}"/>
    <cellStyle name="RISKnormShade 3 3" xfId="3892" xr:uid="{DA8000D8-BE91-4560-9DEF-F23B11B9C6F7}"/>
    <cellStyle name="RISKnormShade 4" xfId="3893" xr:uid="{D85EF6FB-BB2E-4403-9C43-F4350C470A76}"/>
    <cellStyle name="RISKnormShade 4 2" xfId="3894" xr:uid="{3991B314-06B0-4663-805C-1F2E316A1A11}"/>
    <cellStyle name="RISKnormShade 4 3" xfId="3895" xr:uid="{B97EE93F-97EE-446F-8F14-CCFD4C21DCA3}"/>
    <cellStyle name="RISKnormShade 5" xfId="3896" xr:uid="{893E717F-4166-4BDE-A1BC-E45DE568EA9B}"/>
    <cellStyle name="RISKnormShade 5 2" xfId="3897" xr:uid="{3AE13AE6-C879-47B8-A47E-21AAFD0B7510}"/>
    <cellStyle name="RISKnormShade 5 3" xfId="3898" xr:uid="{201BA79A-2DF9-4B04-BAD4-0CC39B2A0AE1}"/>
    <cellStyle name="RISKnormShade 6" xfId="3899" xr:uid="{75602439-92B5-44E4-9A07-6C60A5558EFE}"/>
    <cellStyle name="RISKnormShade 6 2" xfId="3900" xr:uid="{84BC1EE9-8410-4B76-8F1C-85C1574DCBFE}"/>
    <cellStyle name="RISKnormShade 6 3" xfId="3901" xr:uid="{97D9D8B5-1886-4FFF-B08C-9E4AA4C8E61E}"/>
    <cellStyle name="RISKnormShade 7" xfId="3902" xr:uid="{680F01D8-A21C-4D81-875F-EDA3DA2B0E56}"/>
    <cellStyle name="RISKnormShade 7 2" xfId="3903" xr:uid="{B80C3BB4-BB80-49F8-899E-C290D35AC74A}"/>
    <cellStyle name="RISKnormShade 7 3" xfId="3904" xr:uid="{96F46536-197D-4DBD-9DF4-230442F9DB8D}"/>
    <cellStyle name="RISKnormShade 8" xfId="3905" xr:uid="{660B4DC5-4BAD-4DB4-9F78-31393D775932}"/>
    <cellStyle name="RISKnormShade 8 2" xfId="3906" xr:uid="{20CAFA84-DBC9-427C-A166-6F558E959DF5}"/>
    <cellStyle name="RISKnormShade 8 3" xfId="3907" xr:uid="{9402041E-AC80-4E9A-993E-84349F4A5001}"/>
    <cellStyle name="RISKnormShade 9" xfId="3908" xr:uid="{3685A2EC-7FF5-421A-AA1D-3846D6ADF1F2}"/>
    <cellStyle name="RISKnormTitle" xfId="3909" xr:uid="{06C4903E-4CCD-4739-AAE3-D99A3FE39FD7}"/>
    <cellStyle name="RISKnormTitle 2" xfId="3910" xr:uid="{9F68F4F9-4399-4E19-A8E4-02951D660C65}"/>
    <cellStyle name="RISKnormTitle 2 2" xfId="3911" xr:uid="{257958BC-92AD-4A3D-8095-A9D212A30307}"/>
    <cellStyle name="RISKnormTitle 3" xfId="3912" xr:uid="{2FA75B19-CBAB-406A-BDF7-5ED1EF9DD5CB}"/>
    <cellStyle name="RISKnormTitle 4" xfId="3913" xr:uid="{A293EE40-3733-45B0-AD6A-F2B9B505C3A7}"/>
    <cellStyle name="RISKnormTitle 5" xfId="3914" xr:uid="{82096656-AE1C-4ACB-AAB7-A21913045645}"/>
    <cellStyle name="RISKoutNumber" xfId="3915" xr:uid="{F56D49B8-DEE8-4684-9E03-1F640287C52B}"/>
    <cellStyle name="RISKoutNumber 2" xfId="3916" xr:uid="{409E4EE8-CF07-4EF3-B8D4-15C8C4D50C89}"/>
    <cellStyle name="RISKoutNumber 2 2" xfId="3917" xr:uid="{1C64CEF3-4387-4D00-A4BF-7B9F272A2567}"/>
    <cellStyle name="RISKoutNumber 2 2 2" xfId="3918" xr:uid="{3667C0C1-4865-4CC3-A59E-788BAA902C48}"/>
    <cellStyle name="RISKoutNumber 3" xfId="3919" xr:uid="{9A896E2D-A15F-447E-B67D-0A1967D98DCD}"/>
    <cellStyle name="RISKoutNumber 3 2" xfId="3920" xr:uid="{A55A55A3-F971-4249-8756-B4CB303D1117}"/>
    <cellStyle name="RISKoutNumber 4" xfId="3921" xr:uid="{3A6DF3F2-AB0A-45DB-8D2C-15B90922D5D3}"/>
    <cellStyle name="RISKoutNumber 4 2" xfId="3922" xr:uid="{464AB818-06C9-432C-8C62-7D139AEC4723}"/>
    <cellStyle name="RISKoutNumber 5" xfId="3923" xr:uid="{A5351C02-8E05-43EB-8B04-46C37A0FAFA1}"/>
    <cellStyle name="RISKoutNumber 5 2" xfId="3924" xr:uid="{4C2CDF38-D8EE-4BD1-B762-DBBACDD65E4B}"/>
    <cellStyle name="RISKoutNumber 6" xfId="3925" xr:uid="{12D11F9E-B0BD-475D-8987-A5F0F130F563}"/>
    <cellStyle name="RISKoutNumber 7" xfId="3926" xr:uid="{BD77760B-D6FB-493B-BB2C-2534EB0E95E3}"/>
    <cellStyle name="RISKoutNumber 8" xfId="3927" xr:uid="{FEBD4EFC-3965-453A-8D55-7230C1917E67}"/>
    <cellStyle name="RISKrightEdge" xfId="3928" xr:uid="{BE0158F0-AEEF-4E7A-B0A8-B8DF88D2BE28}"/>
    <cellStyle name="RISKrightEdge 10" xfId="3929" xr:uid="{3C39F255-B67C-491C-85F8-1C006BCC54A3}"/>
    <cellStyle name="RISKrightEdge 2" xfId="3930" xr:uid="{3E65B7A9-6014-4FED-A4C9-0A28228C682B}"/>
    <cellStyle name="RISKrightEdge 2 2" xfId="3931" xr:uid="{D344F0D1-E3E4-44A9-86E1-20DF8D914B9F}"/>
    <cellStyle name="RISKrightEdge 2 2 2" xfId="3932" xr:uid="{38493133-81D6-432D-BBFE-B90FD8D96B1B}"/>
    <cellStyle name="RISKrightEdge 2 2 3" xfId="3933" xr:uid="{52631EF5-35F3-49FE-B7C7-D188049913C0}"/>
    <cellStyle name="RISKrightEdge 2 3" xfId="3934" xr:uid="{3633C19A-B06A-4377-87C7-808F244AC496}"/>
    <cellStyle name="RISKrightEdge 2 4" xfId="3935" xr:uid="{EFCE2346-F179-4A31-9597-9A2654F1073B}"/>
    <cellStyle name="RISKrightEdge 3" xfId="3936" xr:uid="{A58A84B6-9332-4646-911F-5D0E47D7EE1F}"/>
    <cellStyle name="RISKrightEdge 3 2" xfId="3937" xr:uid="{E9FA6865-50D2-488E-9114-A6171B754EB6}"/>
    <cellStyle name="RISKrightEdge 3 3" xfId="3938" xr:uid="{1625D883-3DFE-4796-9BDC-77204CC14FD5}"/>
    <cellStyle name="RISKrightEdge 4" xfId="3939" xr:uid="{262AF04B-7CED-4808-955F-B1123155A631}"/>
    <cellStyle name="RISKrightEdge 4 2" xfId="3940" xr:uid="{F4E8D611-F917-4612-9A61-7C3322285E33}"/>
    <cellStyle name="RISKrightEdge 4 3" xfId="3941" xr:uid="{12D9DC53-D20A-4320-B1BB-63C51C1D0019}"/>
    <cellStyle name="RISKrightEdge 5" xfId="3942" xr:uid="{FDEACE68-72CA-4061-98EB-0BF84FDA1769}"/>
    <cellStyle name="RISKrightEdge 5 2" xfId="3943" xr:uid="{DBA4F107-E3D3-4058-A687-AC617F26B13B}"/>
    <cellStyle name="RISKrightEdge 5 3" xfId="3944" xr:uid="{3890F998-D2BF-4CA0-998F-C4AC1FF43B26}"/>
    <cellStyle name="RISKrightEdge 6" xfId="3945" xr:uid="{38862297-ECCC-4DE4-B4B0-59C198618141}"/>
    <cellStyle name="RISKrightEdge 6 2" xfId="3946" xr:uid="{287D0AAB-6908-40A0-9085-ABE3F7971DDA}"/>
    <cellStyle name="RISKrightEdge 6 3" xfId="3947" xr:uid="{1C545060-F84B-49E5-B0AD-F953D846FC6E}"/>
    <cellStyle name="RISKrightEdge 7" xfId="3948" xr:uid="{8DE9CA0B-E095-4290-8269-A413FEF11A67}"/>
    <cellStyle name="RISKrightEdge 7 2" xfId="3949" xr:uid="{3F792CBF-3A28-4C2A-AFB8-AD3F893395FB}"/>
    <cellStyle name="RISKrightEdge 7 3" xfId="3950" xr:uid="{D3492EB3-A77B-492B-A047-B430E575F7FC}"/>
    <cellStyle name="RISKrightEdge 8" xfId="3951" xr:uid="{5FD1483A-F686-4B6D-9332-D7DF61C7D53F}"/>
    <cellStyle name="RISKrightEdge 8 2" xfId="3952" xr:uid="{F8613989-F789-42FD-BC04-8148DB8033FF}"/>
    <cellStyle name="RISKrightEdge 8 3" xfId="3953" xr:uid="{1DEF08DE-1015-4FC9-8B1F-2B726B958A9E}"/>
    <cellStyle name="RISKrightEdge 9" xfId="3954" xr:uid="{74134AA8-A208-48EF-A52B-D5B65B5D1784}"/>
    <cellStyle name="RISKrtandbEdge" xfId="3955" xr:uid="{0F1894F0-BE83-497F-86E9-ECF0ECA2A66A}"/>
    <cellStyle name="RISKrtandbEdge 10" xfId="3956" xr:uid="{DE272ACE-8353-4CD2-B68E-BBAEE22651CF}"/>
    <cellStyle name="RISKrtandbEdge 10 10" xfId="13792" xr:uid="{B9FF29A1-CD8C-451C-B332-E25E8509D68D}"/>
    <cellStyle name="RISKrtandbEdge 10 10 2" xfId="35923" xr:uid="{6EB945E7-93CF-4D70-A0AA-F410132BA713}"/>
    <cellStyle name="RISKrtandbEdge 10 11" xfId="15221" xr:uid="{2024B47A-CB82-484F-910F-65576D18EA8D}"/>
    <cellStyle name="RISKrtandbEdge 10 11 2" xfId="36987" xr:uid="{B050B818-06CA-4B15-82EE-84405A10FDB3}"/>
    <cellStyle name="RISKrtandbEdge 10 12" xfId="20690" xr:uid="{4F1AAC4F-39B4-4541-BAF3-C068BAC9B34F}"/>
    <cellStyle name="RISKrtandbEdge 10 12 2" xfId="41050" xr:uid="{614CA4A3-BA46-4143-93B7-AF3652F49D97}"/>
    <cellStyle name="RISKrtandbEdge 10 13" xfId="20073" xr:uid="{2D28477A-19E2-46AC-A1F7-DFF7670FEA69}"/>
    <cellStyle name="RISKrtandbEdge 10 13 2" xfId="40620" xr:uid="{6BF9D732-C188-43F9-932C-E2BD2434F634}"/>
    <cellStyle name="RISKrtandbEdge 10 14" xfId="21235" xr:uid="{611E2C3D-A164-40C5-B656-52D86714C8A3}"/>
    <cellStyle name="RISKrtandbEdge 10 14 2" xfId="41427" xr:uid="{495E44C4-C212-4067-A2C3-2FC45CDCF0D0}"/>
    <cellStyle name="RISKrtandbEdge 10 15" xfId="15392" xr:uid="{CAE2525A-B950-4E47-A355-8F8875212E6E}"/>
    <cellStyle name="RISKrtandbEdge 10 15 2" xfId="37090" xr:uid="{1527F9EC-B793-416B-B186-F2024C47DF38}"/>
    <cellStyle name="RISKrtandbEdge 10 16" xfId="22192" xr:uid="{19DBA228-186F-49B7-BB6D-9F7D5F65493D}"/>
    <cellStyle name="RISKrtandbEdge 10 16 2" xfId="42071" xr:uid="{92EEDF27-73CE-4341-B644-4677D5963863}"/>
    <cellStyle name="RISKrtandbEdge 10 17" xfId="21159" xr:uid="{F64A8320-6D0E-4F25-85C1-C539ED50B35F}"/>
    <cellStyle name="RISKrtandbEdge 10 17 2" xfId="41352" xr:uid="{708F7359-1088-4278-A528-2FEA9C1EC4F8}"/>
    <cellStyle name="RISKrtandbEdge 10 18" xfId="22754" xr:uid="{20630F25-51FB-4955-ADF7-964DC6855C3E}"/>
    <cellStyle name="RISKrtandbEdge 10 18 2" xfId="42511" xr:uid="{1F11B215-8C89-4505-A741-F8C7FDC723F6}"/>
    <cellStyle name="RISKrtandbEdge 10 19" xfId="20319" xr:uid="{29E54CD8-DBF1-465C-AE34-A31A21EE0E3B}"/>
    <cellStyle name="RISKrtandbEdge 10 19 2" xfId="40752" xr:uid="{9BC80066-CB07-4AE2-9DA9-B4B38DB4130E}"/>
    <cellStyle name="RISKrtandbEdge 10 2" xfId="7384" xr:uid="{A062BBD5-04D8-4A09-A3B3-7D69661D7090}"/>
    <cellStyle name="RISKrtandbEdge 10 2 2" xfId="31746" xr:uid="{C79F8882-ADBD-44C9-BED1-DA2CC8B85345}"/>
    <cellStyle name="RISKrtandbEdge 10 20" xfId="26598" xr:uid="{42EB1E7A-8D95-4261-B3B1-2C159C2B7A48}"/>
    <cellStyle name="RISKrtandbEdge 10 20 2" xfId="45162" xr:uid="{F24EB70D-86E2-44B2-B40F-B4D8E53CD937}"/>
    <cellStyle name="RISKrtandbEdge 10 21" xfId="27344" xr:uid="{F45A6A90-F961-4100-AF6B-459BC41D8EE3}"/>
    <cellStyle name="RISKrtandbEdge 10 21 2" xfId="45635" xr:uid="{08DF0D0C-105C-4BF6-879D-30DAA06D0BDF}"/>
    <cellStyle name="RISKrtandbEdge 10 22" xfId="25960" xr:uid="{BB23583F-A949-4594-ADE6-CF149879C4B6}"/>
    <cellStyle name="RISKrtandbEdge 10 22 2" xfId="44751" xr:uid="{0FCB10C5-FEF6-41A4-B932-836F5C9D2DD8}"/>
    <cellStyle name="RISKrtandbEdge 10 23" xfId="24430" xr:uid="{44B5086B-257E-4DDA-B893-CF88D8119F53}"/>
    <cellStyle name="RISKrtandbEdge 10 23 2" xfId="43642" xr:uid="{9E5D65AA-68BE-444E-9EA8-50F2AA5D5501}"/>
    <cellStyle name="RISKrtandbEdge 10 24" xfId="29776" xr:uid="{D31650B3-A900-47C2-81AA-4E8D2AAA42F6}"/>
    <cellStyle name="RISKrtandbEdge 10 24 2" xfId="47095" xr:uid="{1286C84F-DB1D-4299-95A3-6BB36250ABEB}"/>
    <cellStyle name="RISKrtandbEdge 10 25" xfId="23541" xr:uid="{27A33827-EB95-4415-A38B-199E70A789A8}"/>
    <cellStyle name="RISKrtandbEdge 10 25 2" xfId="42986" xr:uid="{E39C6902-1090-439D-AE56-4730CE40950F}"/>
    <cellStyle name="RISKrtandbEdge 10 26" xfId="29242" xr:uid="{5DD64F82-E551-45C0-8C5F-07E8332F6035}"/>
    <cellStyle name="RISKrtandbEdge 10 26 2" xfId="46760" xr:uid="{A1523BC0-B77F-4171-9547-781A9B271B83}"/>
    <cellStyle name="RISKrtandbEdge 10 27" xfId="30248" xr:uid="{03C6071B-32F9-4A67-905E-D3491A113C2C}"/>
    <cellStyle name="RISKrtandbEdge 10 27 2" xfId="47409" xr:uid="{7011460C-4110-4BC6-9E78-9B83DA8FAC96}"/>
    <cellStyle name="RISKrtandbEdge 10 28" xfId="30156" xr:uid="{B2872155-CC9E-4967-8BA2-6ED8F0BB7F98}"/>
    <cellStyle name="RISKrtandbEdge 10 28 2" xfId="47320" xr:uid="{81564389-1823-4883-A335-C2B7B4BD8E43}"/>
    <cellStyle name="RISKrtandbEdge 10 29" xfId="31077" xr:uid="{1FEB5E9A-0287-405C-8B73-6B0974AA5880}"/>
    <cellStyle name="RISKrtandbEdge 10 29 2" xfId="47807" xr:uid="{EEF9BBD6-CA3C-45D1-96DC-0BD7E89A198A}"/>
    <cellStyle name="RISKrtandbEdge 10 3" xfId="10228" xr:uid="{C8D0E222-458E-4653-9A68-E64D3AABECE9}"/>
    <cellStyle name="RISKrtandbEdge 10 3 2" xfId="33863" xr:uid="{1D492EFA-DD9F-4078-A0E6-D9AEB5A0BD8C}"/>
    <cellStyle name="RISKrtandbEdge 10 30" xfId="6097" xr:uid="{7CC02ABD-7D01-4CD1-A89A-6FB23977786F}"/>
    <cellStyle name="RISKrtandbEdge 10 4" xfId="7027" xr:uid="{BAE71FA2-D863-487F-89CE-56AD3277DF04}"/>
    <cellStyle name="RISKrtandbEdge 10 4 2" xfId="31394" xr:uid="{042203BA-5A30-4A18-9476-5516A398C9B1}"/>
    <cellStyle name="RISKrtandbEdge 10 5" xfId="7282" xr:uid="{E7193FD1-728C-448F-B411-1061DC0270D3}"/>
    <cellStyle name="RISKrtandbEdge 10 5 2" xfId="31646" xr:uid="{221D7ACC-68FE-4852-B6C8-DE01061A7D6A}"/>
    <cellStyle name="RISKrtandbEdge 10 6" xfId="12288" xr:uid="{5ADFD731-C686-4BDA-B502-1102871C7FAC}"/>
    <cellStyle name="RISKrtandbEdge 10 6 2" xfId="34794" xr:uid="{2B82E24A-4C51-4A19-BFA4-6D1FDD5CE149}"/>
    <cellStyle name="RISKrtandbEdge 10 7" xfId="12510" xr:uid="{D477BC8B-7E94-4849-AA14-A0635CC69B88}"/>
    <cellStyle name="RISKrtandbEdge 10 7 2" xfId="34954" xr:uid="{AB2528BC-4E8D-4725-B6CC-C0F1F498703F}"/>
    <cellStyle name="RISKrtandbEdge 10 8" xfId="17468" xr:uid="{73262B87-1AE6-4160-9B32-D42094C22811}"/>
    <cellStyle name="RISKrtandbEdge 10 8 2" xfId="38715" xr:uid="{DB60E157-B579-40FB-AC58-0C18A594E9DC}"/>
    <cellStyle name="RISKrtandbEdge 10 9" xfId="18317" xr:uid="{0EC0C82D-95C8-47A6-A054-DD6F85963814}"/>
    <cellStyle name="RISKrtandbEdge 10 9 2" xfId="39348" xr:uid="{D5DA0220-731E-4039-A85B-E1E48B17D900}"/>
    <cellStyle name="RISKrtandbEdge 11" xfId="11806" xr:uid="{1210126F-C2A7-4F40-B394-85C01B39788E}"/>
    <cellStyle name="RISKrtandbEdge 11 2" xfId="34419" xr:uid="{B9521A64-99A8-4A2F-B9FA-238F1BDD65C8}"/>
    <cellStyle name="RISKrtandbEdge 12" xfId="13228" xr:uid="{CAE8ED43-1182-4190-99A7-EA74A145CDFB}"/>
    <cellStyle name="RISKrtandbEdge 12 2" xfId="35576" xr:uid="{BE670F60-E974-454E-A5A6-665F8626280F}"/>
    <cellStyle name="RISKrtandbEdge 13" xfId="14244" xr:uid="{D45B4752-38E3-4384-86CD-AF03D371230F}"/>
    <cellStyle name="RISKrtandbEdge 13 2" xfId="36297" xr:uid="{67BC3E8B-8784-47C6-93FD-48B3A89CA82C}"/>
    <cellStyle name="RISKrtandbEdge 14" xfId="11710" xr:uid="{45241FD7-343B-44C2-BC42-F03632B824EE}"/>
    <cellStyle name="RISKrtandbEdge 14 2" xfId="34323" xr:uid="{C25B6E33-3BDA-4B3B-8C61-9A5915E1F8B1}"/>
    <cellStyle name="RISKrtandbEdge 15" xfId="12772" xr:uid="{D1E431A1-C691-45C6-9EF7-28B212B7F758}"/>
    <cellStyle name="RISKrtandbEdge 15 2" xfId="35180" xr:uid="{69E94CDE-E3C3-433E-956E-66E873DE4E5D}"/>
    <cellStyle name="RISKrtandbEdge 16" xfId="16596" xr:uid="{26FB2F73-5C32-426F-B131-5B918BB53F21}"/>
    <cellStyle name="RISKrtandbEdge 16 2" xfId="38089" xr:uid="{9E282AC6-4989-4AD0-9DF1-8A363E2472AC}"/>
    <cellStyle name="RISKrtandbEdge 17" xfId="12700" xr:uid="{EB3744DD-3525-4310-9C42-DA9F21972AE7}"/>
    <cellStyle name="RISKrtandbEdge 17 2" xfId="35113" xr:uid="{B8AF9CFB-00EE-4C44-B53D-C0F4271759AE}"/>
    <cellStyle name="RISKrtandbEdge 18" xfId="15813" xr:uid="{A306D605-5E45-4A96-8CCA-32871956BBA2}"/>
    <cellStyle name="RISKrtandbEdge 18 2" xfId="37428" xr:uid="{067865F1-A700-4739-8926-338584876FEF}"/>
    <cellStyle name="RISKrtandbEdge 19" xfId="19203" xr:uid="{1F3B9BA5-4842-47F9-AB77-1E2B8FD7DC19}"/>
    <cellStyle name="RISKrtandbEdge 19 2" xfId="40012" xr:uid="{9D7D6404-94A3-45D5-A617-55DA73AA487A}"/>
    <cellStyle name="RISKrtandbEdge 2" xfId="3957" xr:uid="{A45DD7BF-84E1-4DCA-9076-984F9EBED370}"/>
    <cellStyle name="RISKrtandbEdge 2 10" xfId="16595" xr:uid="{393E6A36-EF52-4F18-AB4A-77B1719EB52E}"/>
    <cellStyle name="RISKrtandbEdge 2 10 2" xfId="38088" xr:uid="{26730E8D-E2A7-4728-9E42-E7CAE0F6878D}"/>
    <cellStyle name="RISKrtandbEdge 2 11" xfId="13709" xr:uid="{504409FD-9B87-4487-AFDA-674869D091C8}"/>
    <cellStyle name="RISKrtandbEdge 2 11 2" xfId="35865" xr:uid="{C2C47FF7-ED4B-4F48-BC6D-3386D59CD37E}"/>
    <cellStyle name="RISKrtandbEdge 2 12" xfId="16311" xr:uid="{F9D085D3-EF5C-45D7-9F76-5E0E17A0BD51}"/>
    <cellStyle name="RISKrtandbEdge 2 12 2" xfId="37848" xr:uid="{27EE8D85-8244-41EF-8E58-0A908CCF1342}"/>
    <cellStyle name="RISKrtandbEdge 2 13" xfId="19202" xr:uid="{58DBFCA9-D40A-4FE4-AE1E-D9C1355B6230}"/>
    <cellStyle name="RISKrtandbEdge 2 13 2" xfId="40011" xr:uid="{CB1B5D01-DB8E-471E-A2D1-0E111C8D21CD}"/>
    <cellStyle name="RISKrtandbEdge 2 14" xfId="12840" xr:uid="{FFE17A05-A26A-44EA-BC34-0FD9ED72F6AE}"/>
    <cellStyle name="RISKrtandbEdge 2 14 2" xfId="35221" xr:uid="{39525AAD-A5F3-48F8-A7E3-39F206D8E1AE}"/>
    <cellStyle name="RISKrtandbEdge 2 15" xfId="18918" xr:uid="{426854FA-5557-4A96-9CAB-DEC1D4A12CED}"/>
    <cellStyle name="RISKrtandbEdge 2 15 2" xfId="39751" xr:uid="{ED4340A8-6A81-4399-9967-A3E7B3512AB0}"/>
    <cellStyle name="RISKrtandbEdge 2 16" xfId="22704" xr:uid="{112D3311-5F9D-433E-B52D-FEECECDCCBE7}"/>
    <cellStyle name="RISKrtandbEdge 2 16 2" xfId="42463" xr:uid="{AB42070A-3CA0-4BFE-9351-AF82DC6D6F49}"/>
    <cellStyle name="RISKrtandbEdge 2 17" xfId="22058" xr:uid="{C0C5F01B-07E1-46A6-BB5F-DA497BC33B88}"/>
    <cellStyle name="RISKrtandbEdge 2 17 2" xfId="41943" xr:uid="{9A6DCBEB-620E-4A33-8FD5-AF724A5A72A5}"/>
    <cellStyle name="RISKrtandbEdge 2 18" xfId="23195" xr:uid="{22EFA71F-397A-4573-BC1F-D7A8107FC73B}"/>
    <cellStyle name="RISKrtandbEdge 2 18 2" xfId="42789" xr:uid="{1784E353-2CA9-4680-88B3-AD0E1391C6DC}"/>
    <cellStyle name="RISKrtandbEdge 2 19" xfId="24021" xr:uid="{FC6DE78A-8BEE-4241-AF04-3CB052E3927F}"/>
    <cellStyle name="RISKrtandbEdge 2 19 2" xfId="43398" xr:uid="{8217A283-9961-4CB2-9100-C3BE2E5D354A}"/>
    <cellStyle name="RISKrtandbEdge 2 2" xfId="3958" xr:uid="{A6B59933-20D7-4194-8B2D-602B67A36EFD}"/>
    <cellStyle name="RISKrtandbEdge 2 2 10" xfId="17467" xr:uid="{A7AD1C6A-5B56-40EC-9543-5AE82D224ECE}"/>
    <cellStyle name="RISKrtandbEdge 2 2 10 2" xfId="38714" xr:uid="{C1F9D09E-5651-4794-87A4-DAB781682C4B}"/>
    <cellStyle name="RISKrtandbEdge 2 2 11" xfId="18316" xr:uid="{EB1DEB67-DA55-47C5-B77E-9E55295A5083}"/>
    <cellStyle name="RISKrtandbEdge 2 2 11 2" xfId="39347" xr:uid="{A51CF9E3-E4C1-4009-B01E-84AF588BD7A8}"/>
    <cellStyle name="RISKrtandbEdge 2 2 12" xfId="17200" xr:uid="{FEB1D0F6-58F1-42FB-BBAF-3D05BE04D394}"/>
    <cellStyle name="RISKrtandbEdge 2 2 12 2" xfId="38529" xr:uid="{6FDD9C6C-7AB6-4F46-BFE4-534800866D56}"/>
    <cellStyle name="RISKrtandbEdge 2 2 13" xfId="19951" xr:uid="{68B5D219-BDC1-41F2-9854-A1F0C345F693}"/>
    <cellStyle name="RISKrtandbEdge 2 2 13 2" xfId="40558" xr:uid="{E219B811-96C5-47EE-B81E-93B6C1864B8E}"/>
    <cellStyle name="RISKrtandbEdge 2 2 14" xfId="20689" xr:uid="{F7E3A7FA-00D4-48EF-937A-6009D1BD3265}"/>
    <cellStyle name="RISKrtandbEdge 2 2 14 2" xfId="41049" xr:uid="{F61F9E40-5756-41F5-A811-85630C490FE5}"/>
    <cellStyle name="RISKrtandbEdge 2 2 15" xfId="16077" xr:uid="{47BFBC5B-0D1C-444B-9F72-5E9AFF233DB9}"/>
    <cellStyle name="RISKrtandbEdge 2 2 15 2" xfId="37648" xr:uid="{24408D5E-1156-4F20-BF51-7601BC9D32D8}"/>
    <cellStyle name="RISKrtandbEdge 2 2 16" xfId="17799" xr:uid="{688764D3-EF9C-4369-B92D-71FB74538AD0}"/>
    <cellStyle name="RISKrtandbEdge 2 2 16 2" xfId="38924" xr:uid="{E896F478-048C-4C9D-9E81-DFDB3FF8B626}"/>
    <cellStyle name="RISKrtandbEdge 2 2 17" xfId="20490" xr:uid="{CAC094DB-6239-4001-8DC1-C0C4B594CBEA}"/>
    <cellStyle name="RISKrtandbEdge 2 2 17 2" xfId="40880" xr:uid="{56537449-F385-4993-A1AB-C31C1CE216D4}"/>
    <cellStyle name="RISKrtandbEdge 2 2 18" xfId="22589" xr:uid="{24E69180-25B4-432A-B616-49C77B4A81CF}"/>
    <cellStyle name="RISKrtandbEdge 2 2 18 2" xfId="42375" xr:uid="{9E024663-B678-431F-AA6D-DFF13D944993}"/>
    <cellStyle name="RISKrtandbEdge 2 2 19" xfId="25692" xr:uid="{09E955C7-91E6-4C9F-B59B-32EE554F3A68}"/>
    <cellStyle name="RISKrtandbEdge 2 2 19 2" xfId="44529" xr:uid="{E503679B-7007-41D3-98F8-B76F238BB91B}"/>
    <cellStyle name="RISKrtandbEdge 2 2 2" xfId="3959" xr:uid="{FBB97CE4-F401-41D2-9E6B-1818E8A1CAB1}"/>
    <cellStyle name="RISKrtandbEdge 2 2 2 10" xfId="19201" xr:uid="{6FBD5DAE-D8AB-42B2-8248-92BE0CB1EBF6}"/>
    <cellStyle name="RISKrtandbEdge 2 2 2 10 2" xfId="40010" xr:uid="{7AE7907E-1C36-45E8-98C6-6FDC7A68E8C3}"/>
    <cellStyle name="RISKrtandbEdge 2 2 2 11" xfId="18049" xr:uid="{CDF867EB-70E5-4A0A-AF29-66597CFDA373}"/>
    <cellStyle name="RISKrtandbEdge 2 2 2 11 2" xfId="39143" xr:uid="{FF70FB72-B04C-483A-BA90-D0E5CDBF6699}"/>
    <cellStyle name="RISKrtandbEdge 2 2 2 12" xfId="15364" xr:uid="{F3DBE277-AB28-4A78-B8D2-2DE04EF0BB82}"/>
    <cellStyle name="RISKrtandbEdge 2 2 2 12 2" xfId="37064" xr:uid="{5EDBCC52-BE20-4E45-9BB2-772978F9EE60}"/>
    <cellStyle name="RISKrtandbEdge 2 2 2 13" xfId="22455" xr:uid="{CD689BF0-BA8A-449A-AEBD-7369E1582053}"/>
    <cellStyle name="RISKrtandbEdge 2 2 2 13 2" xfId="42257" xr:uid="{9008E00E-10F1-4A8B-81B3-C750AA1DB5AC}"/>
    <cellStyle name="RISKrtandbEdge 2 2 2 14" xfId="20178" xr:uid="{05498FD6-62A4-4D87-8A11-E0CE68301757}"/>
    <cellStyle name="RISKrtandbEdge 2 2 2 14 2" xfId="40685" xr:uid="{F36A4A72-E1B0-4A2F-8213-98EEF8FCC836}"/>
    <cellStyle name="RISKrtandbEdge 2 2 2 15" xfId="23194" xr:uid="{0098195B-8DEF-48A8-8230-4BF5752B2722}"/>
    <cellStyle name="RISKrtandbEdge 2 2 2 15 2" xfId="42788" xr:uid="{22D260B9-863E-4B0F-B9BE-48DA7C2C26BE}"/>
    <cellStyle name="RISKrtandbEdge 2 2 2 16" xfId="24020" xr:uid="{190DE89C-654E-468A-A1C0-0BC5639162AA}"/>
    <cellStyle name="RISKrtandbEdge 2 2 2 16 2" xfId="43397" xr:uid="{AC2380AB-6956-49A9-A75C-6849D2A5A623}"/>
    <cellStyle name="RISKrtandbEdge 2 2 2 17" xfId="25677" xr:uid="{CEAAFB1B-A30D-4F60-B5B1-396C89C0DD9D}"/>
    <cellStyle name="RISKrtandbEdge 2 2 2 17 2" xfId="44514" xr:uid="{5C071AEB-C300-4FD7-BB44-77F0A8E5966C}"/>
    <cellStyle name="RISKrtandbEdge 2 2 2 18" xfId="21078" xr:uid="{A0132202-55B6-4132-AAF5-94FDFDE78A6E}"/>
    <cellStyle name="RISKrtandbEdge 2 2 2 18 2" xfId="41323" xr:uid="{4780AD11-BEF1-42CA-9F81-BEE9AA4051B4}"/>
    <cellStyle name="RISKrtandbEdge 2 2 2 19" xfId="22185" xr:uid="{4A1D4734-DE97-4D63-A06D-1AC853F0EF87}"/>
    <cellStyle name="RISKrtandbEdge 2 2 2 19 2" xfId="42064" xr:uid="{5D3B06C6-52CB-4998-AE88-418008F7CF1D}"/>
    <cellStyle name="RISKrtandbEdge 2 2 2 2" xfId="11804" xr:uid="{5BE895E7-D224-400D-98F1-0287A2F072D7}"/>
    <cellStyle name="RISKrtandbEdge 2 2 2 2 2" xfId="34417" xr:uid="{72136DA9-D1FE-45AC-BDA7-9A0C4CCB8E75}"/>
    <cellStyle name="RISKrtandbEdge 2 2 2 20" xfId="24241" xr:uid="{4F0C208C-4A5E-49D0-AA85-CE25B2B1B0CB}"/>
    <cellStyle name="RISKrtandbEdge 2 2 2 20 2" xfId="43555" xr:uid="{5B81CFAB-EFD9-4CB2-9331-1E085479C6DA}"/>
    <cellStyle name="RISKrtandbEdge 2 2 2 21" xfId="26196" xr:uid="{4127B1F4-1A61-4362-854F-C898E4318226}"/>
    <cellStyle name="RISKrtandbEdge 2 2 2 21 2" xfId="44919" xr:uid="{F3A9455D-9922-48AD-B073-5A5FF9D03A16}"/>
    <cellStyle name="RISKrtandbEdge 2 2 2 22" xfId="27850" xr:uid="{ED840001-FEC5-426A-ABD5-3B1DF8DA44C6}"/>
    <cellStyle name="RISKrtandbEdge 2 2 2 22 2" xfId="45924" xr:uid="{44A30032-51B9-485B-8D9D-E7FD72433AAE}"/>
    <cellStyle name="RISKrtandbEdge 2 2 2 23" xfId="29417" xr:uid="{D8D122CD-653E-4FC2-A860-051AF656C586}"/>
    <cellStyle name="RISKrtandbEdge 2 2 2 23 2" xfId="46878" xr:uid="{27C22579-7318-445F-85F6-89E587B4B7D6}"/>
    <cellStyle name="RISKrtandbEdge 2 2 2 24" xfId="29185" xr:uid="{889C37E1-7E79-4E16-BDD6-D0F93E50EAD5}"/>
    <cellStyle name="RISKrtandbEdge 2 2 2 24 2" xfId="46711" xr:uid="{A238FB0D-628B-4FDD-ADD1-CEECC88563E9}"/>
    <cellStyle name="RISKrtandbEdge 2 2 2 25" xfId="29568" xr:uid="{23C64572-D898-40A5-A884-24648EB1FE0C}"/>
    <cellStyle name="RISKrtandbEdge 2 2 2 25 2" xfId="46963" xr:uid="{53836AF2-79F3-4036-BAE4-DD0C060C4494}"/>
    <cellStyle name="RISKrtandbEdge 2 2 2 26" xfId="29683" xr:uid="{51FCDF66-7F67-4172-B715-72D777529ACA}"/>
    <cellStyle name="RISKrtandbEdge 2 2 2 26 2" xfId="47038" xr:uid="{8CD185F7-6007-4F2E-8772-B38CE17BC5A7}"/>
    <cellStyle name="RISKrtandbEdge 2 2 2 27" xfId="30718" xr:uid="{759520CC-C498-45AE-BDAD-7F679EF3960F}"/>
    <cellStyle name="RISKrtandbEdge 2 2 2 27 2" xfId="47664" xr:uid="{ACD784BF-59A4-4476-A8EF-0F0AE7F5585F}"/>
    <cellStyle name="RISKrtandbEdge 2 2 2 28" xfId="30789" xr:uid="{6A3A07AE-5BB0-408F-875F-36D651B16BBE}"/>
    <cellStyle name="RISKrtandbEdge 2 2 2 28 2" xfId="47723" xr:uid="{C24345A7-D468-4CF9-B2A3-D634330B3A77}"/>
    <cellStyle name="RISKrtandbEdge 2 2 2 29" xfId="30198" xr:uid="{CEE19F4C-85EE-4159-B54A-F0914E364A58}"/>
    <cellStyle name="RISKrtandbEdge 2 2 2 29 2" xfId="47359" xr:uid="{16CEC8E8-F41C-4A35-A71B-8F95279493DD}"/>
    <cellStyle name="RISKrtandbEdge 2 2 2 3" xfId="13226" xr:uid="{54A092F4-5BE1-465C-84FD-E815E12EB064}"/>
    <cellStyle name="RISKrtandbEdge 2 2 2 3 2" xfId="35574" xr:uid="{BB5F936D-2E36-4DE9-AEA0-B803FA5B0F43}"/>
    <cellStyle name="RISKrtandbEdge 2 2 2 30" xfId="6094" xr:uid="{18709335-4050-45CA-A1BF-F03F284CD19D}"/>
    <cellStyle name="RISKrtandbEdge 2 2 2 4" xfId="14242" xr:uid="{2307584B-F12A-4531-A240-9EFCB8E77E8C}"/>
    <cellStyle name="RISKrtandbEdge 2 2 2 4 2" xfId="36295" xr:uid="{3F892C11-4B54-436A-BB76-4E40CEA6ACF7}"/>
    <cellStyle name="RISKrtandbEdge 2 2 2 5" xfId="15908" xr:uid="{D6C935AD-D86C-4D86-9F08-0C7837F14305}"/>
    <cellStyle name="RISKrtandbEdge 2 2 2 5 2" xfId="37499" xr:uid="{8BD9CD65-7B20-4184-9A30-EFEB19AFA914}"/>
    <cellStyle name="RISKrtandbEdge 2 2 2 6" xfId="13496" xr:uid="{06E1637C-5C4C-4D59-9B0B-689C0CF4F10B}"/>
    <cellStyle name="RISKrtandbEdge 2 2 2 6 2" xfId="35750" xr:uid="{652F56FA-AE8F-4287-9574-F50C44F9B67A}"/>
    <cellStyle name="RISKrtandbEdge 2 2 2 7" xfId="16594" xr:uid="{9A5BE20B-C009-4C2C-9A6E-0EFD9EFA9EB3}"/>
    <cellStyle name="RISKrtandbEdge 2 2 2 7 2" xfId="38087" xr:uid="{2241625D-4BC8-48A6-9269-FE52B4323BC4}"/>
    <cellStyle name="RISKrtandbEdge 2 2 2 8" xfId="14458" xr:uid="{C13176DE-0F60-4590-9667-5A9925E7371A}"/>
    <cellStyle name="RISKrtandbEdge 2 2 2 8 2" xfId="36447" xr:uid="{9A764C38-4139-422C-90C9-AFED17A4F94D}"/>
    <cellStyle name="RISKrtandbEdge 2 2 2 9" xfId="16310" xr:uid="{ADCD192A-E217-4158-A83D-7169BEEE4501}"/>
    <cellStyle name="RISKrtandbEdge 2 2 2 9 2" xfId="37847" xr:uid="{66447DD3-8592-4071-9D0A-DB703D1784BB}"/>
    <cellStyle name="RISKrtandbEdge 2 2 20" xfId="22753" xr:uid="{36946519-2C99-4ADC-945E-0BED821CD907}"/>
    <cellStyle name="RISKrtandbEdge 2 2 20 2" xfId="42510" xr:uid="{C676FF0C-7DB3-48BE-8FDA-E36B273308A3}"/>
    <cellStyle name="RISKrtandbEdge 2 2 21" xfId="20947" xr:uid="{626F9348-0BAE-4838-9E22-F46C4D154BF6}"/>
    <cellStyle name="RISKrtandbEdge 2 2 21 2" xfId="41248" xr:uid="{ECAE18DE-BBD2-4403-AC87-441EA712E30B}"/>
    <cellStyle name="RISKrtandbEdge 2 2 22" xfId="26597" xr:uid="{546E47A4-1BE6-4C38-A029-67CA73CB472A}"/>
    <cellStyle name="RISKrtandbEdge 2 2 22 2" xfId="45161" xr:uid="{90F446F5-E070-404E-AF5C-0A24560C1C1C}"/>
    <cellStyle name="RISKrtandbEdge 2 2 23" xfId="27343" xr:uid="{7087C403-AEFE-4BCE-9ADC-AF0212742A34}"/>
    <cellStyle name="RISKrtandbEdge 2 2 23 2" xfId="45634" xr:uid="{3013ED85-1E9A-450F-AEC8-2ACE663E9698}"/>
    <cellStyle name="RISKrtandbEdge 2 2 24" xfId="23635" xr:uid="{B9E03074-5F9C-479A-A2AA-AAD0A797BFBE}"/>
    <cellStyle name="RISKrtandbEdge 2 2 24 2" xfId="43066" xr:uid="{D3357F83-83B3-4C0C-8C3D-AC959A9D3DAB}"/>
    <cellStyle name="RISKrtandbEdge 2 2 25" xfId="27437" xr:uid="{789A2608-6966-47C3-9961-9D7E103D4159}"/>
    <cellStyle name="RISKrtandbEdge 2 2 25 2" xfId="45682" xr:uid="{1C4A1905-0D31-413E-8A56-FC06D10F779B}"/>
    <cellStyle name="RISKrtandbEdge 2 2 26" xfId="28295" xr:uid="{EFE8D09F-D6C9-40D0-97BB-AD9FA60DB677}"/>
    <cellStyle name="RISKrtandbEdge 2 2 26 2" xfId="46162" xr:uid="{8A5B7703-304C-40EF-8519-2BDEA725C8FC}"/>
    <cellStyle name="RISKrtandbEdge 2 2 27" xfId="28332" xr:uid="{85653279-F067-4C29-A3B6-C82042206AE3}"/>
    <cellStyle name="RISKrtandbEdge 2 2 27 2" xfId="46199" xr:uid="{C95705A0-F196-47EF-A64A-5A81AEA5250F}"/>
    <cellStyle name="RISKrtandbEdge 2 2 28" xfId="25843" xr:uid="{DC9033A9-0D28-4414-9FFB-ACE5AD427903}"/>
    <cellStyle name="RISKrtandbEdge 2 2 28 2" xfId="44662" xr:uid="{96D1D858-768E-4D4A-99BA-10262D53B13F}"/>
    <cellStyle name="RISKrtandbEdge 2 2 29" xfId="22634" xr:uid="{B43C3D7B-2ACE-4983-B182-9D65954D732C}"/>
    <cellStyle name="RISKrtandbEdge 2 2 29 2" xfId="42408" xr:uid="{59A7CCC3-0F12-48D6-8D06-00AA664D967F}"/>
    <cellStyle name="RISKrtandbEdge 2 2 3" xfId="3960" xr:uid="{5761E6D3-5D68-4CBB-AEDC-E3E78B276083}"/>
    <cellStyle name="RISKrtandbEdge 2 2 3 10" xfId="15685" xr:uid="{6B7207A9-E4A3-4937-99D6-02EED6F53BE9}"/>
    <cellStyle name="RISKrtandbEdge 2 2 3 10 2" xfId="37322" xr:uid="{E91F8F4E-FF4A-4A08-B3B8-B7900D18AB3D}"/>
    <cellStyle name="RISKrtandbEdge 2 2 3 11" xfId="19950" xr:uid="{26790DC6-3DF8-412C-B67F-12D87C763F45}"/>
    <cellStyle name="RISKrtandbEdge 2 2 3 11 2" xfId="40557" xr:uid="{E985B7C4-7547-4B1F-9A86-B2184EFA4B9F}"/>
    <cellStyle name="RISKrtandbEdge 2 2 3 12" xfId="20688" xr:uid="{0E265FA5-3713-434D-816A-AD921ED3D348}"/>
    <cellStyle name="RISKrtandbEdge 2 2 3 12 2" xfId="41048" xr:uid="{8013D745-447C-4EBB-AD7F-A5B8F93A9758}"/>
    <cellStyle name="RISKrtandbEdge 2 2 3 13" xfId="19049" xr:uid="{59E9F1E1-1476-4E4D-89BA-8685ED9F76D9}"/>
    <cellStyle name="RISKrtandbEdge 2 2 3 13 2" xfId="39881" xr:uid="{D218EC96-2362-4F23-AA59-A0BA27956226}"/>
    <cellStyle name="RISKrtandbEdge 2 2 3 14" xfId="17044" xr:uid="{374996DF-5213-4D90-8651-23940962384D}"/>
    <cellStyle name="RISKrtandbEdge 2 2 3 14 2" xfId="38386" xr:uid="{1409E778-3FC0-4C4F-822B-B53BBF15E9B0}"/>
    <cellStyle name="RISKrtandbEdge 2 2 3 15" xfId="20489" xr:uid="{EA84AB5E-0D61-42F2-A94A-315B47B77642}"/>
    <cellStyle name="RISKrtandbEdge 2 2 3 15 2" xfId="40879" xr:uid="{774B5212-7C51-4B00-AC30-AC0B218EAF5C}"/>
    <cellStyle name="RISKrtandbEdge 2 2 3 16" xfId="19481" xr:uid="{7FE62FAF-32E2-4473-8A91-E8D329831435}"/>
    <cellStyle name="RISKrtandbEdge 2 2 3 16 2" xfId="40158" xr:uid="{66AC24E7-ACBF-499C-90B7-44DDE12C6248}"/>
    <cellStyle name="RISKrtandbEdge 2 2 3 17" xfId="25691" xr:uid="{328B67E1-493B-4249-8E17-037D79E29E88}"/>
    <cellStyle name="RISKrtandbEdge 2 2 3 17 2" xfId="44528" xr:uid="{C7EFB750-7A80-4DEF-8EC3-5C35AF6DE700}"/>
    <cellStyle name="RISKrtandbEdge 2 2 3 18" xfId="22752" xr:uid="{E39EAA01-CA11-4E73-A072-8F28A82D92DD}"/>
    <cellStyle name="RISKrtandbEdge 2 2 3 18 2" xfId="42509" xr:uid="{C903C08F-1248-4AA1-A0C2-C46380AFD5EB}"/>
    <cellStyle name="RISKrtandbEdge 2 2 3 19" xfId="24047" xr:uid="{F9B45F00-A81F-4688-8D59-FFC0185B354B}"/>
    <cellStyle name="RISKrtandbEdge 2 2 3 19 2" xfId="43424" xr:uid="{5943E2C3-3E5A-47B5-9EAA-7E6F9891441F}"/>
    <cellStyle name="RISKrtandbEdge 2 2 3 2" xfId="7382" xr:uid="{1128BE9D-43A4-49C7-BF12-E0E59DC7096B}"/>
    <cellStyle name="RISKrtandbEdge 2 2 3 2 2" xfId="31744" xr:uid="{BC01A05E-CA78-4364-8DFC-AFE22A85DC2C}"/>
    <cellStyle name="RISKrtandbEdge 2 2 3 20" xfId="26596" xr:uid="{D3CE235A-6113-48BB-887D-7815C5255B34}"/>
    <cellStyle name="RISKrtandbEdge 2 2 3 20 2" xfId="45160" xr:uid="{3957485A-A8AF-468E-86C6-78C7F3E54C1D}"/>
    <cellStyle name="RISKrtandbEdge 2 2 3 21" xfId="22806" xr:uid="{7DDA9570-B88F-49A5-91BF-BBB90933F008}"/>
    <cellStyle name="RISKrtandbEdge 2 2 3 21 2" xfId="42545" xr:uid="{886A5E5A-3428-497F-AA76-2F113AF43277}"/>
    <cellStyle name="RISKrtandbEdge 2 2 3 22" xfId="25576" xr:uid="{0F25F339-3F77-4972-98BF-E67AD9167AD1}"/>
    <cellStyle name="RISKrtandbEdge 2 2 3 22 2" xfId="44444" xr:uid="{8DFC7C1A-6450-4A63-B496-158344538220}"/>
    <cellStyle name="RISKrtandbEdge 2 2 3 23" xfId="23671" xr:uid="{07E39779-2CFE-4793-A22A-B86880618759}"/>
    <cellStyle name="RISKrtandbEdge 2 2 3 23 2" xfId="43094" xr:uid="{789AC978-27FC-4536-91C6-0CB1E61BE8B4}"/>
    <cellStyle name="RISKrtandbEdge 2 2 3 24" xfId="27708" xr:uid="{A945117F-89CC-4EF8-9D0B-4C98546E0676}"/>
    <cellStyle name="RISKrtandbEdge 2 2 3 24 2" xfId="45817" xr:uid="{B81E905E-CE31-4DD3-A9ED-FCE3CA7D9BAB}"/>
    <cellStyle name="RISKrtandbEdge 2 2 3 25" xfId="26044" xr:uid="{98C48847-13F9-418C-A3ED-08ADDC0A2B67}"/>
    <cellStyle name="RISKrtandbEdge 2 2 3 25 2" xfId="44814" xr:uid="{8845B1ED-36F5-49D7-ACC5-3B082F9439D1}"/>
    <cellStyle name="RISKrtandbEdge 2 2 3 26" xfId="28917" xr:uid="{B8621218-7AAD-4894-BB9C-C1B87A0559F9}"/>
    <cellStyle name="RISKrtandbEdge 2 2 3 26 2" xfId="46521" xr:uid="{FAD3C688-BE5D-42D1-86E9-B49746FAD220}"/>
    <cellStyle name="RISKrtandbEdge 2 2 3 27" xfId="30247" xr:uid="{107C4587-AB15-4D85-9325-1473A7875C89}"/>
    <cellStyle name="RISKrtandbEdge 2 2 3 27 2" xfId="47408" xr:uid="{D668811B-D1D7-4339-8C5C-7476333C9547}"/>
    <cellStyle name="RISKrtandbEdge 2 2 3 28" xfId="27747" xr:uid="{E6B82D4A-E203-47B7-911A-334FAB19982C}"/>
    <cellStyle name="RISKrtandbEdge 2 2 3 28 2" xfId="45848" xr:uid="{1D5A83DA-1F23-43DF-B9C5-06B71A1AFF9C}"/>
    <cellStyle name="RISKrtandbEdge 2 2 3 29" xfId="31075" xr:uid="{26725E02-9DA3-4404-8B96-0C9E9BE83BFA}"/>
    <cellStyle name="RISKrtandbEdge 2 2 3 29 2" xfId="47805" xr:uid="{C15EF296-04E4-4037-8EE3-FA99C557B7BD}"/>
    <cellStyle name="RISKrtandbEdge 2 2 3 3" xfId="10231" xr:uid="{54034AF2-03B9-4DCA-9FEC-EF15A635221B}"/>
    <cellStyle name="RISKrtandbEdge 2 2 3 3 2" xfId="33866" xr:uid="{8E9F70F3-EF32-4FE1-BA5F-430C39B05FD6}"/>
    <cellStyle name="RISKrtandbEdge 2 2 3 30" xfId="6093" xr:uid="{50E46C4A-433E-42E2-AC46-9E0DB8BA9362}"/>
    <cellStyle name="RISKrtandbEdge 2 2 3 4" xfId="7025" xr:uid="{EB0FC07A-EDDA-46B2-B2D0-8BDBEC4D2465}"/>
    <cellStyle name="RISKrtandbEdge 2 2 3 4 2" xfId="31392" xr:uid="{CB9CC74C-D06E-495A-BDBE-8CA8EC94A4FD}"/>
    <cellStyle name="RISKrtandbEdge 2 2 3 5" xfId="7281" xr:uid="{12A40786-BB08-41D3-B763-914246826E7F}"/>
    <cellStyle name="RISKrtandbEdge 2 2 3 5 2" xfId="31645" xr:uid="{DC013C1D-ADB5-4C91-B53E-BC023F1E847E}"/>
    <cellStyle name="RISKrtandbEdge 2 2 3 6" xfId="12289" xr:uid="{32CD7A7D-EF92-49A6-A8F1-F3A4DD431385}"/>
    <cellStyle name="RISKrtandbEdge 2 2 3 6 2" xfId="34795" xr:uid="{034B3D32-6AEC-40CC-A402-B22FF3D2C227}"/>
    <cellStyle name="RISKrtandbEdge 2 2 3 7" xfId="14051" xr:uid="{9916C742-4C3B-4AA3-8991-4765058AD2EE}"/>
    <cellStyle name="RISKrtandbEdge 2 2 3 7 2" xfId="36145" xr:uid="{F8C81229-31D8-44BA-8DA4-08E52C02C363}"/>
    <cellStyle name="RISKrtandbEdge 2 2 3 8" xfId="17466" xr:uid="{688A298B-7137-429F-8D62-04CEFE2D73F5}"/>
    <cellStyle name="RISKrtandbEdge 2 2 3 8 2" xfId="38713" xr:uid="{4D0FEDCF-9D25-4362-9EDD-5AFE3F2C73FD}"/>
    <cellStyle name="RISKrtandbEdge 2 2 3 9" xfId="18315" xr:uid="{104CEE04-2C8C-4D89-A870-D422E2CB0272}"/>
    <cellStyle name="RISKrtandbEdge 2 2 3 9 2" xfId="39346" xr:uid="{47D0E80A-F673-473E-B0BB-940C88EBF67A}"/>
    <cellStyle name="RISKrtandbEdge 2 2 30" xfId="29377" xr:uid="{54A8C737-F4FF-432A-8C64-3F3C14CDD6C8}"/>
    <cellStyle name="RISKrtandbEdge 2 2 30 2" xfId="46846" xr:uid="{8A8E4451-733C-4283-AF6F-CBEEFC6B5138}"/>
    <cellStyle name="RISKrtandbEdge 2 2 31" xfId="31076" xr:uid="{D76AC95D-D7EC-4B7B-B4D9-E90643A928FD}"/>
    <cellStyle name="RISKrtandbEdge 2 2 31 2" xfId="47806" xr:uid="{BCF88895-313D-4181-B106-D3D935A61264}"/>
    <cellStyle name="RISKrtandbEdge 2 2 32" xfId="6095" xr:uid="{9D4AA380-524C-461E-B72B-3BC3696D2A60}"/>
    <cellStyle name="RISKrtandbEdge 2 2 4" xfId="7383" xr:uid="{E6AD43BC-B4C9-4C5A-AC22-ED9EF3123FCE}"/>
    <cellStyle name="RISKrtandbEdge 2 2 4 2" xfId="31745" xr:uid="{98084FDB-9068-4343-BDCA-0AF79F276648}"/>
    <cellStyle name="RISKrtandbEdge 2 2 5" xfId="10229" xr:uid="{F0A1D42A-BB60-4CB9-89C2-89FED5FA6A05}"/>
    <cellStyle name="RISKrtandbEdge 2 2 5 2" xfId="33864" xr:uid="{13564C66-89CC-4190-9054-68B51D378EDE}"/>
    <cellStyle name="RISKrtandbEdge 2 2 6" xfId="7026" xr:uid="{1183257E-6FFB-4D2A-A82B-74D5F60A874D}"/>
    <cellStyle name="RISKrtandbEdge 2 2 6 2" xfId="31393" xr:uid="{41B9F1E4-2EA0-4FDF-AFC6-D446F05AAD3C}"/>
    <cellStyle name="RISKrtandbEdge 2 2 7" xfId="11709" xr:uid="{7743267B-A2C6-4F6E-944D-1469D3E49228}"/>
    <cellStyle name="RISKrtandbEdge 2 2 7 2" xfId="34322" xr:uid="{C5A7D14E-6746-4611-90AD-D0827CCDA47E}"/>
    <cellStyle name="RISKrtandbEdge 2 2 8" xfId="14673" xr:uid="{F0B6D3BF-C37B-499D-B4E1-C1F5F0EEDAAC}"/>
    <cellStyle name="RISKrtandbEdge 2 2 8 2" xfId="36585" xr:uid="{FD2A0FD8-850E-4812-8F95-A626164EE928}"/>
    <cellStyle name="RISKrtandbEdge 2 2 9" xfId="13475" xr:uid="{CBA5E294-A58A-41D0-81E8-964DA61D2567}"/>
    <cellStyle name="RISKrtandbEdge 2 2 9 2" xfId="35731" xr:uid="{9B70310C-08F6-43CB-B52A-88D94DDBFEC6}"/>
    <cellStyle name="RISKrtandbEdge 2 20" xfId="25902" xr:uid="{D69497D3-DF56-42BD-993C-86CCABE58C14}"/>
    <cellStyle name="RISKrtandbEdge 2 20 2" xfId="44707" xr:uid="{26E219EF-E7B4-4203-B9DA-08D6CDA5562B}"/>
    <cellStyle name="RISKrtandbEdge 2 21" xfId="20371" xr:uid="{9B83EB86-DFF9-4EB1-BE7C-08AD9690846E}"/>
    <cellStyle name="RISKrtandbEdge 2 21 2" xfId="40798" xr:uid="{26B65B38-2C2D-4E25-9116-5217C45640A5}"/>
    <cellStyle name="RISKrtandbEdge 2 22" xfId="24049" xr:uid="{7F3381C1-3CE7-47C5-ACCA-6A765CCB472C}"/>
    <cellStyle name="RISKrtandbEdge 2 22 2" xfId="43426" xr:uid="{A834A291-EC6D-42D6-9715-D885C24345B6}"/>
    <cellStyle name="RISKrtandbEdge 2 23" xfId="25431" xr:uid="{D4212CC3-67F0-4B0E-BA55-A0DB540DFEC1}"/>
    <cellStyle name="RISKrtandbEdge 2 23 2" xfId="44318" xr:uid="{9C45CBFB-B7B4-4462-B295-E7FA6633B67F}"/>
    <cellStyle name="RISKrtandbEdge 2 24" xfId="23801" xr:uid="{98A94D45-B65A-46C6-B03A-D2D87D4E3B1A}"/>
    <cellStyle name="RISKrtandbEdge 2 24 2" xfId="43197" xr:uid="{5D9EEDF6-FA83-405E-A23E-7A690DBE18DE}"/>
    <cellStyle name="RISKrtandbEdge 2 25" xfId="27851" xr:uid="{940E3072-5CC1-4EBC-B644-0FECCA518A2C}"/>
    <cellStyle name="RISKrtandbEdge 2 25 2" xfId="45925" xr:uid="{3BFA11D0-A803-466B-ADBF-57200A2701B4}"/>
    <cellStyle name="RISKrtandbEdge 2 26" xfId="29679" xr:uid="{4C2D06F5-CE13-4866-9043-B1EB52A3106E}"/>
    <cellStyle name="RISKrtandbEdge 2 26 2" xfId="47035" xr:uid="{592043FE-3B04-43F2-9348-D19240633205}"/>
    <cellStyle name="RISKrtandbEdge 2 27" xfId="29074" xr:uid="{27412A60-A86A-44C3-B8CC-C65B5D2F8353}"/>
    <cellStyle name="RISKrtandbEdge 2 27 2" xfId="46647" xr:uid="{F01BAD64-C6BA-4D98-92FD-742DEAB4A305}"/>
    <cellStyle name="RISKrtandbEdge 2 28" xfId="27030" xr:uid="{7871E37E-2809-4FD3-9AAE-9FFB256D9BB5}"/>
    <cellStyle name="RISKrtandbEdge 2 28 2" xfId="45433" xr:uid="{9D6198A7-1F65-4508-BB0C-2B2B19511C9D}"/>
    <cellStyle name="RISKrtandbEdge 2 29" xfId="29798" xr:uid="{F9F9D4C2-7AE6-460A-AA4A-D474B59634ED}"/>
    <cellStyle name="RISKrtandbEdge 2 29 2" xfId="47117" xr:uid="{B820D882-01F5-427B-9257-5FB34BB710A0}"/>
    <cellStyle name="RISKrtandbEdge 2 3" xfId="3961" xr:uid="{CDC5E3CF-ED21-4932-A995-42A6CCB4001E}"/>
    <cellStyle name="RISKrtandbEdge 2 3 10" xfId="19200" xr:uid="{2670BE3C-C9F0-4A6E-A6D2-ADF04CDA8C3E}"/>
    <cellStyle name="RISKrtandbEdge 2 3 10 2" xfId="40009" xr:uid="{3B02AEF0-1209-41E5-840F-4CD0C998A150}"/>
    <cellStyle name="RISKrtandbEdge 2 3 11" xfId="15748" xr:uid="{69325BC6-8A46-435C-A490-08F1D7FD2E44}"/>
    <cellStyle name="RISKrtandbEdge 2 3 11 2" xfId="37377" xr:uid="{9EF8160E-03C1-41B6-ACDD-0065870DD65D}"/>
    <cellStyle name="RISKrtandbEdge 2 3 12" xfId="18917" xr:uid="{32B683F4-2CF6-4972-97DD-1B1B7CE05C0E}"/>
    <cellStyle name="RISKrtandbEdge 2 3 12 2" xfId="39750" xr:uid="{AEED8122-663B-49B4-9CE9-E92D097A3DE8}"/>
    <cellStyle name="RISKrtandbEdge 2 3 13" xfId="17126" xr:uid="{32093C87-A60C-4D14-A256-6A5AACC2C1B7}"/>
    <cellStyle name="RISKrtandbEdge 2 3 13 2" xfId="38465" xr:uid="{07BD23A7-1160-4C1A-AF49-400358B98037}"/>
    <cellStyle name="RISKrtandbEdge 2 3 14" xfId="22059" xr:uid="{D5D2F860-3E34-434C-B26D-FDB2AA81B771}"/>
    <cellStyle name="RISKrtandbEdge 2 3 14 2" xfId="41944" xr:uid="{FA1D640A-038E-442A-AEF4-1CE291A7E4C3}"/>
    <cellStyle name="RISKrtandbEdge 2 3 15" xfId="23193" xr:uid="{996E7F9F-3AC8-40E8-B273-D26D13151137}"/>
    <cellStyle name="RISKrtandbEdge 2 3 15 2" xfId="42787" xr:uid="{3EF2C795-2448-4E6D-8837-B679A57DD567}"/>
    <cellStyle name="RISKrtandbEdge 2 3 16" xfId="24019" xr:uid="{0B1781C1-C6B4-49D2-BC6D-4A7ABCB10E5E}"/>
    <cellStyle name="RISKrtandbEdge 2 3 16 2" xfId="43396" xr:uid="{BABBEB7B-6151-4237-A596-3E05A8D4E50B}"/>
    <cellStyle name="RISKrtandbEdge 2 3 17" xfId="25679" xr:uid="{590B91EF-9FD3-4AD5-87CA-E6A72B805395}"/>
    <cellStyle name="RISKrtandbEdge 2 3 17 2" xfId="44516" xr:uid="{ED5BA2C0-0AA6-45C8-9A7D-2B7F91C5942A}"/>
    <cellStyle name="RISKrtandbEdge 2 3 18" xfId="24556" xr:uid="{858B2FA5-3F5D-4F7F-8587-7D822FF281F2}"/>
    <cellStyle name="RISKrtandbEdge 2 3 18 2" xfId="43739" xr:uid="{6538072F-BB0B-4BAF-BFCB-921C16C9A98A}"/>
    <cellStyle name="RISKrtandbEdge 2 3 19" xfId="19475" xr:uid="{A9B11959-53A3-42AD-A883-CCE5CA7D1411}"/>
    <cellStyle name="RISKrtandbEdge 2 3 19 2" xfId="40152" xr:uid="{5457F518-8F7E-4376-BC7A-265296DBC3B6}"/>
    <cellStyle name="RISKrtandbEdge 2 3 2" xfId="11803" xr:uid="{BA386BBB-3626-4E2E-A68A-DE0440D3811C}"/>
    <cellStyle name="RISKrtandbEdge 2 3 2 2" xfId="34416" xr:uid="{F5CA670C-C5B2-4B6B-97F5-E6414014A0D7}"/>
    <cellStyle name="RISKrtandbEdge 2 3 20" xfId="21954" xr:uid="{0D0E5071-A182-4499-B6EB-EF8C2095760B}"/>
    <cellStyle name="RISKrtandbEdge 2 3 20 2" xfId="41867" xr:uid="{2F591307-C3C4-458D-B644-95757015447D}"/>
    <cellStyle name="RISKrtandbEdge 2 3 21" xfId="27342" xr:uid="{B9CD2AF5-22A4-4172-A046-D2224A40966B}"/>
    <cellStyle name="RISKrtandbEdge 2 3 21 2" xfId="45633" xr:uid="{FC480B7B-A1E3-42CD-9A28-01FC8F4CFDA2}"/>
    <cellStyle name="RISKrtandbEdge 2 3 22" xfId="27849" xr:uid="{F2B67CAB-C823-41BB-89B7-CACAF154290D}"/>
    <cellStyle name="RISKrtandbEdge 2 3 22 2" xfId="45923" xr:uid="{02575E08-89D1-4258-A7A3-15A71C31CF97}"/>
    <cellStyle name="RISKrtandbEdge 2 3 23" xfId="22653" xr:uid="{CF8C0592-F66C-48AB-B0CB-883586FDB40F}"/>
    <cellStyle name="RISKrtandbEdge 2 3 23 2" xfId="42424" xr:uid="{0389691E-B8BB-4AC1-8B73-B44F48C62E00}"/>
    <cellStyle name="RISKrtandbEdge 2 3 24" xfId="29771" xr:uid="{1BC53498-4E14-4ECC-AD71-4E69F1A5D65B}"/>
    <cellStyle name="RISKrtandbEdge 2 3 24 2" xfId="47090" xr:uid="{448FD73D-1415-465A-938D-DA566EA1FD45}"/>
    <cellStyle name="RISKrtandbEdge 2 3 25" xfId="27029" xr:uid="{558A5352-6BF5-41F9-AB8F-C636B68F18F5}"/>
    <cellStyle name="RISKrtandbEdge 2 3 25 2" xfId="45432" xr:uid="{AC53ED6A-A890-4085-869D-9E2EE5ECC213}"/>
    <cellStyle name="RISKrtandbEdge 2 3 26" xfId="25208" xr:uid="{F26FD1B4-6CB4-4419-B236-C21BE50254F6}"/>
    <cellStyle name="RISKrtandbEdge 2 3 26 2" xfId="44147" xr:uid="{2055A032-9C26-41D3-9C69-FF7F1A611D52}"/>
    <cellStyle name="RISKrtandbEdge 2 3 27" xfId="30717" xr:uid="{681718CD-419B-4B2D-A41F-672E60AD81E4}"/>
    <cellStyle name="RISKrtandbEdge 2 3 27 2" xfId="47663" xr:uid="{E4CF39CC-7817-4194-9CAB-CF5F595A970E}"/>
    <cellStyle name="RISKrtandbEdge 2 3 28" xfId="29786" xr:uid="{6F0CC5C9-74A4-4D9F-81FF-BDF72CF83A4C}"/>
    <cellStyle name="RISKrtandbEdge 2 3 28 2" xfId="47105" xr:uid="{B170F814-BF48-4AA8-ABDE-00171C675FFB}"/>
    <cellStyle name="RISKrtandbEdge 2 3 29" xfId="30624" xr:uid="{11B046F5-1017-4E28-B90C-332A84FD6E18}"/>
    <cellStyle name="RISKrtandbEdge 2 3 29 2" xfId="47570" xr:uid="{463B3D0B-1C66-4C70-9B35-F8064E448CB0}"/>
    <cellStyle name="RISKrtandbEdge 2 3 3" xfId="13225" xr:uid="{2C15EFCC-C4E5-43FB-91F4-0F91A88D23C5}"/>
    <cellStyle name="RISKrtandbEdge 2 3 3 2" xfId="35573" xr:uid="{69AAF9FF-E5AF-4EE1-A43A-E53583F1DF29}"/>
    <cellStyle name="RISKrtandbEdge 2 3 30" xfId="6092" xr:uid="{6A9687B1-937E-4400-8C33-C4BE1552A8C1}"/>
    <cellStyle name="RISKrtandbEdge 2 3 4" xfId="14241" xr:uid="{EA493E32-7260-41BF-AEC0-7372E3DA2112}"/>
    <cellStyle name="RISKrtandbEdge 2 3 4 2" xfId="36294" xr:uid="{D2BF371F-606D-48A8-8DC7-3B3BA1B3FD26}"/>
    <cellStyle name="RISKrtandbEdge 2 3 5" xfId="11708" xr:uid="{C77E6475-058B-4616-8A67-0A1671642320}"/>
    <cellStyle name="RISKrtandbEdge 2 3 5 2" xfId="34321" xr:uid="{92D186C7-D1AB-4CA1-BA85-4632EBF7A913}"/>
    <cellStyle name="RISKrtandbEdge 2 3 6" xfId="15486" xr:uid="{63F7B60E-DB6D-4DE0-8702-31E8C7C71C8C}"/>
    <cellStyle name="RISKrtandbEdge 2 3 6 2" xfId="37151" xr:uid="{52B813D9-3941-4C61-AE96-4BD16CA3744B}"/>
    <cellStyle name="RISKrtandbEdge 2 3 7" xfId="16593" xr:uid="{880506A7-E0EE-48E1-9A36-6E5780AC2A3A}"/>
    <cellStyle name="RISKrtandbEdge 2 3 7 2" xfId="38086" xr:uid="{A10B8DB6-96C5-4340-80D9-28EAB71E519A}"/>
    <cellStyle name="RISKrtandbEdge 2 3 8" xfId="13868" xr:uid="{C9F067AD-4F10-421C-ABBE-B09CA2F02930}"/>
    <cellStyle name="RISKrtandbEdge 2 3 8 2" xfId="35991" xr:uid="{2F8F3909-EAC8-4F59-9C56-43C8F8972D47}"/>
    <cellStyle name="RISKrtandbEdge 2 3 9" xfId="15812" xr:uid="{EFC6B291-2389-465A-B9D6-67AE983F5D93}"/>
    <cellStyle name="RISKrtandbEdge 2 3 9 2" xfId="37427" xr:uid="{FBE135F7-AB56-4106-BE76-E888CCDA4685}"/>
    <cellStyle name="RISKrtandbEdge 2 30" xfId="30719" xr:uid="{329B5552-494B-4AA7-90AA-F5BF9B664268}"/>
    <cellStyle name="RISKrtandbEdge 2 30 2" xfId="47665" xr:uid="{80AA7964-D6AF-4899-A30B-2AED6B311AA5}"/>
    <cellStyle name="RISKrtandbEdge 2 31" xfId="29888" xr:uid="{0DCDDBDB-906F-48C2-8ED3-F781F5A23DE8}"/>
    <cellStyle name="RISKrtandbEdge 2 31 2" xfId="47176" xr:uid="{02B1E038-CDBD-4984-B3FB-527E94DB7557}"/>
    <cellStyle name="RISKrtandbEdge 2 32" xfId="28245" xr:uid="{86DC869B-63F3-467F-81E5-39FE4967B9FE}"/>
    <cellStyle name="RISKrtandbEdge 2 32 2" xfId="46120" xr:uid="{AD5091E6-0058-46A3-8B4E-304A6BC59844}"/>
    <cellStyle name="RISKrtandbEdge 2 33" xfId="6096" xr:uid="{24905756-362E-4F45-8588-AA18870E9EF4}"/>
    <cellStyle name="RISKrtandbEdge 2 4" xfId="3962" xr:uid="{0A4023B1-062A-478A-B9D3-975C810B94A3}"/>
    <cellStyle name="RISKrtandbEdge 2 4 10" xfId="17199" xr:uid="{5EA6F16C-3A8F-47F3-A576-E8D22C57D06C}"/>
    <cellStyle name="RISKrtandbEdge 2 4 10 2" xfId="38528" xr:uid="{374B97D2-B620-47ED-840C-7A2FDF603567}"/>
    <cellStyle name="RISKrtandbEdge 2 4 11" xfId="19949" xr:uid="{0E7181CF-23C4-4671-A3CA-C2D2A4098265}"/>
    <cellStyle name="RISKrtandbEdge 2 4 11 2" xfId="40556" xr:uid="{ACC20BD3-8148-43E4-939F-07C7964971D9}"/>
    <cellStyle name="RISKrtandbEdge 2 4 12" xfId="20687" xr:uid="{46731F50-9746-43CC-B5AB-A84FE0B7416C}"/>
    <cellStyle name="RISKrtandbEdge 2 4 12 2" xfId="41047" xr:uid="{8E8226F0-3C0A-4DA6-BA72-2008F307C6AB}"/>
    <cellStyle name="RISKrtandbEdge 2 4 13" xfId="22718" xr:uid="{9161B263-943C-49CC-AD19-1A9885ACE4A8}"/>
    <cellStyle name="RISKrtandbEdge 2 4 13 2" xfId="42477" xr:uid="{F0CF2887-7AEA-4CCA-B9BF-4F7C4B13CFF2}"/>
    <cellStyle name="RISKrtandbEdge 2 4 14" xfId="20907" xr:uid="{B7F81CE6-7D9B-4CF8-9249-A064101845A3}"/>
    <cellStyle name="RISKrtandbEdge 2 4 14 2" xfId="41210" xr:uid="{71CBE134-7024-479B-AC0D-F40D33F76D48}"/>
    <cellStyle name="RISKrtandbEdge 2 4 15" xfId="16135" xr:uid="{5289CE55-0B9D-48AE-BFBC-9CD04025E471}"/>
    <cellStyle name="RISKrtandbEdge 2 4 15 2" xfId="37701" xr:uid="{E72CC74E-C710-45AD-BCC0-BAA18D178ABE}"/>
    <cellStyle name="RISKrtandbEdge 2 4 16" xfId="22193" xr:uid="{E66D3D3F-F0A0-422A-AA86-D3774FA575EA}"/>
    <cellStyle name="RISKrtandbEdge 2 4 16 2" xfId="42072" xr:uid="{04AC4BCA-AAB8-41B2-833E-6580FBB235DB}"/>
    <cellStyle name="RISKrtandbEdge 2 4 17" xfId="20157" xr:uid="{6C421323-2653-44E5-8101-8533B091E839}"/>
    <cellStyle name="RISKrtandbEdge 2 4 17 2" xfId="40664" xr:uid="{1DA668CC-29BE-4EF3-B5CA-122A452FC92F}"/>
    <cellStyle name="RISKrtandbEdge 2 4 18" xfId="25299" xr:uid="{368583AF-845F-483E-8BE4-485558CF3AB6}"/>
    <cellStyle name="RISKrtandbEdge 2 4 18 2" xfId="44215" xr:uid="{CBA7FC7D-8E56-40AD-AF30-BD41641B50E1}"/>
    <cellStyle name="RISKrtandbEdge 2 4 19" xfId="24046" xr:uid="{6506D7DC-E326-474E-85B9-62C6C2D0E7E1}"/>
    <cellStyle name="RISKrtandbEdge 2 4 19 2" xfId="43423" xr:uid="{EA87931B-63F1-4814-8EDD-B7D06A37BAB9}"/>
    <cellStyle name="RISKrtandbEdge 2 4 2" xfId="7381" xr:uid="{7475D418-920E-4D51-A7A6-EE8E2898D006}"/>
    <cellStyle name="RISKrtandbEdge 2 4 2 2" xfId="31743" xr:uid="{9EBBF27C-0411-4403-9406-108D5A71DC8B}"/>
    <cellStyle name="RISKrtandbEdge 2 4 20" xfId="25440" xr:uid="{8D2B2F49-CB5F-421E-BFCB-CC1BE26D98ED}"/>
    <cellStyle name="RISKrtandbEdge 2 4 20 2" xfId="44326" xr:uid="{84AA5350-21CC-405F-A29D-AD26CEBF0F2B}"/>
    <cellStyle name="RISKrtandbEdge 2 4 21" xfId="18554" xr:uid="{E97A7791-38AB-47A1-8F41-4F4CAAFE3BC8}"/>
    <cellStyle name="RISKrtandbEdge 2 4 21 2" xfId="39498" xr:uid="{89A3E083-8E59-4304-92F8-D1F9DE51F92A}"/>
    <cellStyle name="RISKrtandbEdge 2 4 22" xfId="25495" xr:uid="{AE4B82D5-1EAF-456A-8A03-6581530FD7BE}"/>
    <cellStyle name="RISKrtandbEdge 2 4 22 2" xfId="44373" xr:uid="{7D0B33D6-D54E-49C6-A9AA-ED443EA7D328}"/>
    <cellStyle name="RISKrtandbEdge 2 4 23" xfId="29690" xr:uid="{8E3A4489-9431-4C15-A03B-14324F9CBC5B}"/>
    <cellStyle name="RISKrtandbEdge 2 4 23 2" xfId="47042" xr:uid="{DFD07C26-836E-464D-8A9E-F5C6F3441794}"/>
    <cellStyle name="RISKrtandbEdge 2 4 24" xfId="29778" xr:uid="{DBCA5FFC-B871-44AB-8824-B4714B35F6B4}"/>
    <cellStyle name="RISKrtandbEdge 2 4 24 2" xfId="47097" xr:uid="{D891CFBF-73ED-49AC-A80C-3D0D9D758BB0}"/>
    <cellStyle name="RISKrtandbEdge 2 4 25" xfId="28330" xr:uid="{B8C69FE5-9B25-47DA-B910-06F26A0CE30A}"/>
    <cellStyle name="RISKrtandbEdge 2 4 25 2" xfId="46197" xr:uid="{C6EAB77C-B44D-49DA-B1DE-51E95A8663C0}"/>
    <cellStyle name="RISKrtandbEdge 2 4 26" xfId="29901" xr:uid="{41D4CB5F-9BB0-47F5-B7EE-17A0E3ABBA33}"/>
    <cellStyle name="RISKrtandbEdge 2 4 26 2" xfId="47189" xr:uid="{AB00FADA-D003-4A18-9674-33FE13910C33}"/>
    <cellStyle name="RISKrtandbEdge 2 4 27" xfId="26910" xr:uid="{F03B9044-F3A8-4AB4-8C81-4755FA76B46E}"/>
    <cellStyle name="RISKrtandbEdge 2 4 27 2" xfId="45331" xr:uid="{93529D60-E7AF-40FD-B92D-D470209D5F2C}"/>
    <cellStyle name="RISKrtandbEdge 2 4 28" xfId="29401" xr:uid="{78DEF8D8-DAA8-43AA-9813-4933084D9434}"/>
    <cellStyle name="RISKrtandbEdge 2 4 28 2" xfId="46867" xr:uid="{CA0841C1-A98F-4096-B992-DDC1E553C87A}"/>
    <cellStyle name="RISKrtandbEdge 2 4 29" xfId="31074" xr:uid="{F5EAC921-12A2-43E2-AB7A-42DEC56B9EFF}"/>
    <cellStyle name="RISKrtandbEdge 2 4 29 2" xfId="47804" xr:uid="{3FBB1E47-ECB6-4CE2-851F-B811BF8976EC}"/>
    <cellStyle name="RISKrtandbEdge 2 4 3" xfId="10232" xr:uid="{826472EF-9A45-4887-B01B-2C6F51B08A2D}"/>
    <cellStyle name="RISKrtandbEdge 2 4 3 2" xfId="33867" xr:uid="{50FBD876-1F8D-4CC3-8227-134E14021A8A}"/>
    <cellStyle name="RISKrtandbEdge 2 4 30" xfId="6091" xr:uid="{A5167395-D8A7-4E70-808F-6F59D70D31C4}"/>
    <cellStyle name="RISKrtandbEdge 2 4 4" xfId="7024" xr:uid="{D9AB964D-CCF5-49A1-BBE2-525E39526CA2}"/>
    <cellStyle name="RISKrtandbEdge 2 4 4 2" xfId="31391" xr:uid="{0353EC3D-E966-4A19-B47B-7A5A233A8DC7}"/>
    <cellStyle name="RISKrtandbEdge 2 4 5" xfId="16190" xr:uid="{81AE3107-108D-47BC-ACC1-A5E6D3ECDE1D}"/>
    <cellStyle name="RISKrtandbEdge 2 4 5 2" xfId="37749" xr:uid="{1DE44784-D851-4A5C-88C1-78302DBF1CF8}"/>
    <cellStyle name="RISKrtandbEdge 2 4 6" xfId="14672" xr:uid="{D63E6E05-E59D-42BD-AACC-D442E33E856B}"/>
    <cellStyle name="RISKrtandbEdge 2 4 6 2" xfId="36584" xr:uid="{895EAA55-CB90-46D8-A2F5-3E0E91551A66}"/>
    <cellStyle name="RISKrtandbEdge 2 4 7" xfId="12512" xr:uid="{0A270848-EB3C-4555-854B-ADA5D51515C3}"/>
    <cellStyle name="RISKrtandbEdge 2 4 7 2" xfId="34956" xr:uid="{34C14DE4-848B-4193-9F1A-FA7BE9D184B2}"/>
    <cellStyle name="RISKrtandbEdge 2 4 8" xfId="17465" xr:uid="{8E094337-8575-4B7D-A74F-F39820BC1799}"/>
    <cellStyle name="RISKrtandbEdge 2 4 8 2" xfId="38712" xr:uid="{6FD6FE19-E0C9-439A-84DA-F47323FBA68E}"/>
    <cellStyle name="RISKrtandbEdge 2 4 9" xfId="18314" xr:uid="{F9A6F1E3-3DEC-46D7-9B59-EF5E7A1DF16B}"/>
    <cellStyle name="RISKrtandbEdge 2 4 9 2" xfId="39345" xr:uid="{E6D5DF87-ECC0-4D86-87F3-35885E5CC7E8}"/>
    <cellStyle name="RISKrtandbEdge 2 5" xfId="11805" xr:uid="{1ADEDDE8-04F1-4F75-8B43-73390CEB7075}"/>
    <cellStyle name="RISKrtandbEdge 2 5 2" xfId="34418" xr:uid="{E898287E-9EAB-4F9C-8DE2-FDBB24AB2ACA}"/>
    <cellStyle name="RISKrtandbEdge 2 6" xfId="13227" xr:uid="{A7E44470-CD30-41CE-9D67-E5AF47A679F0}"/>
    <cellStyle name="RISKrtandbEdge 2 6 2" xfId="35575" xr:uid="{050118E4-B26A-48E9-AB54-D820DA07E986}"/>
    <cellStyle name="RISKrtandbEdge 2 7" xfId="14243" xr:uid="{A4D1C2CD-3752-428A-AD06-2D7F6A0C5274}"/>
    <cellStyle name="RISKrtandbEdge 2 7 2" xfId="36296" xr:uid="{4031F195-E397-4C22-8DC1-071EDDE01EC0}"/>
    <cellStyle name="RISKrtandbEdge 2 8" xfId="16176" xr:uid="{1994E649-19F4-465C-BBC4-061C2C802E4F}"/>
    <cellStyle name="RISKrtandbEdge 2 8 2" xfId="37736" xr:uid="{F6D0B13C-EF60-4436-BECC-840551F9A34A}"/>
    <cellStyle name="RISKrtandbEdge 2 9" xfId="15485" xr:uid="{0C51ECD7-72DE-445C-837F-B55E5F15D3A5}"/>
    <cellStyle name="RISKrtandbEdge 2 9 2" xfId="37150" xr:uid="{5E24D126-D73B-43A1-9C13-50351753B67B}"/>
    <cellStyle name="RISKrtandbEdge 20" xfId="19952" xr:uid="{BD869454-2BE3-460A-A598-0F303ACF4DA2}"/>
    <cellStyle name="RISKrtandbEdge 20 2" xfId="40559" xr:uid="{575E3028-1FBF-4ACF-B631-C4EC1EA19488}"/>
    <cellStyle name="RISKrtandbEdge 21" xfId="16831" xr:uid="{AD29AAE5-7B60-441F-AFF3-DBBB54B8F729}"/>
    <cellStyle name="RISKrtandbEdge 21 2" xfId="38259" xr:uid="{FE2D5888-8CBF-4609-9B60-EFB282C01762}"/>
    <cellStyle name="RISKrtandbEdge 22" xfId="19050" xr:uid="{13236A29-AA41-4549-B541-D3FC409982FB}"/>
    <cellStyle name="RISKrtandbEdge 22 2" xfId="39882" xr:uid="{DE5DC715-35E5-4097-9EE2-B897B516DCF7}"/>
    <cellStyle name="RISKrtandbEdge 23" xfId="20142" xr:uid="{C6BEAF17-ABD9-49BF-A68A-D32E7B85A859}"/>
    <cellStyle name="RISKrtandbEdge 23 2" xfId="40649" xr:uid="{F05D111E-3A22-42F1-83E1-07805BF5204D}"/>
    <cellStyle name="RISKrtandbEdge 24" xfId="23196" xr:uid="{A886FFF5-91A9-4BBF-B484-4BE218B69397}"/>
    <cellStyle name="RISKrtandbEdge 24 2" xfId="42790" xr:uid="{B20E9AFF-7ADB-4C93-B046-5453C9CDF856}"/>
    <cellStyle name="RISKrtandbEdge 25" xfId="24022" xr:uid="{2AB961E9-191D-4F16-9CB2-A4F7CF159922}"/>
    <cellStyle name="RISKrtandbEdge 25 2" xfId="43399" xr:uid="{2110A85F-DAC5-455C-B0BB-21A5A76399EA}"/>
    <cellStyle name="RISKrtandbEdge 26" xfId="22136" xr:uid="{A8F727C3-D044-4E3B-8C8C-513BE6F41213}"/>
    <cellStyle name="RISKrtandbEdge 26 2" xfId="42021" xr:uid="{1C8AA9CC-A87E-44B2-9431-464979AB1BE7}"/>
    <cellStyle name="RISKrtandbEdge 27" xfId="24557" xr:uid="{3584E6E5-AD1A-4DF0-948F-DC36A653CEAE}"/>
    <cellStyle name="RISKrtandbEdge 27 2" xfId="43740" xr:uid="{E26E2E6E-3F3E-4BCD-9D07-9784A23FB0F6}"/>
    <cellStyle name="RISKrtandbEdge 28" xfId="24050" xr:uid="{979E5881-9A82-4E4A-B619-5C1185959EE7}"/>
    <cellStyle name="RISKrtandbEdge 28 2" xfId="43427" xr:uid="{4B8C1A54-DA9A-4F40-B972-F6D2A85E937A}"/>
    <cellStyle name="RISKrtandbEdge 29" xfId="16940" xr:uid="{17023520-6269-49DC-8BB6-4970ED623E31}"/>
    <cellStyle name="RISKrtandbEdge 29 2" xfId="38311" xr:uid="{5B1CB167-BFD9-4215-B03F-88111E4B07A9}"/>
    <cellStyle name="RISKrtandbEdge 3" xfId="3963" xr:uid="{98547330-F072-46DB-B2ED-081F8CCB53C2}"/>
    <cellStyle name="RISKrtandbEdge 3 10" xfId="13710" xr:uid="{666F6871-3945-4125-96F3-069946EDA078}"/>
    <cellStyle name="RISKrtandbEdge 3 10 2" xfId="35866" xr:uid="{DC6B050C-9A6D-4F06-9222-CF7D2A4D0053}"/>
    <cellStyle name="RISKrtandbEdge 3 11" xfId="16309" xr:uid="{A4898C60-B3E5-437D-ADAD-67D983AC0049}"/>
    <cellStyle name="RISKrtandbEdge 3 11 2" xfId="37846" xr:uid="{768799D8-6D17-4560-8C40-FC388B48AF3B}"/>
    <cellStyle name="RISKrtandbEdge 3 12" xfId="19199" xr:uid="{D1CA427A-CECA-4AA1-983C-BEF6B84FE66C}"/>
    <cellStyle name="RISKrtandbEdge 3 12 2" xfId="40008" xr:uid="{BFEA73BD-92F7-482D-BDF5-977773C13F75}"/>
    <cellStyle name="RISKrtandbEdge 3 13" xfId="18048" xr:uid="{F41BFDD0-9769-4D20-9BDA-6FB5472F6B63}"/>
    <cellStyle name="RISKrtandbEdge 3 13 2" xfId="39142" xr:uid="{22EA58BE-81A1-4509-98B1-60BCB207D548}"/>
    <cellStyle name="RISKrtandbEdge 3 14" xfId="18916" xr:uid="{D3176995-157C-4D9F-930F-4862E000C854}"/>
    <cellStyle name="RISKrtandbEdge 3 14 2" xfId="39749" xr:uid="{78AF0C03-3FC3-46A2-A829-F42B10FBE0D1}"/>
    <cellStyle name="RISKrtandbEdge 3 15" xfId="22451" xr:uid="{1B31FD70-6A80-419E-80E1-5FBC1C67636D}"/>
    <cellStyle name="RISKrtandbEdge 3 15 2" xfId="42253" xr:uid="{127884FA-C00E-4C25-96E3-98BB5009B1AA}"/>
    <cellStyle name="RISKrtandbEdge 3 16" xfId="20177" xr:uid="{BABB9A7D-62F1-4457-B1EA-11F42AE972D5}"/>
    <cellStyle name="RISKrtandbEdge 3 16 2" xfId="40684" xr:uid="{0C891714-AA28-4089-AB3D-93C91F42B7E7}"/>
    <cellStyle name="RISKrtandbEdge 3 17" xfId="23192" xr:uid="{981840BE-914F-4D09-9126-4DFEAE8A4CD1}"/>
    <cellStyle name="RISKrtandbEdge 3 17 2" xfId="42786" xr:uid="{259FA3FC-6462-43E5-A6C2-752D81C25497}"/>
    <cellStyle name="RISKrtandbEdge 3 18" xfId="24018" xr:uid="{D2974F92-67A3-4449-829D-17D0A93F05F0}"/>
    <cellStyle name="RISKrtandbEdge 3 18 2" xfId="43395" xr:uid="{D611338F-D585-43E9-9C19-6657A706799B}"/>
    <cellStyle name="RISKrtandbEdge 3 19" xfId="22581" xr:uid="{0CB4880B-0BE3-44D7-B102-45D04DE10B20}"/>
    <cellStyle name="RISKrtandbEdge 3 19 2" xfId="42367" xr:uid="{45AB7BE9-3385-4D61-A419-A61D8893D9C5}"/>
    <cellStyle name="RISKrtandbEdge 3 2" xfId="3964" xr:uid="{9D9517DD-B539-457F-A313-070FB9FB9FDF}"/>
    <cellStyle name="RISKrtandbEdge 3 2 10" xfId="13899" xr:uid="{F8E4D7C7-2213-4EEC-986D-E52462A3551B}"/>
    <cellStyle name="RISKrtandbEdge 3 2 10 2" xfId="36014" xr:uid="{B25C1B16-B431-495A-B666-0FE1290D667C}"/>
    <cellStyle name="RISKrtandbEdge 3 2 11" xfId="19948" xr:uid="{47C76187-5E5C-4838-B5E8-EDD8FB13831C}"/>
    <cellStyle name="RISKrtandbEdge 3 2 11 2" xfId="40555" xr:uid="{DB184FF2-5F1E-4522-B613-3E43EE31139F}"/>
    <cellStyle name="RISKrtandbEdge 3 2 12" xfId="20686" xr:uid="{B890705A-CD52-4BF1-B56D-F307807F8305}"/>
    <cellStyle name="RISKrtandbEdge 3 2 12 2" xfId="41046" xr:uid="{5EA36655-C84D-4924-A107-BE3FE7C0D611}"/>
    <cellStyle name="RISKrtandbEdge 3 2 13" xfId="19048" xr:uid="{9361A62B-AD6E-4051-9B76-438C66925AD1}"/>
    <cellStyle name="RISKrtandbEdge 3 2 13 2" xfId="39880" xr:uid="{C90EEAA4-F44D-4B59-9C35-1782CE3ABA9E}"/>
    <cellStyle name="RISKrtandbEdge 3 2 14" xfId="19386" xr:uid="{58EE48C3-CD51-400A-A531-1CA87CC03C3D}"/>
    <cellStyle name="RISKrtandbEdge 3 2 14 2" xfId="40108" xr:uid="{F218995F-4CFC-4C6D-B1B2-D2978B19A92E}"/>
    <cellStyle name="RISKrtandbEdge 3 2 15" xfId="20488" xr:uid="{0E7F25D7-0F4A-4C39-8C30-E7FA173FE95E}"/>
    <cellStyle name="RISKrtandbEdge 3 2 15 2" xfId="40878" xr:uid="{0A5179E3-3D94-4843-AFA3-40A5A921EBC1}"/>
    <cellStyle name="RISKrtandbEdge 3 2 16" xfId="18735" xr:uid="{D25DEF64-0D61-4032-B01F-912246FD1F92}"/>
    <cellStyle name="RISKrtandbEdge 3 2 16 2" xfId="39610" xr:uid="{502DD9C7-8DFB-4AB6-9EAD-6C7E19A0CBAC}"/>
    <cellStyle name="RISKrtandbEdge 3 2 17" xfId="17843" xr:uid="{963258B9-6F5F-42B6-8B56-AA8461D841E4}"/>
    <cellStyle name="RISKrtandbEdge 3 2 17 2" xfId="38959" xr:uid="{B90B645C-3418-4018-AEAF-73C7DB7C2EFE}"/>
    <cellStyle name="RISKrtandbEdge 3 2 18" xfId="22751" xr:uid="{1C76D221-6F47-4857-8554-10B962DA43F3}"/>
    <cellStyle name="RISKrtandbEdge 3 2 18 2" xfId="42508" xr:uid="{0DC4D338-FB5B-4DE6-A825-D26E551E70A8}"/>
    <cellStyle name="RISKrtandbEdge 3 2 19" xfId="24045" xr:uid="{95472C32-010D-47CE-9113-C76C5339CE62}"/>
    <cellStyle name="RISKrtandbEdge 3 2 19 2" xfId="43422" xr:uid="{2C44571D-6311-4771-A5CD-02904F7F0E05}"/>
    <cellStyle name="RISKrtandbEdge 3 2 2" xfId="7380" xr:uid="{74E8D812-38FD-4C28-B027-31DEC3EE78B8}"/>
    <cellStyle name="RISKrtandbEdge 3 2 2 2" xfId="31742" xr:uid="{FBCE36C9-1538-46D9-8301-143F07725964}"/>
    <cellStyle name="RISKrtandbEdge 3 2 20" xfId="21870" xr:uid="{EEFD0BD4-795F-4409-A3C9-54BF8CD6C453}"/>
    <cellStyle name="RISKrtandbEdge 3 2 20 2" xfId="41808" xr:uid="{637E8749-4512-4E76-8D86-16C186744EC5}"/>
    <cellStyle name="RISKrtandbEdge 3 2 21" xfId="26195" xr:uid="{25304639-F84A-4E11-A643-BEF2F37F4CEE}"/>
    <cellStyle name="RISKrtandbEdge 3 2 21 2" xfId="44918" xr:uid="{41EAF6A8-5FBD-42D5-9787-033AB06E8815}"/>
    <cellStyle name="RISKrtandbEdge 3 2 22" xfId="27848" xr:uid="{F63047A7-4CB0-49B5-B042-A08A3BC93D0E}"/>
    <cellStyle name="RISKrtandbEdge 3 2 22 2" xfId="45922" xr:uid="{CCB1031C-A1D2-47FA-B255-342D4EF950AC}"/>
    <cellStyle name="RISKrtandbEdge 3 2 23" xfId="23568" xr:uid="{B9F1ADFC-7BF7-4E92-9CA4-449231AEEDEA}"/>
    <cellStyle name="RISKrtandbEdge 3 2 23 2" xfId="43004" xr:uid="{A09B50CE-60C7-4611-8B63-EB1747083D01}"/>
    <cellStyle name="RISKrtandbEdge 3 2 24" xfId="29777" xr:uid="{25770E20-6AB6-4213-A631-97339B813488}"/>
    <cellStyle name="RISKrtandbEdge 3 2 24 2" xfId="47096" xr:uid="{E0A06DEE-9B6F-42F7-AF6F-D06879BC5BB5}"/>
    <cellStyle name="RISKrtandbEdge 3 2 25" xfId="22631" xr:uid="{3C657AD5-F389-4A3B-926D-65E7A6CE5A5E}"/>
    <cellStyle name="RISKrtandbEdge 3 2 25 2" xfId="42405" xr:uid="{7041F072-7F77-47E0-BC4D-D899E1C79E75}"/>
    <cellStyle name="RISKrtandbEdge 3 2 26" xfId="30024" xr:uid="{1BF8804D-31F9-43F3-B25B-CA3421E675C7}"/>
    <cellStyle name="RISKrtandbEdge 3 2 26 2" xfId="47255" xr:uid="{0B9C2442-501B-4274-B3F0-F07B5F267455}"/>
    <cellStyle name="RISKrtandbEdge 3 2 27" xfId="30716" xr:uid="{A769279F-C015-47B9-8B54-91069929B762}"/>
    <cellStyle name="RISKrtandbEdge 3 2 27 2" xfId="47662" xr:uid="{9F382D99-F338-4290-8375-AC2721595B99}"/>
    <cellStyle name="RISKrtandbEdge 3 2 28" xfId="29887" xr:uid="{59B989F4-FF19-4DEF-B6CB-2F0171F41B09}"/>
    <cellStyle name="RISKrtandbEdge 3 2 28 2" xfId="47175" xr:uid="{E3BA3C29-D730-4E81-AD46-D98748CB1812}"/>
    <cellStyle name="RISKrtandbEdge 3 2 29" xfId="31073" xr:uid="{63842683-1213-4142-94F6-C78D6AD714A0}"/>
    <cellStyle name="RISKrtandbEdge 3 2 29 2" xfId="47803" xr:uid="{A61611CC-3351-4744-8E60-7414F05AC8B5}"/>
    <cellStyle name="RISKrtandbEdge 3 2 3" xfId="10233" xr:uid="{BA437E43-ED63-44FD-9141-E59FA410DAB8}"/>
    <cellStyle name="RISKrtandbEdge 3 2 3 2" xfId="33868" xr:uid="{9574513D-5AC5-42DF-BD0E-76436456937F}"/>
    <cellStyle name="RISKrtandbEdge 3 2 30" xfId="6089" xr:uid="{09944872-E153-44DF-BF98-247C50C84FBD}"/>
    <cellStyle name="RISKrtandbEdge 3 2 4" xfId="7023" xr:uid="{D135A605-700E-4B4C-9505-68116A91C353}"/>
    <cellStyle name="RISKrtandbEdge 3 2 4 2" xfId="31390" xr:uid="{91C031E4-9521-48E1-A625-28339ABAA6C3}"/>
    <cellStyle name="RISKrtandbEdge 3 2 5" xfId="11695" xr:uid="{B9F4F401-47A2-4D2F-A041-5DEC47F8AFD1}"/>
    <cellStyle name="RISKrtandbEdge 3 2 5 2" xfId="34308" xr:uid="{0810D721-ECE0-4A64-8965-473715BF73BD}"/>
    <cellStyle name="RISKrtandbEdge 3 2 6" xfId="14671" xr:uid="{DF430AC1-D6A0-4F88-A5BE-A4B5B6C4D248}"/>
    <cellStyle name="RISKrtandbEdge 3 2 6 2" xfId="36583" xr:uid="{F6057F02-FCE9-46BE-AA08-E5E90E625823}"/>
    <cellStyle name="RISKrtandbEdge 3 2 7" xfId="14050" xr:uid="{3B76FA37-806F-4D4E-8EAE-59B4A4F44D9A}"/>
    <cellStyle name="RISKrtandbEdge 3 2 7 2" xfId="36144" xr:uid="{EE5270B2-4E9F-44C9-9350-3A52C6B7A426}"/>
    <cellStyle name="RISKrtandbEdge 3 2 8" xfId="17464" xr:uid="{69A95CD8-01F3-49C4-B7F6-312F704EDB5D}"/>
    <cellStyle name="RISKrtandbEdge 3 2 8 2" xfId="38711" xr:uid="{402FAF5D-1DF2-4F56-A7B6-03794DE9578F}"/>
    <cellStyle name="RISKrtandbEdge 3 2 9" xfId="18313" xr:uid="{A778BB1D-D43D-4B89-99C7-9C528DF130AC}"/>
    <cellStyle name="RISKrtandbEdge 3 2 9 2" xfId="39344" xr:uid="{AD3B2982-7D46-4DCD-8992-AB8FD7F7B704}"/>
    <cellStyle name="RISKrtandbEdge 3 20" xfId="21061" xr:uid="{F83DDBC0-4E10-4F29-92AF-B1E884FFA69F}"/>
    <cellStyle name="RISKrtandbEdge 3 20 2" xfId="41306" xr:uid="{B1606325-2AD1-4DE7-8A51-900ADAD35E19}"/>
    <cellStyle name="RISKrtandbEdge 3 21" xfId="19479" xr:uid="{FF64B69C-0E78-4E55-BA32-5988BDE1BE09}"/>
    <cellStyle name="RISKrtandbEdge 3 21 2" xfId="40156" xr:uid="{FECD65F9-93AC-4832-A1E1-E4E96C9DE3D5}"/>
    <cellStyle name="RISKrtandbEdge 3 22" xfId="26595" xr:uid="{2A300FE3-03BD-4A9A-B45C-6527E365EFC9}"/>
    <cellStyle name="RISKrtandbEdge 3 22 2" xfId="45159" xr:uid="{9756677A-AA1D-4693-A516-B2BA6BB7FCDE}"/>
    <cellStyle name="RISKrtandbEdge 3 23" xfId="27341" xr:uid="{DC328A90-DCBF-47C6-A104-2B90B5E0DDE7}"/>
    <cellStyle name="RISKrtandbEdge 3 23 2" xfId="45632" xr:uid="{FF85186A-A0AB-4D08-97E3-DABDC07148DC}"/>
    <cellStyle name="RISKrtandbEdge 3 24" xfId="26454" xr:uid="{C28835AC-1C4D-4B11-AAB3-70E665DAB8EB}"/>
    <cellStyle name="RISKrtandbEdge 3 24 2" xfId="45082" xr:uid="{8BD7DA13-7BA6-42E1-ADED-3E4D62429B70}"/>
    <cellStyle name="RISKrtandbEdge 3 25" xfId="29415" xr:uid="{CB3328D8-A45E-40D5-9CAA-4BD6890DE461}"/>
    <cellStyle name="RISKrtandbEdge 3 25 2" xfId="46876" xr:uid="{9FC0AC1F-AE1D-4656-8FAE-35EF7F0E47F4}"/>
    <cellStyle name="RISKrtandbEdge 3 26" xfId="29391" xr:uid="{B8C0D840-D070-465D-BD9E-B6371DC7F32F}"/>
    <cellStyle name="RISKrtandbEdge 3 26 2" xfId="46858" xr:uid="{559166B8-5508-4853-9DF9-896F2CD45A9B}"/>
    <cellStyle name="RISKrtandbEdge 3 27" xfId="29570" xr:uid="{B1A2FBB6-B16E-4FAD-855A-B7C954415A35}"/>
    <cellStyle name="RISKrtandbEdge 3 27 2" xfId="46965" xr:uid="{9492CBCF-D673-4D77-AC1C-D46ADC4680AB}"/>
    <cellStyle name="RISKrtandbEdge 3 28" xfId="29896" xr:uid="{169AC969-7EBD-48B2-AA6E-4021AD09DFAA}"/>
    <cellStyle name="RISKrtandbEdge 3 28 2" xfId="47184" xr:uid="{00DDF389-E2DA-4EB1-A809-698D0804E4CB}"/>
    <cellStyle name="RISKrtandbEdge 3 29" xfId="29095" xr:uid="{4BE24E47-7E80-4204-B6BE-3F0A658B64A4}"/>
    <cellStyle name="RISKrtandbEdge 3 29 2" xfId="46664" xr:uid="{CE73990A-171F-4179-AF67-435BCBC4B59D}"/>
    <cellStyle name="RISKrtandbEdge 3 3" xfId="3965" xr:uid="{7F89266A-2B94-4CF3-AD67-01A8791877E6}"/>
    <cellStyle name="RISKrtandbEdge 3 3 10" xfId="19198" xr:uid="{B619D9E0-5E25-4FEA-8F59-A724F73465E7}"/>
    <cellStyle name="RISKrtandbEdge 3 3 10 2" xfId="40007" xr:uid="{39386F12-7D2D-489A-930F-D29BD0FBBBFB}"/>
    <cellStyle name="RISKrtandbEdge 3 3 11" xfId="12837" xr:uid="{8B5DB5C7-E18C-4E16-9B4A-FCD7DEFD5ED1}"/>
    <cellStyle name="RISKrtandbEdge 3 3 11 2" xfId="35218" xr:uid="{F74F8D61-97C4-430E-B5E1-4C57C15E22A0}"/>
    <cellStyle name="RISKrtandbEdge 3 3 12" xfId="16111" xr:uid="{4A6B109D-BA78-400B-98E6-22847E48E632}"/>
    <cellStyle name="RISKrtandbEdge 3 3 12 2" xfId="37681" xr:uid="{FD7F655A-1FF8-458D-8550-C7E073104418}"/>
    <cellStyle name="RISKrtandbEdge 3 3 13" xfId="22454" xr:uid="{F6702006-FADE-46B6-AE76-4CDC6BA8FD80}"/>
    <cellStyle name="RISKrtandbEdge 3 3 13 2" xfId="42256" xr:uid="{3C6DE6E0-C240-4B9C-A59E-6794C2CDC2D4}"/>
    <cellStyle name="RISKrtandbEdge 3 3 14" xfId="22060" xr:uid="{F4398A12-71FA-4075-A67E-EF0C0E905462}"/>
    <cellStyle name="RISKrtandbEdge 3 3 14 2" xfId="41945" xr:uid="{D0F9231A-4591-4DAE-9CD1-213ED4408060}"/>
    <cellStyle name="RISKrtandbEdge 3 3 15" xfId="23191" xr:uid="{5AA3978D-89EC-47B6-8033-462C02368F20}"/>
    <cellStyle name="RISKrtandbEdge 3 3 15 2" xfId="42785" xr:uid="{9FA16A39-947F-42A3-971F-791DC61C411D}"/>
    <cellStyle name="RISKrtandbEdge 3 3 16" xfId="24017" xr:uid="{FE295AEE-7A78-4B0B-90FB-6996B664D628}"/>
    <cellStyle name="RISKrtandbEdge 3 3 16 2" xfId="43394" xr:uid="{BC052DDB-70E6-427B-9B94-379C32F2F5E8}"/>
    <cellStyle name="RISKrtandbEdge 3 3 17" xfId="19426" xr:uid="{ED88583B-0CC4-4D30-8A98-BA5BF93836BC}"/>
    <cellStyle name="RISKrtandbEdge 3 3 17 2" xfId="40147" xr:uid="{3C5573E7-A629-4678-90EF-457F4EC8053B}"/>
    <cellStyle name="RISKrtandbEdge 3 3 18" xfId="25787" xr:uid="{73F1D843-5674-45DA-88D3-130F708E2048}"/>
    <cellStyle name="RISKrtandbEdge 3 3 18 2" xfId="44615" xr:uid="{7D7869AF-7AA6-4E02-811B-4F72828B064D}"/>
    <cellStyle name="RISKrtandbEdge 3 3 19" xfId="20948" xr:uid="{A3E7B753-0FE2-4233-AC3F-51D6516A627D}"/>
    <cellStyle name="RISKrtandbEdge 3 3 19 2" xfId="41249" xr:uid="{47D0BE52-33DE-4ED6-ACCD-5B6CEE04FADA}"/>
    <cellStyle name="RISKrtandbEdge 3 3 2" xfId="11801" xr:uid="{77962F69-4C81-432B-962F-F436E7A74D35}"/>
    <cellStyle name="RISKrtandbEdge 3 3 2 2" xfId="34414" xr:uid="{A83FE857-BA13-4228-856D-54451A25769B}"/>
    <cellStyle name="RISKrtandbEdge 3 3 20" xfId="26594" xr:uid="{4D825137-76DE-4FDB-A4C3-77F300B3AC56}"/>
    <cellStyle name="RISKrtandbEdge 3 3 20 2" xfId="45158" xr:uid="{B25AB570-C2E9-4304-8879-90492655A749}"/>
    <cellStyle name="RISKrtandbEdge 3 3 21" xfId="27340" xr:uid="{910AF585-45EA-4849-9E85-B1AB348E6551}"/>
    <cellStyle name="RISKrtandbEdge 3 3 21 2" xfId="45631" xr:uid="{17F6EB11-67A4-4747-9481-82C7380868C7}"/>
    <cellStyle name="RISKrtandbEdge 3 3 22" xfId="25961" xr:uid="{63B27DA5-2A2A-4974-845B-B5FF1B8576E6}"/>
    <cellStyle name="RISKrtandbEdge 3 3 22 2" xfId="44752" xr:uid="{FFDAD1FE-DA86-4F75-9F0B-EB7B4ECB9659}"/>
    <cellStyle name="RISKrtandbEdge 3 3 23" xfId="28935" xr:uid="{1DF1A45D-902A-45C3-9155-DE05D69D7A6E}"/>
    <cellStyle name="RISKrtandbEdge 3 3 23 2" xfId="46531" xr:uid="{504B2DB3-9BEA-44CB-8CC5-3D5E430F2B05}"/>
    <cellStyle name="RISKrtandbEdge 3 3 24" xfId="28989" xr:uid="{74AE1A56-2BFC-461F-81A9-8424C9BD3C38}"/>
    <cellStyle name="RISKrtandbEdge 3 3 24 2" xfId="46583" xr:uid="{63AB61CB-6129-4FA5-BC70-A4CF17850A93}"/>
    <cellStyle name="RISKrtandbEdge 3 3 25" xfId="28329" xr:uid="{406990F8-4239-4643-A835-87DB500A2467}"/>
    <cellStyle name="RISKrtandbEdge 3 3 25 2" xfId="46196" xr:uid="{CD9C5061-2ADC-4B01-A8DD-38C5ADF7DA89}"/>
    <cellStyle name="RISKrtandbEdge 3 3 26" xfId="30029" xr:uid="{EA1D5281-011E-43D4-A674-40D803CDE0CF}"/>
    <cellStyle name="RISKrtandbEdge 3 3 26 2" xfId="47260" xr:uid="{6768B7F4-4B8C-47D1-85F0-4D967CFC0914}"/>
    <cellStyle name="RISKrtandbEdge 3 3 27" xfId="30246" xr:uid="{2AC885BF-0EBD-4E6A-8570-F7FC87A2ECCB}"/>
    <cellStyle name="RISKrtandbEdge 3 3 27 2" xfId="47407" xr:uid="{2649CF68-6909-4DEF-9E8E-B70983D1091A}"/>
    <cellStyle name="RISKrtandbEdge 3 3 28" xfId="25858" xr:uid="{64EA590D-A1D6-49EE-A7E0-74D9D74A68FD}"/>
    <cellStyle name="RISKrtandbEdge 3 3 28 2" xfId="44676" xr:uid="{093F931E-2731-400D-9F1B-C93569EEC3B3}"/>
    <cellStyle name="RISKrtandbEdge 3 3 29" xfId="30623" xr:uid="{1623CCB8-221A-4F99-8FB7-7DEBC3026AAD}"/>
    <cellStyle name="RISKrtandbEdge 3 3 29 2" xfId="47569" xr:uid="{962F7D59-0C8C-46F2-BA20-1790618AAB96}"/>
    <cellStyle name="RISKrtandbEdge 3 3 3" xfId="13223" xr:uid="{FB8984F5-FA12-48DD-BB74-944905D14DB2}"/>
    <cellStyle name="RISKrtandbEdge 3 3 3 2" xfId="35571" xr:uid="{B257BE1F-C220-44EE-9780-FD157EEE352B}"/>
    <cellStyle name="RISKrtandbEdge 3 3 30" xfId="6088" xr:uid="{88F2B22F-8FDF-4C43-9363-7DCE043C473F}"/>
    <cellStyle name="RISKrtandbEdge 3 3 4" xfId="14239" xr:uid="{990DC6F1-DCC8-4A30-A9C1-02704592A73C}"/>
    <cellStyle name="RISKrtandbEdge 3 3 4 2" xfId="36292" xr:uid="{7DD52FD9-6316-4E68-828D-0FB3785074AC}"/>
    <cellStyle name="RISKrtandbEdge 3 3 5" xfId="15907" xr:uid="{4E3E4A65-4E8B-470F-906C-B5B91D8F0BCA}"/>
    <cellStyle name="RISKrtandbEdge 3 3 5 2" xfId="37498" xr:uid="{AFEA2883-3CE0-4B76-BA35-5B759FA96668}"/>
    <cellStyle name="RISKrtandbEdge 3 3 6" xfId="15487" xr:uid="{9A0C4DF2-B08F-4AB3-ACF8-BF78F72B3FE3}"/>
    <cellStyle name="RISKrtandbEdge 3 3 6 2" xfId="37152" xr:uid="{B4184CCF-C3D9-45D5-B733-DE5A0F7D1118}"/>
    <cellStyle name="RISKrtandbEdge 3 3 7" xfId="16591" xr:uid="{D21A49E4-B7B8-43BD-B710-00EFCF8C07CC}"/>
    <cellStyle name="RISKrtandbEdge 3 3 7 2" xfId="38084" xr:uid="{1ACD0586-F3C2-415F-88F8-D6DD9702D849}"/>
    <cellStyle name="RISKrtandbEdge 3 3 8" xfId="15624" xr:uid="{41B725F0-0E87-434A-959F-46A0E656750E}"/>
    <cellStyle name="RISKrtandbEdge 3 3 8 2" xfId="37282" xr:uid="{0C16A750-C950-4447-B54E-70820643B84D}"/>
    <cellStyle name="RISKrtandbEdge 3 3 9" xfId="12609" xr:uid="{E2D7B102-530E-4697-A0BE-40FBEAB2A744}"/>
    <cellStyle name="RISKrtandbEdge 3 3 9 2" xfId="35041" xr:uid="{D00D29B1-0707-49AE-87D7-413388477DFE}"/>
    <cellStyle name="RISKrtandbEdge 3 30" xfId="30157" xr:uid="{90BAD442-809A-4F62-A585-F44AE26B636C}"/>
    <cellStyle name="RISKrtandbEdge 3 30 2" xfId="47321" xr:uid="{56A84E07-CAE0-4A75-AF64-A0CE37A15D5A}"/>
    <cellStyle name="RISKrtandbEdge 3 31" xfId="28767" xr:uid="{F7F22E7A-A75B-4C95-972A-67C0299834CA}"/>
    <cellStyle name="RISKrtandbEdge 3 31 2" xfId="46445" xr:uid="{27C6387D-FFD1-4A44-BC6B-E0FDDFCA3ED1}"/>
    <cellStyle name="RISKrtandbEdge 3 32" xfId="6090" xr:uid="{F6E19642-A6D8-4C28-BACC-89FD58CCDBD9}"/>
    <cellStyle name="RISKrtandbEdge 3 4" xfId="11802" xr:uid="{BEDDD310-0F54-4C12-B187-891A50833C20}"/>
    <cellStyle name="RISKrtandbEdge 3 4 2" xfId="34415" xr:uid="{2E63F89F-2B83-479A-88E5-689527083EDA}"/>
    <cellStyle name="RISKrtandbEdge 3 5" xfId="13224" xr:uid="{17332B9B-15E7-4F41-97EA-E3E4C0306996}"/>
    <cellStyle name="RISKrtandbEdge 3 5 2" xfId="35572" xr:uid="{05425C74-723C-4B6C-893E-168A10F0617A}"/>
    <cellStyle name="RISKrtandbEdge 3 6" xfId="14240" xr:uid="{96639094-B0C8-4D25-A6A1-555BCC37599F}"/>
    <cellStyle name="RISKrtandbEdge 3 6 2" xfId="36293" xr:uid="{962FACF6-B09D-4169-9221-006C22D136B9}"/>
    <cellStyle name="RISKrtandbEdge 3 7" xfId="15904" xr:uid="{E13029DE-7081-4FEB-86C2-1A8423A58124}"/>
    <cellStyle name="RISKrtandbEdge 3 7 2" xfId="37495" xr:uid="{837FDA71-0B92-4906-8FE6-2DF6CCE388F2}"/>
    <cellStyle name="RISKrtandbEdge 3 8" xfId="12770" xr:uid="{45915A0E-3D18-4859-9600-1B2BA48E0545}"/>
    <cellStyle name="RISKrtandbEdge 3 8 2" xfId="35179" xr:uid="{2637884F-F17F-472F-AFFB-13477C538E1F}"/>
    <cellStyle name="RISKrtandbEdge 3 9" xfId="16592" xr:uid="{400A273C-CE1D-436B-8A97-C9743369D840}"/>
    <cellStyle name="RISKrtandbEdge 3 9 2" xfId="38085" xr:uid="{E7D56347-E15B-40F3-8674-39F3AC20376B}"/>
    <cellStyle name="RISKrtandbEdge 30" xfId="26197" xr:uid="{C236FA19-0555-4651-BA1A-2F5C8007D3A3}"/>
    <cellStyle name="RISKrtandbEdge 30 2" xfId="44920" xr:uid="{F1A62F09-1987-4AAC-A345-9DB3F3CFD022}"/>
    <cellStyle name="RISKrtandbEdge 31" xfId="27852" xr:uid="{F13359A5-3F9E-46DA-97B1-A10BD2F49734}"/>
    <cellStyle name="RISKrtandbEdge 31 2" xfId="45926" xr:uid="{414830DF-26BA-4F2C-94E2-2DFD80EA9DDA}"/>
    <cellStyle name="RISKrtandbEdge 32" xfId="25517" xr:uid="{2C6C9726-4C4C-44EF-9265-62D8A168BEDE}"/>
    <cellStyle name="RISKrtandbEdge 32 2" xfId="44393" xr:uid="{6C3707F7-30A1-4E8C-947F-FBD15C3EEFAD}"/>
    <cellStyle name="RISKrtandbEdge 33" xfId="28996" xr:uid="{EA298187-AD99-4616-9E30-28FE50963CC0}"/>
    <cellStyle name="RISKrtandbEdge 33 2" xfId="46590" xr:uid="{3B847911-7614-4EFE-85D0-B40065A8BE9D}"/>
    <cellStyle name="RISKrtandbEdge 34" xfId="27031" xr:uid="{1B5D7494-9198-43BE-A1C6-DD5650570A7F}"/>
    <cellStyle name="RISKrtandbEdge 34 2" xfId="45434" xr:uid="{8EFCCA74-1407-4FAF-B813-12839FBA8A23}"/>
    <cellStyle name="RISKrtandbEdge 35" xfId="28242" xr:uid="{6D89020E-A9E5-42BC-B5D9-06DA18D9F100}"/>
    <cellStyle name="RISKrtandbEdge 35 2" xfId="46117" xr:uid="{5EC8E84B-573D-4B8B-A8FB-4FB253B7C5FB}"/>
    <cellStyle name="RISKrtandbEdge 36" xfId="30720" xr:uid="{2885B53C-9A08-4D55-9CC6-3E7E3AC4EFBE}"/>
    <cellStyle name="RISKrtandbEdge 36 2" xfId="47666" xr:uid="{54959284-328E-4895-918B-2F35A7EBA4DB}"/>
    <cellStyle name="RISKrtandbEdge 37" xfId="29819" xr:uid="{5FC595A0-B262-48B7-95FB-1C8A1DF1AA4F}"/>
    <cellStyle name="RISKrtandbEdge 37 2" xfId="47136" xr:uid="{800880F1-EF1F-440C-B423-85BF989E4C65}"/>
    <cellStyle name="RISKrtandbEdge 38" xfId="30625" xr:uid="{EC6EFF99-8093-4218-8141-C0D2A83C170B}"/>
    <cellStyle name="RISKrtandbEdge 38 2" xfId="47571" xr:uid="{F7285E9A-BCFD-4A93-AFF2-D9E0DF99E958}"/>
    <cellStyle name="RISKrtandbEdge 39" xfId="6098" xr:uid="{2DF46753-F781-4D75-8880-D83A6BB6932E}"/>
    <cellStyle name="RISKrtandbEdge 4" xfId="3966" xr:uid="{42F6BACA-6588-48EA-A27A-21DD89BEAFE2}"/>
    <cellStyle name="RISKrtandbEdge 4 10" xfId="17463" xr:uid="{E241BE1D-D7AB-4AB8-8B42-67C6BD1496AF}"/>
    <cellStyle name="RISKrtandbEdge 4 10 2" xfId="38710" xr:uid="{D70FE2B4-415B-4CED-BEFE-420F3C9B615F}"/>
    <cellStyle name="RISKrtandbEdge 4 11" xfId="18312" xr:uid="{53C32B20-F8DB-4184-97BF-BA94D774452D}"/>
    <cellStyle name="RISKrtandbEdge 4 11 2" xfId="39343" xr:uid="{0F75D7C3-28E9-470B-BA42-4E04431722FA}"/>
    <cellStyle name="RISKrtandbEdge 4 12" xfId="14541" xr:uid="{83EE7524-6FA2-4EC2-9CD3-BA8FF936CE37}"/>
    <cellStyle name="RISKrtandbEdge 4 12 2" xfId="36474" xr:uid="{C198A2E4-D836-4E16-A010-65900A59A2E3}"/>
    <cellStyle name="RISKrtandbEdge 4 13" xfId="19947" xr:uid="{1AADBAF8-F185-4145-BAC8-12D394E18C93}"/>
    <cellStyle name="RISKrtandbEdge 4 13 2" xfId="40554" xr:uid="{540DD229-6C00-42D2-B92C-A2180C0AAD47}"/>
    <cellStyle name="RISKrtandbEdge 4 14" xfId="20685" xr:uid="{B100D1C3-C108-4858-8930-899E506BDC23}"/>
    <cellStyle name="RISKrtandbEdge 4 14 2" xfId="41045" xr:uid="{626F54C8-897E-444F-8295-11F12830534D}"/>
    <cellStyle name="RISKrtandbEdge 4 15" xfId="15329" xr:uid="{D7976996-76EB-4788-96DA-521445198BDC}"/>
    <cellStyle name="RISKrtandbEdge 4 15 2" xfId="37029" xr:uid="{02387635-6919-4DC1-9BCA-B062874D23B2}"/>
    <cellStyle name="RISKrtandbEdge 4 16" xfId="21233" xr:uid="{82F3E460-0A3E-4559-85C2-5DA713C7BD91}"/>
    <cellStyle name="RISKrtandbEdge 4 16 2" xfId="41426" xr:uid="{41984BE6-9590-4D86-9490-213D6797BC1B}"/>
    <cellStyle name="RISKrtandbEdge 4 17" xfId="18822" xr:uid="{1388F963-53AA-4B94-8293-630ADB765CD0}"/>
    <cellStyle name="RISKrtandbEdge 4 17 2" xfId="39674" xr:uid="{AF5F58E9-B577-441F-96E9-B64BBDD2D8FA}"/>
    <cellStyle name="RISKrtandbEdge 4 18" xfId="20136" xr:uid="{2259CFDD-F133-451D-8064-3C92559EB5A7}"/>
    <cellStyle name="RISKrtandbEdge 4 18 2" xfId="40644" xr:uid="{E55A3641-9AC9-44AB-B7B1-41D0BA4A7FEE}"/>
    <cellStyle name="RISKrtandbEdge 4 19" xfId="22137" xr:uid="{251433BA-F791-4203-BA09-C93D090A6FB8}"/>
    <cellStyle name="RISKrtandbEdge 4 19 2" xfId="42022" xr:uid="{2A57B67A-F47B-4F8B-AC73-B1D27F51A132}"/>
    <cellStyle name="RISKrtandbEdge 4 2" xfId="3967" xr:uid="{B2B2784C-AFF1-41BD-8780-39B8414098A2}"/>
    <cellStyle name="RISKrtandbEdge 4 2 10" xfId="19197" xr:uid="{47AC51FD-F4D8-4E29-9C00-9D788C560B96}"/>
    <cellStyle name="RISKrtandbEdge 4 2 10 2" xfId="40006" xr:uid="{E64B6CB8-F3DB-4F64-8AAC-46E407018741}"/>
    <cellStyle name="RISKrtandbEdge 4 2 11" xfId="18047" xr:uid="{7EEEA8EF-F491-4EC6-86B8-67E2A8F6EFAE}"/>
    <cellStyle name="RISKrtandbEdge 4 2 11 2" xfId="39141" xr:uid="{E73A403C-3C65-436D-94E5-EA703E138DCF}"/>
    <cellStyle name="RISKrtandbEdge 4 2 12" xfId="16119" xr:uid="{20B35F01-D596-4592-A517-3186CF9A2006}"/>
    <cellStyle name="RISKrtandbEdge 4 2 12 2" xfId="37689" xr:uid="{2774E81E-3607-4340-84F6-C0D995888A79}"/>
    <cellStyle name="RISKrtandbEdge 4 2 13" xfId="22453" xr:uid="{185ADDB4-B087-4E55-A583-0B6DA68CE8C6}"/>
    <cellStyle name="RISKrtandbEdge 4 2 13 2" xfId="42255" xr:uid="{C76128C4-C8BC-41E5-9393-CA0D1010F049}"/>
    <cellStyle name="RISKrtandbEdge 4 2 14" xfId="17880" xr:uid="{D77D1CF2-D8AD-44FD-AF5A-D722CDB7CEF8}"/>
    <cellStyle name="RISKrtandbEdge 4 2 14 2" xfId="38996" xr:uid="{8968C121-D29C-4E90-BB3F-2D43E9DE087B}"/>
    <cellStyle name="RISKrtandbEdge 4 2 15" xfId="23190" xr:uid="{465F7C5D-ED20-4A92-B5EC-2588950E8051}"/>
    <cellStyle name="RISKrtandbEdge 4 2 15 2" xfId="42784" xr:uid="{73518583-ED9B-49A4-B121-2AD2129A21B0}"/>
    <cellStyle name="RISKrtandbEdge 4 2 16" xfId="24016" xr:uid="{6DF7A9B2-5F0C-4B2B-A72F-EE8E5D945B70}"/>
    <cellStyle name="RISKrtandbEdge 4 2 16 2" xfId="43393" xr:uid="{5CAC6EF6-7286-4F09-98D4-EF833E55B921}"/>
    <cellStyle name="RISKrtandbEdge 4 2 17" xfId="25907" xr:uid="{EC0BAC66-8D5C-4DBA-9006-523CD29BA226}"/>
    <cellStyle name="RISKrtandbEdge 4 2 17 2" xfId="44711" xr:uid="{3D807936-B8B9-4E88-BC2C-9725A65B8FF8}"/>
    <cellStyle name="RISKrtandbEdge 4 2 18" xfId="22291" xr:uid="{82E15A43-E36E-468D-A404-119D22606C27}"/>
    <cellStyle name="RISKrtandbEdge 4 2 18 2" xfId="42155" xr:uid="{23923BAE-DC8E-44FE-8E58-602622248D9A}"/>
    <cellStyle name="RISKrtandbEdge 4 2 19" xfId="22186" xr:uid="{D3446394-0C4E-4520-92BD-8EF15F07DCDD}"/>
    <cellStyle name="RISKrtandbEdge 4 2 19 2" xfId="42065" xr:uid="{DD964250-AD5E-4957-8950-75662754599A}"/>
    <cellStyle name="RISKrtandbEdge 4 2 2" xfId="11800" xr:uid="{33DF0CAD-AB98-413B-A567-06E5861A952C}"/>
    <cellStyle name="RISKrtandbEdge 4 2 2 2" xfId="34413" xr:uid="{65888D6B-C2F9-4DB7-8655-21A4C50C600A}"/>
    <cellStyle name="RISKrtandbEdge 4 2 20" xfId="26593" xr:uid="{9BD31994-5404-417F-89FC-6163C82906FE}"/>
    <cellStyle name="RISKrtandbEdge 4 2 20 2" xfId="45157" xr:uid="{6FA036E1-8884-4764-9EFA-8C9E8CF3773B}"/>
    <cellStyle name="RISKrtandbEdge 4 2 21" xfId="27339" xr:uid="{1A552E2D-1761-4115-BB99-55C5792AB0E7}"/>
    <cellStyle name="RISKrtandbEdge 4 2 21 2" xfId="45630" xr:uid="{B9BDC627-E9E6-4E6D-A03A-071FF7611924}"/>
    <cellStyle name="RISKrtandbEdge 4 2 22" xfId="25826" xr:uid="{C12D85D3-79EB-4B23-A2DF-3DCED13A787F}"/>
    <cellStyle name="RISKrtandbEdge 4 2 22 2" xfId="44651" xr:uid="{CC55CBCD-11E1-4150-A0D6-061034B608A1}"/>
    <cellStyle name="RISKrtandbEdge 4 2 23" xfId="29416" xr:uid="{ABF16EDD-5F5B-4D23-B8C7-063EB5A6B785}"/>
    <cellStyle name="RISKrtandbEdge 4 2 23 2" xfId="46877" xr:uid="{A093AD98-8A25-4727-A33D-C7578853E0EF}"/>
    <cellStyle name="RISKrtandbEdge 4 2 24" xfId="26034" xr:uid="{A1B812A0-EFC5-4D51-8E82-6997DCD5C329}"/>
    <cellStyle name="RISKrtandbEdge 4 2 24 2" xfId="44805" xr:uid="{6B61653F-BAFB-45C2-8F03-E912694A6A6C}"/>
    <cellStyle name="RISKrtandbEdge 4 2 25" xfId="29569" xr:uid="{BFFB82E7-E58F-4267-91EF-BFB712842FD7}"/>
    <cellStyle name="RISKrtandbEdge 4 2 25 2" xfId="46964" xr:uid="{80654770-B59B-442D-A03E-5DEAAD44A8DB}"/>
    <cellStyle name="RISKrtandbEdge 4 2 26" xfId="28724" xr:uid="{DE03D0BB-8889-4D07-B74B-A2629CA5287F}"/>
    <cellStyle name="RISKrtandbEdge 4 2 26 2" xfId="46437" xr:uid="{BD889828-B5D3-4C10-BA5F-298456738300}"/>
    <cellStyle name="RISKrtandbEdge 4 2 27" xfId="29604" xr:uid="{86939AAF-0A0C-48BE-AE36-1CDDA466FDF4}"/>
    <cellStyle name="RISKrtandbEdge 4 2 27 2" xfId="46996" xr:uid="{A6B06F14-D9FD-43BF-B609-C198B814C62F}"/>
    <cellStyle name="RISKrtandbEdge 4 2 28" xfId="30158" xr:uid="{06EF47CA-C1D6-4EA5-88C6-52C5CE714CD8}"/>
    <cellStyle name="RISKrtandbEdge 4 2 28 2" xfId="47322" xr:uid="{77DFA0EF-9BE2-4833-B1F8-7101EF9E0C89}"/>
    <cellStyle name="RISKrtandbEdge 4 2 29" xfId="30197" xr:uid="{00E7630D-599B-46EE-B840-9376D94103B2}"/>
    <cellStyle name="RISKrtandbEdge 4 2 29 2" xfId="47358" xr:uid="{CEFEE5EF-65B6-4035-B992-5A76A3BB8318}"/>
    <cellStyle name="RISKrtandbEdge 4 2 3" xfId="13222" xr:uid="{800BDEDB-1603-4A2B-B774-F3488B81D9FA}"/>
    <cellStyle name="RISKrtandbEdge 4 2 3 2" xfId="35570" xr:uid="{5B86EA93-475E-49A1-99EC-D81667259614}"/>
    <cellStyle name="RISKrtandbEdge 4 2 30" xfId="6086" xr:uid="{F2AA00D6-0859-49E5-AFCD-0CF3DACB8D44}"/>
    <cellStyle name="RISKrtandbEdge 4 2 4" xfId="14238" xr:uid="{BB419D17-27E0-4C40-8081-BF615B8A7C82}"/>
    <cellStyle name="RISKrtandbEdge 4 2 4 2" xfId="36291" xr:uid="{BC1C9AC1-1E8B-4020-BC6E-A263F7467036}"/>
    <cellStyle name="RISKrtandbEdge 4 2 5" xfId="15906" xr:uid="{458AA7A4-ABB3-4595-A853-5C3F5B251862}"/>
    <cellStyle name="RISKrtandbEdge 4 2 5 2" xfId="37497" xr:uid="{00771D96-84DA-4B79-A986-8901C8A57652}"/>
    <cellStyle name="RISKrtandbEdge 4 2 6" xfId="12769" xr:uid="{1A895972-0E2D-4B64-B6AE-A1FA81991F73}"/>
    <cellStyle name="RISKrtandbEdge 4 2 6 2" xfId="35178" xr:uid="{4A84B096-CFE6-4FFB-9E68-E991654E35C1}"/>
    <cellStyle name="RISKrtandbEdge 4 2 7" xfId="16590" xr:uid="{DE8928C0-340A-4080-89F1-3B9861937A66}"/>
    <cellStyle name="RISKrtandbEdge 4 2 7 2" xfId="38083" xr:uid="{04004671-656B-4CC6-BA3B-FB83F571DA37}"/>
    <cellStyle name="RISKrtandbEdge 4 2 8" xfId="14459" xr:uid="{F0553584-2668-4209-B377-8E13EA2602B2}"/>
    <cellStyle name="RISKrtandbEdge 4 2 8 2" xfId="36448" xr:uid="{FD831B4F-C6CF-4815-B984-01F11300F310}"/>
    <cellStyle name="RISKrtandbEdge 4 2 9" xfId="16308" xr:uid="{6AC070A4-AC46-4563-955C-E893F224CBB6}"/>
    <cellStyle name="RISKrtandbEdge 4 2 9 2" xfId="37845" xr:uid="{860542C3-A9BC-4E1A-9828-3271C5CB718F}"/>
    <cellStyle name="RISKrtandbEdge 4 20" xfId="25300" xr:uid="{7BACE2C3-F19B-4970-81AB-9B486AB47E39}"/>
    <cellStyle name="RISKrtandbEdge 4 20 2" xfId="44216" xr:uid="{7A5F866C-2687-4593-A7F7-4CF3B951B75B}"/>
    <cellStyle name="RISKrtandbEdge 4 21" xfId="24044" xr:uid="{5987FF4E-4BA9-4417-8CB2-FA138A93E34E}"/>
    <cellStyle name="RISKrtandbEdge 4 21 2" xfId="43421" xr:uid="{162A4A84-E06E-4BE0-9CC0-251FA8106A3F}"/>
    <cellStyle name="RISKrtandbEdge 4 22" xfId="25432" xr:uid="{767ED500-0DAC-4DFD-A579-A3400333E44D}"/>
    <cellStyle name="RISKrtandbEdge 4 22 2" xfId="44319" xr:uid="{2105E2BA-575F-4C90-A8EB-9163C559F15E}"/>
    <cellStyle name="RISKrtandbEdge 4 23" xfId="23783" xr:uid="{CECDBD64-7174-458A-90DF-A7F996403523}"/>
    <cellStyle name="RISKrtandbEdge 4 23 2" xfId="43183" xr:uid="{006FF06D-5A79-4F23-AA13-5E42216E48CE}"/>
    <cellStyle name="RISKrtandbEdge 4 24" xfId="27847" xr:uid="{28F96ACC-A6F4-484C-85A7-ADEA1FB956FB}"/>
    <cellStyle name="RISKrtandbEdge 4 24 2" xfId="45921" xr:uid="{F3FC3067-1BEA-494A-A879-9721DBF4788F}"/>
    <cellStyle name="RISKrtandbEdge 4 25" xfId="23714" xr:uid="{8D7D3042-8DE9-4355-9818-23BA9EEDCD15}"/>
    <cellStyle name="RISKrtandbEdge 4 25 2" xfId="43132" xr:uid="{48AB6E75-B450-4A6F-8313-5BCC048F8836}"/>
    <cellStyle name="RISKrtandbEdge 4 26" xfId="28081" xr:uid="{8FDD5F44-581B-47C2-A0B1-E6B2F2F1F115}"/>
    <cellStyle name="RISKrtandbEdge 4 26 2" xfId="46066" xr:uid="{8352CBA0-5792-4AB3-BFD3-2910642CF684}"/>
    <cellStyle name="RISKrtandbEdge 4 27" xfId="28960" xr:uid="{5667E7FD-0AC4-46E2-A914-27AF1D8E81DF}"/>
    <cellStyle name="RISKrtandbEdge 4 27 2" xfId="46554" xr:uid="{8D5A70FF-4209-4C62-A58B-6C2BA2486596}"/>
    <cellStyle name="RISKrtandbEdge 4 28" xfId="29797" xr:uid="{B27B6C0E-A46B-44E8-89F4-57E576C7F8FC}"/>
    <cellStyle name="RISKrtandbEdge 4 28 2" xfId="47116" xr:uid="{60CEBCD1-CBA3-4365-995F-4D2C4110B0C3}"/>
    <cellStyle name="RISKrtandbEdge 4 29" xfId="30715" xr:uid="{D157095D-B831-444D-9614-A4C7608D300A}"/>
    <cellStyle name="RISKrtandbEdge 4 29 2" xfId="47661" xr:uid="{C8ECCDF8-AB78-471B-8273-244A91C36368}"/>
    <cellStyle name="RISKrtandbEdge 4 3" xfId="3968" xr:uid="{53D8DF0B-AEB6-4CA9-8434-C2601D790718}"/>
    <cellStyle name="RISKrtandbEdge 4 3 10" xfId="17198" xr:uid="{010CC76D-8D85-44FC-9FB5-C14FE2A22D2C}"/>
    <cellStyle name="RISKrtandbEdge 4 3 10 2" xfId="38527" xr:uid="{C31F60B3-D64B-43E2-B368-91FD98EB9D50}"/>
    <cellStyle name="RISKrtandbEdge 4 3 11" xfId="19946" xr:uid="{53BB6009-2E3D-49B8-9C24-E4566CBA13F2}"/>
    <cellStyle name="RISKrtandbEdge 4 3 11 2" xfId="40553" xr:uid="{C0948582-9DD2-40C4-88C4-4852E4D42DFD}"/>
    <cellStyle name="RISKrtandbEdge 4 3 12" xfId="20684" xr:uid="{0B595752-3F46-4C7E-AE87-95B97D32048C}"/>
    <cellStyle name="RISKrtandbEdge 4 3 12 2" xfId="41044" xr:uid="{EB39F176-C047-4E48-9769-C45B6199C2AE}"/>
    <cellStyle name="RISKrtandbEdge 4 3 13" xfId="17125" xr:uid="{6A1F7525-70DD-48A1-AFCC-3EFF4DBA320B}"/>
    <cellStyle name="RISKrtandbEdge 4 3 13 2" xfId="38464" xr:uid="{057960C9-8BBB-4DF1-A3F7-EFF4B0005B8D}"/>
    <cellStyle name="RISKrtandbEdge 4 3 14" xfId="17800" xr:uid="{8B1DF4A9-73B0-45C4-862C-4DB83ED29133}"/>
    <cellStyle name="RISKrtandbEdge 4 3 14 2" xfId="38925" xr:uid="{A304816D-8AAC-4FDC-816D-43165AABBBE7}"/>
    <cellStyle name="RISKrtandbEdge 4 3 15" xfId="20487" xr:uid="{5C6D66E6-1403-42E3-A84E-D6560CA2DB0C}"/>
    <cellStyle name="RISKrtandbEdge 4 3 15 2" xfId="40877" xr:uid="{14064084-483E-4B50-961B-C3DB3566B38E}"/>
    <cellStyle name="RISKrtandbEdge 4 3 16" xfId="19482" xr:uid="{392042D3-AA1A-4BFF-8F91-C1E939B0DCB8}"/>
    <cellStyle name="RISKrtandbEdge 4 3 16 2" xfId="40159" xr:uid="{3BA2F820-91E5-4C73-9718-A087A5059F30}"/>
    <cellStyle name="RISKrtandbEdge 4 3 17" xfId="23356" xr:uid="{F2EFDD3D-C836-4016-BA7F-0E7431A9BD63}"/>
    <cellStyle name="RISKrtandbEdge 4 3 17 2" xfId="42911" xr:uid="{A301271C-7879-45D6-8FBD-803167BC6D7B}"/>
    <cellStyle name="RISKrtandbEdge 4 3 18" xfId="22750" xr:uid="{B19D1E74-FA5F-4487-9762-33A7D0849996}"/>
    <cellStyle name="RISKrtandbEdge 4 3 18 2" xfId="42507" xr:uid="{2C62A650-083F-493F-9451-E5BD67CCE5A6}"/>
    <cellStyle name="RISKrtandbEdge 4 3 19" xfId="24026" xr:uid="{3B823392-0112-408C-9C45-5CC5670B4B51}"/>
    <cellStyle name="RISKrtandbEdge 4 3 19 2" xfId="43403" xr:uid="{BC81A25A-4CA3-40BD-A670-9BD217DC0A08}"/>
    <cellStyle name="RISKrtandbEdge 4 3 2" xfId="7378" xr:uid="{84ED2A1B-1E69-4CCC-B190-A3CE31930F06}"/>
    <cellStyle name="RISKrtandbEdge 4 3 2 2" xfId="31740" xr:uid="{ECFDD4E6-F45D-4B9E-A5C2-AE3A3D92FDCF}"/>
    <cellStyle name="RISKrtandbEdge 4 3 20" xfId="24242" xr:uid="{F472B292-8390-4404-B3B6-FFA19A045D6C}"/>
    <cellStyle name="RISKrtandbEdge 4 3 20 2" xfId="43556" xr:uid="{37BA5A47-B9C8-4B53-A366-B1E54446C3FD}"/>
    <cellStyle name="RISKrtandbEdge 4 3 21" xfId="26194" xr:uid="{0520F3A0-9663-48CE-864A-62B556298FB1}"/>
    <cellStyle name="RISKrtandbEdge 4 3 21 2" xfId="44917" xr:uid="{A0EE1166-539F-4898-BAF0-3B530A0684DD}"/>
    <cellStyle name="RISKrtandbEdge 4 3 22" xfId="27846" xr:uid="{028EACC3-5179-4724-AFDF-78DB79B730E5}"/>
    <cellStyle name="RISKrtandbEdge 4 3 22 2" xfId="45920" xr:uid="{894C5C94-C2B2-4946-A639-5AB5C666EBB5}"/>
    <cellStyle name="RISKrtandbEdge 4 3 23" xfId="25157" xr:uid="{675FE7E4-80EA-4BC4-985C-FFE742045EAB}"/>
    <cellStyle name="RISKrtandbEdge 4 3 23 2" xfId="44101" xr:uid="{0AD70C86-AFD4-45F7-8CD3-9BA7B16887D4}"/>
    <cellStyle name="RISKrtandbEdge 4 3 24" xfId="28762" xr:uid="{46E53F9F-DBD6-4400-A546-92552C20983D}"/>
    <cellStyle name="RISKrtandbEdge 4 3 24 2" xfId="46442" xr:uid="{AFD1E153-7599-4E65-B08F-31C5FE95D485}"/>
    <cellStyle name="RISKrtandbEdge 4 3 25" xfId="29346" xr:uid="{3F0AA6BD-15E0-46DC-AF12-14F985641992}"/>
    <cellStyle name="RISKrtandbEdge 4 3 25 2" xfId="46819" xr:uid="{80C53279-E12F-4618-BC86-06C4CD017874}"/>
    <cellStyle name="RISKrtandbEdge 4 3 26" xfId="27526" xr:uid="{F17D238A-C092-4087-8907-2878CD206B9E}"/>
    <cellStyle name="RISKrtandbEdge 4 3 26 2" xfId="45718" xr:uid="{0164DB52-1D5F-4A14-A302-A16B7019BA37}"/>
    <cellStyle name="RISKrtandbEdge 4 3 27" xfId="30714" xr:uid="{77372AA7-5E31-4707-A813-76F3E48B4D8E}"/>
    <cellStyle name="RISKrtandbEdge 4 3 27 2" xfId="47660" xr:uid="{979936C2-F73D-4D16-8725-6D99AF0590F1}"/>
    <cellStyle name="RISKrtandbEdge 4 3 28" xfId="23634" xr:uid="{C1947CED-2CE1-45F6-B096-41F9CDC245C6}"/>
    <cellStyle name="RISKrtandbEdge 4 3 28 2" xfId="43065" xr:uid="{53F847C3-F493-4FAF-999B-A1B09CAB3E2E}"/>
    <cellStyle name="RISKrtandbEdge 4 3 29" xfId="30192" xr:uid="{CD8D4883-E540-47C8-83B5-7319FBD2AB30}"/>
    <cellStyle name="RISKrtandbEdge 4 3 29 2" xfId="47353" xr:uid="{775EAE10-9916-48FF-BBBA-EF42725E93C4}"/>
    <cellStyle name="RISKrtandbEdge 4 3 3" xfId="10235" xr:uid="{5B8DE8C1-B531-4376-B96D-C4BFCC6E49D5}"/>
    <cellStyle name="RISKrtandbEdge 4 3 3 2" xfId="33870" xr:uid="{824427BD-C159-4DF0-8584-AD92704C765B}"/>
    <cellStyle name="RISKrtandbEdge 4 3 30" xfId="6085" xr:uid="{9B6D5433-AC5B-4867-8CF5-A1F2684E0684}"/>
    <cellStyle name="RISKrtandbEdge 4 3 4" xfId="7020" xr:uid="{978BDAD9-A885-4BF7-9AC8-6F8C4785ED44}"/>
    <cellStyle name="RISKrtandbEdge 4 3 4 2" xfId="31387" xr:uid="{E34D4359-E5F7-4C65-AF40-F95D985B9A03}"/>
    <cellStyle name="RISKrtandbEdge 4 3 5" xfId="11694" xr:uid="{DDCBD600-E327-4AC5-934B-3D473DD539E1}"/>
    <cellStyle name="RISKrtandbEdge 4 3 5 2" xfId="34307" xr:uid="{C31BC3BB-2B57-4154-AA5A-032B2932EC1E}"/>
    <cellStyle name="RISKrtandbEdge 4 3 6" xfId="12291" xr:uid="{D463459B-0753-40A6-9DE0-D52BCC031F0D}"/>
    <cellStyle name="RISKrtandbEdge 4 3 6 2" xfId="34797" xr:uid="{D846A1B3-2BB9-4425-BD32-7CA8DE1A7B9F}"/>
    <cellStyle name="RISKrtandbEdge 4 3 7" xfId="14049" xr:uid="{77732EF8-5BEC-4B05-907E-919794048EB4}"/>
    <cellStyle name="RISKrtandbEdge 4 3 7 2" xfId="36143" xr:uid="{58C822A3-40E1-44D4-9416-EE016713B14D}"/>
    <cellStyle name="RISKrtandbEdge 4 3 8" xfId="13718" xr:uid="{544347E2-CDAD-4A88-831F-C3F8514D8568}"/>
    <cellStyle name="RISKrtandbEdge 4 3 8 2" xfId="35874" xr:uid="{33688DB4-BCFC-4456-93E7-4BF34766F228}"/>
    <cellStyle name="RISKrtandbEdge 4 3 9" xfId="16291" xr:uid="{DFCF09B8-97FD-432B-8E48-21700012F8A1}"/>
    <cellStyle name="RISKrtandbEdge 4 3 9 2" xfId="37828" xr:uid="{2DCEDF20-7302-4239-BB74-0BAF7B12BFE8}"/>
    <cellStyle name="RISKrtandbEdge 4 30" xfId="29044" xr:uid="{FEC75620-80A4-4D8A-B80E-933BA12C3D37}"/>
    <cellStyle name="RISKrtandbEdge 4 30 2" xfId="46630" xr:uid="{02F5B14F-0480-496E-9396-0B76B8EC4AC2}"/>
    <cellStyle name="RISKrtandbEdge 4 31" xfId="31072" xr:uid="{AB30B593-8F7F-4F60-B90D-7DC81FB3B6C7}"/>
    <cellStyle name="RISKrtandbEdge 4 31 2" xfId="47802" xr:uid="{57C91E6F-C38D-47FA-8247-2D3B400B2D56}"/>
    <cellStyle name="RISKrtandbEdge 4 32" xfId="6087" xr:uid="{E924418D-BE7E-43C8-9485-3EC67F999AF8}"/>
    <cellStyle name="RISKrtandbEdge 4 4" xfId="7379" xr:uid="{BF2DA21B-C93A-4CEC-8682-01B1070F8C1E}"/>
    <cellStyle name="RISKrtandbEdge 4 4 2" xfId="31741" xr:uid="{7BD17417-5F15-4C61-A06F-2B43C6C4A5A7}"/>
    <cellStyle name="RISKrtandbEdge 4 5" xfId="10234" xr:uid="{474BC08C-07EB-4355-9EBE-FEDD0AC05858}"/>
    <cellStyle name="RISKrtandbEdge 4 5 2" xfId="33869" xr:uid="{BDAA54D1-4164-4735-8FBB-9359F42FF509}"/>
    <cellStyle name="RISKrtandbEdge 4 6" xfId="7022" xr:uid="{681895A0-C649-4CB3-BA8E-2EC85629FE3E}"/>
    <cellStyle name="RISKrtandbEdge 4 6 2" xfId="31389" xr:uid="{B547FCBD-D1A5-464A-997B-E20619A4C3A5}"/>
    <cellStyle name="RISKrtandbEdge 4 7" xfId="7265" xr:uid="{169C8C3C-1E79-46D3-BBB1-C83701013AE1}"/>
    <cellStyle name="RISKrtandbEdge 4 7 2" xfId="31629" xr:uid="{55F7CB16-EC37-43A7-8492-8150B0223C93}"/>
    <cellStyle name="RISKrtandbEdge 4 8" xfId="16010" xr:uid="{194548E5-29A8-4420-8D1E-68E61606E2A2}"/>
    <cellStyle name="RISKrtandbEdge 4 8 2" xfId="37593" xr:uid="{6195E469-A3FD-4707-9E54-2BF6ECDED756}"/>
    <cellStyle name="RISKrtandbEdge 4 9" xfId="12513" xr:uid="{F617D969-A38A-4716-A52A-FEC957B85003}"/>
    <cellStyle name="RISKrtandbEdge 4 9 2" xfId="34957" xr:uid="{927C32CB-1B75-4EA4-9349-641D6F8C7827}"/>
    <cellStyle name="RISKrtandbEdge 5" xfId="3969" xr:uid="{B44A7707-392E-4238-90B0-81C3651DFCB6}"/>
    <cellStyle name="RISKrtandbEdge 5 10" xfId="17462" xr:uid="{B348A4D8-B2C0-46CE-8AAE-4F065687A8A5}"/>
    <cellStyle name="RISKrtandbEdge 5 10 2" xfId="38709" xr:uid="{06B64303-5ED6-4AC5-829D-C883DDD3345C}"/>
    <cellStyle name="RISKrtandbEdge 5 11" xfId="18311" xr:uid="{FF6BA636-C04E-4676-A9E9-8E73220EDAFB}"/>
    <cellStyle name="RISKrtandbEdge 5 11 2" xfId="39342" xr:uid="{BD239695-7154-4750-998B-81C114F0E113}"/>
    <cellStyle name="RISKrtandbEdge 5 12" xfId="19196" xr:uid="{16877E7D-F079-4093-AF04-F808CDE037CD}"/>
    <cellStyle name="RISKrtandbEdge 5 12 2" xfId="40005" xr:uid="{D2AF118E-30D1-4F14-B1B9-DCA6BCF0049F}"/>
    <cellStyle name="RISKrtandbEdge 5 13" xfId="12641" xr:uid="{4542883A-9EF7-49AA-B8EC-1C6CC9CBE52E}"/>
    <cellStyle name="RISKrtandbEdge 5 13 2" xfId="35067" xr:uid="{E285DE18-33C4-4DAF-8DA7-40FEEEB1768A}"/>
    <cellStyle name="RISKrtandbEdge 5 14" xfId="18915" xr:uid="{3E2B6F5D-A49F-4AB3-877D-D13689DB4A90}"/>
    <cellStyle name="RISKrtandbEdge 5 14 2" xfId="39748" xr:uid="{ED7F41A7-C139-404F-B334-F80B80BA38C9}"/>
    <cellStyle name="RISKrtandbEdge 5 15" xfId="16078" xr:uid="{A523344F-04F1-4AEC-8E5A-82B212F1F5D8}"/>
    <cellStyle name="RISKrtandbEdge 5 15 2" xfId="37649" xr:uid="{9005EB09-623F-4D8C-873F-8977449EB033}"/>
    <cellStyle name="RISKrtandbEdge 5 16" xfId="19397" xr:uid="{21C83C88-C3A8-47EC-8F57-852E1621AB6D}"/>
    <cellStyle name="RISKrtandbEdge 5 16 2" xfId="40118" xr:uid="{E469D3AE-081B-4CD2-882F-9F76FF468428}"/>
    <cellStyle name="RISKrtandbEdge 5 17" xfId="15397" xr:uid="{7728D3C2-8A7A-4AA2-9A43-A7FD23D4BDCF}"/>
    <cellStyle name="RISKrtandbEdge 5 17 2" xfId="37094" xr:uid="{86E32523-E36E-40EF-B16E-A6FC1B3E6FD9}"/>
    <cellStyle name="RISKrtandbEdge 5 18" xfId="18744" xr:uid="{316F435F-5D46-4D13-A960-8C2748D0FCB1}"/>
    <cellStyle name="RISKrtandbEdge 5 18 2" xfId="39619" xr:uid="{B081C0E3-6B58-4413-9C77-54257ADE41D7}"/>
    <cellStyle name="RISKrtandbEdge 5 19" xfId="21158" xr:uid="{053A4E08-692A-4479-8112-D43A915F49AB}"/>
    <cellStyle name="RISKrtandbEdge 5 19 2" xfId="41351" xr:uid="{59616ED1-2A94-4F1E-84CE-2239C2A10261}"/>
    <cellStyle name="RISKrtandbEdge 5 2" xfId="3970" xr:uid="{553D0A5F-A180-42A4-B55E-2D87EFF1678F}"/>
    <cellStyle name="RISKrtandbEdge 5 2 10" xfId="15686" xr:uid="{62A8C96A-0A75-42E7-84DD-7778C28D5971}"/>
    <cellStyle name="RISKrtandbEdge 5 2 10 2" xfId="37323" xr:uid="{BD940C4F-07C0-4FBB-BEDC-C78588F10434}"/>
    <cellStyle name="RISKrtandbEdge 5 2 11" xfId="19945" xr:uid="{55298E10-A9CD-45D0-B8FB-FCF68710CE23}"/>
    <cellStyle name="RISKrtandbEdge 5 2 11 2" xfId="40552" xr:uid="{FAEEE5C6-7A67-4CB3-A542-32548D8F4A1D}"/>
    <cellStyle name="RISKrtandbEdge 5 2 12" xfId="20683" xr:uid="{C95665BB-75A0-4E06-98C0-8C218EC8DEFB}"/>
    <cellStyle name="RISKrtandbEdge 5 2 12 2" xfId="41043" xr:uid="{07F8DCAA-BB2D-4F16-AF03-05A43D14776E}"/>
    <cellStyle name="RISKrtandbEdge 5 2 13" xfId="22452" xr:uid="{4F96FA8C-1599-4A78-AFFD-5BC5B33E39BF}"/>
    <cellStyle name="RISKrtandbEdge 5 2 13 2" xfId="42254" xr:uid="{43DA5F8C-485E-4B26-B9D4-4EEF68D81C6F}"/>
    <cellStyle name="RISKrtandbEdge 5 2 14" xfId="22061" xr:uid="{7FD017F9-BF47-464B-B050-24DEA8E8ADEB}"/>
    <cellStyle name="RISKrtandbEdge 5 2 14 2" xfId="41946" xr:uid="{8052D4DA-A554-486B-AAC8-65B4174256E8}"/>
    <cellStyle name="RISKrtandbEdge 5 2 15" xfId="23189" xr:uid="{06452525-8E3E-4274-806A-DC63B2339016}"/>
    <cellStyle name="RISKrtandbEdge 5 2 15 2" xfId="42783" xr:uid="{DDF43AFA-7A92-49A3-B092-F88337D755F5}"/>
    <cellStyle name="RISKrtandbEdge 5 2 16" xfId="24015" xr:uid="{8651C523-D76E-4F98-8019-C8F39F83255C}"/>
    <cellStyle name="RISKrtandbEdge 5 2 16 2" xfId="43392" xr:uid="{43814C2D-4038-4BB2-A9B5-6279B0C28DD3}"/>
    <cellStyle name="RISKrtandbEdge 5 2 17" xfId="21879" xr:uid="{357129B3-7068-4825-8E77-92A2AB327E2F}"/>
    <cellStyle name="RISKrtandbEdge 5 2 17 2" xfId="41815" xr:uid="{A7D337C2-4E9C-49CA-BD8F-A2480F461882}"/>
    <cellStyle name="RISKrtandbEdge 5 2 18" xfId="25301" xr:uid="{1FDD4889-E1C1-46E5-8117-C8EC037F85EC}"/>
    <cellStyle name="RISKrtandbEdge 5 2 18 2" xfId="44217" xr:uid="{385917A7-1E59-4CCD-B7BF-F51778C0052D}"/>
    <cellStyle name="RISKrtandbEdge 5 2 19" xfId="18730" xr:uid="{38753C47-DB1B-4BC0-8FD7-2EE60DBD1CF1}"/>
    <cellStyle name="RISKrtandbEdge 5 2 19 2" xfId="39605" xr:uid="{D28F8971-5BFE-41A4-812B-88892E07C786}"/>
    <cellStyle name="RISKrtandbEdge 5 2 2" xfId="7377" xr:uid="{4422392B-57F6-4CDE-A0F7-1A5525F356CB}"/>
    <cellStyle name="RISKrtandbEdge 5 2 2 2" xfId="31739" xr:uid="{0F7ABD97-7839-4947-9801-55162A7BF2BD}"/>
    <cellStyle name="RISKrtandbEdge 5 2 20" xfId="25037" xr:uid="{3ECFF3C5-3886-49E5-A2AA-9C52960EDA93}"/>
    <cellStyle name="RISKrtandbEdge 5 2 20 2" xfId="44070" xr:uid="{96D50CB7-E4CB-4B96-A0D0-7B2A2E0679D0}"/>
    <cellStyle name="RISKrtandbEdge 5 2 21" xfId="23538" xr:uid="{87EECDBD-25CF-4C71-9548-4F9C5E21CF10}"/>
    <cellStyle name="RISKrtandbEdge 5 2 21 2" xfId="42984" xr:uid="{EF165A8B-768A-47D5-8B68-97A70F33ECC2}"/>
    <cellStyle name="RISKrtandbEdge 5 2 22" xfId="27845" xr:uid="{392E23F0-A637-4CC8-AFCF-E300DC19FFE2}"/>
    <cellStyle name="RISKrtandbEdge 5 2 22 2" xfId="45919" xr:uid="{EEE6D6FF-1AF1-4283-86B1-A0ABF42629F0}"/>
    <cellStyle name="RISKrtandbEdge 5 2 23" xfId="28934" xr:uid="{587D5A8D-FD1D-4750-9148-B90E47B255D7}"/>
    <cellStyle name="RISKrtandbEdge 5 2 23 2" xfId="46530" xr:uid="{D797E4C3-C27D-4847-AD79-562BFEC78D9D}"/>
    <cellStyle name="RISKrtandbEdge 5 2 24" xfId="27511" xr:uid="{B67CCF7D-85CD-4ED3-8566-8571817EAA50}"/>
    <cellStyle name="RISKrtandbEdge 5 2 24 2" xfId="45705" xr:uid="{A6DCD8E1-976E-437A-8082-5D695E4A2BF6}"/>
    <cellStyle name="RISKrtandbEdge 5 2 25" xfId="28328" xr:uid="{5FF4615E-EA5F-46B5-8E5D-3B91850B4DD7}"/>
    <cellStyle name="RISKrtandbEdge 5 2 25 2" xfId="46195" xr:uid="{B48BAF45-F518-4046-99E4-35362DC7D004}"/>
    <cellStyle name="RISKrtandbEdge 5 2 26" xfId="29396" xr:uid="{9711C00D-54C0-4AB8-80D6-DD7C31171829}"/>
    <cellStyle name="RISKrtandbEdge 5 2 26 2" xfId="46863" xr:uid="{02ADAE83-6968-4F8F-9144-641CE971EE50}"/>
    <cellStyle name="RISKrtandbEdge 5 2 27" xfId="30713" xr:uid="{1AE7C3D1-E0EA-47C8-B8D1-D8A8F3C9624E}"/>
    <cellStyle name="RISKrtandbEdge 5 2 27 2" xfId="47659" xr:uid="{B750B82A-536D-4946-B0A3-F94819745971}"/>
    <cellStyle name="RISKrtandbEdge 5 2 28" xfId="30159" xr:uid="{6285117F-57B0-415F-AFB9-3C68D2B20EEC}"/>
    <cellStyle name="RISKrtandbEdge 5 2 28 2" xfId="47323" xr:uid="{87831FD5-B655-444A-B8F5-7C955B9F2337}"/>
    <cellStyle name="RISKrtandbEdge 5 2 29" xfId="30622" xr:uid="{9F9B42BC-F3CD-401A-B6F1-8753FC96B6CC}"/>
    <cellStyle name="RISKrtandbEdge 5 2 29 2" xfId="47568" xr:uid="{738F71A6-9763-41DD-A0D6-29AB5BF44AE7}"/>
    <cellStyle name="RISKrtandbEdge 5 2 3" xfId="13221" xr:uid="{BE37B938-126C-4D79-9030-E5CE83E40FAA}"/>
    <cellStyle name="RISKrtandbEdge 5 2 3 2" xfId="35569" xr:uid="{4AC3EBCC-7872-4B07-B5E6-1AFCFB3A51F9}"/>
    <cellStyle name="RISKrtandbEdge 5 2 30" xfId="6083" xr:uid="{8FA7F06A-6563-44E7-AB33-96B24E0600DB}"/>
    <cellStyle name="RISKrtandbEdge 5 2 4" xfId="7019" xr:uid="{36EEE640-9D0D-4046-8437-4DC39C6E5287}"/>
    <cellStyle name="RISKrtandbEdge 5 2 4 2" xfId="31386" xr:uid="{E228082E-FBE8-46D9-A24A-86B22E382759}"/>
    <cellStyle name="RISKrtandbEdge 5 2 5" xfId="15905" xr:uid="{34AE9223-74E4-48F9-8C4F-10777FCE03EC}"/>
    <cellStyle name="RISKrtandbEdge 5 2 5 2" xfId="37496" xr:uid="{A41A3BF4-C4A9-4CCA-B2D3-64E9727FA8DD}"/>
    <cellStyle name="RISKrtandbEdge 5 2 6" xfId="14670" xr:uid="{F73C77F4-5D5E-4073-B7AF-30EC9B6D5FBD}"/>
    <cellStyle name="RISKrtandbEdge 5 2 6 2" xfId="36582" xr:uid="{0E348AFA-6232-48EA-BBA8-60D8DB9A1035}"/>
    <cellStyle name="RISKrtandbEdge 5 2 7" xfId="16589" xr:uid="{B8ACA6CB-61A1-4AEA-B137-8FEF4843A4C8}"/>
    <cellStyle name="RISKrtandbEdge 5 2 7 2" xfId="38082" xr:uid="{06B21343-48A7-479B-BDD7-71FF60E1F6A6}"/>
    <cellStyle name="RISKrtandbEdge 5 2 8" xfId="13869" xr:uid="{094D26E0-3F95-4DCA-9E0F-D6530F02C502}"/>
    <cellStyle name="RISKrtandbEdge 5 2 8 2" xfId="35992" xr:uid="{A640AA0E-3A1C-45CE-93A6-34FDA2D83A19}"/>
    <cellStyle name="RISKrtandbEdge 5 2 9" xfId="15811" xr:uid="{BDD3E0D5-7E3F-47E1-B4CC-5324AF135AFC}"/>
    <cellStyle name="RISKrtandbEdge 5 2 9 2" xfId="37426" xr:uid="{477A01A3-4568-46E9-8CA7-21CEA19D5F03}"/>
    <cellStyle name="RISKrtandbEdge 5 20" xfId="24554" xr:uid="{FD4599E3-FD70-4413-A820-7E8A86B53462}"/>
    <cellStyle name="RISKrtandbEdge 5 20 2" xfId="43737" xr:uid="{4468A224-A932-4ABE-A5BD-5A6D404E2DF2}"/>
    <cellStyle name="RISKrtandbEdge 5 21" xfId="24043" xr:uid="{7215E313-EF38-4CBE-8239-731D3D2AB169}"/>
    <cellStyle name="RISKrtandbEdge 5 21 2" xfId="43420" xr:uid="{71D6E346-A3D9-4BB9-8127-1A273FFCC022}"/>
    <cellStyle name="RISKrtandbEdge 5 22" xfId="26592" xr:uid="{DA17DD24-0ECE-4F1E-A453-A18EDA0637A3}"/>
    <cellStyle name="RISKrtandbEdge 5 22 2" xfId="45156" xr:uid="{90EE9DAB-05D4-4E75-9D19-98D7695217AA}"/>
    <cellStyle name="RISKrtandbEdge 5 23" xfId="27338" xr:uid="{7D5A6025-9978-42C0-9D31-0BADD2A63FEC}"/>
    <cellStyle name="RISKrtandbEdge 5 23 2" xfId="45629" xr:uid="{CE667213-6047-49B3-9FD8-5875B17152A1}"/>
    <cellStyle name="RISKrtandbEdge 5 24" xfId="21920" xr:uid="{4454FCEB-7B49-44CB-B789-5FA95611A5F5}"/>
    <cellStyle name="RISKrtandbEdge 5 24 2" xfId="41837" xr:uid="{F53A7170-1664-4669-8261-604BDBA6E1A4}"/>
    <cellStyle name="RISKrtandbEdge 5 25" xfId="25452" xr:uid="{80B5D517-BBE7-4607-9F03-865093225D11}"/>
    <cellStyle name="RISKrtandbEdge 5 25 2" xfId="44338" xr:uid="{401D15C7-D770-4580-9C11-FE3CC9500FFF}"/>
    <cellStyle name="RISKrtandbEdge 5 26" xfId="26982" xr:uid="{DAE7AE3D-EEE5-4934-A744-EFE0972928A2}"/>
    <cellStyle name="RISKrtandbEdge 5 26 2" xfId="45389" xr:uid="{4EA3FF68-0542-4F27-AD29-D06D3AA2FDE7}"/>
    <cellStyle name="RISKrtandbEdge 5 27" xfId="27028" xr:uid="{04DF90AA-1756-4C4C-B8C6-1942857D53F7}"/>
    <cellStyle name="RISKrtandbEdge 5 27 2" xfId="45431" xr:uid="{CA6099D4-6FB7-4E43-8816-FBB031E16AF9}"/>
    <cellStyle name="RISKrtandbEdge 5 28" xfId="29825" xr:uid="{C86B24C4-6A6F-4C26-AD97-C30548AE24E4}"/>
    <cellStyle name="RISKrtandbEdge 5 28 2" xfId="47142" xr:uid="{C84419D0-3B16-4FB1-B399-DB9A3EA6C24C}"/>
    <cellStyle name="RISKrtandbEdge 5 29" xfId="30245" xr:uid="{DDF52592-41A1-4C8C-AC8C-8564E3303844}"/>
    <cellStyle name="RISKrtandbEdge 5 29 2" xfId="47406" xr:uid="{7E500606-306F-43C1-B87B-897C060FEF7E}"/>
    <cellStyle name="RISKrtandbEdge 5 3" xfId="3971" xr:uid="{690D7DCC-B814-4C1B-8054-7860A5EDD31A}"/>
    <cellStyle name="RISKrtandbEdge 5 3 10" xfId="19195" xr:uid="{D3DD20D7-9905-4F57-8625-B023D92E6BB1}"/>
    <cellStyle name="RISKrtandbEdge 5 3 10 2" xfId="40004" xr:uid="{EB132508-2F6F-4DC9-BA03-12646E4FD195}"/>
    <cellStyle name="RISKrtandbEdge 5 3 11" xfId="18046" xr:uid="{B393A24A-2D9F-4452-B1D4-347C10CBF80D}"/>
    <cellStyle name="RISKrtandbEdge 5 3 11 2" xfId="39140" xr:uid="{4A6DAD44-171B-4D96-8DAA-FDD7386D5B51}"/>
    <cellStyle name="RISKrtandbEdge 5 3 12" xfId="16833" xr:uid="{79BD53FE-05E8-4893-A0D8-98615FB5DD17}"/>
    <cellStyle name="RISKrtandbEdge 5 3 12 2" xfId="38261" xr:uid="{26A87AF3-8444-4923-964B-F7F8EA7104BB}"/>
    <cellStyle name="RISKrtandbEdge 5 3 13" xfId="19047" xr:uid="{5D5FC12A-BB7E-48FA-B5DE-1180C4F78A8D}"/>
    <cellStyle name="RISKrtandbEdge 5 3 13 2" xfId="39879" xr:uid="{820E6B34-58FA-42BB-88A9-011C2B79F3F9}"/>
    <cellStyle name="RISKrtandbEdge 5 3 14" xfId="21232" xr:uid="{4E149C1E-14BF-43E1-9121-929D0E89E061}"/>
    <cellStyle name="RISKrtandbEdge 5 3 14 2" xfId="41425" xr:uid="{194C67CD-54E3-4A96-BEA6-40D5FF2754A0}"/>
    <cellStyle name="RISKrtandbEdge 5 3 15" xfId="18821" xr:uid="{391FC5C3-32DA-43B4-93DC-1F912C04E560}"/>
    <cellStyle name="RISKrtandbEdge 5 3 15 2" xfId="39673" xr:uid="{38B9FB15-6D9D-46BD-91F3-BED33B7AC371}"/>
    <cellStyle name="RISKrtandbEdge 5 3 16" xfId="22194" xr:uid="{988DC8EE-59D2-4D1B-AA52-ED4F48602729}"/>
    <cellStyle name="RISKrtandbEdge 5 3 16 2" xfId="42073" xr:uid="{2E59D776-AA99-4DD0-875E-99668C75D8FA}"/>
    <cellStyle name="RISKrtandbEdge 5 3 17" xfId="18580" xr:uid="{E81C2289-1177-4A58-A477-5C09CCD689D8}"/>
    <cellStyle name="RISKrtandbEdge 5 3 17 2" xfId="39522" xr:uid="{A2C6E258-F1EC-4092-AA43-88A5C2E29E04}"/>
    <cellStyle name="RISKrtandbEdge 5 3 18" xfId="21062" xr:uid="{F7EE81F9-0191-4B68-B5B7-070B2F46DA11}"/>
    <cellStyle name="RISKrtandbEdge 5 3 18 2" xfId="41307" xr:uid="{05C59D38-788D-4176-AA68-8086E6732BD0}"/>
    <cellStyle name="RISKrtandbEdge 5 3 19" xfId="24042" xr:uid="{B3799220-48BD-4A2F-ADD7-4EBFA0168499}"/>
    <cellStyle name="RISKrtandbEdge 5 3 19 2" xfId="43419" xr:uid="{B0FB6B87-9B67-4938-9754-53FD08819C39}"/>
    <cellStyle name="RISKrtandbEdge 5 3 2" xfId="11798" xr:uid="{7CB1BB8F-1F65-42F9-9AC9-8673693DDDE8}"/>
    <cellStyle name="RISKrtandbEdge 5 3 2 2" xfId="34411" xr:uid="{7B916F58-A35F-4061-B6B9-09765D2F7BCD}"/>
    <cellStyle name="RISKrtandbEdge 5 3 20" xfId="26591" xr:uid="{6078EC76-6578-4258-9F52-6D853DF39919}"/>
    <cellStyle name="RISKrtandbEdge 5 3 20 2" xfId="45155" xr:uid="{9BB82809-C6EE-4760-8672-A7138E018445}"/>
    <cellStyle name="RISKrtandbEdge 5 3 21" xfId="27337" xr:uid="{6B8950E7-93F6-4EE6-B41D-96DAD84D8662}"/>
    <cellStyle name="RISKrtandbEdge 5 3 21 2" xfId="45628" xr:uid="{76A6DAAE-A68C-4E32-9651-1BFE65CEFBF7}"/>
    <cellStyle name="RISKrtandbEdge 5 3 22" xfId="23692" xr:uid="{CC9F3DE9-E09E-4D59-9AEA-CC539BAA869F}"/>
    <cellStyle name="RISKrtandbEdge 5 3 22 2" xfId="43112" xr:uid="{6E4D370E-7043-4908-872D-6762A0F35971}"/>
    <cellStyle name="RISKrtandbEdge 5 3 23" xfId="25518" xr:uid="{6DACA062-8197-4CFD-9CBB-7C4B20E8B109}"/>
    <cellStyle name="RISKrtandbEdge 5 3 23 2" xfId="44394" xr:uid="{1C6554E5-5F3A-4C15-A164-AD2D8E35B68E}"/>
    <cellStyle name="RISKrtandbEdge 5 3 24" xfId="26538" xr:uid="{8BE0E5AC-D350-41C9-8F17-35B43CEE24C6}"/>
    <cellStyle name="RISKrtandbEdge 5 3 24 2" xfId="45113" xr:uid="{1518E267-5CAA-4A2B-B6A5-B5E4081C5E5C}"/>
    <cellStyle name="RISKrtandbEdge 5 3 25" xfId="26043" xr:uid="{5DAB5D10-02EA-490F-9390-6E45773ADBEF}"/>
    <cellStyle name="RISKrtandbEdge 5 3 25 2" xfId="44813" xr:uid="{438ACA9C-E218-4FFE-B9F2-5161901B702A}"/>
    <cellStyle name="RISKrtandbEdge 5 3 26" xfId="29900" xr:uid="{EB5473BC-32A3-4A5C-B67B-C82D964B0F7F}"/>
    <cellStyle name="RISKrtandbEdge 5 3 26 2" xfId="47188" xr:uid="{2FDF3965-14F1-4D08-894D-9062102F0D9E}"/>
    <cellStyle name="RISKrtandbEdge 5 3 27" xfId="27702" xr:uid="{95B677DC-0F38-41B7-967A-41D474BBD337}"/>
    <cellStyle name="RISKrtandbEdge 5 3 27 2" xfId="45811" xr:uid="{3186AAAE-D00A-4738-8DD1-1C20107E6027}"/>
    <cellStyle name="RISKrtandbEdge 5 3 28" xfId="29886" xr:uid="{2A58E492-0C67-4F0E-A89A-7C473959F139}"/>
    <cellStyle name="RISKrtandbEdge 5 3 28 2" xfId="47174" xr:uid="{58521BB6-FA38-49B1-AFE2-7DA2390D8D9F}"/>
    <cellStyle name="RISKrtandbEdge 5 3 29" xfId="31070" xr:uid="{CB73F63E-83A5-40E6-9B81-0D90C257BAE5}"/>
    <cellStyle name="RISKrtandbEdge 5 3 29 2" xfId="47800" xr:uid="{F7662E9D-B05F-4EF1-8F12-31F1A8546133}"/>
    <cellStyle name="RISKrtandbEdge 5 3 3" xfId="10236" xr:uid="{E8BD0526-9F9B-4DC4-B53C-45A085D7C853}"/>
    <cellStyle name="RISKrtandbEdge 5 3 3 2" xfId="33871" xr:uid="{F9314DD9-CC1C-4044-8385-A1E830F7918E}"/>
    <cellStyle name="RISKrtandbEdge 5 3 30" xfId="6082" xr:uid="{C8019DBF-6DBE-4AF4-B954-C82D2340BEC1}"/>
    <cellStyle name="RISKrtandbEdge 5 3 4" xfId="14236" xr:uid="{B5ACA711-CCE1-44C1-9D3F-FBDD81A79440}"/>
    <cellStyle name="RISKrtandbEdge 5 3 4 2" xfId="36289" xr:uid="{92211EA6-6897-4D39-B73A-B899363A40A3}"/>
    <cellStyle name="RISKrtandbEdge 5 3 5" xfId="11693" xr:uid="{72957D1F-C6E2-40EA-86C2-315BF146265B}"/>
    <cellStyle name="RISKrtandbEdge 5 3 5 2" xfId="34306" xr:uid="{B91E0449-7A79-40EE-9DB1-0128690B3528}"/>
    <cellStyle name="RISKrtandbEdge 5 3 6" xfId="13494" xr:uid="{3260D0CE-CB9C-4C6E-BEDB-A8C73158E1DB}"/>
    <cellStyle name="RISKrtandbEdge 5 3 6 2" xfId="35748" xr:uid="{C76D8ECD-F638-4C49-BA42-0D0FB077F154}"/>
    <cellStyle name="RISKrtandbEdge 5 3 7" xfId="12514" xr:uid="{EFB46A0E-4214-467F-913A-59D5E8EF0CCA}"/>
    <cellStyle name="RISKrtandbEdge 5 3 7 2" xfId="34958" xr:uid="{62711D2B-0322-446F-BB62-93A5D16B9729}"/>
    <cellStyle name="RISKrtandbEdge 5 3 8" xfId="17461" xr:uid="{6A9B6ECE-05BA-4CD0-91E7-FD9275F0B097}"/>
    <cellStyle name="RISKrtandbEdge 5 3 8 2" xfId="38708" xr:uid="{53434219-2355-49B3-AE63-E932E696C41D}"/>
    <cellStyle name="RISKrtandbEdge 5 3 9" xfId="18310" xr:uid="{44F42C82-BCDB-40F0-951B-BCBBE6304361}"/>
    <cellStyle name="RISKrtandbEdge 5 3 9 2" xfId="39341" xr:uid="{F1CA3F08-4794-41BD-B01D-707BEAFAD86A}"/>
    <cellStyle name="RISKrtandbEdge 5 30" xfId="29818" xr:uid="{53C6549E-0F53-4A34-8B69-246D502DD0A9}"/>
    <cellStyle name="RISKrtandbEdge 5 30 2" xfId="47135" xr:uid="{7992730C-E28A-4DD5-A444-B4397D78F12F}"/>
    <cellStyle name="RISKrtandbEdge 5 31" xfId="31071" xr:uid="{D81840BD-09BA-4E33-9074-8DDE6F2F7279}"/>
    <cellStyle name="RISKrtandbEdge 5 31 2" xfId="47801" xr:uid="{C50C4DF6-D2A8-4C7A-A666-A9C9B7641F15}"/>
    <cellStyle name="RISKrtandbEdge 5 32" xfId="6084" xr:uid="{618846C5-21D8-46F3-9278-5E3D19B19532}"/>
    <cellStyle name="RISKrtandbEdge 5 4" xfId="11799" xr:uid="{EF7FF549-A613-4FB2-8B4C-BAA0071A6FB1}"/>
    <cellStyle name="RISKrtandbEdge 5 4 2" xfId="34412" xr:uid="{46D8EF9F-9C88-4386-B384-ED55CCC195BD}"/>
    <cellStyle name="RISKrtandbEdge 5 5" xfId="10273" xr:uid="{A9D1A43A-1F07-4780-B790-9EA356EDA274}"/>
    <cellStyle name="RISKrtandbEdge 5 5 2" xfId="33908" xr:uid="{86E53599-0ECA-41C5-8FD2-AF7A73A22165}"/>
    <cellStyle name="RISKrtandbEdge 5 6" xfId="14237" xr:uid="{1F9F037F-64DB-47CA-A289-69E4104B2A61}"/>
    <cellStyle name="RISKrtandbEdge 5 6 2" xfId="36290" xr:uid="{BAA96B8F-C04C-46A1-B9E4-540B17A9BB60}"/>
    <cellStyle name="RISKrtandbEdge 5 7" xfId="7264" xr:uid="{D64CAA06-13D9-4D09-9BEA-D85D68433F6D}"/>
    <cellStyle name="RISKrtandbEdge 5 7 2" xfId="31628" xr:uid="{01A66B63-194C-49A8-8193-13AA4022757D}"/>
    <cellStyle name="RISKrtandbEdge 5 8" xfId="15488" xr:uid="{72B27B37-DFD4-48E4-9632-9BD30E886190}"/>
    <cellStyle name="RISKrtandbEdge 5 8 2" xfId="37153" xr:uid="{DE2EB623-650E-4AF1-A68D-1CA1A96B6C00}"/>
    <cellStyle name="RISKrtandbEdge 5 9" xfId="14034" xr:uid="{E884B17E-F9C4-431C-880A-1D892298BF2E}"/>
    <cellStyle name="RISKrtandbEdge 5 9 2" xfId="36128" xr:uid="{963377CC-6BE9-4F75-B611-470801108B86}"/>
    <cellStyle name="RISKrtandbEdge 6" xfId="3972" xr:uid="{94137E45-1E42-410A-804C-D682B9E98796}"/>
    <cellStyle name="RISKrtandbEdge 6 10" xfId="13711" xr:uid="{5A92475B-6EF7-45FC-BAB4-F35FB607AEF1}"/>
    <cellStyle name="RISKrtandbEdge 6 10 2" xfId="35867" xr:uid="{B3FFE833-D206-49B5-83E2-686EB8174134}"/>
    <cellStyle name="RISKrtandbEdge 6 11" xfId="16307" xr:uid="{AD4B8A0E-8487-416B-B1C0-00B44DC99357}"/>
    <cellStyle name="RISKrtandbEdge 6 11 2" xfId="37844" xr:uid="{B7692EF5-AD21-4993-959F-A11BD6BF0145}"/>
    <cellStyle name="RISKrtandbEdge 6 12" xfId="17197" xr:uid="{8892BE44-6882-43F6-BD59-AC1C343D7407}"/>
    <cellStyle name="RISKrtandbEdge 6 12 2" xfId="38526" xr:uid="{3D284481-909D-4761-A46B-2B990C57E6FA}"/>
    <cellStyle name="RISKrtandbEdge 6 13" xfId="19944" xr:uid="{75936ADB-2E86-4958-A8B9-91D81546A2D4}"/>
    <cellStyle name="RISKrtandbEdge 6 13 2" xfId="40551" xr:uid="{D1F73297-1896-438B-90CD-1DD3F858B7F5}"/>
    <cellStyle name="RISKrtandbEdge 6 14" xfId="16841" xr:uid="{604B9F10-24C0-483E-9B1F-06CE6B1AC134}"/>
    <cellStyle name="RISKrtandbEdge 6 14 2" xfId="38269" xr:uid="{54443D6D-EC0C-4ADA-9666-88CC07CC7959}"/>
    <cellStyle name="RISKrtandbEdge 6 15" xfId="17124" xr:uid="{5F80EB45-CDC1-45BB-BCD3-AA5C0298FEF5}"/>
    <cellStyle name="RISKrtandbEdge 6 15 2" xfId="38463" xr:uid="{430E0D84-0EFF-491E-BF11-000D8851D0C8}"/>
    <cellStyle name="RISKrtandbEdge 6 16" xfId="20176" xr:uid="{A7712659-8B37-488E-A104-0F14893DEADE}"/>
    <cellStyle name="RISKrtandbEdge 6 16 2" xfId="40683" xr:uid="{1B733475-FC3C-4A48-9C57-D1950CE3DD88}"/>
    <cellStyle name="RISKrtandbEdge 6 17" xfId="23188" xr:uid="{7BD174E1-42A4-4C10-9564-368EABB67217}"/>
    <cellStyle name="RISKrtandbEdge 6 17 2" xfId="42782" xr:uid="{BA3C8DD1-D79B-438E-8ED1-FA443E385FB9}"/>
    <cellStyle name="RISKrtandbEdge 6 18" xfId="24014" xr:uid="{A659C23A-32FE-4755-8419-54526B6A1984}"/>
    <cellStyle name="RISKrtandbEdge 6 18 2" xfId="43391" xr:uid="{4A6210CC-74F8-4C36-9BDC-5493090FDC2C}"/>
    <cellStyle name="RISKrtandbEdge 6 19" xfId="21157" xr:uid="{29F0694D-AAD1-4532-A123-1DC32569DAB3}"/>
    <cellStyle name="RISKrtandbEdge 6 19 2" xfId="41350" xr:uid="{EAED37AC-8025-4CD0-BBD5-F757C508E2AF}"/>
    <cellStyle name="RISKrtandbEdge 6 2" xfId="3973" xr:uid="{FBBE0A0B-1503-4BD0-B368-7908D2EC6AC6}"/>
    <cellStyle name="RISKrtandbEdge 6 2 10" xfId="17178" xr:uid="{5DDA78EF-D5A4-41BF-80EB-CFA4CF2012D8}"/>
    <cellStyle name="RISKrtandbEdge 6 2 10 2" xfId="38507" xr:uid="{287C9358-1377-4D6F-891A-DB6589C1A325}"/>
    <cellStyle name="RISKrtandbEdge 6 2 11" xfId="15222" xr:uid="{07E53729-A855-4A6B-8A30-76A17D649FCE}"/>
    <cellStyle name="RISKrtandbEdge 6 2 11 2" xfId="36988" xr:uid="{7FF57E5A-F3E0-4EFF-B7D1-8C776A78ACFF}"/>
    <cellStyle name="RISKrtandbEdge 6 2 12" xfId="20682" xr:uid="{8CCED65A-1A19-40CC-8314-C498796ED86F}"/>
    <cellStyle name="RISKrtandbEdge 6 2 12 2" xfId="41042" xr:uid="{D1739C2A-E563-47B8-AFE5-A8DDDC294767}"/>
    <cellStyle name="RISKrtandbEdge 6 2 13" xfId="19046" xr:uid="{EC552EBD-2E3A-4860-936B-36D8CBA21C0B}"/>
    <cellStyle name="RISKrtandbEdge 6 2 13 2" xfId="39878" xr:uid="{E234F5C6-6A1A-4DAC-BE29-697E32AA888C}"/>
    <cellStyle name="RISKrtandbEdge 6 2 14" xfId="17045" xr:uid="{81C444CD-D0FA-43E4-834B-F1EA8BB8204C}"/>
    <cellStyle name="RISKrtandbEdge 6 2 14 2" xfId="38387" xr:uid="{4AA3D6B5-1B41-41CC-8044-AB58DFF50A5A}"/>
    <cellStyle name="RISKrtandbEdge 6 2 15" xfId="20486" xr:uid="{3C8A9C85-438E-42BD-ABB6-1552257546E8}"/>
    <cellStyle name="RISKrtandbEdge 6 2 15 2" xfId="40876" xr:uid="{3692B143-1713-4766-883F-162FBD949FDD}"/>
    <cellStyle name="RISKrtandbEdge 6 2 16" xfId="18736" xr:uid="{4AB2AC07-19E7-4582-8782-754013B00346}"/>
    <cellStyle name="RISKrtandbEdge 6 2 16 2" xfId="39611" xr:uid="{E1896CFC-92D7-4BAC-8DF6-5DF6826B5039}"/>
    <cellStyle name="RISKrtandbEdge 6 2 17" xfId="23358" xr:uid="{5A1C4FFE-718B-4474-84F4-E8E09BC290F1}"/>
    <cellStyle name="RISKrtandbEdge 6 2 17 2" xfId="42913" xr:uid="{B6FEA4D9-47C2-49DE-B274-4F018A10B171}"/>
    <cellStyle name="RISKrtandbEdge 6 2 18" xfId="24553" xr:uid="{1C43ACFA-8ED5-4DB9-AA15-A09CC35A53B8}"/>
    <cellStyle name="RISKrtandbEdge 6 2 18 2" xfId="43736" xr:uid="{AA618AA2-C9B3-4864-BED4-28CA5E949275}"/>
    <cellStyle name="RISKrtandbEdge 6 2 19" xfId="24041" xr:uid="{41ACB25F-B730-41EA-B929-7AE32C888F51}"/>
    <cellStyle name="RISKrtandbEdge 6 2 19 2" xfId="43418" xr:uid="{7A69C2B8-88D2-4B6E-9841-4482392A1A8D}"/>
    <cellStyle name="RISKrtandbEdge 6 2 2" xfId="11797" xr:uid="{14D9CD79-D057-4B74-BC45-1E1C44999DF5}"/>
    <cellStyle name="RISKrtandbEdge 6 2 2 2" xfId="34410" xr:uid="{EAE76171-4D6B-411A-A1D2-098D90A9D318}"/>
    <cellStyle name="RISKrtandbEdge 6 2 20" xfId="26590" xr:uid="{8C824C3F-D9B0-44DB-9DB1-061E96E2C0A4}"/>
    <cellStyle name="RISKrtandbEdge 6 2 20 2" xfId="45154" xr:uid="{67EBF87E-B072-4354-A568-D3E3D8C1765D}"/>
    <cellStyle name="RISKrtandbEdge 6 2 21" xfId="27336" xr:uid="{185B6B63-A6CC-46F7-9F85-96DC129FA078}"/>
    <cellStyle name="RISKrtandbEdge 6 2 21 2" xfId="45627" xr:uid="{DC51EAF5-D710-4EE5-986A-C55E31C158E7}"/>
    <cellStyle name="RISKrtandbEdge 6 2 22" xfId="25962" xr:uid="{466D1D3A-DF4C-4CFD-B32D-3654F3067F7D}"/>
    <cellStyle name="RISKrtandbEdge 6 2 22 2" xfId="44753" xr:uid="{CF84EE00-0268-40D3-822A-8E393C022F72}"/>
    <cellStyle name="RISKrtandbEdge 6 2 23" xfId="24429" xr:uid="{2013365C-5D93-4DCC-A2C9-4770B677B09A}"/>
    <cellStyle name="RISKrtandbEdge 6 2 23 2" xfId="43641" xr:uid="{D4C853BD-31AC-4568-B515-3EF61DE60C9C}"/>
    <cellStyle name="RISKrtandbEdge 6 2 24" xfId="29186" xr:uid="{4FDA8FE6-3746-465A-8243-0149037200AF}"/>
    <cellStyle name="RISKrtandbEdge 6 2 24 2" xfId="46712" xr:uid="{09BE4BC7-C08E-4125-8835-9011EA5CEF9D}"/>
    <cellStyle name="RISKrtandbEdge 6 2 25" xfId="28045" xr:uid="{94EBA2F7-D39C-4CAC-ACC2-47BCE0A2F285}"/>
    <cellStyle name="RISKrtandbEdge 6 2 25 2" xfId="46040" xr:uid="{840EE5F4-9D35-4D68-B187-5954D39781BA}"/>
    <cellStyle name="RISKrtandbEdge 6 2 26" xfId="29618" xr:uid="{12F34DFF-441E-44C7-912B-5E202D063C1D}"/>
    <cellStyle name="RISKrtandbEdge 6 2 26 2" xfId="47009" xr:uid="{1E420D2B-2601-4FC7-B8D3-F672E2ECE1B8}"/>
    <cellStyle name="RISKrtandbEdge 6 2 27" xfId="30244" xr:uid="{8093FF33-B53B-4950-8095-23EF1C959A39}"/>
    <cellStyle name="RISKrtandbEdge 6 2 27 2" xfId="47405" xr:uid="{069DD949-0447-4308-A752-7674EE1CE51E}"/>
    <cellStyle name="RISKrtandbEdge 6 2 28" xfId="27711" xr:uid="{3953B0F3-64ED-49EF-A1AD-E04737420839}"/>
    <cellStyle name="RISKrtandbEdge 6 2 28 2" xfId="45819" xr:uid="{9C91A9FB-C6C6-4139-BBF1-4B7BCD3E7C20}"/>
    <cellStyle name="RISKrtandbEdge 6 2 29" xfId="31069" xr:uid="{8835A2B0-3137-4C09-B715-10B735738C72}"/>
    <cellStyle name="RISKrtandbEdge 6 2 29 2" xfId="47799" xr:uid="{F89B9F8D-6688-469E-BFF4-F6F5ADFAC5DA}"/>
    <cellStyle name="RISKrtandbEdge 6 2 3" xfId="10237" xr:uid="{09420E59-BDEB-4122-99D3-0C3979043CA1}"/>
    <cellStyle name="RISKrtandbEdge 6 2 3 2" xfId="33872" xr:uid="{BEDAF87F-897D-465D-81D1-F6984FEFC5D6}"/>
    <cellStyle name="RISKrtandbEdge 6 2 30" xfId="6080" xr:uid="{6BAAC230-D14A-4EF7-80CB-6CB4A0849E88}"/>
    <cellStyle name="RISKrtandbEdge 6 2 4" xfId="14235" xr:uid="{204332AF-246D-49A6-B9AF-81E12405E39F}"/>
    <cellStyle name="RISKrtandbEdge 6 2 4 2" xfId="36288" xr:uid="{C692A9DC-89FD-423E-9525-AEE5EFB3814A}"/>
    <cellStyle name="RISKrtandbEdge 6 2 5" xfId="7263" xr:uid="{75D9B269-CC7E-4E90-BDFD-ED1C7F56B7DF}"/>
    <cellStyle name="RISKrtandbEdge 6 2 5 2" xfId="31627" xr:uid="{1090AE8B-A2E6-4CAF-99C0-46F24EBEB1AC}"/>
    <cellStyle name="RISKrtandbEdge 6 2 6" xfId="14655" xr:uid="{CC806E93-7D7F-4850-B38F-BD2AF8EC484C}"/>
    <cellStyle name="RISKrtandbEdge 6 2 6 2" xfId="36567" xr:uid="{119E2FB6-59BF-4685-A9B5-10F27F37DA87}"/>
    <cellStyle name="RISKrtandbEdge 6 2 7" xfId="14048" xr:uid="{0E7CBADF-1A57-4FAB-A626-EF8CFD4D0AFC}"/>
    <cellStyle name="RISKrtandbEdge 6 2 7 2" xfId="36142" xr:uid="{79021A1B-FE0F-4C88-B64C-6B3D912607DA}"/>
    <cellStyle name="RISKrtandbEdge 6 2 8" xfId="17460" xr:uid="{EDE1B103-C690-4126-BE99-4DDBAB9E9064}"/>
    <cellStyle name="RISKrtandbEdge 6 2 8 2" xfId="38707" xr:uid="{B1AF1B14-5662-4AA1-A15D-2ECA817167C5}"/>
    <cellStyle name="RISKrtandbEdge 6 2 9" xfId="18309" xr:uid="{E8196A64-0B47-40C3-8D5C-1C6684118C87}"/>
    <cellStyle name="RISKrtandbEdge 6 2 9 2" xfId="39340" xr:uid="{B9C8C327-C58A-4B1C-9889-07ECBEB72194}"/>
    <cellStyle name="RISKrtandbEdge 6 20" xfId="22749" xr:uid="{AB52E01A-DE35-4197-8915-B9985B304CA3}"/>
    <cellStyle name="RISKrtandbEdge 6 20 2" xfId="42506" xr:uid="{27221949-3B0F-4484-8233-40435D941D99}"/>
    <cellStyle name="RISKrtandbEdge 6 21" xfId="20320" xr:uid="{39379958-5D49-4A16-974B-1ABF6E8CB1A5}"/>
    <cellStyle name="RISKrtandbEdge 6 21 2" xfId="40753" xr:uid="{C08405E5-BD03-4758-8EDF-06846FCC3F91}"/>
    <cellStyle name="RISKrtandbEdge 6 22" xfId="22248" xr:uid="{71CDFAAA-FD83-4C25-8DB0-A7B40178754A}"/>
    <cellStyle name="RISKrtandbEdge 6 22 2" xfId="42119" xr:uid="{A2572621-F25F-4DDA-969B-7AB5399906A9}"/>
    <cellStyle name="RISKrtandbEdge 6 23" xfId="26193" xr:uid="{52B2B1AF-0A43-4005-9AE3-A7E65CA0397F}"/>
    <cellStyle name="RISKrtandbEdge 6 23 2" xfId="44916" xr:uid="{62DD265C-2F04-45BC-B589-7D9B9915B3C4}"/>
    <cellStyle name="RISKrtandbEdge 6 24" xfId="27844" xr:uid="{568E7D1A-444E-4081-8BD1-E73FEF76B8D9}"/>
    <cellStyle name="RISKrtandbEdge 6 24 2" xfId="45918" xr:uid="{EDE5807B-65D4-4C6B-A1F1-6071D21618D8}"/>
    <cellStyle name="RISKrtandbEdge 6 25" xfId="24261" xr:uid="{5CEEDD56-0356-4003-B953-91DA13413A9A}"/>
    <cellStyle name="RISKrtandbEdge 6 25 2" xfId="43574" xr:uid="{2EAE318C-CE9F-4A6B-B66C-5F5C519A94D3}"/>
    <cellStyle name="RISKrtandbEdge 6 26" xfId="28294" xr:uid="{65567268-FE32-40FF-AC3E-A81F7E75A4F2}"/>
    <cellStyle name="RISKrtandbEdge 6 26 2" xfId="46161" xr:uid="{11593849-306C-408C-BC5B-FEA180BDCB92}"/>
    <cellStyle name="RISKrtandbEdge 6 27" xfId="27597" xr:uid="{952511BD-B5B5-4D79-86F2-C6055E755E6E}"/>
    <cellStyle name="RISKrtandbEdge 6 27 2" xfId="45746" xr:uid="{0F4CDFB3-86AE-41CA-B998-16B4B1D79388}"/>
    <cellStyle name="RISKrtandbEdge 6 28" xfId="25882" xr:uid="{C4D36DB4-D041-4140-93F4-4DEB8E3229EF}"/>
    <cellStyle name="RISKrtandbEdge 6 28 2" xfId="44691" xr:uid="{6E7A5F35-E081-42DA-BE53-65D3B9FEEE61}"/>
    <cellStyle name="RISKrtandbEdge 6 29" xfId="30712" xr:uid="{6B81E594-1301-4D13-ACB2-C11F381745EE}"/>
    <cellStyle name="RISKrtandbEdge 6 29 2" xfId="47658" xr:uid="{492B1ED6-1823-4EE6-BBC9-C3AD1D534942}"/>
    <cellStyle name="RISKrtandbEdge 6 3" xfId="3974" xr:uid="{93C2FD23-383C-4B47-810E-FFFEE1DD6FE5}"/>
    <cellStyle name="RISKrtandbEdge 6 3 10" xfId="19194" xr:uid="{77DF49B1-5101-4FAC-B31C-C3419F775069}"/>
    <cellStyle name="RISKrtandbEdge 6 3 10 2" xfId="40003" xr:uid="{8438A3D2-B36D-4029-BB0A-961DF9EECB76}"/>
    <cellStyle name="RISKrtandbEdge 6 3 11" xfId="19943" xr:uid="{6FAD1FD1-CC72-4D27-AE4F-52CA0A22A379}"/>
    <cellStyle name="RISKrtandbEdge 6 3 11 2" xfId="40550" xr:uid="{BA7C1C41-F552-4C9B-9C4A-46E8DA8C7092}"/>
    <cellStyle name="RISKrtandbEdge 6 3 12" xfId="18914" xr:uid="{91C43BFE-4704-4122-97EF-2EF1D0DEE802}"/>
    <cellStyle name="RISKrtandbEdge 6 3 12 2" xfId="39747" xr:uid="{970FE474-4D10-4FA5-9B06-FB6B9E7B0BF4}"/>
    <cellStyle name="RISKrtandbEdge 6 3 13" xfId="22706" xr:uid="{F72323B6-5B32-4695-A36F-FEC73ED11399}"/>
    <cellStyle name="RISKrtandbEdge 6 3 13 2" xfId="42465" xr:uid="{9D60A183-80A1-445A-8C83-0231B38AADCF}"/>
    <cellStyle name="RISKrtandbEdge 6 3 14" xfId="22062" xr:uid="{5859F4DF-331A-4A52-98DE-9B7834BA538E}"/>
    <cellStyle name="RISKrtandbEdge 6 3 14 2" xfId="41947" xr:uid="{E57EC078-03F8-4EB8-AA62-DC11F25FF346}"/>
    <cellStyle name="RISKrtandbEdge 6 3 15" xfId="23187" xr:uid="{BFC7D247-2B5E-416C-AF6D-2DFAF89D7692}"/>
    <cellStyle name="RISKrtandbEdge 6 3 15 2" xfId="42781" xr:uid="{8A149EC7-95A1-4735-8C41-8892029A8504}"/>
    <cellStyle name="RISKrtandbEdge 6 3 16" xfId="24013" xr:uid="{109AD426-755C-47CC-80C5-13C5A8AA5397}"/>
    <cellStyle name="RISKrtandbEdge 6 3 16 2" xfId="43390" xr:uid="{7D57F2FA-F399-42DB-BF7B-C0654555EC67}"/>
    <cellStyle name="RISKrtandbEdge 6 3 17" xfId="22138" xr:uid="{FE32451E-FA5C-431E-A291-0F830DE13C95}"/>
    <cellStyle name="RISKrtandbEdge 6 3 17 2" xfId="42023" xr:uid="{8E4DFBCA-C9DF-4BE9-9537-BCCBC7435FE9}"/>
    <cellStyle name="RISKrtandbEdge 6 3 18" xfId="25302" xr:uid="{5DAE67D3-5079-4C8B-B86E-B5FB6D162A1A}"/>
    <cellStyle name="RISKrtandbEdge 6 3 18 2" xfId="44218" xr:uid="{7E50F73C-BEF5-48AC-986C-378686166B20}"/>
    <cellStyle name="RISKrtandbEdge 6 3 19" xfId="20949" xr:uid="{1A26F212-74BB-4ADA-8E01-5E53480BCB8D}"/>
    <cellStyle name="RISKrtandbEdge 6 3 19 2" xfId="41250" xr:uid="{6CC86806-F88A-467D-B013-B9FCFF176B2B}"/>
    <cellStyle name="RISKrtandbEdge 6 3 2" xfId="7375" xr:uid="{11DA2222-CFF2-4B81-9CA7-F93494AFA9E1}"/>
    <cellStyle name="RISKrtandbEdge 6 3 2 2" xfId="31737" xr:uid="{C3671B50-0C48-408E-9634-32D6242E7225}"/>
    <cellStyle name="RISKrtandbEdge 6 3 20" xfId="25433" xr:uid="{B29F94F3-E5D9-412E-8960-7EAA5986C9D8}"/>
    <cellStyle name="RISKrtandbEdge 6 3 20 2" xfId="44320" xr:uid="{DAA84925-870D-454A-8083-D81F23D2E181}"/>
    <cellStyle name="RISKrtandbEdge 6 3 21" xfId="23800" xr:uid="{AA733958-3402-4C16-9E57-476051792BA2}"/>
    <cellStyle name="RISKrtandbEdge 6 3 21 2" xfId="43196" xr:uid="{8BE3A9E5-7DD3-4018-AA05-584ED767CD5A}"/>
    <cellStyle name="RISKrtandbEdge 6 3 22" xfId="27843" xr:uid="{CE48976C-5C86-4F2F-9E2B-45BE4107EA7B}"/>
    <cellStyle name="RISKrtandbEdge 6 3 22 2" xfId="45917" xr:uid="{D7D91041-A6ED-4060-962F-6AEAC615F077}"/>
    <cellStyle name="RISKrtandbEdge 6 3 23" xfId="29681" xr:uid="{C506C6A6-9E5C-4CF7-8455-E9F3D25BB3C1}"/>
    <cellStyle name="RISKrtandbEdge 6 3 23 2" xfId="47036" xr:uid="{730B8E2D-0BF9-43DB-B326-B2247A970ED5}"/>
    <cellStyle name="RISKrtandbEdge 6 3 24" xfId="28990" xr:uid="{13BA22CB-6322-4208-B7E9-DC8521344EE2}"/>
    <cellStyle name="RISKrtandbEdge 6 3 24 2" xfId="46584" xr:uid="{503B4553-75F9-40D4-90B0-04C9FBC7115C}"/>
    <cellStyle name="RISKrtandbEdge 6 3 25" xfId="28781" xr:uid="{8F441BCD-6D87-4680-A3BB-F59444D570C2}"/>
    <cellStyle name="RISKrtandbEdge 6 3 25 2" xfId="46456" xr:uid="{9A4517A5-5917-45A5-8D1F-EE3219F9D4F1}"/>
    <cellStyle name="RISKrtandbEdge 6 3 26" xfId="30076" xr:uid="{026E21AB-D3B3-4F79-B5EE-2D89DA9DDF8B}"/>
    <cellStyle name="RISKrtandbEdge 6 3 26 2" xfId="47272" xr:uid="{98938966-2CA5-4512-96E6-1CABB4295D0F}"/>
    <cellStyle name="RISKrtandbEdge 6 3 27" xfId="30711" xr:uid="{D17C76FD-DDF2-4FF9-8ECD-6A3776161B40}"/>
    <cellStyle name="RISKrtandbEdge 6 3 27 2" xfId="47657" xr:uid="{470939F2-6CA9-4685-ADF6-6E9AE71E9DA3}"/>
    <cellStyle name="RISKrtandbEdge 6 3 28" xfId="30162" xr:uid="{5FA74CF5-3B53-441D-86EA-6481A6554F46}"/>
    <cellStyle name="RISKrtandbEdge 6 3 28 2" xfId="47326" xr:uid="{1355F1BE-714B-477C-B643-198C5EC146A8}"/>
    <cellStyle name="RISKrtandbEdge 6 3 29" xfId="30621" xr:uid="{E42EDF9C-3967-4A4C-9117-43430C235D89}"/>
    <cellStyle name="RISKrtandbEdge 6 3 29 2" xfId="47567" xr:uid="{6B2CEA0E-44BB-4C1C-933B-22ED3F113574}"/>
    <cellStyle name="RISKrtandbEdge 6 3 3" xfId="13219" xr:uid="{F33182B9-C6B2-410D-86DA-2637BDD077F3}"/>
    <cellStyle name="RISKrtandbEdge 6 3 3 2" xfId="35567" xr:uid="{38F0DAB4-A9D0-4584-8665-DD8DF0AF41C1}"/>
    <cellStyle name="RISKrtandbEdge 6 3 30" xfId="6079" xr:uid="{26F17C08-F9CA-49C4-A43B-6AAF4CA3EE41}"/>
    <cellStyle name="RISKrtandbEdge 6 3 4" xfId="7017" xr:uid="{50220C45-909C-471A-BC75-B6E0B23AC283}"/>
    <cellStyle name="RISKrtandbEdge 6 3 4 2" xfId="31384" xr:uid="{BEE9F830-872B-4CD9-AA2D-D95D67516248}"/>
    <cellStyle name="RISKrtandbEdge 6 3 5" xfId="16178" xr:uid="{2FA6E119-F153-4357-93FF-17FA040AF361}"/>
    <cellStyle name="RISKrtandbEdge 6 3 5 2" xfId="37738" xr:uid="{5E217703-6CA9-45A3-80CF-05173A26307B}"/>
    <cellStyle name="RISKrtandbEdge 6 3 6" xfId="15489" xr:uid="{462CA1B6-86D0-4B83-AFFA-11DE36DB865E}"/>
    <cellStyle name="RISKrtandbEdge 6 3 6 2" xfId="37154" xr:uid="{CF5A1721-FDDD-4565-BA16-701F1B8ED7B0}"/>
    <cellStyle name="RISKrtandbEdge 6 3 7" xfId="16587" xr:uid="{3F8179B0-8E98-4F69-8380-C96EA2267267}"/>
    <cellStyle name="RISKrtandbEdge 6 3 7 2" xfId="38080" xr:uid="{823A973F-165E-48C3-AE28-4C9CA7C78BCC}"/>
    <cellStyle name="RISKrtandbEdge 6 3 8" xfId="15625" xr:uid="{D4D35BF7-324E-43D5-A8B3-8248D0EBB7C2}"/>
    <cellStyle name="RISKrtandbEdge 6 3 8 2" xfId="37283" xr:uid="{65CBF351-A8AD-4182-995D-5044F24B2FC0}"/>
    <cellStyle name="RISKrtandbEdge 6 3 9" xfId="13960" xr:uid="{267D3B1A-3642-4BFF-B8CD-206CDA9829A1}"/>
    <cellStyle name="RISKrtandbEdge 6 3 9 2" xfId="36066" xr:uid="{CC4C5308-330C-4B82-BB00-9BE8860C2B0F}"/>
    <cellStyle name="RISKrtandbEdge 6 30" xfId="26838" xr:uid="{F042D5FC-79C5-4AC3-B22C-5BBAA3C93DC7}"/>
    <cellStyle name="RISKrtandbEdge 6 30 2" xfId="45305" xr:uid="{CE932AB8-019E-4760-8A05-737B52E2EDD0}"/>
    <cellStyle name="RISKrtandbEdge 6 31" xfId="27529" xr:uid="{9D6D09C2-C4F9-41A7-BEF4-E292E44ADDF7}"/>
    <cellStyle name="RISKrtandbEdge 6 31 2" xfId="45721" xr:uid="{66E3A3C7-A7AA-4F5B-9CF4-FF1A7DB86A3C}"/>
    <cellStyle name="RISKrtandbEdge 6 32" xfId="6081" xr:uid="{C26700E0-75B1-4DB5-BF84-5BDCF55830C8}"/>
    <cellStyle name="RISKrtandbEdge 6 4" xfId="7376" xr:uid="{0ACD9859-F840-4137-B97D-07A28395D52C}"/>
    <cellStyle name="RISKrtandbEdge 6 4 2" xfId="31738" xr:uid="{937D0663-7F6C-4948-8A88-7C090E2A09DE}"/>
    <cellStyle name="RISKrtandbEdge 6 5" xfId="13220" xr:uid="{886C2945-FC68-4CBA-9786-0A041C36BAA1}"/>
    <cellStyle name="RISKrtandbEdge 6 5 2" xfId="35568" xr:uid="{E0D4501E-0144-4FC4-81D3-55E55C137C8D}"/>
    <cellStyle name="RISKrtandbEdge 6 6" xfId="7018" xr:uid="{99455B58-97B7-4132-AD92-68D8F52DFF75}"/>
    <cellStyle name="RISKrtandbEdge 6 6 2" xfId="31385" xr:uid="{882A69CE-781C-4AEB-8289-D2009D2BB73B}"/>
    <cellStyle name="RISKrtandbEdge 6 7" xfId="11676" xr:uid="{43787F1D-3F0E-45DC-BDC4-FF6F9642CA61}"/>
    <cellStyle name="RISKrtandbEdge 6 7 2" xfId="34289" xr:uid="{207150B9-C707-437B-988F-B358A504C0D2}"/>
    <cellStyle name="RISKrtandbEdge 6 8" xfId="12292" xr:uid="{23AF30D5-AD54-484D-9530-C0A34C643564}"/>
    <cellStyle name="RISKrtandbEdge 6 8 2" xfId="34798" xr:uid="{764F1E0E-DF90-4D37-B8BB-EEDBC6EEDD10}"/>
    <cellStyle name="RISKrtandbEdge 6 9" xfId="16588" xr:uid="{38E75604-7A2B-4156-BAF7-1CD2459670B4}"/>
    <cellStyle name="RISKrtandbEdge 6 9 2" xfId="38081" xr:uid="{5F007F42-74EA-421C-B2EC-5FF0DE25F57B}"/>
    <cellStyle name="RISKrtandbEdge 7" xfId="3975" xr:uid="{6179D41F-31D8-4950-A3CF-5C84067339A5}"/>
    <cellStyle name="RISKrtandbEdge 7 10" xfId="17459" xr:uid="{14D45B75-303F-41B5-81EE-DECE16E38828}"/>
    <cellStyle name="RISKrtandbEdge 7 10 2" xfId="38706" xr:uid="{07CCC8A5-8392-47F0-A92A-4725A685EC55}"/>
    <cellStyle name="RISKrtandbEdge 7 11" xfId="18308" xr:uid="{EFD24A56-12F2-44D6-B9C7-66674B6D258B}"/>
    <cellStyle name="RISKrtandbEdge 7 11 2" xfId="39339" xr:uid="{6A0D8B76-686F-4C26-BF4D-373ABE35F431}"/>
    <cellStyle name="RISKrtandbEdge 7 12" xfId="16053" xr:uid="{792E584B-E7F6-4E35-8D91-1576DD391C2D}"/>
    <cellStyle name="RISKrtandbEdge 7 12 2" xfId="37630" xr:uid="{08E3B82F-B022-4FA4-B927-EF08AE1D2483}"/>
    <cellStyle name="RISKrtandbEdge 7 13" xfId="18045" xr:uid="{C716C329-4BE5-43CF-8F6A-D61034AC4322}"/>
    <cellStyle name="RISKrtandbEdge 7 13 2" xfId="39139" xr:uid="{AEEB5D70-554F-4631-9918-BD205BC576F4}"/>
    <cellStyle name="RISKrtandbEdge 7 14" xfId="20681" xr:uid="{6AAC4D47-F878-48E4-820D-049AF6A8BA25}"/>
    <cellStyle name="RISKrtandbEdge 7 14 2" xfId="41041" xr:uid="{8AC030B3-B791-4F8F-92AF-CAEBEAFA4E9F}"/>
    <cellStyle name="RISKrtandbEdge 7 15" xfId="22463" xr:uid="{22E4BE4C-51C7-4A62-B2F0-8ED8E0939A59}"/>
    <cellStyle name="RISKrtandbEdge 7 15 2" xfId="42262" xr:uid="{FADE9DE2-BF5C-4D6A-8623-1AF2439EDE6B}"/>
    <cellStyle name="RISKrtandbEdge 7 16" xfId="21231" xr:uid="{E8172D06-68F5-44A4-8579-1AE31F84EFC3}"/>
    <cellStyle name="RISKrtandbEdge 7 16 2" xfId="41424" xr:uid="{B7D3D45B-4222-414A-BF46-11211CBA38D5}"/>
    <cellStyle name="RISKrtandbEdge 7 17" xfId="16136" xr:uid="{243A89D7-40C3-494B-A288-4F9F4DCEA0A6}"/>
    <cellStyle name="RISKrtandbEdge 7 17 2" xfId="37702" xr:uid="{E3E263BF-26D8-4665-A164-E9F4A4A13FC1}"/>
    <cellStyle name="RISKrtandbEdge 7 18" xfId="20323" xr:uid="{E2D71278-1D50-4E44-BBDF-7BE2CDD7F98F}"/>
    <cellStyle name="RISKrtandbEdge 7 18 2" xfId="40756" xr:uid="{A23A3F7A-7F31-40E8-BD61-6FC1642705C6}"/>
    <cellStyle name="RISKrtandbEdge 7 19" xfId="17801" xr:uid="{BBCD55C1-258D-4D39-B1F8-AAE6AA4A0E86}"/>
    <cellStyle name="RISKrtandbEdge 7 19 2" xfId="38926" xr:uid="{BEDA8D4D-1AA0-4410-BBD2-A315CDC4A6DD}"/>
    <cellStyle name="RISKrtandbEdge 7 2" xfId="3976" xr:uid="{C2B18254-8E32-4CAF-BB51-692F74D9559A}"/>
    <cellStyle name="RISKrtandbEdge 7 2 10" xfId="19193" xr:uid="{AC86B934-25B1-4220-B7D9-E2AE0BC3DD73}"/>
    <cellStyle name="RISKrtandbEdge 7 2 10 2" xfId="40002" xr:uid="{CDB5B535-F603-4CD9-9CB9-1838A998710E}"/>
    <cellStyle name="RISKrtandbEdge 7 2 11" xfId="19942" xr:uid="{542533DA-DF98-45FB-9784-D0205BA70C7E}"/>
    <cellStyle name="RISKrtandbEdge 7 2 11 2" xfId="40549" xr:uid="{B97174B9-EF39-4A14-B025-5059EDBA8F3F}"/>
    <cellStyle name="RISKrtandbEdge 7 2 12" xfId="15365" xr:uid="{C466F7A0-FC94-4793-843A-CE0AC736530F}"/>
    <cellStyle name="RISKrtandbEdge 7 2 12 2" xfId="37065" xr:uid="{3BD1A375-11AF-425D-91ED-25CAFC759493}"/>
    <cellStyle name="RISKrtandbEdge 7 2 13" xfId="22448" xr:uid="{CB102084-EDA7-47BC-803C-92432797CEA1}"/>
    <cellStyle name="RISKrtandbEdge 7 2 13 2" xfId="42251" xr:uid="{839B92FB-0189-4491-B24B-5ECE70EF26E3}"/>
    <cellStyle name="RISKrtandbEdge 7 2 14" xfId="17879" xr:uid="{58BFB973-7F23-4386-BFC0-F817765F5A31}"/>
    <cellStyle name="RISKrtandbEdge 7 2 14 2" xfId="38995" xr:uid="{808DF3A9-439C-4839-AAFF-75D28EC3F2B1}"/>
    <cellStyle name="RISKrtandbEdge 7 2 15" xfId="23186" xr:uid="{4F660661-2609-4D94-AF74-74C268933B44}"/>
    <cellStyle name="RISKrtandbEdge 7 2 15 2" xfId="42780" xr:uid="{66860075-E55D-497A-93DA-ADAFD90F9C02}"/>
    <cellStyle name="RISKrtandbEdge 7 2 16" xfId="24012" xr:uid="{DF2E206B-B4F8-4443-91C8-F48AB65F7A4F}"/>
    <cellStyle name="RISKrtandbEdge 7 2 16 2" xfId="43389" xr:uid="{50830944-2BC9-4C1C-988B-99876AB507E6}"/>
    <cellStyle name="RISKrtandbEdge 7 2 17" xfId="17842" xr:uid="{6F782A9F-CDA5-4FD7-A702-473EA3BB95D7}"/>
    <cellStyle name="RISKrtandbEdge 7 2 17 2" xfId="38958" xr:uid="{1695A79C-5197-4FC0-B519-13701DB2E8C2}"/>
    <cellStyle name="RISKrtandbEdge 7 2 18" xfId="25793" xr:uid="{5CF939CF-7F7E-4CDD-A2F4-8BD6B73C0B25}"/>
    <cellStyle name="RISKrtandbEdge 7 2 18 2" xfId="44621" xr:uid="{497B1846-7AF9-4971-8F51-E0C6FF351373}"/>
    <cellStyle name="RISKrtandbEdge 7 2 19" xfId="22187" xr:uid="{6A824531-6487-4E0D-ACBE-3A12A2C6A6FF}"/>
    <cellStyle name="RISKrtandbEdge 7 2 19 2" xfId="42066" xr:uid="{50E97784-2601-4484-BB39-59C94BC6AAA7}"/>
    <cellStyle name="RISKrtandbEdge 7 2 2" xfId="7374" xr:uid="{36BE5164-6166-4C30-9DDF-958CAE2EBE75}"/>
    <cellStyle name="RISKrtandbEdge 7 2 2 2" xfId="31736" xr:uid="{6BB5C40C-1125-4B77-AADE-10BAAB5896D6}"/>
    <cellStyle name="RISKrtandbEdge 7 2 20" xfId="25814" xr:uid="{988696D3-009E-4CBF-AF1F-98C5120928A1}"/>
    <cellStyle name="RISKrtandbEdge 7 2 20 2" xfId="44640" xr:uid="{3854F20B-B66C-4CBC-8288-25C0E6C90E31}"/>
    <cellStyle name="RISKrtandbEdge 7 2 21" xfId="26192" xr:uid="{8F93624E-32A6-492F-AB9E-DA705CA6915A}"/>
    <cellStyle name="RISKrtandbEdge 7 2 21 2" xfId="44915" xr:uid="{4B157F98-604D-498E-9B14-B20D2CF4FB69}"/>
    <cellStyle name="RISKrtandbEdge 7 2 22" xfId="27842" xr:uid="{72E43331-C64E-4E6E-B7E2-150C0BC61CDD}"/>
    <cellStyle name="RISKrtandbEdge 7 2 22 2" xfId="45916" xr:uid="{7B8C22E1-E298-4658-B9D8-E0AA85F8559F}"/>
    <cellStyle name="RISKrtandbEdge 7 2 23" xfId="28932" xr:uid="{72D79CC3-294E-4822-9924-9CD11BF05B17}"/>
    <cellStyle name="RISKrtandbEdge 7 2 23 2" xfId="46528" xr:uid="{3505DEB2-799E-481C-B7AF-3CE67CD6A4FA}"/>
    <cellStyle name="RISKrtandbEdge 7 2 24" xfId="29585" xr:uid="{288F3176-EACD-45DD-B2A0-D0BCA3AFAA50}"/>
    <cellStyle name="RISKrtandbEdge 7 2 24 2" xfId="46980" xr:uid="{CD951D6C-5804-473B-B03F-2C34EA233825}"/>
    <cellStyle name="RISKrtandbEdge 7 2 25" xfId="27027" xr:uid="{B951004A-47CB-417D-A2A4-D67B8FF7A405}"/>
    <cellStyle name="RISKrtandbEdge 7 2 25 2" xfId="45430" xr:uid="{63F61F40-3C6C-4AD6-888C-8D764EA5E102}"/>
    <cellStyle name="RISKrtandbEdge 7 2 26" xfId="29796" xr:uid="{77F261D8-2ACB-42EC-AC16-D408AC682481}"/>
    <cellStyle name="RISKrtandbEdge 7 2 26 2" xfId="47115" xr:uid="{98429816-41B6-4ECF-BF67-20D7E47A1E24}"/>
    <cellStyle name="RISKrtandbEdge 7 2 27" xfId="30710" xr:uid="{23BA8C40-50CA-4DA7-B72A-1FB0DB17C627}"/>
    <cellStyle name="RISKrtandbEdge 7 2 27 2" xfId="47656" xr:uid="{B38FC3B9-69F5-4912-850B-0965A184072A}"/>
    <cellStyle name="RISKrtandbEdge 7 2 28" xfId="30382" xr:uid="{560796F6-9FAC-4953-9DA7-071E2943A140}"/>
    <cellStyle name="RISKrtandbEdge 7 2 28 2" xfId="47480" xr:uid="{93C128C8-7994-4F0A-A9B8-5D8DCC7CA38C}"/>
    <cellStyle name="RISKrtandbEdge 7 2 29" xfId="30196" xr:uid="{F76B3F54-F90F-45D6-89FD-8C247640283C}"/>
    <cellStyle name="RISKrtandbEdge 7 2 29 2" xfId="47357" xr:uid="{6CE800B8-D632-489D-9846-385DE9819252}"/>
    <cellStyle name="RISKrtandbEdge 7 2 3" xfId="13218" xr:uid="{602A1EAF-6D2A-4B58-8D37-6B4D3D09D639}"/>
    <cellStyle name="RISKrtandbEdge 7 2 3 2" xfId="35566" xr:uid="{AFE85A67-0574-4D46-857E-E8FAE42D3F0C}"/>
    <cellStyle name="RISKrtandbEdge 7 2 30" xfId="6077" xr:uid="{21A863C5-1D64-4A8A-864F-49746EA9F569}"/>
    <cellStyle name="RISKrtandbEdge 7 2 4" xfId="7016" xr:uid="{96D92D9F-B364-444D-A638-95B7A994714D}"/>
    <cellStyle name="RISKrtandbEdge 7 2 4 2" xfId="31383" xr:uid="{56508204-8733-4096-AB50-429C1B51B0F3}"/>
    <cellStyle name="RISKrtandbEdge 7 2 5" xfId="15902" xr:uid="{207CA308-F9EC-4F5A-ABE7-33ABB8AB9274}"/>
    <cellStyle name="RISKrtandbEdge 7 2 5 2" xfId="37493" xr:uid="{31DD9863-A7AE-4675-9F4C-70DF671DE2AD}"/>
    <cellStyle name="RISKrtandbEdge 7 2 6" xfId="12768" xr:uid="{012A61DB-8361-4021-8BD5-D5C6A86E3199}"/>
    <cellStyle name="RISKrtandbEdge 7 2 6 2" xfId="35177" xr:uid="{5C560267-51F5-44C3-8C9A-635199F57E93}"/>
    <cellStyle name="RISKrtandbEdge 7 2 7" xfId="16586" xr:uid="{336B161A-9A40-4582-B8E8-EA57BE3AB144}"/>
    <cellStyle name="RISKrtandbEdge 7 2 7 2" xfId="38079" xr:uid="{F08777F7-6C60-4C32-BC2C-EFB0295D735D}"/>
    <cellStyle name="RISKrtandbEdge 7 2 8" xfId="14460" xr:uid="{70E1F977-4F09-4C2E-9A0C-8F23818F8489}"/>
    <cellStyle name="RISKrtandbEdge 7 2 8 2" xfId="36449" xr:uid="{BE5FF1E8-F115-435D-AC04-A49AC2523367}"/>
    <cellStyle name="RISKrtandbEdge 7 2 9" xfId="16306" xr:uid="{7CA5DB52-C87A-4EE8-9737-ED63B197DC4D}"/>
    <cellStyle name="RISKrtandbEdge 7 2 9 2" xfId="37843" xr:uid="{BE840919-ACEF-4FE4-8B99-F193667C124A}"/>
    <cellStyle name="RISKrtandbEdge 7 20" xfId="19524" xr:uid="{11832364-E2D8-4F84-94B7-4C7BB73CA4DF}"/>
    <cellStyle name="RISKrtandbEdge 7 20 2" xfId="40194" xr:uid="{02CC5072-CEF9-468E-8B40-2CF352A3C097}"/>
    <cellStyle name="RISKrtandbEdge 7 21" xfId="24040" xr:uid="{EDE7E003-3F6A-4AA1-AB0D-3F73C0DA56D2}"/>
    <cellStyle name="RISKrtandbEdge 7 21 2" xfId="43417" xr:uid="{CCE7D3EE-E47B-4443-A9C1-D78553B2FDE3}"/>
    <cellStyle name="RISKrtandbEdge 7 22" xfId="26589" xr:uid="{18D122CB-0005-401E-84F7-9E2D089FD648}"/>
    <cellStyle name="RISKrtandbEdge 7 22 2" xfId="45153" xr:uid="{89E44EDC-F5C2-4247-A35B-2B61499A22C0}"/>
    <cellStyle name="RISKrtandbEdge 7 23" xfId="27335" xr:uid="{BA6D1BF8-E920-4779-AB35-BAFFE208AE93}"/>
    <cellStyle name="RISKrtandbEdge 7 23 2" xfId="45626" xr:uid="{081045A6-E151-43D2-A824-D0AD198401D9}"/>
    <cellStyle name="RISKrtandbEdge 7 24" xfId="24331" xr:uid="{C65405DA-A5A2-46E7-A442-D903CA2DDBE2}"/>
    <cellStyle name="RISKrtandbEdge 7 24 2" xfId="43595" xr:uid="{2C4BD8EE-0F0D-489A-8483-8E6FF8ACC56B}"/>
    <cellStyle name="RISKrtandbEdge 7 25" xfId="29421" xr:uid="{129DDD2D-8742-4D12-AC16-3EB0987652D2}"/>
    <cellStyle name="RISKrtandbEdge 7 25 2" xfId="46882" xr:uid="{DD67A891-350C-407A-BE0C-37167991446C}"/>
    <cellStyle name="RISKrtandbEdge 7 26" xfId="26890" xr:uid="{EBC4C9D3-7423-4EDF-8B91-0A3B65755EDD}"/>
    <cellStyle name="RISKrtandbEdge 7 26 2" xfId="45313" xr:uid="{D1130180-3E55-49C6-9156-6DDC0C507EC6}"/>
    <cellStyle name="RISKrtandbEdge 7 27" xfId="27001" xr:uid="{312ED32D-041C-4C62-9215-F7456E4CC56B}"/>
    <cellStyle name="RISKrtandbEdge 7 27 2" xfId="45407" xr:uid="{508C190A-D3BA-4D07-B51F-D04E517D8D45}"/>
    <cellStyle name="RISKrtandbEdge 7 28" xfId="28217" xr:uid="{B8A8DC3C-67DA-4C8E-A103-789028425B18}"/>
    <cellStyle name="RISKrtandbEdge 7 28 2" xfId="46100" xr:uid="{A13425FA-E196-4D36-A95E-D2DD95685E2E}"/>
    <cellStyle name="RISKrtandbEdge 7 29" xfId="29028" xr:uid="{B4C173A3-B212-4DC5-A9C1-5D687FED92BB}"/>
    <cellStyle name="RISKrtandbEdge 7 29 2" xfId="46616" xr:uid="{A0A22490-5E1C-4DAE-B88B-38FD864353B8}"/>
    <cellStyle name="RISKrtandbEdge 7 3" xfId="3977" xr:uid="{00254618-F857-4C12-8578-E8013CA1DAA9}"/>
    <cellStyle name="RISKrtandbEdge 7 3 10" xfId="17196" xr:uid="{412B3C31-8714-4ADB-BF25-552E01A85D3B}"/>
    <cellStyle name="RISKrtandbEdge 7 3 10 2" xfId="38525" xr:uid="{A1B26B1B-8FEC-4D94-B5B6-5BD29451E59F}"/>
    <cellStyle name="RISKrtandbEdge 7 3 11" xfId="15747" xr:uid="{9F085BC2-EDF3-4C8E-B249-9F393D447B00}"/>
    <cellStyle name="RISKrtandbEdge 7 3 11 2" xfId="37376" xr:uid="{07E1A0B7-51EF-4544-870C-3EDC3EEBC0FC}"/>
    <cellStyle name="RISKrtandbEdge 7 3 12" xfId="20680" xr:uid="{668BFDE8-E88C-47B2-A17B-67F73ED6AA3F}"/>
    <cellStyle name="RISKrtandbEdge 7 3 12 2" xfId="41040" xr:uid="{72CF3D59-1956-4785-91FD-5DDD86F64677}"/>
    <cellStyle name="RISKrtandbEdge 7 3 13" xfId="22462" xr:uid="{C3D33A49-9825-47E1-B313-13B1328DE105}"/>
    <cellStyle name="RISKrtandbEdge 7 3 13 2" xfId="42261" xr:uid="{527C79B7-0804-4208-8B43-80876BD5D839}"/>
    <cellStyle name="RISKrtandbEdge 7 3 14" xfId="19388" xr:uid="{82FDC9B5-901B-4F49-8BA3-622D2C041EC5}"/>
    <cellStyle name="RISKrtandbEdge 7 3 14 2" xfId="40109" xr:uid="{3D058001-61BD-4055-A290-798267755860}"/>
    <cellStyle name="RISKrtandbEdge 7 3 15" xfId="20485" xr:uid="{57609DC4-8BF1-40AD-8204-C6B973ABA409}"/>
    <cellStyle name="RISKrtandbEdge 7 3 15 2" xfId="40875" xr:uid="{6A7DDBFF-4FC2-4B07-B5E4-2AA85086AABA}"/>
    <cellStyle name="RISKrtandbEdge 7 3 16" xfId="19483" xr:uid="{EBBEE51B-BB1C-4FA5-9B09-59D49B05338F}"/>
    <cellStyle name="RISKrtandbEdge 7 3 16 2" xfId="40160" xr:uid="{95433E60-F9BC-473B-B387-01E838660DA3}"/>
    <cellStyle name="RISKrtandbEdge 7 3 17" xfId="21156" xr:uid="{F08C7D3E-B21C-419C-947B-D226850FDC40}"/>
    <cellStyle name="RISKrtandbEdge 7 3 17 2" xfId="41349" xr:uid="{4F151EB0-C0E5-4F17-BDB5-B9792541621B}"/>
    <cellStyle name="RISKrtandbEdge 7 3 18" xfId="22748" xr:uid="{92CD964C-9C7B-471A-9756-2773A33BDC52}"/>
    <cellStyle name="RISKrtandbEdge 7 3 18 2" xfId="42505" xr:uid="{E0263A83-26A0-4A70-8359-4626347E99DF}"/>
    <cellStyle name="RISKrtandbEdge 7 3 19" xfId="24039" xr:uid="{03B79468-9263-4E76-9035-F26163ACB0DF}"/>
    <cellStyle name="RISKrtandbEdge 7 3 19 2" xfId="43416" xr:uid="{CC2E0AA2-86F4-4B4D-8EFD-BCB87AAE323D}"/>
    <cellStyle name="RISKrtandbEdge 7 3 2" xfId="11795" xr:uid="{A8728DF1-122E-4F02-8A5E-00E29A10B78B}"/>
    <cellStyle name="RISKrtandbEdge 7 3 2 2" xfId="34408" xr:uid="{3D215371-7273-4EB5-82C7-EAA7413086A3}"/>
    <cellStyle name="RISKrtandbEdge 7 3 20" xfId="26588" xr:uid="{59CA597D-59AB-4D44-9B13-150C5EA71511}"/>
    <cellStyle name="RISKrtandbEdge 7 3 20 2" xfId="45152" xr:uid="{DCB87A9A-743D-4ACB-9E9E-24095BEA3209}"/>
    <cellStyle name="RISKrtandbEdge 7 3 21" xfId="27334" xr:uid="{1B6D3BAD-6F85-417A-8A01-18400E5076B2}"/>
    <cellStyle name="RISKrtandbEdge 7 3 21 2" xfId="45625" xr:uid="{68385813-06D2-4EB9-9800-7D9ED9BE0146}"/>
    <cellStyle name="RISKrtandbEdge 7 3 22" xfId="25577" xr:uid="{3B9C4923-7D8A-4A89-B3BB-5D5657D59381}"/>
    <cellStyle name="RISKrtandbEdge 7 3 22 2" xfId="44445" xr:uid="{E7AA7DA1-8F28-418C-B15F-7410600967E9}"/>
    <cellStyle name="RISKrtandbEdge 7 3 23" xfId="28939" xr:uid="{167F12CC-9211-4F61-A488-AAE075E1C6C9}"/>
    <cellStyle name="RISKrtandbEdge 7 3 23 2" xfId="46535" xr:uid="{A3E5E061-1209-41C6-BFA6-C9F8206F02EC}"/>
    <cellStyle name="RISKrtandbEdge 7 3 24" xfId="27682" xr:uid="{445D37EB-091B-458E-AE97-A5E5293DC971}"/>
    <cellStyle name="RISKrtandbEdge 7 3 24 2" xfId="45796" xr:uid="{897349A7-068A-46C5-8D3B-C5F663A40FF2}"/>
    <cellStyle name="RISKrtandbEdge 7 3 25" xfId="28780" xr:uid="{0DB3C765-003D-4636-85D7-67FA4B3A17D3}"/>
    <cellStyle name="RISKrtandbEdge 7 3 25 2" xfId="46455" xr:uid="{AA9DD869-5023-4656-B832-A7EB1628ACB0}"/>
    <cellStyle name="RISKrtandbEdge 7 3 26" xfId="27733" xr:uid="{CB58536B-84B9-4B87-8558-86F79609A9E8}"/>
    <cellStyle name="RISKrtandbEdge 7 3 26 2" xfId="45838" xr:uid="{9AD8FB74-772F-464C-88A5-D71E98D6DE38}"/>
    <cellStyle name="RISKrtandbEdge 7 3 27" xfId="30243" xr:uid="{7F1F20D6-4C05-4C26-AFC9-57B2508A9B66}"/>
    <cellStyle name="RISKrtandbEdge 7 3 27 2" xfId="47404" xr:uid="{5BC99147-109F-4D44-BE8D-96CD34523B25}"/>
    <cellStyle name="RISKrtandbEdge 7 3 28" xfId="29785" xr:uid="{817C43CA-6478-4C42-88FF-0CDABCCBACD3}"/>
    <cellStyle name="RISKrtandbEdge 7 3 28 2" xfId="47104" xr:uid="{BCB5079D-81A1-440F-89AD-BC9DCBDCAFAD}"/>
    <cellStyle name="RISKrtandbEdge 7 3 29" xfId="31067" xr:uid="{4012C213-F35C-44BA-8146-65B2BAF2C43D}"/>
    <cellStyle name="RISKrtandbEdge 7 3 29 2" xfId="47797" xr:uid="{7FB5956B-484A-4707-B9C2-9E43BFBD409A}"/>
    <cellStyle name="RISKrtandbEdge 7 3 3" xfId="10239" xr:uid="{C21F6A18-CF7E-4CD4-8219-983FDE402CB5}"/>
    <cellStyle name="RISKrtandbEdge 7 3 3 2" xfId="33874" xr:uid="{61DA6A7F-67D8-4ACF-A2EC-4CFEE524F9DB}"/>
    <cellStyle name="RISKrtandbEdge 7 3 30" xfId="6076" xr:uid="{A045023B-51EA-4506-81A9-C06BC18736A0}"/>
    <cellStyle name="RISKrtandbEdge 7 3 4" xfId="6977" xr:uid="{B86C5DC1-7209-4134-9FAC-B5AE577D0FEA}"/>
    <cellStyle name="RISKrtandbEdge 7 3 4 2" xfId="31344" xr:uid="{B6C171C4-7449-4BAE-9721-5F330B5C5F70}"/>
    <cellStyle name="RISKrtandbEdge 7 3 5" xfId="15914" xr:uid="{31B4FDC6-ED36-431B-A09E-D40389F663C2}"/>
    <cellStyle name="RISKrtandbEdge 7 3 5 2" xfId="37505" xr:uid="{63CE46EE-C6C8-423F-9B40-C239636B2FC2}"/>
    <cellStyle name="RISKrtandbEdge 7 3 6" xfId="12293" xr:uid="{43AD7120-DA0A-487C-BC0D-C3308A3AF231}"/>
    <cellStyle name="RISKrtandbEdge 7 3 6 2" xfId="34799" xr:uid="{D9027369-0DD3-48A1-A43C-24175EA26CC9}"/>
    <cellStyle name="RISKrtandbEdge 7 3 7" xfId="14047" xr:uid="{1364FBF5-DBAA-4E82-BE5B-4E29FE9AE0C3}"/>
    <cellStyle name="RISKrtandbEdge 7 3 7 2" xfId="36141" xr:uid="{A9EEDF3D-A0B7-4779-A61B-597D1CA84BFB}"/>
    <cellStyle name="RISKrtandbEdge 7 3 8" xfId="17458" xr:uid="{26823AEC-CCA2-4FED-9437-AD6A2C5D031E}"/>
    <cellStyle name="RISKrtandbEdge 7 3 8 2" xfId="38705" xr:uid="{16DF669A-7BEE-4AE4-A5F2-B56F9A01BC25}"/>
    <cellStyle name="RISKrtandbEdge 7 3 9" xfId="18307" xr:uid="{00CF46D0-5C9C-4D5D-AE68-597EA8B3F2EC}"/>
    <cellStyle name="RISKrtandbEdge 7 3 9 2" xfId="39338" xr:uid="{0AC74059-4E33-4C0F-9B41-1370533C953C}"/>
    <cellStyle name="RISKrtandbEdge 7 30" xfId="30160" xr:uid="{5336D6E3-2294-48AD-A0BD-CDAF90543427}"/>
    <cellStyle name="RISKrtandbEdge 7 30 2" xfId="47324" xr:uid="{613C0E83-D7B6-4FA2-B087-DAADC74A5AEE}"/>
    <cellStyle name="RISKrtandbEdge 7 31" xfId="31068" xr:uid="{2DA6A2F7-47B3-4AA7-88C3-BD75E75F1C04}"/>
    <cellStyle name="RISKrtandbEdge 7 31 2" xfId="47798" xr:uid="{CE1F20D4-643C-46BA-8069-5F90CAFD92CB}"/>
    <cellStyle name="RISKrtandbEdge 7 32" xfId="6078" xr:uid="{7928B6F0-D634-4447-9E44-CEA150579BCC}"/>
    <cellStyle name="RISKrtandbEdge 7 4" xfId="11796" xr:uid="{B11849BB-D0D1-4B5A-A11E-F641E27DE83F}"/>
    <cellStyle name="RISKrtandbEdge 7 4 2" xfId="34409" xr:uid="{3D477FC2-3CE8-4D70-A3FE-B83F8F551184}"/>
    <cellStyle name="RISKrtandbEdge 7 5" xfId="10238" xr:uid="{7DD9C126-78DF-4EFB-9C38-8D1E74504F60}"/>
    <cellStyle name="RISKrtandbEdge 7 5 2" xfId="33873" xr:uid="{AC325C29-8AB1-41F4-BDED-32284911D047}"/>
    <cellStyle name="RISKrtandbEdge 7 6" xfId="14234" xr:uid="{C8061881-76E1-4116-940A-F4B281B2123B}"/>
    <cellStyle name="RISKrtandbEdge 7 6 2" xfId="36287" xr:uid="{3AECCDAB-2183-4E81-8783-216826430241}"/>
    <cellStyle name="RISKrtandbEdge 7 7" xfId="15915" xr:uid="{8F6B79A4-FBE0-47DC-8056-236CFF9DAA87}"/>
    <cellStyle name="RISKrtandbEdge 7 7 2" xfId="37506" xr:uid="{16370681-706B-495F-B521-703031B43EF5}"/>
    <cellStyle name="RISKrtandbEdge 7 8" xfId="14669" xr:uid="{B402292B-282D-4750-8744-2A10E4855DBC}"/>
    <cellStyle name="RISKrtandbEdge 7 8 2" xfId="36581" xr:uid="{0172EFA7-C349-4FD1-95B2-E361CB9FBC23}"/>
    <cellStyle name="RISKrtandbEdge 7 9" xfId="12515" xr:uid="{E51416A4-8F6D-4A50-9DEB-72BBE16B596D}"/>
    <cellStyle name="RISKrtandbEdge 7 9 2" xfId="34959" xr:uid="{66B59594-3FD1-42B1-BE33-77719A94D636}"/>
    <cellStyle name="RISKrtandbEdge 8" xfId="3978" xr:uid="{6013AA6E-4307-40FF-997B-CD39CFB7E011}"/>
    <cellStyle name="RISKrtandbEdge 8 10" xfId="12698" xr:uid="{A08ABFCD-B353-4B93-B065-FC424AE531AF}"/>
    <cellStyle name="RISKrtandbEdge 8 10 2" xfId="35112" xr:uid="{C7A04BAA-3A6B-4694-B6EE-C3DEBEB57712}"/>
    <cellStyle name="RISKrtandbEdge 8 11" xfId="15810" xr:uid="{E5A29FC8-C6DC-4418-A65A-A8EF25319DE6}"/>
    <cellStyle name="RISKrtandbEdge 8 11 2" xfId="37425" xr:uid="{C639AFFD-0FC0-477D-B441-405F173E0681}"/>
    <cellStyle name="RISKrtandbEdge 8 12" xfId="19192" xr:uid="{DE01F5F8-4758-4D38-BBBE-82B51B8EC7F0}"/>
    <cellStyle name="RISKrtandbEdge 8 12 2" xfId="40001" xr:uid="{D52AE3F8-EB65-48F0-A408-83D22D9CC1FF}"/>
    <cellStyle name="RISKrtandbEdge 8 13" xfId="19941" xr:uid="{DD6DF525-6C71-43A0-976C-41F376D31FAD}"/>
    <cellStyle name="RISKrtandbEdge 8 13 2" xfId="40548" xr:uid="{397245FE-B650-49D9-ABFF-D1FB2599E478}"/>
    <cellStyle name="RISKrtandbEdge 8 14" xfId="18913" xr:uid="{F112B137-2652-473B-A9E5-2B9AD14BD172}"/>
    <cellStyle name="RISKrtandbEdge 8 14 2" xfId="39746" xr:uid="{B3901FDF-9224-48B3-A277-D9869CFD60FD}"/>
    <cellStyle name="RISKrtandbEdge 8 15" xfId="22450" xr:uid="{3CA0940F-AE4A-4829-8200-22C531F42280}"/>
    <cellStyle name="RISKrtandbEdge 8 15 2" xfId="42252" xr:uid="{D4E777EF-DC41-4B74-BAFA-5EB21CE46E0D}"/>
    <cellStyle name="RISKrtandbEdge 8 16" xfId="22063" xr:uid="{13E85CF2-2491-4A60-914B-38B50E58BE6C}"/>
    <cellStyle name="RISKrtandbEdge 8 16 2" xfId="41948" xr:uid="{5F7AADA1-9F73-45B1-A25D-0D6A4393958F}"/>
    <cellStyle name="RISKrtandbEdge 8 17" xfId="23185" xr:uid="{BC8AB076-0D27-462E-99A3-2B43B41986E4}"/>
    <cellStyle name="RISKrtandbEdge 8 17 2" xfId="42779" xr:uid="{43AA5A48-35C7-41CE-B8AB-B9AABC9A6AF0}"/>
    <cellStyle name="RISKrtandbEdge 8 18" xfId="24011" xr:uid="{1EA51D84-7F3D-4C15-8EA2-E9E7279E14B2}"/>
    <cellStyle name="RISKrtandbEdge 8 18 2" xfId="43388" xr:uid="{72D3C672-0F12-419C-9562-4B9326E324ED}"/>
    <cellStyle name="RISKrtandbEdge 8 19" xfId="22139" xr:uid="{B7DE11D6-6BAF-4A65-BFA8-8ED4CEA1C687}"/>
    <cellStyle name="RISKrtandbEdge 8 19 2" xfId="42024" xr:uid="{0965960B-C959-40C3-BB4C-97EDD9503DB1}"/>
    <cellStyle name="RISKrtandbEdge 8 2" xfId="3979" xr:uid="{3DED52AC-CFEC-4647-8001-3B49622F4410}"/>
    <cellStyle name="RISKrtandbEdge 8 2 10" xfId="13487" xr:uid="{C88B4C03-D628-4AFF-99BB-80B64DE04058}"/>
    <cellStyle name="RISKrtandbEdge 8 2 10 2" xfId="35741" xr:uid="{EF30DC21-E053-4F74-A741-54E4D90D8A32}"/>
    <cellStyle name="RISKrtandbEdge 8 2 11" xfId="18044" xr:uid="{D6EAD0FF-B021-4C91-B060-319630AEAE7A}"/>
    <cellStyle name="RISKrtandbEdge 8 2 11 2" xfId="39138" xr:uid="{69ACF72F-C452-45D4-8311-B651FA093F74}"/>
    <cellStyle name="RISKrtandbEdge 8 2 12" xfId="20679" xr:uid="{80992D26-337E-4DAB-B758-6E759CA6273D}"/>
    <cellStyle name="RISKrtandbEdge 8 2 12 2" xfId="41039" xr:uid="{B9BC0E78-63C4-4EA2-A0BB-0DAE2E9BFEB9}"/>
    <cellStyle name="RISKrtandbEdge 8 2 13" xfId="15330" xr:uid="{1406D3BB-517E-40FC-AE42-4E67EB763B37}"/>
    <cellStyle name="RISKrtandbEdge 8 2 13 2" xfId="37030" xr:uid="{03D70CE9-ACA1-433A-B75E-A926E1AEE814}"/>
    <cellStyle name="RISKrtandbEdge 8 2 14" xfId="21230" xr:uid="{F6279CE4-3A28-4F9F-8E1E-E7F1EA8ECF89}"/>
    <cellStyle name="RISKrtandbEdge 8 2 14 2" xfId="41423" xr:uid="{B75E78D2-E876-4752-905F-35B09682A9F7}"/>
    <cellStyle name="RISKrtandbEdge 8 2 15" xfId="18820" xr:uid="{2E9178D2-6CF6-433E-878B-0AC1EE456453}"/>
    <cellStyle name="RISKrtandbEdge 8 2 15 2" xfId="39672" xr:uid="{00391A1B-F14D-4E3B-BFE9-395C033B1C6D}"/>
    <cellStyle name="RISKrtandbEdge 8 2 16" xfId="22195" xr:uid="{7250F0DE-8B92-4CE6-94AA-BFE7196E3852}"/>
    <cellStyle name="RISKrtandbEdge 8 2 16 2" xfId="42074" xr:uid="{12488637-ED23-4701-90D5-AC5827F80C7D}"/>
    <cellStyle name="RISKrtandbEdge 8 2 17" xfId="22582" xr:uid="{F42FB2AF-4E3D-47AD-B778-46A6A14176A9}"/>
    <cellStyle name="RISKrtandbEdge 8 2 17 2" xfId="42368" xr:uid="{A9F4DECB-AC85-410F-A7A6-DA46471DBA50}"/>
    <cellStyle name="RISKrtandbEdge 8 2 18" xfId="25303" xr:uid="{6092866D-629A-4C7A-94F9-4A0DE6A14460}"/>
    <cellStyle name="RISKrtandbEdge 8 2 18 2" xfId="44219" xr:uid="{F92E9790-4C29-4564-B832-E9E6279008AF}"/>
    <cellStyle name="RISKrtandbEdge 8 2 19" xfId="24038" xr:uid="{4E040941-72C2-4AA4-B4E4-46331F31DE07}"/>
    <cellStyle name="RISKrtandbEdge 8 2 19 2" xfId="43415" xr:uid="{6AD8F7AB-C2FD-4D98-8A8B-1FD6E9AE2393}"/>
    <cellStyle name="RISKrtandbEdge 8 2 2" xfId="11794" xr:uid="{64CD9CA1-5550-4D58-AF49-8A1791C0AF45}"/>
    <cellStyle name="RISKrtandbEdge 8 2 2 2" xfId="34407" xr:uid="{0B92E4DF-59A0-42A1-BE2C-4E1D36B07649}"/>
    <cellStyle name="RISKrtandbEdge 8 2 20" xfId="26587" xr:uid="{FCFF0578-4167-426C-ABFC-BFED03D03AB9}"/>
    <cellStyle name="RISKrtandbEdge 8 2 20 2" xfId="45151" xr:uid="{33CAC675-EF5D-4C9A-B824-9C42518511B8}"/>
    <cellStyle name="RISKrtandbEdge 8 2 21" xfId="27333" xr:uid="{2130EE6B-D541-4BCD-97D5-9013B98F9A7D}"/>
    <cellStyle name="RISKrtandbEdge 8 2 21 2" xfId="45624" xr:uid="{D8475E62-5FF7-473D-8FA9-648391592AE9}"/>
    <cellStyle name="RISKrtandbEdge 8 2 22" xfId="25496" xr:uid="{7DA19880-7EA4-48E9-A969-764954A08089}"/>
    <cellStyle name="RISKrtandbEdge 8 2 22 2" xfId="44374" xr:uid="{05211272-8A8B-4C02-A42C-F37EC37C48BA}"/>
    <cellStyle name="RISKrtandbEdge 8 2 23" xfId="21949" xr:uid="{422760E0-955F-4CFB-A455-19554D938185}"/>
    <cellStyle name="RISKrtandbEdge 8 2 23 2" xfId="41862" xr:uid="{482EA9C5-DBDE-4CAB-BCF7-04548746558F}"/>
    <cellStyle name="RISKrtandbEdge 8 2 24" xfId="29075" xr:uid="{9AF9DA80-DD13-4CF8-9044-1F77E6C0A85B}"/>
    <cellStyle name="RISKrtandbEdge 8 2 24 2" xfId="46648" xr:uid="{966E0088-EC4F-42D8-B81C-77FDDFACA538}"/>
    <cellStyle name="RISKrtandbEdge 8 2 25" xfId="27596" xr:uid="{2B44DD7B-9017-4C15-97FE-4FD9D31D6D9B}"/>
    <cellStyle name="RISKrtandbEdge 8 2 25 2" xfId="45745" xr:uid="{683FD000-3D6E-4024-AC75-AB08BA7B5538}"/>
    <cellStyle name="RISKrtandbEdge 8 2 26" xfId="27754" xr:uid="{20D6867B-437A-4DFC-BC58-1BB720CE2F8A}"/>
    <cellStyle name="RISKrtandbEdge 8 2 26 2" xfId="45855" xr:uid="{407F4B89-0239-4352-B0C9-DBE529E24612}"/>
    <cellStyle name="RISKrtandbEdge 8 2 27" xfId="26530" xr:uid="{FC8BEA2B-2287-42D6-835B-9C4759170259}"/>
    <cellStyle name="RISKrtandbEdge 8 2 27 2" xfId="45106" xr:uid="{F6EA6D5F-D41F-41E7-8059-CE710004A6BF}"/>
    <cellStyle name="RISKrtandbEdge 8 2 28" xfId="30161" xr:uid="{3FA834C2-C5D9-4C60-9427-973D62D4B37D}"/>
    <cellStyle name="RISKrtandbEdge 8 2 28 2" xfId="47325" xr:uid="{40CFE740-22BC-4CF2-BA7D-AC08CF94BCC5}"/>
    <cellStyle name="RISKrtandbEdge 8 2 29" xfId="31066" xr:uid="{5179835E-30CA-40EC-9FEB-38C7B2214960}"/>
    <cellStyle name="RISKrtandbEdge 8 2 29 2" xfId="47796" xr:uid="{809F0921-FDC1-4BD6-B3E3-30A376686B5A}"/>
    <cellStyle name="RISKrtandbEdge 8 2 3" xfId="10240" xr:uid="{25607DEE-4B82-46AE-A092-9F243542B643}"/>
    <cellStyle name="RISKrtandbEdge 8 2 3 2" xfId="33875" xr:uid="{B2711C90-26E4-4184-98E5-1708BE7EF2D4}"/>
    <cellStyle name="RISKrtandbEdge 8 2 30" xfId="6074" xr:uid="{C9FC9129-A79C-43DC-A35B-55AD815BFA00}"/>
    <cellStyle name="RISKrtandbEdge 8 2 4" xfId="7015" xr:uid="{2E164278-2670-4B68-BA95-2AB1CF65D346}"/>
    <cellStyle name="RISKrtandbEdge 8 2 4 2" xfId="31382" xr:uid="{CC9FB65C-7D3A-44BA-96A3-7C5D436A2473}"/>
    <cellStyle name="RISKrtandbEdge 8 2 5" xfId="11692" xr:uid="{4B608B56-2647-4A48-82FB-E714F7D6B667}"/>
    <cellStyle name="RISKrtandbEdge 8 2 5 2" xfId="34305" xr:uid="{A2171F1A-AA07-464A-8275-EC8875EAB2DE}"/>
    <cellStyle name="RISKrtandbEdge 8 2 6" xfId="14668" xr:uid="{B2DB14A2-03CA-4A68-9F5A-8C3170094416}"/>
    <cellStyle name="RISKrtandbEdge 8 2 6 2" xfId="36580" xr:uid="{ABDF9CEC-5110-431D-9B88-B342B5EE02B9}"/>
    <cellStyle name="RISKrtandbEdge 8 2 7" xfId="12516" xr:uid="{DA7D8B56-85F2-4470-88FC-E55D1E23B4F2}"/>
    <cellStyle name="RISKrtandbEdge 8 2 7 2" xfId="34960" xr:uid="{541C4443-A010-4F4B-9AD6-23904B605A62}"/>
    <cellStyle name="RISKrtandbEdge 8 2 8" xfId="17457" xr:uid="{0E908BC7-699D-4F63-A71F-03F8A1793AA6}"/>
    <cellStyle name="RISKrtandbEdge 8 2 8 2" xfId="38704" xr:uid="{6B7D0445-72E2-41A6-B833-135106E7A2CC}"/>
    <cellStyle name="RISKrtandbEdge 8 2 9" xfId="18306" xr:uid="{2655888E-C142-4ED0-B7A4-4B4B27D72DB3}"/>
    <cellStyle name="RISKrtandbEdge 8 2 9 2" xfId="39337" xr:uid="{A820C56E-D5F0-4552-AFDF-32C4FBC379D1}"/>
    <cellStyle name="RISKrtandbEdge 8 20" xfId="24552" xr:uid="{37193DA9-CD09-4DD8-B2A0-C32033EC5077}"/>
    <cellStyle name="RISKrtandbEdge 8 20 2" xfId="43735" xr:uid="{CC7875D3-229B-4D42-B407-FBF1D344B89B}"/>
    <cellStyle name="RISKrtandbEdge 8 21" xfId="19476" xr:uid="{F7EDADA8-F6C6-43C2-A8C2-77DBC601D793}"/>
    <cellStyle name="RISKrtandbEdge 8 21 2" xfId="40153" xr:uid="{794D4368-5DFF-4F7B-9D7A-DCCAC7BC96AF}"/>
    <cellStyle name="RISKrtandbEdge 8 22" xfId="23661" xr:uid="{B8B44545-2CF8-495E-9CD6-B3E6F9B8163A}"/>
    <cellStyle name="RISKrtandbEdge 8 22 2" xfId="43084" xr:uid="{1CF70C18-9FA1-4889-8FF0-B393804F7019}"/>
    <cellStyle name="RISKrtandbEdge 8 23" xfId="20290" xr:uid="{9A1D2A52-5169-49CB-B2A6-BB0E342A3A9C}"/>
    <cellStyle name="RISKrtandbEdge 8 23 2" xfId="40727" xr:uid="{FDEC8C45-A5FD-40E7-BA89-12B95486E6D8}"/>
    <cellStyle name="RISKrtandbEdge 8 24" xfId="27841" xr:uid="{19FDCFB6-DC13-46B6-A1C7-DA87E84660ED}"/>
    <cellStyle name="RISKrtandbEdge 8 24 2" xfId="45915" xr:uid="{5F2DB1CC-68D6-495F-A978-97DBE80A635F}"/>
    <cellStyle name="RISKrtandbEdge 8 25" xfId="28933" xr:uid="{9841677C-668E-4E83-9417-BD2C0B70EBDC}"/>
    <cellStyle name="RISKrtandbEdge 8 25 2" xfId="46529" xr:uid="{5623916C-E281-4E54-9D23-692C38FCD761}"/>
    <cellStyle name="RISKrtandbEdge 8 26" xfId="28048" xr:uid="{9AB9EBCE-D3D2-4DE7-9B60-18C660CBDF13}"/>
    <cellStyle name="RISKrtandbEdge 8 26 2" xfId="46043" xr:uid="{6613A64A-ECD6-483E-A607-3853DEBF226E}"/>
    <cellStyle name="RISKrtandbEdge 8 27" xfId="28326" xr:uid="{6D8E682D-98F1-46E4-A0B8-EBB618F9206F}"/>
    <cellStyle name="RISKrtandbEdge 8 27 2" xfId="46193" xr:uid="{28198CDD-6E2E-4DBD-9B3B-27F7513B3045}"/>
    <cellStyle name="RISKrtandbEdge 8 28" xfId="26840" xr:uid="{7D773AD5-3FC5-422E-BB7B-A869D7E1E68E}"/>
    <cellStyle name="RISKrtandbEdge 8 28 2" xfId="45307" xr:uid="{F3119752-1DD2-45C4-9EBB-DF3A3F5EAC92}"/>
    <cellStyle name="RISKrtandbEdge 8 29" xfId="30709" xr:uid="{96A5D1E5-27FC-499A-8B35-A4A978DEF4E4}"/>
    <cellStyle name="RISKrtandbEdge 8 29 2" xfId="47655" xr:uid="{7B6EEA78-02BC-4AA5-95CC-9EE9E8BC01FE}"/>
    <cellStyle name="RISKrtandbEdge 8 3" xfId="3980" xr:uid="{54CDB64D-BCDF-4333-9F86-3C7CA0FB660F}"/>
    <cellStyle name="RISKrtandbEdge 8 3 10" xfId="19191" xr:uid="{AABA1937-C073-4961-B258-12475601DEA9}"/>
    <cellStyle name="RISKrtandbEdge 8 3 10 2" xfId="40000" xr:uid="{77BBCCF7-C9C2-41EB-B617-C3A5951EF676}"/>
    <cellStyle name="RISKrtandbEdge 8 3 11" xfId="19940" xr:uid="{6494EF99-78E6-40F4-BC46-7B9EFD200D8B}"/>
    <cellStyle name="RISKrtandbEdge 8 3 11 2" xfId="40547" xr:uid="{E8E0657F-A132-4790-8B30-F906C15FEC01}"/>
    <cellStyle name="RISKrtandbEdge 8 3 12" xfId="16834" xr:uid="{AFC704A4-A1E8-49C6-B495-3CF52C025965}"/>
    <cellStyle name="RISKrtandbEdge 8 3 12 2" xfId="38262" xr:uid="{8DC3C058-5A86-4778-B6A2-66F4BD6B0BA0}"/>
    <cellStyle name="RISKrtandbEdge 8 3 13" xfId="19045" xr:uid="{7F8F7BF2-2E66-4BE5-BC8C-4088C914893A}"/>
    <cellStyle name="RISKrtandbEdge 8 3 13 2" xfId="39877" xr:uid="{D0E9BD39-60CA-4D0E-8190-D6A072A89AA8}"/>
    <cellStyle name="RISKrtandbEdge 8 3 14" xfId="20175" xr:uid="{658AD2D7-0AEE-4653-855F-8593B9688A07}"/>
    <cellStyle name="RISKrtandbEdge 8 3 14 2" xfId="40682" xr:uid="{351EFC26-2845-4DCA-802C-8008AF9460B9}"/>
    <cellStyle name="RISKrtandbEdge 8 3 15" xfId="23184" xr:uid="{1E14FE80-E1BA-450C-ACF6-479D9537DF74}"/>
    <cellStyle name="RISKrtandbEdge 8 3 15 2" xfId="42778" xr:uid="{C4E12CFC-0AE5-450B-9A32-72400D159C7E}"/>
    <cellStyle name="RISKrtandbEdge 8 3 16" xfId="24010" xr:uid="{37F3997B-F6FD-43D4-9C4D-800273834E42}"/>
    <cellStyle name="RISKrtandbEdge 8 3 16 2" xfId="43387" xr:uid="{054AB9FF-137A-4029-B21F-A06DABABA5B8}"/>
    <cellStyle name="RISKrtandbEdge 8 3 17" xfId="18579" xr:uid="{D17549D7-361E-4FA5-BE45-26FC8496BC3F}"/>
    <cellStyle name="RISKrtandbEdge 8 3 17 2" xfId="39521" xr:uid="{CCCF4BB3-8F21-4D33-BD7D-AECACA50D35B}"/>
    <cellStyle name="RISKrtandbEdge 8 3 18" xfId="21063" xr:uid="{D61AF870-6F00-44DB-BF65-47D17303A857}"/>
    <cellStyle name="RISKrtandbEdge 8 3 18 2" xfId="41308" xr:uid="{774514BC-484C-4BF4-A48F-A54CC3C376CC}"/>
    <cellStyle name="RISKrtandbEdge 8 3 19" xfId="16948" xr:uid="{7DFFAEE2-4E21-4A17-A651-EF798A7B6206}"/>
    <cellStyle name="RISKrtandbEdge 8 3 19 2" xfId="38318" xr:uid="{722C441F-1B58-4125-9959-D124FF600E47}"/>
    <cellStyle name="RISKrtandbEdge 8 3 2" xfId="7372" xr:uid="{69E7CF68-6D46-4736-BE81-7A91C02F6561}"/>
    <cellStyle name="RISKrtandbEdge 8 3 2 2" xfId="31734" xr:uid="{91D13E4F-3FF2-43A4-BCD9-8C9DDCB431EB}"/>
    <cellStyle name="RISKrtandbEdge 8 3 20" xfId="24243" xr:uid="{DD7B4272-04D4-4AE5-AFC0-6F20704D5C76}"/>
    <cellStyle name="RISKrtandbEdge 8 3 20 2" xfId="43557" xr:uid="{ABC77E4A-F99F-4964-A5F6-82016843E2C0}"/>
    <cellStyle name="RISKrtandbEdge 8 3 21" xfId="26191" xr:uid="{39460D8E-497D-41A5-A269-BAD90BA0AFD5}"/>
    <cellStyle name="RISKrtandbEdge 8 3 21 2" xfId="44914" xr:uid="{2397699D-543A-4A52-BE33-E7BA4F531434}"/>
    <cellStyle name="RISKrtandbEdge 8 3 22" xfId="27840" xr:uid="{03A1FCC9-6A9E-4B41-8BA6-91636A549F88}"/>
    <cellStyle name="RISKrtandbEdge 8 3 22 2" xfId="45914" xr:uid="{1ECBE4C8-76E9-4F7A-A65E-8B8973B3DFC3}"/>
    <cellStyle name="RISKrtandbEdge 8 3 23" xfId="23702" xr:uid="{43C57F78-F491-453A-BADF-0FCBD1E24143}"/>
    <cellStyle name="RISKrtandbEdge 8 3 23 2" xfId="43120" xr:uid="{FFC67D10-D976-47A7-BCD2-A01EFF88FB16}"/>
    <cellStyle name="RISKrtandbEdge 8 3 24" xfId="27578" xr:uid="{EF0A3E05-FBFE-4119-9CEC-8BE01E5DFD48}"/>
    <cellStyle name="RISKrtandbEdge 8 3 24 2" xfId="45727" xr:uid="{74D615DD-562C-4B0B-94B5-779AD411AC58}"/>
    <cellStyle name="RISKrtandbEdge 8 3 25" xfId="27017" xr:uid="{7D58D1CA-2E67-456D-A2A0-21A5A255803B}"/>
    <cellStyle name="RISKrtandbEdge 8 3 25 2" xfId="45420" xr:uid="{A4A7EC91-9FDC-495F-A40D-B1706F584213}"/>
    <cellStyle name="RISKrtandbEdge 8 3 26" xfId="27722" xr:uid="{BBB11022-CC49-45CA-813D-28E90EEB832B}"/>
    <cellStyle name="RISKrtandbEdge 8 3 26 2" xfId="45829" xr:uid="{EF932A72-2018-4D0F-8842-ED8D844FB05B}"/>
    <cellStyle name="RISKrtandbEdge 8 3 27" xfId="30708" xr:uid="{313FACD2-E5CB-4152-BAF3-9C3CED2D3C53}"/>
    <cellStyle name="RISKrtandbEdge 8 3 27 2" xfId="47654" xr:uid="{64A822F0-54AE-41E2-937C-F3435CA40CCC}"/>
    <cellStyle name="RISKrtandbEdge 8 3 28" xfId="25851" xr:uid="{34DC19C7-BE0D-4975-BB14-F6B99A5E2518}"/>
    <cellStyle name="RISKrtandbEdge 8 3 28 2" xfId="44669" xr:uid="{6577DF86-4C72-4D54-A955-6AE474B49636}"/>
    <cellStyle name="RISKrtandbEdge 8 3 29" xfId="29230" xr:uid="{7020A228-AEF8-4534-8996-274EB9F2A63F}"/>
    <cellStyle name="RISKrtandbEdge 8 3 29 2" xfId="46749" xr:uid="{516BE274-6DB6-4831-A07A-20CCCD2FF744}"/>
    <cellStyle name="RISKrtandbEdge 8 3 3" xfId="13216" xr:uid="{CF1BE641-8C77-4762-ABF1-9E8B500350FF}"/>
    <cellStyle name="RISKrtandbEdge 8 3 3 2" xfId="35564" xr:uid="{A1E6B0F3-EA8C-47F8-9CB4-C77AEA5B4D19}"/>
    <cellStyle name="RISKrtandbEdge 8 3 30" xfId="6073" xr:uid="{6474AA1E-3F13-4F70-A8AE-7D5B8C8E8DF6}"/>
    <cellStyle name="RISKrtandbEdge 8 3 4" xfId="14232" xr:uid="{4D67519F-6C97-43AF-B069-8FF77481837B}"/>
    <cellStyle name="RISKrtandbEdge 8 3 4 2" xfId="36285" xr:uid="{0183A113-9349-4578-8823-74DBAB7B516A}"/>
    <cellStyle name="RISKrtandbEdge 8 3 5" xfId="7261" xr:uid="{A1969CC7-6C7D-45C4-93FF-BD17CECED5B4}"/>
    <cellStyle name="RISKrtandbEdge 8 3 5 2" xfId="31626" xr:uid="{9B0A0897-4617-4F16-B3BE-621AB510163F}"/>
    <cellStyle name="RISKrtandbEdge 8 3 6" xfId="15177" xr:uid="{C8CFD317-538F-4DFA-938C-DA7137D8895F}"/>
    <cellStyle name="RISKrtandbEdge 8 3 6 2" xfId="36964" xr:uid="{D09DEB55-5EAF-4C5A-9CCE-A319F9E5EEC4}"/>
    <cellStyle name="RISKrtandbEdge 8 3 7" xfId="16584" xr:uid="{1DA3BE33-EAC1-4547-8962-754D19C3597D}"/>
    <cellStyle name="RISKrtandbEdge 8 3 7 2" xfId="38077" xr:uid="{5CC22097-815A-4135-9E16-DAB0F8A21B00}"/>
    <cellStyle name="RISKrtandbEdge 8 3 8" xfId="13712" xr:uid="{2DBF4BFA-56A9-407A-A391-5C8EBABD3C62}"/>
    <cellStyle name="RISKrtandbEdge 8 3 8 2" xfId="35868" xr:uid="{2F56F76B-28E5-4F9A-B993-80D676CC5F15}"/>
    <cellStyle name="RISKrtandbEdge 8 3 9" xfId="16305" xr:uid="{5DA25876-8466-411A-9E72-DD47EFBBC217}"/>
    <cellStyle name="RISKrtandbEdge 8 3 9 2" xfId="37842" xr:uid="{DDA5240F-68DB-4DDD-935A-68BDE63B44C6}"/>
    <cellStyle name="RISKrtandbEdge 8 30" xfId="29104" xr:uid="{09195DB4-9C99-46C3-AA82-120FD253B38D}"/>
    <cellStyle name="RISKrtandbEdge 8 30 2" xfId="46672" xr:uid="{780D3E34-4AAF-4DCA-8706-FF34F299AC59}"/>
    <cellStyle name="RISKrtandbEdge 8 31" xfId="30620" xr:uid="{D9D41D7E-D20E-4FDE-AA2A-4C1CD39CDE4F}"/>
    <cellStyle name="RISKrtandbEdge 8 31 2" xfId="47566" xr:uid="{6A3E51D9-110F-4FBA-BF86-C22960E45D98}"/>
    <cellStyle name="RISKrtandbEdge 8 32" xfId="6075" xr:uid="{42B31204-EAD4-43EE-8387-632320C60C14}"/>
    <cellStyle name="RISKrtandbEdge 8 4" xfId="7373" xr:uid="{98461940-A8A1-4342-A074-95DA46DA6F38}"/>
    <cellStyle name="RISKrtandbEdge 8 4 2" xfId="31735" xr:uid="{543F26E7-3355-402B-98A1-B44513329A12}"/>
    <cellStyle name="RISKrtandbEdge 8 5" xfId="13217" xr:uid="{2E774B01-120D-46DF-AFEF-23AB7640C6A1}"/>
    <cellStyle name="RISKrtandbEdge 8 5 2" xfId="35565" xr:uid="{9B8207A6-AD7E-40DA-A719-4A50216EDB5C}"/>
    <cellStyle name="RISKrtandbEdge 8 6" xfId="14233" xr:uid="{00A35560-68B6-4E1B-B050-B7160984F5CA}"/>
    <cellStyle name="RISKrtandbEdge 8 6 2" xfId="36286" xr:uid="{64538DEA-8B0E-4C86-95A6-CE32A841035B}"/>
    <cellStyle name="RISKrtandbEdge 8 7" xfId="15903" xr:uid="{72AA28E3-94EB-4ECE-A9A0-29B14572EB6E}"/>
    <cellStyle name="RISKrtandbEdge 8 7 2" xfId="37494" xr:uid="{204190E2-D700-4A81-86AA-4330576586F5}"/>
    <cellStyle name="RISKrtandbEdge 8 8" xfId="15490" xr:uid="{D0CD65CE-FB8D-4CCA-B149-AF7E995A13EC}"/>
    <cellStyle name="RISKrtandbEdge 8 8 2" xfId="37155" xr:uid="{0A3AFF86-9B94-423F-A707-6DDB8041C0E6}"/>
    <cellStyle name="RISKrtandbEdge 8 9" xfId="16585" xr:uid="{1D8C6622-951C-4C90-BE9B-DE2A3E20EA70}"/>
    <cellStyle name="RISKrtandbEdge 8 9 2" xfId="38078" xr:uid="{9A80EF67-AB50-4A10-9612-2F4ACC965A2A}"/>
    <cellStyle name="RISKrtandbEdge 9" xfId="3981" xr:uid="{0612B59B-668F-4CF6-8D74-F2F2B4E7CB55}"/>
    <cellStyle name="RISKrtandbEdge 9 10" xfId="17195" xr:uid="{24B1AEF9-10EC-4608-AB19-9DB7FEB72441}"/>
    <cellStyle name="RISKrtandbEdge 9 10 2" xfId="38524" xr:uid="{A5ADCED6-C024-48F3-B5E9-3F91D96CB77D}"/>
    <cellStyle name="RISKrtandbEdge 9 11" xfId="15185" xr:uid="{E6F65A10-415E-46F3-95ED-C49FE7B7856E}"/>
    <cellStyle name="RISKrtandbEdge 9 11 2" xfId="36968" xr:uid="{F98FFAC0-BF7D-4834-831C-1A5408DF439A}"/>
    <cellStyle name="RISKrtandbEdge 9 12" xfId="20678" xr:uid="{2E53F0FB-90A1-48FC-ABFA-506032D4E40C}"/>
    <cellStyle name="RISKrtandbEdge 9 12 2" xfId="41038" xr:uid="{D84DBA00-1B7E-47DF-851F-EBA0BC5A57C3}"/>
    <cellStyle name="RISKrtandbEdge 9 13" xfId="17123" xr:uid="{DA34B1CE-54E9-4E87-B7D3-E7D678D3D41E}"/>
    <cellStyle name="RISKrtandbEdge 9 13 2" xfId="38462" xr:uid="{425C65A6-AE1E-45A3-82DF-2AB40E74A54D}"/>
    <cellStyle name="RISKrtandbEdge 9 14" xfId="22569" xr:uid="{001BBF4C-2BD0-4101-A8D1-2A157102C3AE}"/>
    <cellStyle name="RISKrtandbEdge 9 14 2" xfId="42355" xr:uid="{C0E81A20-A9D7-4313-9A94-B2A3AC46C7A1}"/>
    <cellStyle name="RISKrtandbEdge 9 15" xfId="20484" xr:uid="{B5FDAAF4-1438-408F-9F88-A6167F059F1F}"/>
    <cellStyle name="RISKrtandbEdge 9 15 2" xfId="40874" xr:uid="{E5C9D0F2-4E5C-4B8E-8E38-6A6CC1AC51E4}"/>
    <cellStyle name="RISKrtandbEdge 9 16" xfId="18737" xr:uid="{285F66E3-EB53-4E76-9F2A-9EABED80A1A4}"/>
    <cellStyle name="RISKrtandbEdge 9 16 2" xfId="39612" xr:uid="{B0BCDB96-FD29-4558-B2F5-DF6B6C74E480}"/>
    <cellStyle name="RISKrtandbEdge 9 17" xfId="18687" xr:uid="{1D2F9518-1ADB-40B5-B94D-F311FB532B15}"/>
    <cellStyle name="RISKrtandbEdge 9 17 2" xfId="39569" xr:uid="{769CD200-E5AE-4C55-B153-DC14AD9CA025}"/>
    <cellStyle name="RISKrtandbEdge 9 18" xfId="22747" xr:uid="{288F5C1F-F63C-4B83-A008-7FC4D7E4F1B2}"/>
    <cellStyle name="RISKrtandbEdge 9 18 2" xfId="42504" xr:uid="{D37D6E16-D515-4C00-9BB0-11A89247A7FB}"/>
    <cellStyle name="RISKrtandbEdge 9 19" xfId="24037" xr:uid="{2671495C-0315-4A3A-AF22-302BB6946655}"/>
    <cellStyle name="RISKrtandbEdge 9 19 2" xfId="43414" xr:uid="{6E9AF6CB-20EC-4B32-A6C0-4602E8B4623C}"/>
    <cellStyle name="RISKrtandbEdge 9 2" xfId="11793" xr:uid="{45C2AB7A-49EC-4417-B925-E800A60C4BAE}"/>
    <cellStyle name="RISKrtandbEdge 9 2 2" xfId="34406" xr:uid="{87219254-5E45-4104-9C6B-8AC728D830B4}"/>
    <cellStyle name="RISKrtandbEdge 9 20" xfId="26586" xr:uid="{73089593-A9F6-465E-888D-C97BD0950CCD}"/>
    <cellStyle name="RISKrtandbEdge 9 20 2" xfId="45150" xr:uid="{FB74B437-DCF8-48D8-9E2A-05534CE60152}"/>
    <cellStyle name="RISKrtandbEdge 9 21" xfId="27332" xr:uid="{2B4FA399-E83D-4EBF-B702-C1C6EB7549FD}"/>
    <cellStyle name="RISKrtandbEdge 9 21 2" xfId="45623" xr:uid="{558C5CAD-52B4-43D2-A31D-25C72CFB9598}"/>
    <cellStyle name="RISKrtandbEdge 9 22" xfId="25963" xr:uid="{5A2A257C-3AD8-4CF2-B440-F1209585241A}"/>
    <cellStyle name="RISKrtandbEdge 9 22 2" xfId="44754" xr:uid="{4A12D963-2734-4380-A00B-07060C0A8EFF}"/>
    <cellStyle name="RISKrtandbEdge 9 23" xfId="26439" xr:uid="{F42506A5-A228-4B91-A8E1-DD17C032465D}"/>
    <cellStyle name="RISKrtandbEdge 9 23 2" xfId="45070" xr:uid="{9429ACBB-7D0F-4744-AFB4-33473F2B81CF}"/>
    <cellStyle name="RISKrtandbEdge 9 24" xfId="25864" xr:uid="{7069390B-6AA0-4833-AE31-582E2DA23EB6}"/>
    <cellStyle name="RISKrtandbEdge 9 24 2" xfId="44681" xr:uid="{65F00C10-2D14-4932-A3C5-9BF5D79C64BC}"/>
    <cellStyle name="RISKrtandbEdge 9 25" xfId="25616" xr:uid="{047447C2-5B61-4FC9-8578-9C078B2614A3}"/>
    <cellStyle name="RISKrtandbEdge 9 25 2" xfId="44475" xr:uid="{248773E2-E14D-4BC7-8D50-A35C8AB1559B}"/>
    <cellStyle name="RISKrtandbEdge 9 26" xfId="29102" xr:uid="{0B59126D-D51E-4E00-9DC4-6A44F4A0C57C}"/>
    <cellStyle name="RISKrtandbEdge 9 26 2" xfId="46671" xr:uid="{3225BA4D-4A55-49B1-A977-934B5978C2F8}"/>
    <cellStyle name="RISKrtandbEdge 9 27" xfId="30242" xr:uid="{FBAF1FD8-C435-4006-B1DF-171BB7A30C38}"/>
    <cellStyle name="RISKrtandbEdge 9 27 2" xfId="47403" xr:uid="{FFE35210-7345-4B76-AEB1-C8487846ACB2}"/>
    <cellStyle name="RISKrtandbEdge 9 28" xfId="25593" xr:uid="{46ECF68C-B265-4E6A-934E-AF40F7E5E1C4}"/>
    <cellStyle name="RISKrtandbEdge 9 28 2" xfId="44455" xr:uid="{F07CE162-CDFF-4BFB-A022-D4B6724C1695}"/>
    <cellStyle name="RISKrtandbEdge 9 29" xfId="31065" xr:uid="{D42B18F7-47FE-4CB8-8871-74234F224075}"/>
    <cellStyle name="RISKrtandbEdge 9 29 2" xfId="47795" xr:uid="{BB2E75D8-CFAA-41AB-BDE1-F9E89C2F2A1A}"/>
    <cellStyle name="RISKrtandbEdge 9 3" xfId="10241" xr:uid="{7C77F7A0-20B3-4107-A9BE-73561B7B971B}"/>
    <cellStyle name="RISKrtandbEdge 9 3 2" xfId="33876" xr:uid="{260D1E47-DDA0-4802-9780-09080970B7A0}"/>
    <cellStyle name="RISKrtandbEdge 9 30" xfId="6072" xr:uid="{F182E82B-6FC8-4838-B287-DF1E0D12F12E}"/>
    <cellStyle name="RISKrtandbEdge 9 4" xfId="7014" xr:uid="{D4A0D214-9EA4-4C11-A95C-E4681FA80DFC}"/>
    <cellStyle name="RISKrtandbEdge 9 4 2" xfId="31381" xr:uid="{DBFA4B9E-22B4-4A3F-85AB-C29C019ABBDA}"/>
    <cellStyle name="RISKrtandbEdge 9 5" xfId="11691" xr:uid="{F1BAF77A-1793-4B94-9FD7-9A546575A419}"/>
    <cellStyle name="RISKrtandbEdge 9 5 2" xfId="34304" xr:uid="{B431F2BD-8ADE-4B17-BF55-CBAD50F52177}"/>
    <cellStyle name="RISKrtandbEdge 9 6" xfId="12294" xr:uid="{73742C38-F58B-4569-A75E-472DAF9853C6}"/>
    <cellStyle name="RISKrtandbEdge 9 6 2" xfId="34800" xr:uid="{41ACDA88-26C4-4EF3-90DF-B93B95537A76}"/>
    <cellStyle name="RISKrtandbEdge 9 7" xfId="14046" xr:uid="{A90EAD66-7447-4265-8DA1-1DB8D1EB6B36}"/>
    <cellStyle name="RISKrtandbEdge 9 7 2" xfId="36140" xr:uid="{ADA7CFC9-1A1B-40A8-BA20-30839152125B}"/>
    <cellStyle name="RISKrtandbEdge 9 8" xfId="17456" xr:uid="{72A690DE-DD96-4352-BBD2-3FD8B50CB119}"/>
    <cellStyle name="RISKrtandbEdge 9 8 2" xfId="38703" xr:uid="{47C51739-D62C-49F5-8F92-628702158CC0}"/>
    <cellStyle name="RISKrtandbEdge 9 9" xfId="18305" xr:uid="{2036235E-01FE-4F1B-B0E9-BAB585911A56}"/>
    <cellStyle name="RISKrtandbEdge 9 9 2" xfId="39336" xr:uid="{C6CC48FA-8C3A-4142-81A8-341BEA541702}"/>
    <cellStyle name="RISKssTime" xfId="3982" xr:uid="{877E4D9A-4D82-4921-AB2B-3393FB894A75}"/>
    <cellStyle name="RISKssTime 10" xfId="3983" xr:uid="{43F1CC37-7E33-4432-B822-76E75989E6C2}"/>
    <cellStyle name="RISKssTime 2" xfId="3984" xr:uid="{3793E338-4B25-4C9B-BBB3-991075235F7D}"/>
    <cellStyle name="RISKssTime 2 2" xfId="3985" xr:uid="{ABDC7682-2BD7-4551-8B79-BA97C53B6BBD}"/>
    <cellStyle name="RISKssTime 2 2 2" xfId="3986" xr:uid="{0A982070-9F48-43C5-B244-A978D31D1CE0}"/>
    <cellStyle name="RISKssTime 2 2 3" xfId="3987" xr:uid="{090D57A8-5A98-4635-B32D-6E9EAAE6D407}"/>
    <cellStyle name="RISKssTime 2 3" xfId="3988" xr:uid="{A2123337-BBF1-40DC-BAC3-B487B1703B25}"/>
    <cellStyle name="RISKssTime 2 4" xfId="3989" xr:uid="{1DC1F341-136B-4FDC-BF20-66967CE2AE39}"/>
    <cellStyle name="RISKssTime 3" xfId="3990" xr:uid="{04875962-0D14-4262-9083-D8A1D4F1AD85}"/>
    <cellStyle name="RISKssTime 3 2" xfId="3991" xr:uid="{98231CF9-57A5-4BFB-A596-7E365643903D}"/>
    <cellStyle name="RISKssTime 3 3" xfId="3992" xr:uid="{C0226B10-B96F-4691-91A3-C76FF537FAB3}"/>
    <cellStyle name="RISKssTime 4" xfId="3993" xr:uid="{7A8537D2-97FB-4415-A8A8-A4A0707BC068}"/>
    <cellStyle name="RISKssTime 4 2" xfId="3994" xr:uid="{56A53534-230B-434A-9E2D-337F921526F8}"/>
    <cellStyle name="RISKssTime 4 3" xfId="3995" xr:uid="{F0E4FB51-86BF-4D2E-9ACD-27368ED26BAA}"/>
    <cellStyle name="RISKssTime 5" xfId="3996" xr:uid="{5D577DCE-9F1A-44CE-A31B-41EDB4143351}"/>
    <cellStyle name="RISKssTime 5 2" xfId="3997" xr:uid="{D5C4D464-2C21-492B-8D52-995007C2E95C}"/>
    <cellStyle name="RISKssTime 5 3" xfId="3998" xr:uid="{BC932BCE-B458-49EF-A276-0ADAA5A3BD2D}"/>
    <cellStyle name="RISKssTime 6" xfId="3999" xr:uid="{DDA737F9-24B5-4247-938B-344B64E8A55C}"/>
    <cellStyle name="RISKssTime 6 2" xfId="4000" xr:uid="{405EBDB9-037C-4B10-961F-7166F44AB000}"/>
    <cellStyle name="RISKssTime 6 3" xfId="4001" xr:uid="{1BAEEA1B-E8FD-4245-950A-FBA311894091}"/>
    <cellStyle name="RISKssTime 7" xfId="4002" xr:uid="{3E4BC3B3-46AC-48A4-AD9A-1A505A6A1568}"/>
    <cellStyle name="RISKssTime 7 2" xfId="4003" xr:uid="{D8084ED3-CA06-4C52-B3A4-875B5D6CA538}"/>
    <cellStyle name="RISKssTime 7 3" xfId="4004" xr:uid="{65EAEDFA-99CC-4F30-A0A3-4F6AA961799D}"/>
    <cellStyle name="RISKssTime 8" xfId="4005" xr:uid="{4C31D9B4-2410-40BC-9867-5FA6567E3B71}"/>
    <cellStyle name="RISKssTime 8 2" xfId="4006" xr:uid="{4C31139C-0C39-4E8F-8F9F-92D1C4F4E1C2}"/>
    <cellStyle name="RISKssTime 8 3" xfId="4007" xr:uid="{9AF56569-F4B9-4C45-BA76-7CCDE94A4C52}"/>
    <cellStyle name="RISKssTime 9" xfId="4008" xr:uid="{27701352-2F31-4139-B70A-BB5C4F163617}"/>
    <cellStyle name="RISKtandbEdge" xfId="4009" xr:uid="{B0FF230C-7BA0-40B3-86D7-0C729DBCA0A3}"/>
    <cellStyle name="RISKtandbEdge 10" xfId="4010" xr:uid="{02F7B7D3-9CB9-48DA-81B8-5F597FB0FC64}"/>
    <cellStyle name="RISKtandbEdge 10 10" xfId="19176" xr:uid="{596BF97B-0B59-4800-933A-05B330357789}"/>
    <cellStyle name="RISKtandbEdge 10 10 2" xfId="39985" xr:uid="{9E582C14-DCEA-4B9C-9428-190BFB6FDBBE}"/>
    <cellStyle name="RISKtandbEdge 10 11" xfId="18036" xr:uid="{31F9876C-2DDD-4869-94B2-FFA8C63F88D3}"/>
    <cellStyle name="RISKtandbEdge 10 11 2" xfId="39132" xr:uid="{7236B821-B7E9-4E97-8A81-C48296FEC373}"/>
    <cellStyle name="RISKtandbEdge 10 12" xfId="18905" xr:uid="{24EC184D-DDFC-42C1-A76F-B4273BEAABA7}"/>
    <cellStyle name="RISKtandbEdge 10 12 2" xfId="39738" xr:uid="{01FBE3EA-6B27-4810-8E0D-CB1D3D9A3FEF}"/>
    <cellStyle name="RISKtandbEdge 10 13" xfId="18526" xr:uid="{BEF99F3B-4DA9-4BB3-AA54-7EC661892995}"/>
    <cellStyle name="RISKtandbEdge 10 13 2" xfId="39478" xr:uid="{2D616EB2-5348-430E-BC74-E4C13B72A2D6}"/>
    <cellStyle name="RISKtandbEdge 10 14" xfId="22070" xr:uid="{3E13ECA2-ECA5-4C9A-9AC8-E36875CDC54D}"/>
    <cellStyle name="RISKtandbEdge 10 14 2" xfId="41955" xr:uid="{B877BF65-9A77-455F-82EB-305294C3D2E0}"/>
    <cellStyle name="RISKtandbEdge 10 15" xfId="23174" xr:uid="{33FED164-09D1-4BE2-A28B-F7C157733C51}"/>
    <cellStyle name="RISKtandbEdge 10 15 2" xfId="42773" xr:uid="{ABB2B7FB-9113-4BE3-9353-99E68EC6C126}"/>
    <cellStyle name="RISKtandbEdge 10 16" xfId="23995" xr:uid="{D16B96D8-196E-40F3-8CF8-B7103C9CAE6F}"/>
    <cellStyle name="RISKtandbEdge 10 16 2" xfId="43372" xr:uid="{A4719517-B29D-488C-A95A-94EADB440714}"/>
    <cellStyle name="RISKtandbEdge 10 17" xfId="21150" xr:uid="{2CFF0E87-0C26-42CF-9AC1-38CDAAF17C94}"/>
    <cellStyle name="RISKtandbEdge 10 17 2" xfId="41346" xr:uid="{957236FF-B7DF-45A3-9480-0541EDAA57C6}"/>
    <cellStyle name="RISKtandbEdge 10 18" xfId="24549" xr:uid="{E73111CF-8FC5-4DF6-94F0-366545920AA8}"/>
    <cellStyle name="RISKtandbEdge 10 18 2" xfId="43732" xr:uid="{E0920B9C-663B-41F9-8E60-B23A02796AE3}"/>
    <cellStyle name="RISKtandbEdge 10 19" xfId="24024" xr:uid="{CCD4D9D9-3B01-450E-B8B8-94F0BF0653F5}"/>
    <cellStyle name="RISKtandbEdge 10 19 2" xfId="43401" xr:uid="{5AB0AE01-50C3-41DD-B047-2D3DF3D2D22D}"/>
    <cellStyle name="RISKtandbEdge 10 2" xfId="7356" xr:uid="{31C6B64C-6DF0-48C9-9833-B431A5171506}"/>
    <cellStyle name="RISKtandbEdge 10 2 2" xfId="31718" xr:uid="{66EBD61A-59F6-47A2-A321-72B22B565FB3}"/>
    <cellStyle name="RISKtandbEdge 10 20" xfId="21953" xr:uid="{9A97AD37-992E-43DD-8263-14BEE09BD5FB}"/>
    <cellStyle name="RISKtandbEdge 10 20 2" xfId="41866" xr:uid="{71C66E84-FA47-4B18-B68C-5FCD8D13BFAA}"/>
    <cellStyle name="RISKtandbEdge 10 21" xfId="20291" xr:uid="{5F22F549-B706-4AFF-8587-7080300D98B4}"/>
    <cellStyle name="RISKtandbEdge 10 21 2" xfId="40728" xr:uid="{0769F7FF-52C4-48B3-A0F0-32AE97401987}"/>
    <cellStyle name="RISKtandbEdge 10 22" xfId="27825" xr:uid="{8818C4C5-B2AE-4A94-86A4-9D30BC850027}"/>
    <cellStyle name="RISKtandbEdge 10 22 2" xfId="45912" xr:uid="{113B5A58-6AE6-4078-8E87-F637D390232A}"/>
    <cellStyle name="RISKtandbEdge 10 23" xfId="21930" xr:uid="{F5DBCF56-E021-484C-AC39-84DD21537B76}"/>
    <cellStyle name="RISKtandbEdge 10 23 2" xfId="41846" xr:uid="{41B6E8C3-0186-4DB4-9A43-5B32BE27745E}"/>
    <cellStyle name="RISKtandbEdge 10 24" xfId="27684" xr:uid="{0779B9D4-4D78-4706-B3DE-D975382C34AD}"/>
    <cellStyle name="RISKtandbEdge 10 24 2" xfId="45798" xr:uid="{6230F250-D3E2-48E4-AD7D-9001EC4C6F76}"/>
    <cellStyle name="RISKtandbEdge 10 25" xfId="29352" xr:uid="{644A32BC-A936-43A8-BE77-995C3411810C}"/>
    <cellStyle name="RISKtandbEdge 10 25 2" xfId="46825" xr:uid="{16A5024A-FFB3-444B-9AF4-B83F29934033}"/>
    <cellStyle name="RISKtandbEdge 10 26" xfId="27709" xr:uid="{B324884B-30DE-4595-99F2-1FE171F2AF7B}"/>
    <cellStyle name="RISKtandbEdge 10 26 2" xfId="45818" xr:uid="{BDF5DEC0-9DD7-4A87-A57B-291C663EFB68}"/>
    <cellStyle name="RISKtandbEdge 10 27" xfId="30707" xr:uid="{8704BA07-443E-4E84-934C-FEC4B3EA3D61}"/>
    <cellStyle name="RISKtandbEdge 10 27 2" xfId="47653" xr:uid="{8745E01C-5AFC-43CF-8BFF-BF3F0A459F4D}"/>
    <cellStyle name="RISKtandbEdge 10 28" xfId="29232" xr:uid="{C082CB91-D55B-4751-BA8F-F49D94597C1B}"/>
    <cellStyle name="RISKtandbEdge 10 28 2" xfId="46751" xr:uid="{E0C4EFB8-1D9D-412D-914B-DB6FE54CF4E0}"/>
    <cellStyle name="RISKtandbEdge 10 29" xfId="31007" xr:uid="{53764FB5-5956-4C35-BBB5-12E222E0C520}"/>
    <cellStyle name="RISKtandbEdge 10 29 2" xfId="47785" xr:uid="{18540EDA-C091-4C5A-8AEA-2AB5413C070B}"/>
    <cellStyle name="RISKtandbEdge 10 3" xfId="13202" xr:uid="{31A2CA62-3F85-45EA-A842-D7615D54FDE9}"/>
    <cellStyle name="RISKtandbEdge 10 3 2" xfId="35550" xr:uid="{9B5E5CAB-6BF8-4A7F-B60D-1D865C4893FC}"/>
    <cellStyle name="RISKtandbEdge 10 30" xfId="6071" xr:uid="{E9E1B3CF-1308-4C1A-A53E-600100633D34}"/>
    <cellStyle name="RISKtandbEdge 10 4" xfId="14218" xr:uid="{B320DA45-805F-4B8B-A7AF-32909BAC5E5B}"/>
    <cellStyle name="RISKtandbEdge 10 4 2" xfId="36271" xr:uid="{E0CE2D10-D8FD-415C-886C-E1F51F0F6CDD}"/>
    <cellStyle name="RISKtandbEdge 10 5" xfId="11679" xr:uid="{9C1D5A0E-F6B0-4B19-A423-F0C812244935}"/>
    <cellStyle name="RISKtandbEdge 10 5 2" xfId="34292" xr:uid="{43073209-AC1F-4BD8-BC26-19D78833F4B1}"/>
    <cellStyle name="RISKtandbEdge 10 6" xfId="15498" xr:uid="{C161344B-7DB4-4938-BB93-13812E1AE460}"/>
    <cellStyle name="RISKtandbEdge 10 6 2" xfId="37163" xr:uid="{9436198C-1B9D-4B93-AA9C-6C223F320931}"/>
    <cellStyle name="RISKtandbEdge 10 7" xfId="16569" xr:uid="{5B8C51A8-96A6-46C3-81E8-EC2D35B9E9CD}"/>
    <cellStyle name="RISKtandbEdge 10 7 2" xfId="38062" xr:uid="{26CC51BA-A535-4584-BC68-29C0D5F9D180}"/>
    <cellStyle name="RISKtandbEdge 10 8" xfId="16796" xr:uid="{087D4ED5-AD70-48B9-AC2E-8E2362A2FE65}"/>
    <cellStyle name="RISKtandbEdge 10 8 2" xfId="38230" xr:uid="{80684786-C836-4624-8225-EBD3C8904593}"/>
    <cellStyle name="RISKtandbEdge 10 9" xfId="15806" xr:uid="{12516C9D-94BD-48CB-93FA-77E961B0E52A}"/>
    <cellStyle name="RISKtandbEdge 10 9 2" xfId="37421" xr:uid="{E9A345F4-33AB-49C9-AF02-04AD3A3178DC}"/>
    <cellStyle name="RISKtandbEdge 11" xfId="11782" xr:uid="{F8D11418-3CAE-45E9-B422-36542A16EFBC}"/>
    <cellStyle name="RISKtandbEdge 11 2" xfId="34395" xr:uid="{D2FDE2FC-CB8E-4A1B-8A64-234185822533}"/>
    <cellStyle name="RISKtandbEdge 12" xfId="10254" xr:uid="{A6DDCAF8-CF17-4C81-AB3D-6B6A76C64127}"/>
    <cellStyle name="RISKtandbEdge 12 2" xfId="33889" xr:uid="{910A02E8-0933-412B-B3B1-45739FB655CC}"/>
    <cellStyle name="RISKtandbEdge 13" xfId="7000" xr:uid="{55B5D0F4-E316-431D-A968-FCBEF0CBA317}"/>
    <cellStyle name="RISKtandbEdge 13 2" xfId="31367" xr:uid="{CD13369A-5799-45CC-9283-96281CA1EB8A}"/>
    <cellStyle name="RISKtandbEdge 14" xfId="7248" xr:uid="{47F257A5-FD71-48E6-AF82-DA6B99C99676}"/>
    <cellStyle name="RISKtandbEdge 14 2" xfId="31613" xr:uid="{42FD7AA2-9839-4FE6-9F22-F7B6D4C28F88}"/>
    <cellStyle name="RISKtandbEdge 15" xfId="12298" xr:uid="{6D61FDCC-5995-41AE-B177-CD1FA8F5BD3D}"/>
    <cellStyle name="RISKtandbEdge 15 2" xfId="34804" xr:uid="{E02B24E6-211C-4B28-A51C-7A1755A505CF}"/>
    <cellStyle name="RISKtandbEdge 16" xfId="14041" xr:uid="{FA74587A-D580-4A7B-B9AD-1C3934AEE5BB}"/>
    <cellStyle name="RISKtandbEdge 16 2" xfId="36135" xr:uid="{777F96CC-401A-42D4-B1A9-E8C17E4BDD36}"/>
    <cellStyle name="RISKtandbEdge 17" xfId="17444" xr:uid="{9001A7BC-CBC3-4EDA-9E47-E442E35C8CF1}"/>
    <cellStyle name="RISKtandbEdge 17 2" xfId="38691" xr:uid="{F29E541C-B7F4-449A-B8A8-1B4A0F348544}"/>
    <cellStyle name="RISKtandbEdge 18" xfId="18292" xr:uid="{5C314BA7-DB8B-4A17-92EA-5A8494439684}"/>
    <cellStyle name="RISKtandbEdge 18 2" xfId="39323" xr:uid="{FA278B8B-DF1F-40F1-894A-AC5DE4733B38}"/>
    <cellStyle name="RISKtandbEdge 19" xfId="17188" xr:uid="{FB62C369-5032-4262-BC49-5CC884BA5FEF}"/>
    <cellStyle name="RISKtandbEdge 19 2" xfId="38517" xr:uid="{5A092BF8-EDAF-4830-B15D-E46B58B89B93}"/>
    <cellStyle name="RISKtandbEdge 2" xfId="4011" xr:uid="{2D47E94E-9898-4184-84E6-02C0F913874A}"/>
    <cellStyle name="RISKtandbEdge 2 10" xfId="12524" xr:uid="{94E0F57F-FDD5-45B6-887A-3DF4C9AB5DDF}"/>
    <cellStyle name="RISKtandbEdge 2 10 2" xfId="34968" xr:uid="{721C10C5-28F4-4215-96A8-B277DC6FC6B6}"/>
    <cellStyle name="RISKtandbEdge 2 11" xfId="17443" xr:uid="{AA70B056-4891-41F2-AFBF-8EDB0CA6D2DB}"/>
    <cellStyle name="RISKtandbEdge 2 11 2" xfId="38690" xr:uid="{2D549ABC-A986-43D5-84A4-C3447E4F2003}"/>
    <cellStyle name="RISKtandbEdge 2 12" xfId="18291" xr:uid="{27951AF1-6BEB-4C11-A8A0-0ED420EC7099}"/>
    <cellStyle name="RISKtandbEdge 2 12 2" xfId="39322" xr:uid="{2DAB2BBA-4B54-4950-A8C6-C9E3438E14E3}"/>
    <cellStyle name="RISKtandbEdge 2 13" xfId="12668" xr:uid="{9238EDE1-FCAE-47C1-94E0-76622B53E7E4}"/>
    <cellStyle name="RISKtandbEdge 2 13 2" xfId="35092" xr:uid="{3923EF96-64F1-45A3-9399-C936A3C2F4F6}"/>
    <cellStyle name="RISKtandbEdge 2 14" xfId="15745" xr:uid="{E5E7CC49-CECC-48CE-B46C-66FD90099F48}"/>
    <cellStyle name="RISKtandbEdge 2 14 2" xfId="37374" xr:uid="{EE37D689-C30C-48C3-B0E0-9B80C3B26DCE}"/>
    <cellStyle name="RISKtandbEdge 2 15" xfId="20663" xr:uid="{5880078A-AAE8-4175-9BA3-DE8CABB1FF19}"/>
    <cellStyle name="RISKtandbEdge 2 15 2" xfId="41023" xr:uid="{9524466B-9987-4897-AC77-4B6458ABED30}"/>
    <cellStyle name="RISKtandbEdge 2 16" xfId="16091" xr:uid="{D6FFF8AC-6F23-4D80-A375-E1A7FE4A66D4}"/>
    <cellStyle name="RISKtandbEdge 2 16 2" xfId="37661" xr:uid="{F26CE79E-F9B5-4CB1-90A9-C7B2643B9A27}"/>
    <cellStyle name="RISKtandbEdge 2 17" xfId="21223" xr:uid="{295C786C-D12C-48D0-AB38-3D0EAE80C951}"/>
    <cellStyle name="RISKtandbEdge 2 17 2" xfId="41416" xr:uid="{14ACEC75-9195-4200-AB04-04FA793440B6}"/>
    <cellStyle name="RISKtandbEdge 2 18" xfId="20248" xr:uid="{DF8E61F0-2EA1-4EF5-9C64-19D50381864B}"/>
    <cellStyle name="RISKtandbEdge 2 18 2" xfId="40693" xr:uid="{CD5AD4FB-AE93-4213-AE3D-D728F8D7F55C}"/>
    <cellStyle name="RISKtandbEdge 2 19" xfId="23393" xr:uid="{CDF5472B-15EE-4003-85C4-0FED56F61AE0}"/>
    <cellStyle name="RISKtandbEdge 2 19 2" xfId="42916" xr:uid="{667A36EF-FDCF-499F-B4B3-820AD4D73616}"/>
    <cellStyle name="RISKtandbEdge 2 2" xfId="4012" xr:uid="{0C19274D-D457-430F-9E02-5F7969481823}"/>
    <cellStyle name="RISKtandbEdge 2 2 10" xfId="16795" xr:uid="{D6624CF1-5FE8-4A4B-A5C4-5AF16B4C9AD5}"/>
    <cellStyle name="RISKtandbEdge 2 2 10 2" xfId="38229" xr:uid="{DDF8CF43-F5B1-46FA-B1DC-2DC43A1FB905}"/>
    <cellStyle name="RISKtandbEdge 2 2 11" xfId="17665" xr:uid="{95DDFF83-1B77-4504-8EE9-9A57A15D12B3}"/>
    <cellStyle name="RISKtandbEdge 2 2 11 2" xfId="38858" xr:uid="{37B09C95-9255-4E64-AA5A-AC5C408AC2C8}"/>
    <cellStyle name="RISKtandbEdge 2 2 12" xfId="19175" xr:uid="{ED841CC9-EBB7-4C25-B385-3B3FEC886DE2}"/>
    <cellStyle name="RISKtandbEdge 2 2 12 2" xfId="39984" xr:uid="{54ED2324-A0B2-4D86-BA98-16AF130C5A44}"/>
    <cellStyle name="RISKtandbEdge 2 2 13" xfId="19927" xr:uid="{CEAD7A82-8B6F-49A5-AA47-CEE5437BF82F}"/>
    <cellStyle name="RISKtandbEdge 2 2 13 2" xfId="40539" xr:uid="{CBA00FD7-514A-4F7A-9B01-DF4C5848712F}"/>
    <cellStyle name="RISKtandbEdge 2 2 14" xfId="15367" xr:uid="{5E7C11C1-9812-4992-AC14-C332B1527C4A}"/>
    <cellStyle name="RISKtandbEdge 2 2 14 2" xfId="37067" xr:uid="{0F83417F-8AB1-4C84-AB6B-AD519BB471D4}"/>
    <cellStyle name="RISKtandbEdge 2 2 15" xfId="19014" xr:uid="{7774918E-7B84-4451-9132-248922BBAAA4}"/>
    <cellStyle name="RISKtandbEdge 2 2 15 2" xfId="39846" xr:uid="{A19C413B-ACCC-4DE2-A2A2-22CD3D718D4C}"/>
    <cellStyle name="RISKtandbEdge 2 2 16" xfId="20171" xr:uid="{FD754C39-BEB1-4A2B-9FEB-B42D0CFCF039}"/>
    <cellStyle name="RISKtandbEdge 2 2 16 2" xfId="40678" xr:uid="{0F3915BC-FFDC-407A-B731-68E8E6BE7610}"/>
    <cellStyle name="RISKtandbEdge 2 2 17" xfId="23173" xr:uid="{96D150F9-F0D4-4752-B39D-A47E7D11B207}"/>
    <cellStyle name="RISKtandbEdge 2 2 17 2" xfId="42772" xr:uid="{6A445131-51A7-47DE-9142-C5A007BC2CD9}"/>
    <cellStyle name="RISKtandbEdge 2 2 18" xfId="23994" xr:uid="{44151D03-DD61-4124-A024-800B41BB6C1C}"/>
    <cellStyle name="RISKtandbEdge 2 2 18 2" xfId="43371" xr:uid="{0DE5631E-0C41-46BF-9D4E-006D2D1DDAAC}"/>
    <cellStyle name="RISKtandbEdge 2 2 19" xfId="19429" xr:uid="{D5ECB563-00B0-45AC-A235-35BA7FD6974E}"/>
    <cellStyle name="RISKtandbEdge 2 2 19 2" xfId="40149" xr:uid="{6E6B1DFD-4745-4BF7-8FAF-CCD7E6F155D3}"/>
    <cellStyle name="RISKtandbEdge 2 2 2" xfId="4013" xr:uid="{DB2264C9-0731-45CB-B875-043EFC736797}"/>
    <cellStyle name="RISKtandbEdge 2 2 2 10" xfId="17187" xr:uid="{F08F3B44-2733-4F07-A16B-F615E249ECF9}"/>
    <cellStyle name="RISKtandbEdge 2 2 2 10 2" xfId="38516" xr:uid="{D39722EA-C4DF-4486-B44D-BB0D78F47A93}"/>
    <cellStyle name="RISKtandbEdge 2 2 2 11" xfId="18035" xr:uid="{CE88D444-04C5-4FD1-A36C-C23888EB45CF}"/>
    <cellStyle name="RISKtandbEdge 2 2 2 11 2" xfId="39131" xr:uid="{46A7C820-AEF5-4B58-87A5-89948B306FCC}"/>
    <cellStyle name="RISKtandbEdge 2 2 2 12" xfId="20662" xr:uid="{79A26E56-6BE6-4A4A-A49F-2688BAE1CFE3}"/>
    <cellStyle name="RISKtandbEdge 2 2 2 12 2" xfId="41022" xr:uid="{BA68F44A-2507-4987-AEE0-FBCB69CC8ECD}"/>
    <cellStyle name="RISKtandbEdge 2 2 2 13" xfId="19033" xr:uid="{515E65B1-E30B-4456-AEE3-573DF84BFE55}"/>
    <cellStyle name="RISKtandbEdge 2 2 2 13 2" xfId="39865" xr:uid="{5497EE4C-4EBA-47FA-A43C-4E67196125DB}"/>
    <cellStyle name="RISKtandbEdge 2 2 2 14" xfId="17048" xr:uid="{16A19581-6B70-4572-B73F-B3FE7867D2E0}"/>
    <cellStyle name="RISKtandbEdge 2 2 2 14 2" xfId="38390" xr:uid="{12F762B1-009D-4E10-BF9C-A1C94821E6C6}"/>
    <cellStyle name="RISKtandbEdge 2 2 2 15" xfId="21775" xr:uid="{40A9F1E8-37E0-45E8-883D-54B5679EA7F4}"/>
    <cellStyle name="RISKtandbEdge 2 2 2 15 2" xfId="41777" xr:uid="{4D8D6442-77B8-4DAD-BFD7-6489AAD2FE5A}"/>
    <cellStyle name="RISKtandbEdge 2 2 2 16" xfId="23392" xr:uid="{DE6FE78C-646F-41BA-9F70-4DF304606A04}"/>
    <cellStyle name="RISKtandbEdge 2 2 2 16 2" xfId="42915" xr:uid="{A309779E-F167-4B3A-B35C-010FEEF6AAAF}"/>
    <cellStyle name="RISKtandbEdge 2 2 2 17" xfId="22147" xr:uid="{099BBCDA-D998-4164-A13F-4DE8153DDFDC}"/>
    <cellStyle name="RISKtandbEdge 2 2 2 17 2" xfId="42027" xr:uid="{B8A2347A-AB64-4E7E-9854-590D2CF8357F}"/>
    <cellStyle name="RISKtandbEdge 2 2 2 18" xfId="22740" xr:uid="{7E167D9C-7ED0-4906-9FE6-6C80EB11DBF4}"/>
    <cellStyle name="RISKtandbEdge 2 2 2 18 2" xfId="42497" xr:uid="{44CF74C4-B3E0-49CC-B941-FC27279F257B}"/>
    <cellStyle name="RISKtandbEdge 2 2 2 19" xfId="24023" xr:uid="{E4BD3C90-E454-49A2-9C5B-DF9780984C12}"/>
    <cellStyle name="RISKtandbEdge 2 2 2 19 2" xfId="43400" xr:uid="{044C6E02-020B-425B-8078-EDFE5FF2BB62}"/>
    <cellStyle name="RISKtandbEdge 2 2 2 2" xfId="11780" xr:uid="{99BAD9BC-BD05-4282-9B09-04FB3FF6C1FD}"/>
    <cellStyle name="RISKtandbEdge 2 2 2 2 2" xfId="34393" xr:uid="{2FCB081C-27A5-4599-AC5F-275717053A59}"/>
    <cellStyle name="RISKtandbEdge 2 2 2 20" xfId="25503" xr:uid="{C84DE8B6-B774-4096-A44D-54A6A6DC213C}"/>
    <cellStyle name="RISKtandbEdge 2 2 2 20 2" xfId="44379" xr:uid="{A017B943-A518-4FD5-A705-0E2FB9897755}"/>
    <cellStyle name="RISKtandbEdge 2 2 2 21" xfId="23796" xr:uid="{A61B9470-B247-45A6-8055-5ADF26AAB7E8}"/>
    <cellStyle name="RISKtandbEdge 2 2 2 21 2" xfId="43195" xr:uid="{D1A265D6-D48F-4B95-8864-8F2DF3783961}"/>
    <cellStyle name="RISKtandbEdge 2 2 2 22" xfId="25967" xr:uid="{8C980346-8120-43C1-9870-C3D8EF56557E}"/>
    <cellStyle name="RISKtandbEdge 2 2 2 22 2" xfId="44755" xr:uid="{F2D7EBFF-6C93-4844-9FF1-EFBC517F04FE}"/>
    <cellStyle name="RISKtandbEdge 2 2 2 23" xfId="21948" xr:uid="{004E125F-6C88-4D01-AD8F-A745A8672DA8}"/>
    <cellStyle name="RISKtandbEdge 2 2 2 23 2" xfId="41861" xr:uid="{6C233317-28EC-48C2-A9ED-B51F1FF3799F}"/>
    <cellStyle name="RISKtandbEdge 2 2 2 24" xfId="28291" xr:uid="{1F146420-E576-4AD8-A6F5-859CF71E0551}"/>
    <cellStyle name="RISKtandbEdge 2 2 2 24 2" xfId="46158" xr:uid="{7F5BBDB6-6112-4B1C-81E5-67B4937B28D6}"/>
    <cellStyle name="RISKtandbEdge 2 2 2 25" xfId="28054" xr:uid="{76FC0B26-C27D-4C8B-AB7D-EE4425985BBE}"/>
    <cellStyle name="RISKtandbEdge 2 2 2 25 2" xfId="46049" xr:uid="{D466FFC3-A9BF-46BA-BCA0-DEB0F9E20727}"/>
    <cellStyle name="RISKtandbEdge 2 2 2 26" xfId="27732" xr:uid="{FE7FD77E-9400-4EBB-A501-828D3A2800A3}"/>
    <cellStyle name="RISKtandbEdge 2 2 2 26 2" xfId="45837" xr:uid="{9AA91E37-51D1-4F7D-96E5-56A5E76E54A3}"/>
    <cellStyle name="RISKtandbEdge 2 2 2 27" xfId="30240" xr:uid="{9CD830C0-E94B-4237-935D-993ADC468892}"/>
    <cellStyle name="RISKtandbEdge 2 2 2 27 2" xfId="47401" xr:uid="{674E76AB-91BD-4632-A503-54603DB88F42}"/>
    <cellStyle name="RISKtandbEdge 2 2 2 28" xfId="29788" xr:uid="{468849CA-F218-4F64-8B91-846C710B4911}"/>
    <cellStyle name="RISKtandbEdge 2 2 2 28 2" xfId="47107" xr:uid="{38D32855-3634-4C2A-AFB8-93D9DDB22984}"/>
    <cellStyle name="RISKtandbEdge 2 2 2 29" xfId="30572" xr:uid="{53BB5BA1-E6CF-412A-B825-984B4EFCEB5A}"/>
    <cellStyle name="RISKtandbEdge 2 2 2 29 2" xfId="47522" xr:uid="{940EC616-9FE1-4D97-88A9-CBBCDB980405}"/>
    <cellStyle name="RISKtandbEdge 2 2 2 3" xfId="10256" xr:uid="{DE93AB5A-6102-41AA-8687-0ADD7891726B}"/>
    <cellStyle name="RISKtandbEdge 2 2 2 3 2" xfId="33891" xr:uid="{2F5EFB7B-291E-440C-8DF5-73C3334B3CA9}"/>
    <cellStyle name="RISKtandbEdge 2 2 2 30" xfId="6828" xr:uid="{4104864B-C0D7-448C-8E22-2A737CFF2419}"/>
    <cellStyle name="RISKtandbEdge 2 2 2 4" xfId="6998" xr:uid="{F88E472A-A36F-494B-BF8F-E967846DE552}"/>
    <cellStyle name="RISKtandbEdge 2 2 2 4 2" xfId="31365" xr:uid="{35EF1C7C-873B-44C6-9592-0BA3E47311D3}"/>
    <cellStyle name="RISKtandbEdge 2 2 2 5" xfId="11678" xr:uid="{B66C1593-A878-4DFF-A118-077991BA2996}"/>
    <cellStyle name="RISKtandbEdge 2 2 2 5 2" xfId="34291" xr:uid="{45E6582D-8222-47DD-ACB0-0FF430667E6C}"/>
    <cellStyle name="RISKtandbEdge 2 2 2 6" xfId="12299" xr:uid="{487C169E-B6BB-41B9-839F-361DE77CF464}"/>
    <cellStyle name="RISKtandbEdge 2 2 2 6 2" xfId="34805" xr:uid="{9696A86C-7DFA-42E8-A25B-49734D7CAC5D}"/>
    <cellStyle name="RISKtandbEdge 2 2 2 7" xfId="14040" xr:uid="{576A9629-7ED0-4EF4-99F7-C9F1256107F3}"/>
    <cellStyle name="RISKtandbEdge 2 2 2 7 2" xfId="36134" xr:uid="{0C999A06-2F45-4C7F-A95D-11AE130B5C03}"/>
    <cellStyle name="RISKtandbEdge 2 2 2 8" xfId="17442" xr:uid="{FC00E3B9-2987-420B-8A13-803C54994A24}"/>
    <cellStyle name="RISKtandbEdge 2 2 2 8 2" xfId="38689" xr:uid="{7C0966B3-F745-4004-B4AB-BC839FF2D839}"/>
    <cellStyle name="RISKtandbEdge 2 2 2 9" xfId="18290" xr:uid="{BE355382-17A3-444B-BEE5-8CB60F3D06EB}"/>
    <cellStyle name="RISKtandbEdge 2 2 2 9 2" xfId="39321" xr:uid="{6809DAF6-5414-4563-B586-E72A1C015580}"/>
    <cellStyle name="RISKtandbEdge 2 2 20" xfId="20369" xr:uid="{D537C116-DC88-4C70-9CED-37E3D3CD3562}"/>
    <cellStyle name="RISKtandbEdge 2 2 20 2" xfId="40796" xr:uid="{D26CFECE-D1E8-43E2-91C3-C0E9B163F0AF}"/>
    <cellStyle name="RISKtandbEdge 2 2 21" xfId="16165" xr:uid="{F9D4CD9F-3E85-4918-80D0-494BDA77F1C0}"/>
    <cellStyle name="RISKtandbEdge 2 2 21 2" xfId="37727" xr:uid="{CF9D21BA-7452-4962-BA26-772898A01FC0}"/>
    <cellStyle name="RISKtandbEdge 2 2 22" xfId="24245" xr:uid="{F77D56C3-D0D5-4226-ACB4-D0F1490828E2}"/>
    <cellStyle name="RISKtandbEdge 2 2 22 2" xfId="43559" xr:uid="{73EA3A8B-AEC1-413B-8F64-2F3391F84106}"/>
    <cellStyle name="RISKtandbEdge 2 2 23" xfId="26183" xr:uid="{16CB30CB-6889-45B6-A507-8DB929B8D6E7}"/>
    <cellStyle name="RISKtandbEdge 2 2 23 2" xfId="44913" xr:uid="{7EE00E3F-860F-4300-8703-F1922E00E6D1}"/>
    <cellStyle name="RISKtandbEdge 2 2 24" xfId="27824" xr:uid="{7EE344EA-6B23-434E-9150-85B53EDAC9CB}"/>
    <cellStyle name="RISKtandbEdge 2 2 24 2" xfId="45911" xr:uid="{28DEB357-B321-41C9-9753-631194723F34}"/>
    <cellStyle name="RISKtandbEdge 2 2 25" xfId="23709" xr:uid="{8274603C-C358-4347-9CBC-2E9006C0CAAC}"/>
    <cellStyle name="RISKtandbEdge 2 2 25 2" xfId="43127" xr:uid="{A55C4014-E39E-415B-8B37-83E311B00D04}"/>
    <cellStyle name="RISKtandbEdge 2 2 26" xfId="29076" xr:uid="{44413772-D032-4795-B9B0-5E170DAC4065}"/>
    <cellStyle name="RISKtandbEdge 2 2 26 2" xfId="46649" xr:uid="{3418E1BC-9CE8-452A-A05F-658C0B32C4CD}"/>
    <cellStyle name="RISKtandbEdge 2 2 27" xfId="26987" xr:uid="{9DC85FD0-5F10-40F7-89A1-B381D896BD42}"/>
    <cellStyle name="RISKtandbEdge 2 2 27 2" xfId="45394" xr:uid="{B230410A-7B60-4D77-A5D4-227700CE04D7}"/>
    <cellStyle name="RISKtandbEdge 2 2 28" xfId="22636" xr:uid="{C74E16C8-41EE-4756-9FE0-9298A716EA9D}"/>
    <cellStyle name="RISKtandbEdge 2 2 28 2" xfId="42410" xr:uid="{43512436-872B-454F-A5DA-43FF25AFC88D}"/>
    <cellStyle name="RISKtandbEdge 2 2 29" xfId="30706" xr:uid="{AB4E196B-812A-4502-82F3-921849BD92F9}"/>
    <cellStyle name="RISKtandbEdge 2 2 29 2" xfId="47652" xr:uid="{A03609E3-5AEA-401B-AF30-C00886A294B9}"/>
    <cellStyle name="RISKtandbEdge 2 2 3" xfId="4014" xr:uid="{E4CFBF2F-5A11-4DC0-9782-DEC666DEE72D}"/>
    <cellStyle name="RISKtandbEdge 2 2 3 10" xfId="19174" xr:uid="{CC3B13E8-7BA1-42A8-A601-DF1FF2C238B6}"/>
    <cellStyle name="RISKtandbEdge 2 2 3 10 2" xfId="39983" xr:uid="{9098F6F7-2965-40E0-B0F1-93201A24B3CC}"/>
    <cellStyle name="RISKtandbEdge 2 2 3 11" xfId="19926" xr:uid="{60A47DDA-3C08-4ACD-8AF5-365028CC9A18}"/>
    <cellStyle name="RISKtandbEdge 2 2 3 11 2" xfId="40538" xr:uid="{6A827624-C292-4838-8D1F-5439BA976D91}"/>
    <cellStyle name="RISKtandbEdge 2 2 3 12" xfId="18904" xr:uid="{DDF90CB1-B910-49C9-BB19-B0535C8936A7}"/>
    <cellStyle name="RISKtandbEdge 2 2 3 12 2" xfId="39737" xr:uid="{59F3CECD-1F0E-4BAB-AF67-66933992D765}"/>
    <cellStyle name="RISKtandbEdge 2 2 3 13" xfId="16082" xr:uid="{6253E825-C193-4026-BA1A-111551641522}"/>
    <cellStyle name="RISKtandbEdge 2 2 3 13 2" xfId="37653" xr:uid="{0A6B5F88-D23B-4759-87E6-F233EE028FC1}"/>
    <cellStyle name="RISKtandbEdge 2 2 3 14" xfId="22071" xr:uid="{F5304323-A2D3-4C88-A658-909B89E7D3E9}"/>
    <cellStyle name="RISKtandbEdge 2 2 3 14 2" xfId="41956" xr:uid="{79C64183-7FF8-40A5-818F-5CD97BA84B6F}"/>
    <cellStyle name="RISKtandbEdge 2 2 3 15" xfId="23172" xr:uid="{A790F06C-196D-4C99-A0B1-B1325F607591}"/>
    <cellStyle name="RISKtandbEdge 2 2 3 15 2" xfId="42771" xr:uid="{750E9658-EA97-42E5-BB10-C49AAD94E4E4}"/>
    <cellStyle name="RISKtandbEdge 2 2 3 16" xfId="23993" xr:uid="{BA336C37-F174-41C2-8E25-FDA8812E9F4A}"/>
    <cellStyle name="RISKtandbEdge 2 2 3 16 2" xfId="43370" xr:uid="{C80709F8-3281-4BA2-B7CB-D77B2AD47ADF}"/>
    <cellStyle name="RISKtandbEdge 2 2 3 17" xfId="21149" xr:uid="{59024307-A35E-4C25-B0CD-B759A93FB69D}"/>
    <cellStyle name="RISKtandbEdge 2 2 3 17 2" xfId="41345" xr:uid="{E8B51482-68E1-45DA-846B-4296DACD087F}"/>
    <cellStyle name="RISKtandbEdge 2 2 3 18" xfId="24548" xr:uid="{F34B3318-1AF4-4512-BF79-298CB41F920B}"/>
    <cellStyle name="RISKtandbEdge 2 2 3 18 2" xfId="43731" xr:uid="{B14E7B36-05C1-457D-94BC-593E1026354A}"/>
    <cellStyle name="RISKtandbEdge 2 2 3 19" xfId="18734" xr:uid="{0931A781-1946-4CD5-9638-C44CF1D55C60}"/>
    <cellStyle name="RISKtandbEdge 2 2 3 19 2" xfId="39609" xr:uid="{66B6C8B1-E19C-48E2-B68B-6F4EAF079AC5}"/>
    <cellStyle name="RISKtandbEdge 2 2 3 2" xfId="7354" xr:uid="{641955D1-E496-4FEA-BDB3-74ACEFE4989C}"/>
    <cellStyle name="RISKtandbEdge 2 2 3 2 2" xfId="31716" xr:uid="{BC072945-0946-4382-BFC4-13CB7BC89F3C}"/>
    <cellStyle name="RISKtandbEdge 2 2 3 20" xfId="26431" xr:uid="{BB8F4B1F-7E54-4C79-A254-D297445FC173}"/>
    <cellStyle name="RISKtandbEdge 2 2 3 20 2" xfId="45063" xr:uid="{40C9A978-6A25-47C9-974E-3A2E8AAC2757}"/>
    <cellStyle name="RISKtandbEdge 2 2 3 21" xfId="26182" xr:uid="{99A0F234-E8AB-4991-9BDD-A4DA79842CA2}"/>
    <cellStyle name="RISKtandbEdge 2 2 3 21 2" xfId="44912" xr:uid="{97503B73-668E-4714-827B-C6AF87B28740}"/>
    <cellStyle name="RISKtandbEdge 2 2 3 22" xfId="27823" xr:uid="{8A98EFD4-EBC9-48F4-8D72-1B0D45F0B714}"/>
    <cellStyle name="RISKtandbEdge 2 2 3 22 2" xfId="45910" xr:uid="{3FBDCDE0-E638-4783-B357-51483D680771}"/>
    <cellStyle name="RISKtandbEdge 2 2 3 23" xfId="25524" xr:uid="{6F0EA974-D2ED-4C31-9E68-C0B7D37E3A50}"/>
    <cellStyle name="RISKtandbEdge 2 2 3 23 2" xfId="44398" xr:uid="{3D9A8256-9C9F-4585-B62A-2CEBB3FC59B8}"/>
    <cellStyle name="RISKtandbEdge 2 2 3 24" xfId="29190" xr:uid="{593D2A39-5835-433F-920A-7EDE2BA90828}"/>
    <cellStyle name="RISKtandbEdge 2 2 3 24 2" xfId="46716" xr:uid="{50E4C334-4245-4A37-B8FF-6123A46F1925}"/>
    <cellStyle name="RISKtandbEdge 2 2 3 25" xfId="28304" xr:uid="{8352DEEC-6AAB-415A-AD19-D908F35CAFE3}"/>
    <cellStyle name="RISKtandbEdge 2 2 3 25 2" xfId="46171" xr:uid="{2A0EF426-0635-43E6-9095-DB3571E9B436}"/>
    <cellStyle name="RISKtandbEdge 2 2 3 26" xfId="27721" xr:uid="{6179DA90-4C21-4774-AEEF-F8484B560156}"/>
    <cellStyle name="RISKtandbEdge 2 2 3 26 2" xfId="45828" xr:uid="{F79950D5-34D3-4C8B-A862-4600AB60CA26}"/>
    <cellStyle name="RISKtandbEdge 2 2 3 27" xfId="30705" xr:uid="{C553D944-2D8D-414E-A89B-74827560E38E}"/>
    <cellStyle name="RISKtandbEdge 2 2 3 27 2" xfId="47651" xr:uid="{4CB7FCF2-B37F-4605-8C9A-7C9D272D1548}"/>
    <cellStyle name="RISKtandbEdge 2 2 3 28" xfId="29885" xr:uid="{7A92610C-B29D-4EBF-9FA0-2411A21B764D}"/>
    <cellStyle name="RISKtandbEdge 2 2 3 28 2" xfId="47173" xr:uid="{CF699557-5587-45F0-A729-AE04C6AE6046}"/>
    <cellStyle name="RISKtandbEdge 2 2 3 29" xfId="30619" xr:uid="{01C3CAF0-C1DD-4732-815E-D8BE39BEC343}"/>
    <cellStyle name="RISKtandbEdge 2 2 3 29 2" xfId="47565" xr:uid="{564357DD-0C80-457A-91BB-8D8CCC0D58C8}"/>
    <cellStyle name="RISKtandbEdge 2 2 3 3" xfId="13200" xr:uid="{2E1BDE85-5161-4EDB-A426-422315002060}"/>
    <cellStyle name="RISKtandbEdge 2 2 3 3 2" xfId="35548" xr:uid="{75E465EE-C81D-47BF-A00E-D901DCBE47B8}"/>
    <cellStyle name="RISKtandbEdge 2 2 3 30" xfId="6069" xr:uid="{49311894-ED45-4243-BB50-D47A5E73B3EC}"/>
    <cellStyle name="RISKtandbEdge 2 2 3 4" xfId="14216" xr:uid="{1E650469-ABAA-4462-953F-4EA8CC7AA385}"/>
    <cellStyle name="RISKtandbEdge 2 2 3 4 2" xfId="36269" xr:uid="{1A8FE56C-908B-486E-8F2B-6DBC53E64959}"/>
    <cellStyle name="RISKtandbEdge 2 2 3 5" xfId="7246" xr:uid="{68A1C203-A4F2-4360-993A-7023E5031B14}"/>
    <cellStyle name="RISKtandbEdge 2 2 3 5 2" xfId="31611" xr:uid="{3040CEE9-B049-4CD7-9ED3-03F993CF4890}"/>
    <cellStyle name="RISKtandbEdge 2 2 3 6" xfId="15499" xr:uid="{6531F07F-551D-4635-9552-C6CE5ECDECD7}"/>
    <cellStyle name="RISKtandbEdge 2 2 3 6 2" xfId="37164" xr:uid="{02DED042-71AE-4936-8931-12049172BC36}"/>
    <cellStyle name="RISKtandbEdge 2 2 3 7" xfId="16567" xr:uid="{36C0AF05-4B28-4BE3-A823-020CE6D4E7AD}"/>
    <cellStyle name="RISKtandbEdge 2 2 3 7 2" xfId="38060" xr:uid="{41CE6BD3-0CCB-40CF-A0E5-8355F906C143}"/>
    <cellStyle name="RISKtandbEdge 2 2 3 8" xfId="12696" xr:uid="{B2974B40-38C3-4AAF-97B2-ED38FF455E19}"/>
    <cellStyle name="RISKtandbEdge 2 2 3 8 2" xfId="35110" xr:uid="{95D4F65E-812C-45BC-8E3C-67AF5D5D38CF}"/>
    <cellStyle name="RISKtandbEdge 2 2 3 9" xfId="17664" xr:uid="{749FF954-74AE-47D7-B430-25E4FB88FD1C}"/>
    <cellStyle name="RISKtandbEdge 2 2 3 9 2" xfId="38857" xr:uid="{04F01E26-3DA7-4301-8E9C-F165BCB4AE79}"/>
    <cellStyle name="RISKtandbEdge 2 2 30" xfId="28914" xr:uid="{E4E93DD5-0084-4F6D-8BBA-6DF988761608}"/>
    <cellStyle name="RISKtandbEdge 2 2 30 2" xfId="46518" xr:uid="{DA158C4F-B695-4DF1-A2BC-2BF2E058DE70}"/>
    <cellStyle name="RISKtandbEdge 2 2 31" xfId="31006" xr:uid="{56BF5D4A-3FB8-4DCC-84EB-F94622FC7DFE}"/>
    <cellStyle name="RISKtandbEdge 2 2 31 2" xfId="47784" xr:uid="{C81E568B-9CCA-45F0-95B8-680E5E8C5F73}"/>
    <cellStyle name="RISKtandbEdge 2 2 32" xfId="6070" xr:uid="{DCCF5368-B1D6-4101-88A6-2FB45C57098F}"/>
    <cellStyle name="RISKtandbEdge 2 2 4" xfId="7355" xr:uid="{3EA0B1C5-52F7-4873-AD33-38DE9D398A93}"/>
    <cellStyle name="RISKtandbEdge 2 2 4 2" xfId="31717" xr:uid="{7862101B-3C77-4D95-BA80-E3BA8E9B0204}"/>
    <cellStyle name="RISKtandbEdge 2 2 5" xfId="13201" xr:uid="{6B60AC27-CE13-4722-B5CC-0428B30FA826}"/>
    <cellStyle name="RISKtandbEdge 2 2 5 2" xfId="35549" xr:uid="{B4B062A4-FE5F-41A1-8C5A-68108BAA91CF}"/>
    <cellStyle name="RISKtandbEdge 2 2 6" xfId="14217" xr:uid="{862ED7D5-51BD-43A2-BFCA-BA4D74317314}"/>
    <cellStyle name="RISKtandbEdge 2 2 6 2" xfId="36270" xr:uid="{78AF6FE1-D1A2-4E69-9F22-BC0914EC4A69}"/>
    <cellStyle name="RISKtandbEdge 2 2 7" xfId="7227" xr:uid="{AEA673D8-1CC8-4D44-BF06-D3371B39EF26}"/>
    <cellStyle name="RISKtandbEdge 2 2 7 2" xfId="31592" xr:uid="{902662E8-CD49-4C09-9144-8A981A941886}"/>
    <cellStyle name="RISKtandbEdge 2 2 8" xfId="12760" xr:uid="{0D6E6767-4D5F-4E68-87D5-90EE77982830}"/>
    <cellStyle name="RISKtandbEdge 2 2 8 2" xfId="35169" xr:uid="{5C23D3CE-4110-43C4-A5FA-2F6DF5F2D7C3}"/>
    <cellStyle name="RISKtandbEdge 2 2 9" xfId="16568" xr:uid="{7DC2BF18-E815-4F90-A8A2-0F68822BD1DA}"/>
    <cellStyle name="RISKtandbEdge 2 2 9 2" xfId="38061" xr:uid="{500596DF-05EA-4C1C-805E-EF0E2B361861}"/>
    <cellStyle name="RISKtandbEdge 2 20" xfId="16198" xr:uid="{5D6750D2-545F-4861-9962-EC8C6CC55448}"/>
    <cellStyle name="RISKtandbEdge 2 20 2" xfId="37755" xr:uid="{215F38BC-4A51-4044-B2C6-58A7B92FB248}"/>
    <cellStyle name="RISKtandbEdge 2 21" xfId="25311" xr:uid="{F503DC14-B5F3-4CF8-9545-B4D1F3E98C62}"/>
    <cellStyle name="RISKtandbEdge 2 21 2" xfId="44227" xr:uid="{B7AC01DF-9BE7-4713-AD45-F8EB9AF19F83}"/>
    <cellStyle name="RISKtandbEdge 2 22" xfId="18751" xr:uid="{3A2AA9F3-94B7-4B35-AC53-66BD5B035240}"/>
    <cellStyle name="RISKtandbEdge 2 22 2" xfId="39626" xr:uid="{159FC012-A596-4362-BADF-D68B50E56708}"/>
    <cellStyle name="RISKtandbEdge 2 23" xfId="26571" xr:uid="{C186C6CA-3625-4CFD-B1B9-64B0DD1647C8}"/>
    <cellStyle name="RISKtandbEdge 2 23 2" xfId="45137" xr:uid="{EEC9732C-FEC9-4B07-B548-64BDE59BB0A5}"/>
    <cellStyle name="RISKtandbEdge 2 24" xfId="27318" xr:uid="{97A7E99D-7ED8-491C-8D02-E42DC453C3B5}"/>
    <cellStyle name="RISKtandbEdge 2 24 2" xfId="45621" xr:uid="{EA05239E-BF81-4617-A925-3C4B540D9FB2}"/>
    <cellStyle name="RISKtandbEdge 2 25" xfId="25829" xr:uid="{3D96A1D4-3B30-4BF8-8CD6-AE3FB9BC8263}"/>
    <cellStyle name="RISKtandbEdge 2 25 2" xfId="44652" xr:uid="{30F126FF-F8C6-4D58-97BC-737E26469244}"/>
    <cellStyle name="RISKtandbEdge 2 26" xfId="23576" xr:uid="{0464147A-2574-4A8F-BE96-4BDF44AEC4DB}"/>
    <cellStyle name="RISKtandbEdge 2 26 2" xfId="43011" xr:uid="{B28C51C4-27BD-4D61-B62C-90F7CA67B24F}"/>
    <cellStyle name="RISKtandbEdge 2 27" xfId="26980" xr:uid="{DCE27D19-F9AD-46FC-8607-874A82A57FA6}"/>
    <cellStyle name="RISKtandbEdge 2 27 2" xfId="45387" xr:uid="{0769B44B-6ACA-4A7F-A40C-08EF469B7AF0}"/>
    <cellStyle name="RISKtandbEdge 2 28" xfId="29174" xr:uid="{1DFBACC2-C8F4-47BE-94F0-A45BF859DB49}"/>
    <cellStyle name="RISKtandbEdge 2 28 2" xfId="46700" xr:uid="{729BF39A-62A8-462C-B3C4-DD2DD3E171FB}"/>
    <cellStyle name="RISKtandbEdge 2 29" xfId="29899" xr:uid="{08F7698F-7AFF-447A-8F3E-33CAD8E34DF8}"/>
    <cellStyle name="RISKtandbEdge 2 29 2" xfId="47187" xr:uid="{F5C141BD-51C6-471A-B75B-4D00AD174E55}"/>
    <cellStyle name="RISKtandbEdge 2 3" xfId="4015" xr:uid="{88040115-023F-47A3-AB51-9BFC8E4AFD7F}"/>
    <cellStyle name="RISKtandbEdge 2 3 10" xfId="16817" xr:uid="{6B36729C-7703-4701-BD2D-6D7FDBD267F6}"/>
    <cellStyle name="RISKtandbEdge 2 3 10 2" xfId="38245" xr:uid="{233BE085-F332-4F0E-8C12-68575CDA442D}"/>
    <cellStyle name="RISKtandbEdge 2 3 11" xfId="12839" xr:uid="{938F5158-AC4D-40E1-AEC8-A102A90B6041}"/>
    <cellStyle name="RISKtandbEdge 2 3 11 2" xfId="35220" xr:uid="{C63BE26E-9FCB-4900-985F-B164F1D8E306}"/>
    <cellStyle name="RISKtandbEdge 2 3 12" xfId="20661" xr:uid="{4037C7DF-070B-447D-9CAC-034AF35D6BC6}"/>
    <cellStyle name="RISKtandbEdge 2 3 12 2" xfId="41021" xr:uid="{477D2082-5C3D-43F5-890B-99D940073344}"/>
    <cellStyle name="RISKtandbEdge 2 3 13" xfId="19032" xr:uid="{590F3828-7592-4698-B5AA-C454EABB977C}"/>
    <cellStyle name="RISKtandbEdge 2 3 13 2" xfId="39864" xr:uid="{367B0285-EE86-4E70-92A9-D644BA91D520}"/>
    <cellStyle name="RISKtandbEdge 2 3 14" xfId="22571" xr:uid="{5E956001-9BA9-436D-BC9B-C4BCAE730DDF}"/>
    <cellStyle name="RISKtandbEdge 2 3 14 2" xfId="42357" xr:uid="{D5A5DD13-2768-4CF8-B267-8451DF8B55A0}"/>
    <cellStyle name="RISKtandbEdge 2 3 15" xfId="20479" xr:uid="{ABE3B00C-824A-46A4-BF42-303267DA2C94}"/>
    <cellStyle name="RISKtandbEdge 2 3 15 2" xfId="40872" xr:uid="{B76C4094-D483-4CB9-8418-5FD26B51BA33}"/>
    <cellStyle name="RISKtandbEdge 2 3 16" xfId="22199" xr:uid="{377AE4C4-3FF0-41FB-B99D-33DFD0AD4917}"/>
    <cellStyle name="RISKtandbEdge 2 3 16 2" xfId="42078" xr:uid="{52FD6E43-F94D-4E66-AF4F-F56EDF8F11BC}"/>
    <cellStyle name="RISKtandbEdge 2 3 17" xfId="18576" xr:uid="{A470F2D6-EE8C-413C-8330-60F2C74D6854}"/>
    <cellStyle name="RISKtandbEdge 2 3 17 2" xfId="39520" xr:uid="{69C34DAB-8561-4261-959C-81C8437D79D0}"/>
    <cellStyle name="RISKtandbEdge 2 3 18" xfId="25312" xr:uid="{6CB2AEA3-D695-46F8-86D8-67BD513CBB2A}"/>
    <cellStyle name="RISKtandbEdge 2 3 18 2" xfId="44228" xr:uid="{BD48A0C8-991A-48F3-981B-4E42FF533191}"/>
    <cellStyle name="RISKtandbEdge 2 3 19" xfId="24009" xr:uid="{5160AA46-2BA7-4829-A74E-7D99C1B3D3D2}"/>
    <cellStyle name="RISKtandbEdge 2 3 19 2" xfId="43386" xr:uid="{A33A0783-A1DB-42F1-84C1-F08CB626A38D}"/>
    <cellStyle name="RISKtandbEdge 2 3 2" xfId="11779" xr:uid="{9FA79317-ECA0-48A3-82DE-388AB667BF77}"/>
    <cellStyle name="RISKtandbEdge 2 3 2 2" xfId="34392" xr:uid="{070B6C56-3677-4F51-ACEE-B20285A8B2C8}"/>
    <cellStyle name="RISKtandbEdge 2 3 20" xfId="25437" xr:uid="{9D137DCF-0789-440C-ABCB-CBAD07ABF018}"/>
    <cellStyle name="RISKtandbEdge 2 3 20 2" xfId="44323" xr:uid="{D0D8055F-4175-4CCA-A2CE-A40411990321}"/>
    <cellStyle name="RISKtandbEdge 2 3 21" xfId="27317" xr:uid="{DEC6365F-7F51-4727-AEF3-043403BE85FB}"/>
    <cellStyle name="RISKtandbEdge 2 3 21 2" xfId="45620" xr:uid="{3B4D6364-728E-4009-8782-7FFDFD42D766}"/>
    <cellStyle name="RISKtandbEdge 2 3 22" xfId="23693" xr:uid="{B29DC2E9-9231-41AA-8F2E-1E5E992387AD}"/>
    <cellStyle name="RISKtandbEdge 2 3 22 2" xfId="43113" xr:uid="{C119DD2C-5B7C-47AC-AEB9-2770C50F8A6A}"/>
    <cellStyle name="RISKtandbEdge 2 3 23" xfId="23577" xr:uid="{63A64D2A-A2A2-45F5-A141-4605083375AC}"/>
    <cellStyle name="RISKtandbEdge 2 3 23 2" xfId="43012" xr:uid="{76DC39B1-F278-4049-B57C-C6D6077F60AB}"/>
    <cellStyle name="RISKtandbEdge 2 3 24" xfId="29587" xr:uid="{E997EE50-3A85-4EE4-85B7-F37504F75931}"/>
    <cellStyle name="RISKtandbEdge 2 3 24 2" xfId="46982" xr:uid="{CBF8A460-90D7-4FF3-B9C9-E08D3F9FAE4A}"/>
    <cellStyle name="RISKtandbEdge 2 3 25" xfId="27676" xr:uid="{D1D9C386-7B1C-4E8C-9194-F7CF62768B1A}"/>
    <cellStyle name="RISKtandbEdge 2 3 25 2" xfId="45790" xr:uid="{359542F9-DB65-480F-A735-EF0F2C67D221}"/>
    <cellStyle name="RISKtandbEdge 2 3 26" xfId="30377" xr:uid="{353531B9-E975-482B-BF58-F522892C7F1E}"/>
    <cellStyle name="RISKtandbEdge 2 3 26 2" xfId="47476" xr:uid="{B1EF8364-0426-4A78-A26E-4B7C59BC60B2}"/>
    <cellStyle name="RISKtandbEdge 2 3 27" xfId="30500" xr:uid="{46070774-E0B2-469C-BA76-0CA4E853E152}"/>
    <cellStyle name="RISKtandbEdge 2 3 27 2" xfId="47504" xr:uid="{65D1A6F2-8C17-4419-B291-F2CA88B8D9D5}"/>
    <cellStyle name="RISKtandbEdge 2 3 28" xfId="29784" xr:uid="{18E44416-C5B5-44AB-B9F3-C9739A9436F8}"/>
    <cellStyle name="RISKtandbEdge 2 3 28 2" xfId="47103" xr:uid="{33FD3ABA-8B58-49D9-8D10-A11553012AFE}"/>
    <cellStyle name="RISKtandbEdge 2 3 29" xfId="30885" xr:uid="{5D9EFD12-419A-40E9-AE36-2009BBC0185E}"/>
    <cellStyle name="RISKtandbEdge 2 3 29 2" xfId="47733" xr:uid="{02F622D5-8B7C-4312-9718-48055D28403B}"/>
    <cellStyle name="RISKtandbEdge 2 3 3" xfId="10257" xr:uid="{CD5ADF76-88F4-4B52-A8B9-76FFC5EDDDE8}"/>
    <cellStyle name="RISKtandbEdge 2 3 3 2" xfId="33892" xr:uid="{27453B97-2B20-49E4-A056-6869B1AAF52F}"/>
    <cellStyle name="RISKtandbEdge 2 3 30" xfId="6827" xr:uid="{8D9B72A3-24DD-42D4-B214-5E505F8C72FF}"/>
    <cellStyle name="RISKtandbEdge 2 3 4" xfId="6997" xr:uid="{30756A92-9E45-4561-AB9C-E03718D81E0A}"/>
    <cellStyle name="RISKtandbEdge 2 3 4 2" xfId="31364" xr:uid="{0BD1175A-73E5-43DA-82BB-BB382F129611}"/>
    <cellStyle name="RISKtandbEdge 2 3 5" xfId="11677" xr:uid="{210420FD-B6CF-48D9-8758-64CC6D72BD52}"/>
    <cellStyle name="RISKtandbEdge 2 3 5 2" xfId="34290" xr:uid="{6349B188-C192-4D4E-ABF9-C0E41A4D44F0}"/>
    <cellStyle name="RISKtandbEdge 2 3 6" xfId="16015" xr:uid="{C83D888C-10C2-4277-B400-6FB5A8FBE035}"/>
    <cellStyle name="RISKtandbEdge 2 3 6 2" xfId="37598" xr:uid="{CB3C391A-2BEC-41B6-B892-81CBDECED63A}"/>
    <cellStyle name="RISKtandbEdge 2 3 7" xfId="12542" xr:uid="{D58288BF-236D-4025-B52A-FC5775044973}"/>
    <cellStyle name="RISKtandbEdge 2 3 7 2" xfId="34986" xr:uid="{D126478F-6293-46BC-AFBC-39FD7195ECE7}"/>
    <cellStyle name="RISKtandbEdge 2 3 8" xfId="17441" xr:uid="{9A5D63E5-8F3A-464C-8FFF-E7C2129BDD42}"/>
    <cellStyle name="RISKtandbEdge 2 3 8 2" xfId="38688" xr:uid="{F22EF9FD-1A14-4C2A-AF29-02AEB7BD10AC}"/>
    <cellStyle name="RISKtandbEdge 2 3 9" xfId="18289" xr:uid="{042E9D98-87ED-4BF1-A875-43F6DDCB81AD}"/>
    <cellStyle name="RISKtandbEdge 2 3 9 2" xfId="39320" xr:uid="{B482244A-E6B5-4303-88F9-172FF6862F4B}"/>
    <cellStyle name="RISKtandbEdge 2 30" xfId="28250" xr:uid="{8B7F152A-3F6B-4E65-97B5-E7D616E0E92A}"/>
    <cellStyle name="RISKtandbEdge 2 30 2" xfId="46125" xr:uid="{649F6080-C333-44AD-B6A8-C37CF7C481EC}"/>
    <cellStyle name="RISKtandbEdge 2 31" xfId="27746" xr:uid="{70DA00EE-9605-41E6-8969-077C11020E12}"/>
    <cellStyle name="RISKtandbEdge 2 31 2" xfId="45847" xr:uid="{0FA0D71A-231C-4087-B142-A83540792C6A}"/>
    <cellStyle name="RISKtandbEdge 2 32" xfId="30594" xr:uid="{18E33242-DA19-4AAA-A003-97DFB725E94F}"/>
    <cellStyle name="RISKtandbEdge 2 32 2" xfId="47544" xr:uid="{B9798FE6-6CAD-4BD0-819C-25D2773FA35C}"/>
    <cellStyle name="RISKtandbEdge 2 33" xfId="6829" xr:uid="{C85233AC-11C2-4204-AF1B-4882FC0944A4}"/>
    <cellStyle name="RISKtandbEdge 2 4" xfId="4016" xr:uid="{693604F6-1E51-4FA4-B8CB-8B913C76E5B6}"/>
    <cellStyle name="RISKtandbEdge 2 4 10" xfId="19173" xr:uid="{E48B0715-6954-4AF5-B839-94025A50765D}"/>
    <cellStyle name="RISKtandbEdge 2 4 10 2" xfId="39982" xr:uid="{0C607E4E-C7DC-48CD-A468-198B4483F6DA}"/>
    <cellStyle name="RISKtandbEdge 2 4 11" xfId="19925" xr:uid="{71AFBA39-BB48-4B8C-AF37-83BA303BFCF6}"/>
    <cellStyle name="RISKtandbEdge 2 4 11 2" xfId="40537" xr:uid="{9A18ED89-136F-4938-90CD-07E21D5B33FD}"/>
    <cellStyle name="RISKtandbEdge 2 4 12" xfId="16838" xr:uid="{1576AC9D-C5C2-4676-B4F6-010F23D9DC33}"/>
    <cellStyle name="RISKtandbEdge 2 4 12 2" xfId="38266" xr:uid="{BA7211C5-785E-4322-BDBC-6A1DD7F519A3}"/>
    <cellStyle name="RISKtandbEdge 2 4 13" xfId="15334" xr:uid="{E3DD1390-F8ED-43E3-A078-0C988C9F4B01}"/>
    <cellStyle name="RISKtandbEdge 2 4 13 2" xfId="37034" xr:uid="{40D8B92F-2D0F-4C98-A3AC-B2C744B99DB9}"/>
    <cellStyle name="RISKtandbEdge 2 4 14" xfId="17874" xr:uid="{8844BA3A-A21F-4F13-A10F-DA77F157F4C7}"/>
    <cellStyle name="RISKtandbEdge 2 4 14 2" xfId="38990" xr:uid="{7FDD1E3A-A7A7-44D2-8CAF-1E9F966C2181}"/>
    <cellStyle name="RISKtandbEdge 2 4 15" xfId="23171" xr:uid="{DD2C1CB5-C9F8-4E8B-B2CC-F6F5F9BFDC9F}"/>
    <cellStyle name="RISKtandbEdge 2 4 15 2" xfId="42770" xr:uid="{F8E9C769-7866-4BA6-927C-F309915A573C}"/>
    <cellStyle name="RISKtandbEdge 2 4 16" xfId="23992" xr:uid="{D8C193DB-8364-4A54-B1C9-47832DD3E151}"/>
    <cellStyle name="RISKtandbEdge 2 4 16 2" xfId="43369" xr:uid="{6A0B93AC-AE64-4A76-8395-4F71B6FDC544}"/>
    <cellStyle name="RISKtandbEdge 2 4 17" xfId="18691" xr:uid="{0D0221DB-220D-4AC3-8CCB-D4E9ABDFE84B}"/>
    <cellStyle name="RISKtandbEdge 2 4 17 2" xfId="39570" xr:uid="{7678BE0E-3500-4AD6-9F7C-FC32A1A294E9}"/>
    <cellStyle name="RISKtandbEdge 2 4 18" xfId="21067" xr:uid="{71B9DBD0-FF8B-4098-B26A-F18F34E50B98}"/>
    <cellStyle name="RISKtandbEdge 2 4 18 2" xfId="41312" xr:uid="{51F1CF5F-F9A8-4F7A-BF23-E8F4058AAAC3}"/>
    <cellStyle name="RISKtandbEdge 2 4 19" xfId="18566" xr:uid="{6145A314-566B-4EEE-92EF-309A71553157}"/>
    <cellStyle name="RISKtandbEdge 2 4 19 2" xfId="39510" xr:uid="{A9C1ECB8-CA68-4F24-9F86-AA0C47C5A37B}"/>
    <cellStyle name="RISKtandbEdge 2 4 2" xfId="7353" xr:uid="{3CC3E3B9-A61D-40F4-ABC5-11381D9C8B0C}"/>
    <cellStyle name="RISKtandbEdge 2 4 2 2" xfId="31715" xr:uid="{404FF6BC-CD89-4970-A206-74ACE934C71D}"/>
    <cellStyle name="RISKtandbEdge 2 4 20" xfId="22247" xr:uid="{C314A758-F2A9-4BD9-8B55-7063667973DF}"/>
    <cellStyle name="RISKtandbEdge 2 4 20 2" xfId="42118" xr:uid="{66581A16-673A-4B41-A7D0-054E347F666D}"/>
    <cellStyle name="RISKtandbEdge 2 4 21" xfId="22613" xr:uid="{DF3E5036-C067-4747-8277-F6080861F279}"/>
    <cellStyle name="RISKtandbEdge 2 4 21 2" xfId="42391" xr:uid="{5C46CC08-5458-4A37-A114-E022E4E823CB}"/>
    <cellStyle name="RISKtandbEdge 2 4 22" xfId="23733" xr:uid="{E85B8BE5-43EE-4214-A675-99007F8ADA1E}"/>
    <cellStyle name="RISKtandbEdge 2 4 22 2" xfId="43148" xr:uid="{D323D146-C77F-41FD-85E6-BD6756EEB37A}"/>
    <cellStyle name="RISKtandbEdge 2 4 23" xfId="23705" xr:uid="{7B8E60BF-98FC-4098-88DD-6E41075A9A75}"/>
    <cellStyle name="RISKtandbEdge 2 4 23 2" xfId="43123" xr:uid="{F738BB8C-D4F9-4A60-A41D-5C7C41D44D72}"/>
    <cellStyle name="RISKtandbEdge 2 4 24" xfId="28994" xr:uid="{20842EDC-7487-4402-A16E-F9F299E70AFE}"/>
    <cellStyle name="RISKtandbEdge 2 4 24 2" xfId="46588" xr:uid="{A4F28FCC-B3A5-4C21-9D2F-76615800F9F8}"/>
    <cellStyle name="RISKtandbEdge 2 4 25" xfId="28979" xr:uid="{8DAEBADA-6FB3-4A26-8DF8-D43B4CFE07E7}"/>
    <cellStyle name="RISKtandbEdge 2 4 25 2" xfId="46573" xr:uid="{1E49ADC0-3D23-44BB-B7DE-0A34F9C333A6}"/>
    <cellStyle name="RISKtandbEdge 2 4 26" xfId="25856" xr:uid="{DB30D058-AD9C-4313-84A0-386A67669042}"/>
    <cellStyle name="RISKtandbEdge 2 4 26 2" xfId="44674" xr:uid="{701D2F30-ACD3-4980-BEE9-6EAF8D9719D6}"/>
    <cellStyle name="RISKtandbEdge 2 4 27" xfId="29605" xr:uid="{25E86B03-CA96-4BAB-9E52-3FAEE88ECD5D}"/>
    <cellStyle name="RISKtandbEdge 2 4 27 2" xfId="46997" xr:uid="{39FF2FB7-0719-43E7-9ED9-82958558CD19}"/>
    <cellStyle name="RISKtandbEdge 2 4 28" xfId="29240" xr:uid="{C22AD1A1-2AF7-4E05-9354-6BE1CB0C0E50}"/>
    <cellStyle name="RISKtandbEdge 2 4 28 2" xfId="46758" xr:uid="{1B58D9F7-122C-4FBD-885B-3A5CDEAAE155}"/>
    <cellStyle name="RISKtandbEdge 2 4 29" xfId="29033" xr:uid="{48C489D4-81A8-4197-88BD-BCDE20A8BDC4}"/>
    <cellStyle name="RISKtandbEdge 2 4 29 2" xfId="46620" xr:uid="{2213E7E9-1087-4EF6-80A3-E3022376882A}"/>
    <cellStyle name="RISKtandbEdge 2 4 3" xfId="13199" xr:uid="{C7AF73C3-28F8-4707-81EE-40F9E7F18B26}"/>
    <cellStyle name="RISKtandbEdge 2 4 3 2" xfId="35547" xr:uid="{0D983591-A97F-4087-A1BB-A0810B27B867}"/>
    <cellStyle name="RISKtandbEdge 2 4 30" xfId="6068" xr:uid="{33F2E0F5-2F1C-4A59-B1D8-89A3ADC38FC9}"/>
    <cellStyle name="RISKtandbEdge 2 4 4" xfId="14215" xr:uid="{379CC7D6-8DC2-48B4-9FBF-DE5E354C5162}"/>
    <cellStyle name="RISKtandbEdge 2 4 4 2" xfId="36268" xr:uid="{7EE746AD-E06C-4B74-9D71-FF24CA7D66C0}"/>
    <cellStyle name="RISKtandbEdge 2 4 5" xfId="7245" xr:uid="{FC8DA3FA-FD00-4705-94B8-05DDEF606B86}"/>
    <cellStyle name="RISKtandbEdge 2 4 5 2" xfId="31610" xr:uid="{1F8E6060-1475-4846-8106-8920786E283C}"/>
    <cellStyle name="RISKtandbEdge 2 4 6" xfId="14564" xr:uid="{18C695B2-C0F9-4532-834A-4E9A6E08C2D7}"/>
    <cellStyle name="RISKtandbEdge 2 4 6 2" xfId="36488" xr:uid="{4B9554BE-FD94-4A22-B056-27B373C60BF7}"/>
    <cellStyle name="RISKtandbEdge 2 4 7" xfId="16566" xr:uid="{28A93D98-AC66-4812-A7D9-09ED9BC05411}"/>
    <cellStyle name="RISKtandbEdge 2 4 7 2" xfId="38059" xr:uid="{0683FD08-16B3-478D-9AAE-B6602AD7E2EF}"/>
    <cellStyle name="RISKtandbEdge 2 4 8" xfId="13716" xr:uid="{EF769FDD-E5DE-4EA4-BE6E-AA344196F0F4}"/>
    <cellStyle name="RISKtandbEdge 2 4 8 2" xfId="35872" xr:uid="{25482358-5CDA-4F69-935D-634A911C3D71}"/>
    <cellStyle name="RISKtandbEdge 2 4 9" xfId="16298" xr:uid="{C817B945-4791-4D6C-A01A-995527922032}"/>
    <cellStyle name="RISKtandbEdge 2 4 9 2" xfId="37835" xr:uid="{69532018-6D08-4FDC-800E-BE14AA65AB4C}"/>
    <cellStyle name="RISKtandbEdge 2 5" xfId="11781" xr:uid="{D957667A-AA46-4F37-AD14-6FCC29801065}"/>
    <cellStyle name="RISKtandbEdge 2 5 2" xfId="34394" xr:uid="{811389F7-A9B2-478E-9A53-29DE61B52335}"/>
    <cellStyle name="RISKtandbEdge 2 6" xfId="10255" xr:uid="{256BFDCF-23C6-4ADA-A69C-899B4BCCF7F9}"/>
    <cellStyle name="RISKtandbEdge 2 6 2" xfId="33890" xr:uid="{08E79918-D465-4FDB-9E78-60FBB3D1D36A}"/>
    <cellStyle name="RISKtandbEdge 2 7" xfId="6999" xr:uid="{4E3D5172-9463-49BF-82AA-4BB4F25A9B79}"/>
    <cellStyle name="RISKtandbEdge 2 7 2" xfId="31366" xr:uid="{99F7B220-2CC2-4312-8208-7B8208009319}"/>
    <cellStyle name="RISKtandbEdge 2 8" xfId="7247" xr:uid="{BCCDE84A-EE38-406E-AD55-1D5F5D7DA377}"/>
    <cellStyle name="RISKtandbEdge 2 8 2" xfId="31612" xr:uid="{428D35B8-C8D4-4418-B4B3-5A1E1C51AAFE}"/>
    <cellStyle name="RISKtandbEdge 2 9" xfId="14662" xr:uid="{48AC54CE-2F8E-4F44-8EB9-3FBEBA6EFB75}"/>
    <cellStyle name="RISKtandbEdge 2 9 2" xfId="36574" xr:uid="{6E183E3E-5F55-4246-8ABE-7F722CE4DF84}"/>
    <cellStyle name="RISKtandbEdge 20" xfId="17685" xr:uid="{D143FAE9-F8C0-4AC2-BDB1-198A8BEEF4F3}"/>
    <cellStyle name="RISKtandbEdge 20 2" xfId="38870" xr:uid="{7837BD41-C8F5-482C-9305-432DD1C417E4}"/>
    <cellStyle name="RISKtandbEdge 21" xfId="20664" xr:uid="{F66A23CC-8567-4DEB-8599-1420A913A414}"/>
    <cellStyle name="RISKtandbEdge 21 2" xfId="41024" xr:uid="{BAA19D2F-38EB-4159-B93D-6EDDFED2B7CB}"/>
    <cellStyle name="RISKtandbEdge 22" xfId="15337" xr:uid="{65B3FA29-F0E1-4540-89C5-2EF062D36A64}"/>
    <cellStyle name="RISKtandbEdge 22 2" xfId="37037" xr:uid="{CBF82638-F9AE-43E8-9B96-190C3E219282}"/>
    <cellStyle name="RISKtandbEdge 23" xfId="22570" xr:uid="{105D0B93-7211-4DE8-99ED-CAF3F26F3320}"/>
    <cellStyle name="RISKtandbEdge 23 2" xfId="42356" xr:uid="{CACF3751-9D8A-4D38-BF55-0C1C60AC1308}"/>
    <cellStyle name="RISKtandbEdge 24" xfId="18818" xr:uid="{DD22CB8B-B084-42A8-9FC3-032AC83A2D7D}"/>
    <cellStyle name="RISKtandbEdge 24 2" xfId="39670" xr:uid="{3AE45B25-3E87-4AB4-A10A-952882AB2D30}"/>
    <cellStyle name="RISKtandbEdge 25" xfId="18740" xr:uid="{84085C63-BDE8-461E-AF6F-8F4AD4E1180B}"/>
    <cellStyle name="RISKtandbEdge 25 2" xfId="39615" xr:uid="{E258CA62-5DDC-4ED8-B26A-02034E28D401}"/>
    <cellStyle name="RISKtandbEdge 26" xfId="22146" xr:uid="{8D5146A9-1E0D-4D37-B88B-9319124C5A86}"/>
    <cellStyle name="RISKtandbEdge 26 2" xfId="42026" xr:uid="{8495C7A9-662C-4F6F-B80E-497DE1C91328}"/>
    <cellStyle name="RISKtandbEdge 27" xfId="22741" xr:uid="{68787F9B-9070-4CAA-8B46-873F3258DC57}"/>
    <cellStyle name="RISKtandbEdge 27 2" xfId="42498" xr:uid="{8C5131A4-EA9B-4839-9DEC-A71CEF6F37D0}"/>
    <cellStyle name="RISKtandbEdge 28" xfId="19480" xr:uid="{65E7C540-D139-44D0-B2CC-515F93FA528E}"/>
    <cellStyle name="RISKtandbEdge 28 2" xfId="40157" xr:uid="{6EFED45C-A622-4952-B9B7-C57DC308B7D2}"/>
    <cellStyle name="RISKtandbEdge 29" xfId="26572" xr:uid="{47B1C98B-A0C1-4C86-BC00-C17CDA71FD41}"/>
    <cellStyle name="RISKtandbEdge 29 2" xfId="45138" xr:uid="{A2166B6F-BD8A-4F3F-815A-CD811E5E173D}"/>
    <cellStyle name="RISKtandbEdge 3" xfId="4017" xr:uid="{AE9B1F54-D347-47C2-A3EF-AEC79F4C5DD1}"/>
    <cellStyle name="RISKtandbEdge 3 10" xfId="17440" xr:uid="{E2BAEAE9-FB17-4535-9B26-55C7C1CA5EDA}"/>
    <cellStyle name="RISKtandbEdge 3 10 2" xfId="38687" xr:uid="{229E6A14-1478-4A7B-B7EB-F9FECDA64066}"/>
    <cellStyle name="RISKtandbEdge 3 11" xfId="18288" xr:uid="{E7F96B9B-EAB2-4DD9-AFC8-D4F31333C087}"/>
    <cellStyle name="RISKtandbEdge 3 11 2" xfId="39319" xr:uid="{FD0C4676-E70F-4CE5-9F2B-F02BC9D5A36F}"/>
    <cellStyle name="RISKtandbEdge 3 12" xfId="17186" xr:uid="{49935C36-0514-45B3-B428-72D1B93E0430}"/>
    <cellStyle name="RISKtandbEdge 3 12 2" xfId="38515" xr:uid="{BD42220A-83AB-4608-B16F-2983B7475501}"/>
    <cellStyle name="RISKtandbEdge 3 13" xfId="13907" xr:uid="{703C7AD7-570B-4DA8-A4F6-17353B28532A}"/>
    <cellStyle name="RISKtandbEdge 3 13 2" xfId="36020" xr:uid="{553CAF2F-8B82-4580-99BD-537D8A51FC53}"/>
    <cellStyle name="RISKtandbEdge 3 14" xfId="20660" xr:uid="{4A5193A3-EBC7-4F60-93A4-A67C6A0DC06A}"/>
    <cellStyle name="RISKtandbEdge 3 14 2" xfId="41020" xr:uid="{8AB58AE8-B441-4341-98F2-728C5B2C94C3}"/>
    <cellStyle name="RISKtandbEdge 3 15" xfId="19031" xr:uid="{88F5D49E-A7D7-46C8-A875-600A27489C57}"/>
    <cellStyle name="RISKtandbEdge 3 15 2" xfId="39863" xr:uid="{AEADAD37-D145-4213-8E78-DBF3358CBC1E}"/>
    <cellStyle name="RISKtandbEdge 3 16" xfId="21222" xr:uid="{75661F3C-BF02-4EAD-AD49-DDB20E3C6456}"/>
    <cellStyle name="RISKtandbEdge 3 16 2" xfId="41415" xr:uid="{9F15858C-FBC7-4C1F-8147-B8EC6CED64EF}"/>
    <cellStyle name="RISKtandbEdge 3 17" xfId="16138" xr:uid="{918E1573-734D-4712-A82D-E362259DBD4A}"/>
    <cellStyle name="RISKtandbEdge 3 17 2" xfId="37704" xr:uid="{C54E7C1E-6F9F-42D1-A661-213203F9B2E6}"/>
    <cellStyle name="RISKtandbEdge 3 18" xfId="19487" xr:uid="{E3D2B8C5-7EDB-4B73-A292-AA77FBC761CC}"/>
    <cellStyle name="RISKtandbEdge 3 18 2" xfId="40164" xr:uid="{4FB3C7BF-D09F-43AB-A4C2-6AE3CED89A4A}"/>
    <cellStyle name="RISKtandbEdge 3 19" xfId="22148" xr:uid="{D5FB410C-BE93-4C49-AE00-0D2A78992085}"/>
    <cellStyle name="RISKtandbEdge 3 19 2" xfId="42028" xr:uid="{1DBDCF97-97B9-4693-AC2E-19AAC58DA076}"/>
    <cellStyle name="RISKtandbEdge 3 2" xfId="4018" xr:uid="{23BA1211-4332-4B19-A02C-4E6616B61EC1}"/>
    <cellStyle name="RISKtandbEdge 3 2 10" xfId="19172" xr:uid="{99DD4575-CC7A-4477-BDF8-A632DC799851}"/>
    <cellStyle name="RISKtandbEdge 3 2 10 2" xfId="39981" xr:uid="{400F0CDB-4C4E-46D5-9639-0FFB9377B8D5}"/>
    <cellStyle name="RISKtandbEdge 3 2 11" xfId="19924" xr:uid="{4C6E1AEF-FCEE-4ADF-8C13-7E65AECF702B}"/>
    <cellStyle name="RISKtandbEdge 3 2 11 2" xfId="40536" xr:uid="{ED7040D3-6015-475F-A9BC-C3F74CDF34BC}"/>
    <cellStyle name="RISKtandbEdge 3 2 12" xfId="18903" xr:uid="{ED009CAA-48B8-4976-98AC-9D2056855A78}"/>
    <cellStyle name="RISKtandbEdge 3 2 12 2" xfId="39736" xr:uid="{73B85782-D05C-40BA-9156-7C80D3A0B5C0}"/>
    <cellStyle name="RISKtandbEdge 3 2 13" xfId="17117" xr:uid="{66357A7E-ACEB-4420-809D-0441A3F4BDC1}"/>
    <cellStyle name="RISKtandbEdge 3 2 13 2" xfId="38456" xr:uid="{86D2AB39-EBF1-4F0F-A0F3-C3FA4649BA1B}"/>
    <cellStyle name="RISKtandbEdge 3 2 14" xfId="22072" xr:uid="{53EE83A5-BE02-488D-A136-11FD7847ABFF}"/>
    <cellStyle name="RISKtandbEdge 3 2 14 2" xfId="41957" xr:uid="{BEF9CD4E-2DC9-4845-AAE3-F4E3BCE4BC27}"/>
    <cellStyle name="RISKtandbEdge 3 2 15" xfId="23170" xr:uid="{89062B81-255F-42DC-AAA8-91A57A221DCE}"/>
    <cellStyle name="RISKtandbEdge 3 2 15 2" xfId="42769" xr:uid="{8724272D-5E4A-4269-A3C6-E10ADAFCE6E9}"/>
    <cellStyle name="RISKtandbEdge 3 2 16" xfId="23991" xr:uid="{FA8C93FA-0AC0-42A1-9B24-D4E58FD844C2}"/>
    <cellStyle name="RISKtandbEdge 3 2 16 2" xfId="43368" xr:uid="{9A89944C-6568-4F99-8552-437F070BDAA9}"/>
    <cellStyle name="RISKtandbEdge 3 2 17" xfId="21148" xr:uid="{23635E8A-3FD7-4983-86A0-540B9624550C}"/>
    <cellStyle name="RISKtandbEdge 3 2 17 2" xfId="41344" xr:uid="{9D7DE18F-B795-4F53-A276-E9FA8C1A5BAA}"/>
    <cellStyle name="RISKtandbEdge 3 2 18" xfId="24547" xr:uid="{7D6FD9A0-09CC-4C18-AC1D-181AFE035AC2}"/>
    <cellStyle name="RISKtandbEdge 3 2 18 2" xfId="43730" xr:uid="{BE1D07BA-A3B0-404E-BE01-427DBAC01ACA}"/>
    <cellStyle name="RISKtandbEdge 3 2 19" xfId="22590" xr:uid="{6699999A-3489-4F40-88F4-A01ADF619ED8}"/>
    <cellStyle name="RISKtandbEdge 3 2 19 2" xfId="42376" xr:uid="{3C592962-7AF2-46F2-B3C0-2D606880D8C4}"/>
    <cellStyle name="RISKtandbEdge 3 2 2" xfId="7352" xr:uid="{034C6FAE-B4D0-4209-B746-D8020181660D}"/>
    <cellStyle name="RISKtandbEdge 3 2 2 2" xfId="31714" xr:uid="{AC11F53C-A626-4AE9-8F67-34B4CEEC3316}"/>
    <cellStyle name="RISKtandbEdge 3 2 20" xfId="23663" xr:uid="{7C3C321E-711D-475A-8605-FC7477C8EC9C}"/>
    <cellStyle name="RISKtandbEdge 3 2 20 2" xfId="43086" xr:uid="{48EE29D6-BBA6-4541-9921-0A61C2BB3693}"/>
    <cellStyle name="RISKtandbEdge 3 2 21" xfId="26181" xr:uid="{028ADC84-34B2-4E45-A0D7-0C0E48DF229A}"/>
    <cellStyle name="RISKtandbEdge 3 2 21 2" xfId="44911" xr:uid="{D90B2C6F-D1CF-4EA8-B99E-7AA0933E3F49}"/>
    <cellStyle name="RISKtandbEdge 3 2 22" xfId="27822" xr:uid="{BD034EB7-3991-417B-8CAF-7DC692EF7CD8}"/>
    <cellStyle name="RISKtandbEdge 3 2 22 2" xfId="45909" xr:uid="{18342B46-0C5B-48CE-8FED-9A6D9D60464D}"/>
    <cellStyle name="RISKtandbEdge 3 2 23" xfId="25533" xr:uid="{8D2A39A8-B794-4A92-9AB8-BFFD83A2E37E}"/>
    <cellStyle name="RISKtandbEdge 3 2 23 2" xfId="44407" xr:uid="{C9045573-D042-49DB-A85C-7C89A126213D}"/>
    <cellStyle name="RISKtandbEdge 3 2 24" xfId="26892" xr:uid="{51A80980-0C1D-427A-B145-E950A1211969}"/>
    <cellStyle name="RISKtandbEdge 3 2 24 2" xfId="45315" xr:uid="{AA89BDC5-02DF-49D5-A27A-AC8C724ABC0F}"/>
    <cellStyle name="RISKtandbEdge 3 2 25" xfId="26035" xr:uid="{929B3D29-620A-4CD9-8789-4635840408B0}"/>
    <cellStyle name="RISKtandbEdge 3 2 25 2" xfId="44806" xr:uid="{64E7D5FC-8FA4-4EA6-B5AC-E5A122796985}"/>
    <cellStyle name="RISKtandbEdge 3 2 26" xfId="29234" xr:uid="{BBEAC3B2-AE85-4CA4-A3DC-494F1925DFCB}"/>
    <cellStyle name="RISKtandbEdge 3 2 26 2" xfId="46753" xr:uid="{02BE0809-701F-4D68-AEB6-AE58A944F590}"/>
    <cellStyle name="RISKtandbEdge 3 2 27" xfId="30704" xr:uid="{D632D7F8-C0F5-454E-9113-3586AE21885F}"/>
    <cellStyle name="RISKtandbEdge 3 2 27 2" xfId="47650" xr:uid="{B03CEBC1-D881-466E-83BA-D7CCFF5E995C}"/>
    <cellStyle name="RISKtandbEdge 3 2 28" xfId="30163" xr:uid="{E15D1431-9BB9-4AD8-BC71-9AE7DD93F664}"/>
    <cellStyle name="RISKtandbEdge 3 2 28 2" xfId="47327" xr:uid="{0331B66E-901E-487D-830B-E317351D3D4B}"/>
    <cellStyle name="RISKtandbEdge 3 2 29" xfId="30618" xr:uid="{5080AFD7-9DB3-4692-8A98-C1FFE587134F}"/>
    <cellStyle name="RISKtandbEdge 3 2 29 2" xfId="47564" xr:uid="{397B95DE-7711-4A38-83BD-108EE29FD334}"/>
    <cellStyle name="RISKtandbEdge 3 2 3" xfId="13198" xr:uid="{3E51A115-B2BA-4C93-91BA-F290CE08D593}"/>
    <cellStyle name="RISKtandbEdge 3 2 3 2" xfId="35546" xr:uid="{E376138F-5BCF-4B37-A8B0-E69BC65BFC06}"/>
    <cellStyle name="RISKtandbEdge 3 2 30" xfId="6067" xr:uid="{B8A15D78-18D0-4C4F-9DAD-61A10B393DC5}"/>
    <cellStyle name="RISKtandbEdge 3 2 4" xfId="14214" xr:uid="{E834ADA2-3655-449B-8BB4-6CB87EE8CDDE}"/>
    <cellStyle name="RISKtandbEdge 3 2 4 2" xfId="36267" xr:uid="{29EC3DFF-9537-4BBC-86A5-0A02406C3C4A}"/>
    <cellStyle name="RISKtandbEdge 3 2 5" xfId="11675" xr:uid="{405504B4-C229-4ABA-A285-E537F01F6436}"/>
    <cellStyle name="RISKtandbEdge 3 2 5 2" xfId="34288" xr:uid="{92545AE5-89C5-455D-97F4-34B262528D29}"/>
    <cellStyle name="RISKtandbEdge 3 2 6" xfId="15500" xr:uid="{1512C6AB-35D9-405B-88C2-8E682185C02D}"/>
    <cellStyle name="RISKtandbEdge 3 2 6 2" xfId="37165" xr:uid="{E49A4546-EBFD-4BEE-B84E-62317E811E00}"/>
    <cellStyle name="RISKtandbEdge 3 2 7" xfId="16565" xr:uid="{DD38BE68-D972-454B-9998-C7D0B8631C4C}"/>
    <cellStyle name="RISKtandbEdge 3 2 7 2" xfId="38058" xr:uid="{0F13D6B9-4FEE-4152-975C-C824E2DD02A7}"/>
    <cellStyle name="RISKtandbEdge 3 2 8" xfId="15630" xr:uid="{96285329-15EE-45A3-BF2C-1C559623D3F5}"/>
    <cellStyle name="RISKtandbEdge 3 2 8 2" xfId="37288" xr:uid="{93757D99-07DB-4895-8C5C-77C66B3D2441}"/>
    <cellStyle name="RISKtandbEdge 3 2 9" xfId="12612" xr:uid="{995DF704-F00B-4F78-A92C-18D583AF6B73}"/>
    <cellStyle name="RISKtandbEdge 3 2 9 2" xfId="35044" xr:uid="{124BD7E2-4343-4F10-9AFB-59D7D19880D0}"/>
    <cellStyle name="RISKtandbEdge 3 20" xfId="22739" xr:uid="{58266E0F-18FF-49E0-8F21-BBDA397CFDB2}"/>
    <cellStyle name="RISKtandbEdge 3 20 2" xfId="42496" xr:uid="{D92759D7-4799-4A3A-A489-1F39198F5777}"/>
    <cellStyle name="RISKtandbEdge 3 21" xfId="24008" xr:uid="{E526B474-05C0-416B-9E22-A4547A9BC812}"/>
    <cellStyle name="RISKtandbEdge 3 21 2" xfId="43385" xr:uid="{5C00518C-1581-4A56-8980-FF5442C2781A}"/>
    <cellStyle name="RISKtandbEdge 3 22" xfId="25171" xr:uid="{535B9339-BA42-4BEA-9CB1-3468CA65001E}"/>
    <cellStyle name="RISKtandbEdge 3 22 2" xfId="44115" xr:uid="{516106BD-A2BC-4F8F-B032-A6AF0E6AE5EE}"/>
    <cellStyle name="RISKtandbEdge 3 23" xfId="27316" xr:uid="{B81EBB57-EDA4-436C-8CEE-64E2CE4798F1}"/>
    <cellStyle name="RISKtandbEdge 3 23 2" xfId="45619" xr:uid="{B26E23F6-CC58-4B99-9C73-9733E4557B89}"/>
    <cellStyle name="RISKtandbEdge 3 24" xfId="27496" xr:uid="{205DBE30-E7C6-4D40-9E27-E5FF632F613C}"/>
    <cellStyle name="RISKtandbEdge 3 24 2" xfId="45695" xr:uid="{2AFC9A57-38C2-49BF-9418-74FB4E3CAC13}"/>
    <cellStyle name="RISKtandbEdge 3 25" xfId="25457" xr:uid="{F3E1BE66-7CC1-4487-BDCC-E015A3B1E6D3}"/>
    <cellStyle name="RISKtandbEdge 3 25 2" xfId="44341" xr:uid="{D9DEC064-2D1F-46A1-833F-A1F51E24A861}"/>
    <cellStyle name="RISKtandbEdge 3 26" xfId="26033" xr:uid="{772FEF7C-6FBB-4FD4-A6FF-994B020FB68D}"/>
    <cellStyle name="RISKtandbEdge 3 26 2" xfId="44804" xr:uid="{17516367-9CE4-4332-82E9-C80FBF249F1A}"/>
    <cellStyle name="RISKtandbEdge 3 27" xfId="26540" xr:uid="{D17531FC-404F-4760-A46C-12F518719C34}"/>
    <cellStyle name="RISKtandbEdge 3 27 2" xfId="45115" xr:uid="{B812DF97-C50E-4B82-8F16-5FD6CF6FADB5}"/>
    <cellStyle name="RISKtandbEdge 3 28" xfId="29378" xr:uid="{B1C64757-9556-4AC1-B61F-73B460892B86}"/>
    <cellStyle name="RISKtandbEdge 3 28 2" xfId="46847" xr:uid="{1C31E03D-D7AE-4C4C-8C8E-D9E15516C012}"/>
    <cellStyle name="RISKtandbEdge 3 29" xfId="30239" xr:uid="{F2318DB9-EABE-4CDA-BA5E-D601C4E5448F}"/>
    <cellStyle name="RISKtandbEdge 3 29 2" xfId="47400" xr:uid="{6A890C29-7812-43F8-B077-03BA8FE66EE0}"/>
    <cellStyle name="RISKtandbEdge 3 3" xfId="4019" xr:uid="{C99AD596-51E4-4EDF-AAAA-D31CB8392F69}"/>
    <cellStyle name="RISKtandbEdge 3 3 10" xfId="13794" xr:uid="{2EBFB0C7-87F3-4502-88F2-9DE245355D5A}"/>
    <cellStyle name="RISKtandbEdge 3 3 10 2" xfId="35925" xr:uid="{653241D9-4F7E-4307-9AA0-C5021C5AD769}"/>
    <cellStyle name="RISKtandbEdge 3 3 11" xfId="18034" xr:uid="{4D43005B-ABD1-4EA6-93C9-17F59EC41177}"/>
    <cellStyle name="RISKtandbEdge 3 3 11 2" xfId="39130" xr:uid="{F071440A-7197-4D93-B747-5D894B9D8D4E}"/>
    <cellStyle name="RISKtandbEdge 3 3 12" xfId="20659" xr:uid="{C1DB5329-7B0C-4CC1-B014-0F1ACF3B43F2}"/>
    <cellStyle name="RISKtandbEdge 3 3 12 2" xfId="41019" xr:uid="{353AFE3A-D9E3-4F26-A133-C826DB6E7BB3}"/>
    <cellStyle name="RISKtandbEdge 3 3 13" xfId="19030" xr:uid="{A5ECDB1B-1215-4A17-A33F-38A47FA18A46}"/>
    <cellStyle name="RISKtandbEdge 3 3 13 2" xfId="39862" xr:uid="{0F8AAD90-6EE3-4F49-BE44-8F488614CB07}"/>
    <cellStyle name="RISKtandbEdge 3 3 14" xfId="19394" xr:uid="{2FB56DD4-70C4-4D0D-A9C4-BE34A7EA8590}"/>
    <cellStyle name="RISKtandbEdge 3 3 14 2" xfId="40115" xr:uid="{3B9FA7FB-EA3C-43EB-8172-5FBF63B60D6B}"/>
    <cellStyle name="RISKtandbEdge 3 3 15" xfId="20478" xr:uid="{9D48DAE7-1491-4088-A75A-75F0F01900F3}"/>
    <cellStyle name="RISKtandbEdge 3 3 15 2" xfId="40871" xr:uid="{6AAFDCC3-0FE6-456D-A0E2-AE7ED2CB6F6C}"/>
    <cellStyle name="RISKtandbEdge 3 3 16" xfId="20325" xr:uid="{1CBA8418-7A1B-4522-B7FB-FB9AD2A0E41F}"/>
    <cellStyle name="RISKtandbEdge 3 3 16 2" xfId="40758" xr:uid="{7D166F00-D990-4F7C-AB04-1CCBCF0F78C3}"/>
    <cellStyle name="RISKtandbEdge 3 3 17" xfId="21044" xr:uid="{28492FA2-EDFC-4C25-8ABC-2FD84563965F}"/>
    <cellStyle name="RISKtandbEdge 3 3 17 2" xfId="41292" xr:uid="{411CB87F-B742-4B99-8334-3F9425AE786D}"/>
    <cellStyle name="RISKtandbEdge 3 3 18" xfId="25313" xr:uid="{25257F85-D4C1-4115-9C9D-AB9D21D08EB4}"/>
    <cellStyle name="RISKtandbEdge 3 3 18 2" xfId="44229" xr:uid="{75E17D37-359C-44B5-84E6-9ADE00456552}"/>
    <cellStyle name="RISKtandbEdge 3 3 19" xfId="24007" xr:uid="{7012B95A-5A1F-435D-BD0B-498CE6A62199}"/>
    <cellStyle name="RISKtandbEdge 3 3 19 2" xfId="43384" xr:uid="{15389F45-1126-4DAC-B144-0DD6EAD1CBB9}"/>
    <cellStyle name="RISKtandbEdge 3 3 2" xfId="11777" xr:uid="{4C02E1B3-C551-480F-B304-67D24C14720B}"/>
    <cellStyle name="RISKtandbEdge 3 3 2 2" xfId="34390" xr:uid="{12A0C4E7-0AC9-4444-A59C-3CC77923F6C3}"/>
    <cellStyle name="RISKtandbEdge 3 3 20" xfId="22657" xr:uid="{1F95ABFE-B636-4A71-9509-EBC7D29F3922}"/>
    <cellStyle name="RISKtandbEdge 3 3 20 2" xfId="42428" xr:uid="{045A3272-A756-48E4-8DE9-12242C711F1D}"/>
    <cellStyle name="RISKtandbEdge 3 3 21" xfId="27315" xr:uid="{CE50D7B5-4965-459E-8A61-A11E60874466}"/>
    <cellStyle name="RISKtandbEdge 3 3 21 2" xfId="45618" xr:uid="{899AED05-5F60-43BD-8BA7-CFC79708DF84}"/>
    <cellStyle name="RISKtandbEdge 3 3 22" xfId="27495" xr:uid="{70FC66CE-5097-4E4C-9AD1-E0692FB68AFA}"/>
    <cellStyle name="RISKtandbEdge 3 3 22 2" xfId="45694" xr:uid="{591CED26-E2F4-49AE-83D6-36938A0F17AF}"/>
    <cellStyle name="RISKtandbEdge 3 3 23" xfId="25525" xr:uid="{279F2C15-B80F-47C4-8E54-489CFAF35A75}"/>
    <cellStyle name="RISKtandbEdge 3 3 23 2" xfId="44399" xr:uid="{2BF39804-2063-425A-964C-EADE44E93032}"/>
    <cellStyle name="RISKtandbEdge 3 3 24" xfId="26978" xr:uid="{A1A150CE-771D-4ABE-AA61-B208F648053E}"/>
    <cellStyle name="RISKtandbEdge 3 3 24 2" xfId="45385" xr:uid="{8437D626-B5C9-4B2D-9B6C-B585E98D1FEE}"/>
    <cellStyle name="RISKtandbEdge 3 3 25" xfId="29175" xr:uid="{2ADA3CE3-88A4-4ADA-998C-368CE38E4A1F}"/>
    <cellStyle name="RISKtandbEdge 3 3 25 2" xfId="46701" xr:uid="{4FE2C935-9C64-477A-B0EB-4D139B1DDAB3}"/>
    <cellStyle name="RISKtandbEdge 3 3 26" xfId="25197" xr:uid="{95479C3E-9B18-45E6-8E4B-6C013D718549}"/>
    <cellStyle name="RISKtandbEdge 3 3 26 2" xfId="44139" xr:uid="{53E87B75-9B07-4E56-891D-5FFCB93208DD}"/>
    <cellStyle name="RISKtandbEdge 3 3 27" xfId="28128" xr:uid="{6BA72112-799E-4D50-B0C2-667312CE1E88}"/>
    <cellStyle name="RISKtandbEdge 3 3 27 2" xfId="46068" xr:uid="{B508E797-2F1C-45F6-9DE2-9299DD5BBF20}"/>
    <cellStyle name="RISKtandbEdge 3 3 28" xfId="25199" xr:uid="{8BE56527-E354-4A6E-8F6C-9F394689C6D5}"/>
    <cellStyle name="RISKtandbEdge 3 3 28 2" xfId="44141" xr:uid="{235C0C66-6A46-4B69-A412-E2E740B95D46}"/>
    <cellStyle name="RISKtandbEdge 3 3 29" xfId="30593" xr:uid="{12AD7FD9-280E-46F8-833F-46DD820136D5}"/>
    <cellStyle name="RISKtandbEdge 3 3 29 2" xfId="47543" xr:uid="{39A0E314-37E3-4ED1-B5D5-9E04EE60D13E}"/>
    <cellStyle name="RISKtandbEdge 3 3 3" xfId="10259" xr:uid="{3BBE400E-C85F-44A7-9D49-FA5CEF66A9D8}"/>
    <cellStyle name="RISKtandbEdge 3 3 3 2" xfId="33894" xr:uid="{002C0EE8-D443-4FF5-BE19-6DFD67E2B6A5}"/>
    <cellStyle name="RISKtandbEdge 3 3 30" xfId="6825" xr:uid="{AC98EDD8-8ADF-4B11-90F2-06C3C607BB05}"/>
    <cellStyle name="RISKtandbEdge 3 3 4" xfId="6995" xr:uid="{2097742F-72B0-4A82-AF15-878A8296A38E}"/>
    <cellStyle name="RISKtandbEdge 3 3 4 2" xfId="31362" xr:uid="{F73CAB4B-E1F4-4BB0-9FA6-5BE0EF522472}"/>
    <cellStyle name="RISKtandbEdge 3 3 5" xfId="7243" xr:uid="{95653F4F-BB98-45F8-8EB7-D5DA42BEE816}"/>
    <cellStyle name="RISKtandbEdge 3 3 5 2" xfId="31608" xr:uid="{A1CA9D21-EAB5-4B90-BB07-1B4953801650}"/>
    <cellStyle name="RISKtandbEdge 3 3 6" xfId="14661" xr:uid="{AE96422D-77AF-4E5C-8365-A493FE0F6293}"/>
    <cellStyle name="RISKtandbEdge 3 3 6 2" xfId="36573" xr:uid="{8DDE9AAF-6EAA-4EAF-870F-A220B0E31A20}"/>
    <cellStyle name="RISKtandbEdge 3 3 7" xfId="12814" xr:uid="{0B80A6CA-31D1-4F42-9F12-42958D9839B9}"/>
    <cellStyle name="RISKtandbEdge 3 3 7 2" xfId="35203" xr:uid="{E66BC0E3-094D-4FBE-B861-D343C68F1465}"/>
    <cellStyle name="RISKtandbEdge 3 3 8" xfId="17439" xr:uid="{D525DE67-FA8A-48C4-ADED-E9E559F5A72F}"/>
    <cellStyle name="RISKtandbEdge 3 3 8 2" xfId="38686" xr:uid="{DC3F0994-92D1-4966-B29F-D1C9327296BD}"/>
    <cellStyle name="RISKtandbEdge 3 3 9" xfId="18287" xr:uid="{592464F6-33A8-4B3E-97C9-7BD7B0838620}"/>
    <cellStyle name="RISKtandbEdge 3 3 9 2" xfId="39318" xr:uid="{26179C04-8283-4BB9-A68C-DA0EB849B046}"/>
    <cellStyle name="RISKtandbEdge 3 30" xfId="29782" xr:uid="{BBE6E8C0-56B6-4EA5-919E-52DA1756D090}"/>
    <cellStyle name="RISKtandbEdge 3 30 2" xfId="47101" xr:uid="{1E81D900-9C11-4A0A-8D61-A0A57024BD2A}"/>
    <cellStyle name="RISKtandbEdge 3 31" xfId="30906" xr:uid="{82FD10B2-F58B-49BF-9D8C-A945066DBEAF}"/>
    <cellStyle name="RISKtandbEdge 3 31 2" xfId="47754" xr:uid="{5B38F835-9F47-4569-B862-F7FE17502FD9}"/>
    <cellStyle name="RISKtandbEdge 3 32" xfId="6826" xr:uid="{EF579B16-012C-4B0A-A19D-9688CA873787}"/>
    <cellStyle name="RISKtandbEdge 3 4" xfId="11778" xr:uid="{896F1A90-4EBB-495A-9DAA-6BFAB07A14E6}"/>
    <cellStyle name="RISKtandbEdge 3 4 2" xfId="34391" xr:uid="{662AFDFB-3595-40F1-92EF-8A4CB367DD24}"/>
    <cellStyle name="RISKtandbEdge 3 5" xfId="10258" xr:uid="{ED863780-5FA8-4557-8C1B-FD9395907CC5}"/>
    <cellStyle name="RISKtandbEdge 3 5 2" xfId="33893" xr:uid="{9FE7F9EE-187A-4249-BB22-996FC4079D19}"/>
    <cellStyle name="RISKtandbEdge 3 6" xfId="6996" xr:uid="{22575E69-8BA5-4582-8F62-014BC288B5C3}"/>
    <cellStyle name="RISKtandbEdge 3 6 2" xfId="31363" xr:uid="{7177D797-C79B-4775-9C05-7D09D814C410}"/>
    <cellStyle name="RISKtandbEdge 3 7" xfId="7244" xr:uid="{F2F541E9-7D32-4B7B-939F-681CC1C2F7BB}"/>
    <cellStyle name="RISKtandbEdge 3 7 2" xfId="31609" xr:uid="{4661DF65-AE6D-4C7B-87A6-8365CA2DB203}"/>
    <cellStyle name="RISKtandbEdge 3 8" xfId="16014" xr:uid="{3B95CA24-49D6-4575-B134-FAC26DF6D4D8}"/>
    <cellStyle name="RISKtandbEdge 3 8 2" xfId="37597" xr:uid="{22DCB34C-6C54-4B68-A741-3EB1E05A914C}"/>
    <cellStyle name="RISKtandbEdge 3 9" xfId="12525" xr:uid="{A6D6FF2A-5BE5-4C56-B96F-BB87BC1BA6CA}"/>
    <cellStyle name="RISKtandbEdge 3 9 2" xfId="34969" xr:uid="{A59247EE-1B62-46A3-B773-7E8A64EFDB8D}"/>
    <cellStyle name="RISKtandbEdge 30" xfId="27319" xr:uid="{FE106AB6-F827-4CCD-9B0B-BEA99AF286E6}"/>
    <cellStyle name="RISKtandbEdge 30 2" xfId="45622" xr:uid="{A798A785-34BE-421D-9AE9-894389F44DD8}"/>
    <cellStyle name="RISKtandbEdge 31" xfId="25579" xr:uid="{CC86E378-DD1D-47A6-B8B1-9136A8217C42}"/>
    <cellStyle name="RISKtandbEdge 31 2" xfId="44446" xr:uid="{D9982485-F501-4C9C-9849-014649A2817B}"/>
    <cellStyle name="RISKtandbEdge 32" xfId="27442" xr:uid="{13BC2CD0-D5F1-4198-B2C5-B9F6A2009952}"/>
    <cellStyle name="RISKtandbEdge 32 2" xfId="45683" xr:uid="{E0275CAA-F6B4-4990-8DD6-B08E85101E69}"/>
    <cellStyle name="RISKtandbEdge 33" xfId="26816" xr:uid="{56C8BF06-61ED-4BE3-AE08-9F6170AB04A8}"/>
    <cellStyle name="RISKtandbEdge 33 2" xfId="45287" xr:uid="{65B5203D-3B32-4704-8A6D-0461A757B669}"/>
    <cellStyle name="RISKtandbEdge 34" xfId="29069" xr:uid="{7D5DF31D-FDEA-401E-A869-BC1EF6ACAEE3}"/>
    <cellStyle name="RISKtandbEdge 34 2" xfId="46642" xr:uid="{B5623784-D92A-450F-8906-12B323F0C594}"/>
    <cellStyle name="RISKtandbEdge 35" xfId="29617" xr:uid="{5AB28957-8DFB-4423-86AC-C2F520E9AF9F}"/>
    <cellStyle name="RISKtandbEdge 35 2" xfId="47008" xr:uid="{17D1A656-D4BA-4361-8E98-DCEBC3CB3806}"/>
    <cellStyle name="RISKtandbEdge 36" xfId="30241" xr:uid="{846ED118-82F6-4AC2-893E-507595567333}"/>
    <cellStyle name="RISKtandbEdge 36 2" xfId="47402" xr:uid="{D783646D-F6BA-4A28-A6E8-BAA5BBEE840F}"/>
    <cellStyle name="RISKtandbEdge 37" xfId="26018" xr:uid="{274B236A-2153-44A4-AD8F-B0D645E4E5E0}"/>
    <cellStyle name="RISKtandbEdge 37 2" xfId="44792" xr:uid="{53E45A16-805B-404A-8C38-7641F285F3AB}"/>
    <cellStyle name="RISKtandbEdge 38" xfId="30907" xr:uid="{19FE61CB-74CE-45B6-9A58-5DB2833F2081}"/>
    <cellStyle name="RISKtandbEdge 38 2" xfId="47755" xr:uid="{91B12C84-06E6-4BED-AB0A-A43F65A444D4}"/>
    <cellStyle name="RISKtandbEdge 39" xfId="6830" xr:uid="{1BA890F5-5A7B-4965-8095-854E2C4E6F4E}"/>
    <cellStyle name="RISKtandbEdge 4" xfId="4020" xr:uid="{39F0F13B-5835-484A-81E0-1E54EB42850A}"/>
    <cellStyle name="RISKtandbEdge 4 10" xfId="16794" xr:uid="{26265AD0-7CF3-4D68-BE13-FE1DB2083786}"/>
    <cellStyle name="RISKtandbEdge 4 10 2" xfId="38228" xr:uid="{1957739E-0FAD-4676-9274-1A0904EB33F5}"/>
    <cellStyle name="RISKtandbEdge 4 11" xfId="16297" xr:uid="{FA75F21C-9BCB-4E43-A521-2A85DA80BDA2}"/>
    <cellStyle name="RISKtandbEdge 4 11 2" xfId="37834" xr:uid="{0B270A9C-37C3-4472-B316-1CCD156A9443}"/>
    <cellStyle name="RISKtandbEdge 4 12" xfId="19171" xr:uid="{D9C2DE8C-548A-4240-B0CA-90C4F205D8E1}"/>
    <cellStyle name="RISKtandbEdge 4 12 2" xfId="39980" xr:uid="{4FBAB3B6-28B6-462D-8C51-B8BF60DF636F}"/>
    <cellStyle name="RISKtandbEdge 4 13" xfId="19923" xr:uid="{66E6A6E2-7F68-4AE0-A575-D23CA200D316}"/>
    <cellStyle name="RISKtandbEdge 4 13 2" xfId="40535" xr:uid="{4580239D-9483-495B-A4E1-F5934C4B75A1}"/>
    <cellStyle name="RISKtandbEdge 4 14" xfId="18536" xr:uid="{16CACA8A-CF1F-46ED-BC19-23C92EC78344}"/>
    <cellStyle name="RISKtandbEdge 4 14 2" xfId="39488" xr:uid="{E12A7DD4-9061-4261-87E9-19DC71951C16}"/>
    <cellStyle name="RISKtandbEdge 4 15" xfId="16083" xr:uid="{6E029246-E8B3-48A1-B191-0918CF0D72E6}"/>
    <cellStyle name="RISKtandbEdge 4 15 2" xfId="37654" xr:uid="{5FCAEE32-36A5-49F1-80E7-A467EB613976}"/>
    <cellStyle name="RISKtandbEdge 4 16" xfId="20170" xr:uid="{EFA6EDF6-DE7E-4C06-969F-B12CA6282C88}"/>
    <cellStyle name="RISKtandbEdge 4 16 2" xfId="40677" xr:uid="{DC92D31B-B4C4-4C53-A1F8-485F74CF8BE6}"/>
    <cellStyle name="RISKtandbEdge 4 17" xfId="23169" xr:uid="{2E093A73-AD05-42D8-AA80-3919C13400A8}"/>
    <cellStyle name="RISKtandbEdge 4 17 2" xfId="42768" xr:uid="{B05CCD92-B112-4FE8-AB00-2AD1884A28BC}"/>
    <cellStyle name="RISKtandbEdge 4 18" xfId="23990" xr:uid="{F04354B5-2255-4F65-95C6-E5FEDC0A25CC}"/>
    <cellStyle name="RISKtandbEdge 4 18 2" xfId="43367" xr:uid="{4CC24015-6FD1-45C8-96A9-5A4EA6525E35}"/>
    <cellStyle name="RISKtandbEdge 4 19" xfId="20914" xr:uid="{898FE85B-05D0-4203-AFBF-9021FFAD372F}"/>
    <cellStyle name="RISKtandbEdge 4 19 2" xfId="41216" xr:uid="{DC42329C-90FE-4B24-9A5E-FF062AC6A2A7}"/>
    <cellStyle name="RISKtandbEdge 4 2" xfId="4021" xr:uid="{7394F713-21E1-48F2-8AA1-18AD30F82BB7}"/>
    <cellStyle name="RISKtandbEdge 4 2 10" xfId="17185" xr:uid="{917B4D6D-A74C-493F-956D-955720BFE3FF}"/>
    <cellStyle name="RISKtandbEdge 4 2 10 2" xfId="38514" xr:uid="{BE3E2D61-78FC-426A-B8E7-90D98F08BC89}"/>
    <cellStyle name="RISKtandbEdge 4 2 11" xfId="13928" xr:uid="{0170B72E-7A99-48A6-B510-1663D8FBB34B}"/>
    <cellStyle name="RISKtandbEdge 4 2 11 2" xfId="36039" xr:uid="{F50F2235-0C75-432D-A0FA-5BD97ECFE75D}"/>
    <cellStyle name="RISKtandbEdge 4 2 12" xfId="20658" xr:uid="{2FBA5D31-9235-40EA-AD3F-F62ECB78D7C5}"/>
    <cellStyle name="RISKtandbEdge 4 2 12 2" xfId="41018" xr:uid="{F6A54672-57E0-4B64-98D7-5B1D1E2D0ACE}"/>
    <cellStyle name="RISKtandbEdge 4 2 13" xfId="19029" xr:uid="{11D52258-59A1-44C6-977B-21D6BCE9FC1E}"/>
    <cellStyle name="RISKtandbEdge 4 2 13 2" xfId="39861" xr:uid="{E1D2A9D7-7807-402C-A3CA-C57F2E7C8F12}"/>
    <cellStyle name="RISKtandbEdge 4 2 14" xfId="21221" xr:uid="{1528D522-E680-4E05-9B39-4ED1ACE53277}"/>
    <cellStyle name="RISKtandbEdge 4 2 14 2" xfId="41414" xr:uid="{A76E83C0-013E-43F7-886C-A900C661C647}"/>
    <cellStyle name="RISKtandbEdge 4 2 15" xfId="17921" xr:uid="{0B2B01FD-7E3E-46BE-9854-AE08F4760344}"/>
    <cellStyle name="RISKtandbEdge 4 2 15 2" xfId="39023" xr:uid="{26454B25-8DAD-43B7-82CA-EA8BDBC57D13}"/>
    <cellStyle name="RISKtandbEdge 4 2 16" xfId="23391" xr:uid="{9726E12B-9715-404C-BCCB-AB62017A78FA}"/>
    <cellStyle name="RISKtandbEdge 4 2 16 2" xfId="42914" xr:uid="{CDF1EE45-DF9E-4E61-ACA0-FBD4320A982D}"/>
    <cellStyle name="RISKtandbEdge 4 2 17" xfId="22149" xr:uid="{8469A27B-14A3-4AD6-BAD1-A8CD9D666EE9}"/>
    <cellStyle name="RISKtandbEdge 4 2 17 2" xfId="42029" xr:uid="{9971808F-F58D-4E3C-8B17-B0350F93780D}"/>
    <cellStyle name="RISKtandbEdge 4 2 18" xfId="22738" xr:uid="{3091016E-5F64-4F74-8EB2-43E523AE59EC}"/>
    <cellStyle name="RISKtandbEdge 4 2 18 2" xfId="42495" xr:uid="{D92A93DF-B493-4512-BCE9-20629A270B4B}"/>
    <cellStyle name="RISKtandbEdge 4 2 19" xfId="24006" xr:uid="{A8B5D67F-0F27-4FDF-A03F-8A99D9928F00}"/>
    <cellStyle name="RISKtandbEdge 4 2 19 2" xfId="43383" xr:uid="{90A66A7B-DE94-4635-AE1D-363ADA5BEACC}"/>
    <cellStyle name="RISKtandbEdge 4 2 2" xfId="11776" xr:uid="{9D4931B6-A288-4C0E-974A-1B5B46C60EA0}"/>
    <cellStyle name="RISKtandbEdge 4 2 2 2" xfId="34389" xr:uid="{7867A66B-FA43-4630-9EF4-2929C3CFAA5C}"/>
    <cellStyle name="RISKtandbEdge 4 2 20" xfId="25521" xr:uid="{0B946FD9-5FDF-45E1-AA3F-E48660A4F595}"/>
    <cellStyle name="RISKtandbEdge 4 2 20 2" xfId="44395" xr:uid="{A923D6A4-F530-4B76-9A05-C3E738326664}"/>
    <cellStyle name="RISKtandbEdge 4 2 21" xfId="27314" xr:uid="{3B459E57-0B47-44F5-8180-1E63E30535D3}"/>
    <cellStyle name="RISKtandbEdge 4 2 21 2" xfId="45617" xr:uid="{126E3DCF-1A49-46BB-AE70-142BEF74AF2C}"/>
    <cellStyle name="RISKtandbEdge 4 2 22" xfId="23637" xr:uid="{7F13A9C7-DC7B-45A5-A8E9-BC1B75D460EB}"/>
    <cellStyle name="RISKtandbEdge 4 2 22 2" xfId="43067" xr:uid="{A70842EF-2811-4D4C-9740-0A3F3B5D2FC3}"/>
    <cellStyle name="RISKtandbEdge 4 2 23" xfId="22651" xr:uid="{0201FC6C-6753-4270-86F7-32B06F7BDDAD}"/>
    <cellStyle name="RISKtandbEdge 4 2 23 2" xfId="42422" xr:uid="{FE90868C-2F2F-4DE6-B413-BCF294AA48C4}"/>
    <cellStyle name="RISKtandbEdge 4 2 24" xfId="28290" xr:uid="{63694E59-4CBF-4169-B08F-1C2DFE8C61DF}"/>
    <cellStyle name="RISKtandbEdge 4 2 24 2" xfId="46157" xr:uid="{F68AD82B-D408-4433-AAA5-0659C22C8053}"/>
    <cellStyle name="RISKtandbEdge 4 2 25" xfId="26016" xr:uid="{0C1D43C2-CA6E-426F-8F96-2838ED63957F}"/>
    <cellStyle name="RISKtandbEdge 4 2 25 2" xfId="44790" xr:uid="{631B9175-B57F-4B24-9261-1394A0B99881}"/>
    <cellStyle name="RISKtandbEdge 4 2 26" xfId="29824" xr:uid="{A36BA9F0-A86B-4D05-852A-8F9F1A6D10E5}"/>
    <cellStyle name="RISKtandbEdge 4 2 26 2" xfId="47141" xr:uid="{57DEBEB9-7806-4A5F-BA65-69A8FC0310D4}"/>
    <cellStyle name="RISKtandbEdge 4 2 27" xfId="30238" xr:uid="{D92616A3-D825-4392-9AAA-DD7F7FF474B2}"/>
    <cellStyle name="RISKtandbEdge 4 2 27 2" xfId="47399" xr:uid="{ADEB2BCE-070F-4BAF-86D2-BF362FB740EB}"/>
    <cellStyle name="RISKtandbEdge 4 2 28" xfId="29817" xr:uid="{0F5F10F9-8260-4590-B744-03DBEDC6C1D2}"/>
    <cellStyle name="RISKtandbEdge 4 2 28 2" xfId="47134" xr:uid="{C18BB5A4-8F37-4722-ADA9-C61F4149501C}"/>
    <cellStyle name="RISKtandbEdge 4 2 29" xfId="30195" xr:uid="{2F2AE42B-5EE8-4C3B-B947-5B859F7D2F6E}"/>
    <cellStyle name="RISKtandbEdge 4 2 29 2" xfId="47356" xr:uid="{9275E80A-2ABD-428F-9093-0AD46DB4C51B}"/>
    <cellStyle name="RISKtandbEdge 4 2 3" xfId="10260" xr:uid="{E2FA50E4-B730-4745-8E44-8F78E8947448}"/>
    <cellStyle name="RISKtandbEdge 4 2 3 2" xfId="33895" xr:uid="{3708CB61-39C7-4106-9BAF-FFECD5E37CA6}"/>
    <cellStyle name="RISKtandbEdge 4 2 30" xfId="6824" xr:uid="{EA5AEDB8-9383-4A89-B51B-4BE4C3C0D470}"/>
    <cellStyle name="RISKtandbEdge 4 2 4" xfId="6994" xr:uid="{79924AF7-EDE0-400E-BA1A-C12C46910AC8}"/>
    <cellStyle name="RISKtandbEdge 4 2 4 2" xfId="31361" xr:uid="{6AE25747-169C-4914-8AF4-48E2A4AC5E49}"/>
    <cellStyle name="RISKtandbEdge 4 2 5" xfId="7242" xr:uid="{E591359B-1F28-4191-AC6C-F31B2AD89DB5}"/>
    <cellStyle name="RISKtandbEdge 4 2 5 2" xfId="31607" xr:uid="{B6E756E9-2204-4683-8BB7-C741D3F70224}"/>
    <cellStyle name="RISKtandbEdge 4 2 6" xfId="12300" xr:uid="{12BEFE5C-53BE-4203-A802-402840BAA72F}"/>
    <cellStyle name="RISKtandbEdge 4 2 6 2" xfId="34806" xr:uid="{B11F4F5E-E63D-4FA3-8039-94DF5D0157B7}"/>
    <cellStyle name="RISKtandbEdge 4 2 7" xfId="15197" xr:uid="{0FCECFC2-9F2F-4126-B1BB-C8CD271B1BED}"/>
    <cellStyle name="RISKtandbEdge 4 2 7 2" xfId="36969" xr:uid="{E881DBCD-E9C4-425B-BF38-26603B8221BB}"/>
    <cellStyle name="RISKtandbEdge 4 2 8" xfId="14465" xr:uid="{6D199449-A5CC-4D81-83DD-0E8D218AB436}"/>
    <cellStyle name="RISKtandbEdge 4 2 8 2" xfId="36454" xr:uid="{915DF4F4-C90A-4075-A7EA-C89F2C92BB16}"/>
    <cellStyle name="RISKtandbEdge 4 2 9" xfId="17663" xr:uid="{2B52A3EF-1FF1-481A-BA31-A29F0D667C32}"/>
    <cellStyle name="RISKtandbEdge 4 2 9 2" xfId="38856" xr:uid="{E9B6A4C5-933F-4754-BC41-2A3C76605FC8}"/>
    <cellStyle name="RISKtandbEdge 4 20" xfId="22288" xr:uid="{2AB7120C-7327-4CB6-BF9F-9BF6928D2D4E}"/>
    <cellStyle name="RISKtandbEdge 4 20 2" xfId="42152" xr:uid="{34908039-6327-4917-AD4B-935419850A2D}"/>
    <cellStyle name="RISKtandbEdge 4 21" xfId="22196" xr:uid="{A2712043-6DE6-461F-A411-427F7E978CBB}"/>
    <cellStyle name="RISKtandbEdge 4 21 2" xfId="42075" xr:uid="{2C206150-8635-4F9C-AB51-C2DD205082A2}"/>
    <cellStyle name="RISKtandbEdge 4 22" xfId="24246" xr:uid="{3CC3FBE0-2620-45B1-A741-60D6183F2F48}"/>
    <cellStyle name="RISKtandbEdge 4 22 2" xfId="43560" xr:uid="{6ED19FCF-7797-4D8B-B94B-27F7B91AFD7D}"/>
    <cellStyle name="RISKtandbEdge 4 23" xfId="23795" xr:uid="{17D6115B-BF87-426B-84EC-BB025A6185D5}"/>
    <cellStyle name="RISKtandbEdge 4 23 2" xfId="43194" xr:uid="{74701CE6-BFF1-4322-927A-0A06AF5F3E00}"/>
    <cellStyle name="RISKtandbEdge 4 24" xfId="27821" xr:uid="{DF390585-CFC4-428D-AF1D-566D686DA876}"/>
    <cellStyle name="RISKtandbEdge 4 24 2" xfId="45908" xr:uid="{4CCF7B3E-445C-4BF8-A185-7153F9D18C12}"/>
    <cellStyle name="RISKtandbEdge 4 25" xfId="23578" xr:uid="{1EB562A0-BCD2-4FB3-BC89-BB65FF862CCF}"/>
    <cellStyle name="RISKtandbEdge 4 25 2" xfId="43013" xr:uid="{443D8668-1EF1-49CB-8B62-841BAE33D280}"/>
    <cellStyle name="RISKtandbEdge 4 26" xfId="29173" xr:uid="{AC61C2C7-6365-4479-8385-E2D7CF49BDFE}"/>
    <cellStyle name="RISKtandbEdge 4 26 2" xfId="46699" xr:uid="{32848550-2AE3-416F-B907-1F4C5C97F83C}"/>
    <cellStyle name="RISKtandbEdge 4 27" xfId="29580" xr:uid="{208E3E79-EB04-4101-82B6-C63F60BA8588}"/>
    <cellStyle name="RISKtandbEdge 4 27 2" xfId="46975" xr:uid="{A6F740EE-D8A7-4D48-9F78-D57356623632}"/>
    <cellStyle name="RISKtandbEdge 4 28" xfId="29795" xr:uid="{6AA254DA-49C4-46A0-81BE-7CD7420D8F05}"/>
    <cellStyle name="RISKtandbEdge 4 28 2" xfId="47114" xr:uid="{CC1ADF61-2A41-4EEF-93EA-E6507891649A}"/>
    <cellStyle name="RISKtandbEdge 4 29" xfId="30703" xr:uid="{8F1DC759-F517-4108-8CA4-870BA03F1B8B}"/>
    <cellStyle name="RISKtandbEdge 4 29 2" xfId="47649" xr:uid="{92AC9C24-C196-48B7-A536-C14796CB0209}"/>
    <cellStyle name="RISKtandbEdge 4 3" xfId="4022" xr:uid="{353E80D1-057D-44C3-A081-1837E53D2147}"/>
    <cellStyle name="RISKtandbEdge 4 3 10" xfId="19170" xr:uid="{B5A11358-2CC1-42D0-86B3-53AA81B105D1}"/>
    <cellStyle name="RISKtandbEdge 4 3 10 2" xfId="39979" xr:uid="{7FF3508D-B70B-4574-B0BB-00EDAC429F23}"/>
    <cellStyle name="RISKtandbEdge 4 3 11" xfId="19922" xr:uid="{FC220F5B-3D68-4BA3-95AB-3F4DF66705B8}"/>
    <cellStyle name="RISKtandbEdge 4 3 11 2" xfId="40534" xr:uid="{2F530F2B-B781-4E88-AB98-6E36A6CAC662}"/>
    <cellStyle name="RISKtandbEdge 4 3 12" xfId="18902" xr:uid="{BF06904E-5A1A-47D8-93DC-18820949DEE5}"/>
    <cellStyle name="RISKtandbEdge 4 3 12 2" xfId="39735" xr:uid="{FF3F490E-2D8A-4791-8CEB-80727372488C}"/>
    <cellStyle name="RISKtandbEdge 4 3 13" xfId="17116" xr:uid="{59CFFC75-89BD-4319-ACD0-B15836E3AC09}"/>
    <cellStyle name="RISKtandbEdge 4 3 13 2" xfId="38455" xr:uid="{D89E9817-7932-49A0-97F2-B217D1772030}"/>
    <cellStyle name="RISKtandbEdge 4 3 14" xfId="17804" xr:uid="{4945C054-7212-4A6F-817B-C0FA325B1B61}"/>
    <cellStyle name="RISKtandbEdge 4 3 14 2" xfId="38929" xr:uid="{32129650-1B72-448A-9216-1BD127FEE40B}"/>
    <cellStyle name="RISKtandbEdge 4 3 15" xfId="18817" xr:uid="{48BACEC2-EB25-41E2-A269-5D47BA7CA174}"/>
    <cellStyle name="RISKtandbEdge 4 3 15 2" xfId="39669" xr:uid="{D7769829-F192-4621-8922-DB815BAA5DA1}"/>
    <cellStyle name="RISKtandbEdge 4 3 16" xfId="18741" xr:uid="{D02607BB-15B0-4742-80C3-30B4A0691E3A}"/>
    <cellStyle name="RISKtandbEdge 4 3 16 2" xfId="39616" xr:uid="{54C3888A-0C4C-46B9-A894-B1AB3FAC3CCD}"/>
    <cellStyle name="RISKtandbEdge 4 3 17" xfId="21147" xr:uid="{D47E24C2-85A3-4493-9493-AA845CF2347F}"/>
    <cellStyle name="RISKtandbEdge 4 3 17 2" xfId="41343" xr:uid="{495E3ECD-D958-4E01-8610-918DC0728DF6}"/>
    <cellStyle name="RISKtandbEdge 4 3 18" xfId="24546" xr:uid="{6FA71287-C5C5-4592-89CC-D561A2C634B9}"/>
    <cellStyle name="RISKtandbEdge 4 3 18 2" xfId="43729" xr:uid="{9922AB3C-A050-49FE-9CC5-F3D7F9A603DA}"/>
    <cellStyle name="RISKtandbEdge 4 3 19" xfId="19484" xr:uid="{A6A746F9-09D2-4BC3-8021-48F7FE971E6A}"/>
    <cellStyle name="RISKtandbEdge 4 3 19 2" xfId="40161" xr:uid="{E87AEED1-3147-462B-BA0F-817F4C99461A}"/>
    <cellStyle name="RISKtandbEdge 4 3 2" xfId="7350" xr:uid="{947FCE97-0BEA-4458-B7B6-2D1574C70627}"/>
    <cellStyle name="RISKtandbEdge 4 3 2 2" xfId="31712" xr:uid="{FF44272F-D9CB-4890-9D52-E2B4AF5EEBA6}"/>
    <cellStyle name="RISKtandbEdge 4 3 20" xfId="25438" xr:uid="{103AAAC9-A009-4601-A27D-1E2BB397DAD9}"/>
    <cellStyle name="RISKtandbEdge 4 3 20 2" xfId="44324" xr:uid="{187B44D7-6F40-4B66-A52D-9166456ACB76}"/>
    <cellStyle name="RISKtandbEdge 4 3 21" xfId="26180" xr:uid="{1CBC1D4F-4CF3-426B-8A16-40D0F1C34CF0}"/>
    <cellStyle name="RISKtandbEdge 4 3 21 2" xfId="44910" xr:uid="{C148C644-DEE8-4C16-AF9A-13477ABFB035}"/>
    <cellStyle name="RISKtandbEdge 4 3 22" xfId="27820" xr:uid="{9BD4DEF2-E846-43FB-A07F-17784EE8DFBB}"/>
    <cellStyle name="RISKtandbEdge 4 3 22 2" xfId="45907" xr:uid="{9E6C2E46-0670-4361-B10D-72BF72DF78CC}"/>
    <cellStyle name="RISKtandbEdge 4 3 23" xfId="23674" xr:uid="{532C57D9-C98C-45CB-87F9-3A8BD09F1519}"/>
    <cellStyle name="RISKtandbEdge 4 3 23 2" xfId="43096" xr:uid="{145DCF02-18FA-49F6-942A-ECCEAA10F222}"/>
    <cellStyle name="RISKtandbEdge 4 3 24" xfId="28761" xr:uid="{45D5E48E-ABD8-4FB1-A729-7C9AD69B144C}"/>
    <cellStyle name="RISKtandbEdge 4 3 24 2" xfId="46441" xr:uid="{6978761B-038D-49D5-9E09-DCFF3B2F1291}"/>
    <cellStyle name="RISKtandbEdge 4 3 25" xfId="27583" xr:uid="{2177BCE4-4B85-4665-B5E7-3F093D950D31}"/>
    <cellStyle name="RISKtandbEdge 4 3 25 2" xfId="45732" xr:uid="{179AEC88-58C2-42D1-8A32-50789B77B66B}"/>
    <cellStyle name="RISKtandbEdge 4 3 26" xfId="28050" xr:uid="{2129414C-E9B6-4109-B1EC-90202EDDF1AA}"/>
    <cellStyle name="RISKtandbEdge 4 3 26 2" xfId="46045" xr:uid="{43C8B1DC-CC24-4CCD-A0DF-029274C06BDB}"/>
    <cellStyle name="RISKtandbEdge 4 3 27" xfId="30702" xr:uid="{EF6BDF75-6F54-4AEA-9E31-CB4253714312}"/>
    <cellStyle name="RISKtandbEdge 4 3 27 2" xfId="47648" xr:uid="{78007519-514C-4D42-94DA-3C9D75F0AEB1}"/>
    <cellStyle name="RISKtandbEdge 4 3 28" xfId="30164" xr:uid="{20107FCC-33A3-47DF-841B-A3186460A0EC}"/>
    <cellStyle name="RISKtandbEdge 4 3 28 2" xfId="47328" xr:uid="{1F180816-DF7F-4EDC-9CE2-1CCED3292E54}"/>
    <cellStyle name="RISKtandbEdge 4 3 29" xfId="30617" xr:uid="{1F2C3D6A-9681-4C8B-BCE8-5792CB0317A3}"/>
    <cellStyle name="RISKtandbEdge 4 3 29 2" xfId="47563" xr:uid="{CD27545A-7771-408B-911B-618E1D56AB79}"/>
    <cellStyle name="RISKtandbEdge 4 3 3" xfId="10261" xr:uid="{FD9A5593-7470-4ADD-A13B-05804336B2F3}"/>
    <cellStyle name="RISKtandbEdge 4 3 3 2" xfId="33896" xr:uid="{9173691F-900F-4FE8-B315-89E159F271C7}"/>
    <cellStyle name="RISKtandbEdge 4 3 30" xfId="6065" xr:uid="{43D3CA34-0C54-4F73-B965-C24916A19B30}"/>
    <cellStyle name="RISKtandbEdge 4 3 4" xfId="14212" xr:uid="{BB3D95EE-7991-4F20-AF12-99BA51AD75D0}"/>
    <cellStyle name="RISKtandbEdge 4 3 4 2" xfId="36265" xr:uid="{12F08643-E3F5-4277-A346-CE52B1134CC3}"/>
    <cellStyle name="RISKtandbEdge 4 3 5" xfId="13426" xr:uid="{A8AAA0B7-C968-46FE-8813-D237031FFACD}"/>
    <cellStyle name="RISKtandbEdge 4 3 5 2" xfId="35720" xr:uid="{A4EAF1BA-D6BC-4569-840C-E663178B7A55}"/>
    <cellStyle name="RISKtandbEdge 4 3 6" xfId="15501" xr:uid="{422DE51C-73FD-4861-A4DF-7D8F9028AAD5}"/>
    <cellStyle name="RISKtandbEdge 4 3 6 2" xfId="37166" xr:uid="{55D7D088-D74F-4F9A-9C7B-27AF02F73CEB}"/>
    <cellStyle name="RISKtandbEdge 4 3 7" xfId="14039" xr:uid="{8B29817E-4FEB-4AC6-8318-8BC4B0B9DC41}"/>
    <cellStyle name="RISKtandbEdge 4 3 7 2" xfId="36133" xr:uid="{FB13C43A-1551-4F3C-8CF5-46106B398647}"/>
    <cellStyle name="RISKtandbEdge 4 3 8" xfId="13872" xr:uid="{767FC67C-4596-4E87-9EE8-AFEAF531F75D}"/>
    <cellStyle name="RISKtandbEdge 4 3 8 2" xfId="35995" xr:uid="{E52CA05C-482A-454D-A740-632011EA2FBF}"/>
    <cellStyle name="RISKtandbEdge 4 3 9" xfId="15805" xr:uid="{9029B054-051B-4B3A-8F85-E5B88CF81FB7}"/>
    <cellStyle name="RISKtandbEdge 4 3 9 2" xfId="37420" xr:uid="{3D1DD853-91BD-4342-A796-BB51DD640BF4}"/>
    <cellStyle name="RISKtandbEdge 4 30" xfId="29366" xr:uid="{F4EB33DC-E75F-4150-8F9D-CD0DB89F87CC}"/>
    <cellStyle name="RISKtandbEdge 4 30 2" xfId="46837" xr:uid="{8154F432-026E-4EF2-BD00-A34311A48B17}"/>
    <cellStyle name="RISKtandbEdge 4 31" xfId="31005" xr:uid="{9DA48E61-BFAB-41AE-836F-68C0877AB302}"/>
    <cellStyle name="RISKtandbEdge 4 31 2" xfId="47783" xr:uid="{91321008-54D5-4FAC-9DA0-EFDFC892B45F}"/>
    <cellStyle name="RISKtandbEdge 4 32" xfId="6066" xr:uid="{9A1AFDAC-1454-4F83-A906-F29A6DC63643}"/>
    <cellStyle name="RISKtandbEdge 4 4" xfId="7351" xr:uid="{F4D408FD-8296-42B6-97DA-18E3D94D1033}"/>
    <cellStyle name="RISKtandbEdge 4 4 2" xfId="31713" xr:uid="{AAEA93A4-4435-4026-968A-63D352F5B332}"/>
    <cellStyle name="RISKtandbEdge 4 5" xfId="13197" xr:uid="{41B52E67-3930-4799-AD74-170656332400}"/>
    <cellStyle name="RISKtandbEdge 4 5 2" xfId="35545" xr:uid="{97310E30-C524-4208-A31A-BB6F77C0D7D9}"/>
    <cellStyle name="RISKtandbEdge 4 6" xfId="14213" xr:uid="{80F17610-0143-43ED-898B-327C22C4665E}"/>
    <cellStyle name="RISKtandbEdge 4 6 2" xfId="36266" xr:uid="{FC9DBE0C-F93B-46B5-9B9F-1DEA1C015592}"/>
    <cellStyle name="RISKtandbEdge 4 7" xfId="11674" xr:uid="{3280ECD1-DF26-4BD2-8910-CDD70EE3B08F}"/>
    <cellStyle name="RISKtandbEdge 4 7 2" xfId="34287" xr:uid="{1C3716C3-4E41-481B-9FEF-8108A4244F3C}"/>
    <cellStyle name="RISKtandbEdge 4 8" xfId="12759" xr:uid="{9344595C-EE87-4EAC-8BA9-1A865717B3F2}"/>
    <cellStyle name="RISKtandbEdge 4 8 2" xfId="35168" xr:uid="{DDE209C6-9851-4CBE-B346-30C608AE4160}"/>
    <cellStyle name="RISKtandbEdge 4 9" xfId="16564" xr:uid="{C25131DC-DA7B-4851-8770-662259863923}"/>
    <cellStyle name="RISKtandbEdge 4 9 2" xfId="38057" xr:uid="{F228D7C8-F7E9-4163-8095-5C59FB275832}"/>
    <cellStyle name="RISKtandbEdge 5" xfId="4023" xr:uid="{0ED9CE49-D823-4294-9665-530A94601572}"/>
    <cellStyle name="RISKtandbEdge 5 10" xfId="17438" xr:uid="{1F4119B1-ADF9-4634-ADAF-2C7EA6DCDF6F}"/>
    <cellStyle name="RISKtandbEdge 5 10 2" xfId="38685" xr:uid="{33D154E3-6F2F-467B-A2B1-810548872FAF}"/>
    <cellStyle name="RISKtandbEdge 5 11" xfId="18286" xr:uid="{C7CC2109-E358-421E-AF8E-254F79293F85}"/>
    <cellStyle name="RISKtandbEdge 5 11 2" xfId="39317" xr:uid="{BA318751-35E9-48AB-8ABA-9C943D0A6DF1}"/>
    <cellStyle name="RISKtandbEdge 5 12" xfId="15689" xr:uid="{CD347720-F651-46DF-B434-9C3F863C1E17}"/>
    <cellStyle name="RISKtandbEdge 5 12 2" xfId="37326" xr:uid="{AAFBF74E-D506-4CD6-9E61-45FC633803C8}"/>
    <cellStyle name="RISKtandbEdge 5 13" xfId="18033" xr:uid="{DD133A0F-7AA6-499B-A46D-DDA08F097672}"/>
    <cellStyle name="RISKtandbEdge 5 13 2" xfId="39129" xr:uid="{547777D5-7F4D-4B42-AA94-07E51C7D53F2}"/>
    <cellStyle name="RISKtandbEdge 5 14" xfId="20657" xr:uid="{8C24D78A-E4C8-4058-BDB8-EBED2F0A43DB}"/>
    <cellStyle name="RISKtandbEdge 5 14 2" xfId="41017" xr:uid="{F7CBC06A-EE3E-49DA-A654-C4847704428E}"/>
    <cellStyle name="RISKtandbEdge 5 15" xfId="19028" xr:uid="{80F6252E-49E2-4860-829D-C49FD6AA003A}"/>
    <cellStyle name="RISKtandbEdge 5 15 2" xfId="39860" xr:uid="{ADA155CB-6E58-4875-B24D-C22E739A7A46}"/>
    <cellStyle name="RISKtandbEdge 5 16" xfId="21220" xr:uid="{A82C59BD-7D1A-4261-9224-7FF1EAEAA34A}"/>
    <cellStyle name="RISKtandbEdge 5 16 2" xfId="41413" xr:uid="{0097BA93-D32B-409B-8641-4AF0E575AFF7}"/>
    <cellStyle name="RISKtandbEdge 5 17" xfId="20477" xr:uid="{26209558-716A-46DF-94B9-4D0EEFCFA13B}"/>
    <cellStyle name="RISKtandbEdge 5 17 2" xfId="40870" xr:uid="{20B2EA16-6876-4A51-B9CA-78416F188922}"/>
    <cellStyle name="RISKtandbEdge 5 18" xfId="22200" xr:uid="{F500F62A-A68F-412C-BDCB-BFA43DD520F9}"/>
    <cellStyle name="RISKtandbEdge 5 18 2" xfId="42079" xr:uid="{7158E580-8DD4-4948-9E7A-5D519E933936}"/>
    <cellStyle name="RISKtandbEdge 5 19" xfId="20138" xr:uid="{E46F0F0D-6FC3-4A81-A982-BF10108725F9}"/>
    <cellStyle name="RISKtandbEdge 5 19 2" xfId="40646" xr:uid="{2A40EA29-4E50-420E-985B-327EC1DEF0B1}"/>
    <cellStyle name="RISKtandbEdge 5 2" xfId="4024" xr:uid="{A1D0B2C5-2F11-49FF-B4B5-BF412448D770}"/>
    <cellStyle name="RISKtandbEdge 5 2 10" xfId="19169" xr:uid="{ADB53BF3-A2D9-4986-AC15-2AF9BDBA96D4}"/>
    <cellStyle name="RISKtandbEdge 5 2 10 2" xfId="39978" xr:uid="{95EB0C25-6BA3-42AD-9DB1-4ECEB5943765}"/>
    <cellStyle name="RISKtandbEdge 5 2 11" xfId="19921" xr:uid="{ECA99920-BA0F-4865-B722-D3028FA6568D}"/>
    <cellStyle name="RISKtandbEdge 5 2 11 2" xfId="40533" xr:uid="{14B36C60-5C23-4BA0-B79A-4E1ACEA4419C}"/>
    <cellStyle name="RISKtandbEdge 5 2 12" xfId="16113" xr:uid="{A9CD7035-C106-4CD3-84A6-0FA1AA2D3623}"/>
    <cellStyle name="RISKtandbEdge 5 2 12 2" xfId="37683" xr:uid="{60B4AB35-718E-40CC-87DB-6BC14635C4B9}"/>
    <cellStyle name="RISKtandbEdge 5 2 13" xfId="15335" xr:uid="{C0B33428-0CD4-45DE-B66C-8D18A34FF9A0}"/>
    <cellStyle name="RISKtandbEdge 5 2 13 2" xfId="37035" xr:uid="{DD7F4CD8-3FB8-4CA2-80F1-6AD684502BBA}"/>
    <cellStyle name="RISKtandbEdge 5 2 14" xfId="22073" xr:uid="{923EF33F-9852-46A1-A8A3-6AF35D84F95B}"/>
    <cellStyle name="RISKtandbEdge 5 2 14 2" xfId="41958" xr:uid="{BDA0A6CD-D60A-4AA0-9ADC-87849C1A8DEF}"/>
    <cellStyle name="RISKtandbEdge 5 2 15" xfId="23168" xr:uid="{53A1937D-EB10-492D-BAE8-76D295437809}"/>
    <cellStyle name="RISKtandbEdge 5 2 15 2" xfId="42767" xr:uid="{FA492572-91DB-4D0F-A66F-1E89BE8F795A}"/>
    <cellStyle name="RISKtandbEdge 5 2 16" xfId="23989" xr:uid="{2DDCE3CF-D431-45FC-80F3-96390060B4C3}"/>
    <cellStyle name="RISKtandbEdge 5 2 16 2" xfId="43366" xr:uid="{EC87C742-1AC4-46B8-9A06-A3A262EECABB}"/>
    <cellStyle name="RISKtandbEdge 5 2 17" xfId="19430" xr:uid="{FF77C776-5A3D-4762-89CC-3FBB0BC4904F}"/>
    <cellStyle name="RISKtandbEdge 5 2 17 2" xfId="40150" xr:uid="{D48D60A3-EE66-4900-8402-B54581CF5285}"/>
    <cellStyle name="RISKtandbEdge 5 2 18" xfId="25790" xr:uid="{50B4E820-8206-410E-A37B-46B65991550F}"/>
    <cellStyle name="RISKtandbEdge 5 2 18 2" xfId="44618" xr:uid="{4535F69E-784E-48C0-9D83-7122D4455B9C}"/>
    <cellStyle name="RISKtandbEdge 5 2 19" xfId="21740" xr:uid="{0D8FF696-FFA9-4768-9D23-160A1B75703E}"/>
    <cellStyle name="RISKtandbEdge 5 2 19 2" xfId="41762" xr:uid="{AD00FE18-C09B-4908-97DD-CBE6E1A00AF8}"/>
    <cellStyle name="RISKtandbEdge 5 2 2" xfId="7349" xr:uid="{AE6C8785-DEEB-4F0A-BFE5-1EBEE6554688}"/>
    <cellStyle name="RISKtandbEdge 5 2 2 2" xfId="31711" xr:uid="{33877FFF-75C8-4862-A7AF-2865F95F58C3}"/>
    <cellStyle name="RISKtandbEdge 5 2 20" xfId="21128" xr:uid="{3939169E-A31C-41DD-AFC1-95D599D5E2F3}"/>
    <cellStyle name="RISKtandbEdge 5 2 20 2" xfId="41334" xr:uid="{3A8D76F6-9C3D-4AD6-ADAF-B149A260CC11}"/>
    <cellStyle name="RISKtandbEdge 5 2 21" xfId="25078" xr:uid="{2DA10740-CC62-4664-A335-3BD7094B9F78}"/>
    <cellStyle name="RISKtandbEdge 5 2 21 2" xfId="44086" xr:uid="{C8126F91-651C-46E5-B340-E1C360C38652}"/>
    <cellStyle name="RISKtandbEdge 5 2 22" xfId="27819" xr:uid="{DA2548C6-390A-4DA8-8E85-520A49C8796D}"/>
    <cellStyle name="RISKtandbEdge 5 2 22 2" xfId="45906" xr:uid="{9497CAAE-8260-42CF-9EAC-B1C06BDEBE6F}"/>
    <cellStyle name="RISKtandbEdge 5 2 23" xfId="23579" xr:uid="{7DD1C293-DB98-4551-A497-0C61D8C0A78B}"/>
    <cellStyle name="RISKtandbEdge 5 2 23 2" xfId="43014" xr:uid="{4493A901-05B6-4014-98B9-B223147E11D0}"/>
    <cellStyle name="RISKtandbEdge 5 2 24" xfId="25239" xr:uid="{37300E19-1EC3-4457-B76D-630C7465B0DB}"/>
    <cellStyle name="RISKtandbEdge 5 2 24 2" xfId="44169" xr:uid="{D2715BAB-E9ED-4012-AA1F-099126068A2E}"/>
    <cellStyle name="RISKtandbEdge 5 2 25" xfId="25867" xr:uid="{FAF44641-653D-4A19-A66C-A8A6BBEE4F69}"/>
    <cellStyle name="RISKtandbEdge 5 2 25 2" xfId="44684" xr:uid="{5A586934-ABCF-4BCA-8DB6-CDA1E61E3721}"/>
    <cellStyle name="RISKtandbEdge 5 2 26" xfId="28909" xr:uid="{FE2F96D4-2E6B-4D60-8C03-3BE9B1C89170}"/>
    <cellStyle name="RISKtandbEdge 5 2 26 2" xfId="46513" xr:uid="{07C56E10-C0C4-4023-B994-D58512B0FF58}"/>
    <cellStyle name="RISKtandbEdge 5 2 27" xfId="30701" xr:uid="{01F56C2F-1659-46DA-BE29-054742C7A05D}"/>
    <cellStyle name="RISKtandbEdge 5 2 27 2" xfId="47647" xr:uid="{1F7A7E3B-BD15-48EB-A960-E4069A50C3C3}"/>
    <cellStyle name="RISKtandbEdge 5 2 28" xfId="27719" xr:uid="{44698A64-ECC8-4B27-9585-B16F546FDF50}"/>
    <cellStyle name="RISKtandbEdge 5 2 28 2" xfId="45826" xr:uid="{A24C983E-29FE-4532-AC53-8396CC739AFD}"/>
    <cellStyle name="RISKtandbEdge 5 2 29" xfId="29231" xr:uid="{5F32CEC1-F5E2-42C3-A654-507CDA87D631}"/>
    <cellStyle name="RISKtandbEdge 5 2 29 2" xfId="46750" xr:uid="{06BEE1A7-806A-4B01-AED4-134C89BF515A}"/>
    <cellStyle name="RISKtandbEdge 5 2 3" xfId="13196" xr:uid="{F437E575-91C1-4200-ACF5-878ADE688A04}"/>
    <cellStyle name="RISKtandbEdge 5 2 3 2" xfId="35544" xr:uid="{D192A70E-1F39-41BC-ACDE-6FB6255D8B84}"/>
    <cellStyle name="RISKtandbEdge 5 2 30" xfId="6064" xr:uid="{72BD1D20-2B74-413F-964A-35FEC2D2AA91}"/>
    <cellStyle name="RISKtandbEdge 5 2 4" xfId="14211" xr:uid="{208BF17A-0702-4B46-90EA-2F393FAF36BF}"/>
    <cellStyle name="RISKtandbEdge 5 2 4 2" xfId="36264" xr:uid="{43F9329D-DD69-46EF-82CD-5878E5357AB2}"/>
    <cellStyle name="RISKtandbEdge 5 2 5" xfId="7241" xr:uid="{DB1CA5FA-4BD5-4E59-8913-5C5B28F21F6A}"/>
    <cellStyle name="RISKtandbEdge 5 2 5 2" xfId="31606" xr:uid="{03326E47-5B7C-43C3-A32E-4C6D246BDCF3}"/>
    <cellStyle name="RISKtandbEdge 5 2 6" xfId="13809" xr:uid="{109B266A-A6FC-44A9-99F5-FA00BA111A8B}"/>
    <cellStyle name="RISKtandbEdge 5 2 6 2" xfId="35934" xr:uid="{03F05175-CFBD-442C-A995-50335B2CEF81}"/>
    <cellStyle name="RISKtandbEdge 5 2 7" xfId="16563" xr:uid="{40521739-F5F4-498F-B20E-86BB9D872A00}"/>
    <cellStyle name="RISKtandbEdge 5 2 7 2" xfId="38056" xr:uid="{F6FFA2F5-906B-44F4-83C6-E9D251E23C2E}"/>
    <cellStyle name="RISKtandbEdge 5 2 8" xfId="14428" xr:uid="{8043427A-9AA2-49F6-999E-92C02C52D606}"/>
    <cellStyle name="RISKtandbEdge 5 2 8 2" xfId="36417" xr:uid="{5A74EC32-BDAF-42A4-A57D-172AF194D278}"/>
    <cellStyle name="RISKtandbEdge 5 2 9" xfId="16296" xr:uid="{0A0D1BAE-0C8B-4930-B7A7-3F617B0F752B}"/>
    <cellStyle name="RISKtandbEdge 5 2 9 2" xfId="37833" xr:uid="{791592D2-6BCF-4647-8185-3251486131D3}"/>
    <cellStyle name="RISKtandbEdge 5 20" xfId="25314" xr:uid="{F7219E73-89A5-4AD9-A48A-0EBD8B651D5A}"/>
    <cellStyle name="RISKtandbEdge 5 20 2" xfId="44230" xr:uid="{10841780-651E-4BB5-AB6D-1C06891CBADB}"/>
    <cellStyle name="RISKtandbEdge 5 21" xfId="24005" xr:uid="{5F94028F-050A-4A99-A5E4-E3D0F57CC8D1}"/>
    <cellStyle name="RISKtandbEdge 5 21 2" xfId="43382" xr:uid="{B508C442-F58F-4F51-8BB8-5B7A1A668E21}"/>
    <cellStyle name="RISKtandbEdge 5 22" xfId="25154" xr:uid="{74801D52-2F73-4AE1-8F96-AB2D7396A1AF}"/>
    <cellStyle name="RISKtandbEdge 5 22 2" xfId="44099" xr:uid="{86B0FBBA-D270-4435-9E87-083765E60046}"/>
    <cellStyle name="RISKtandbEdge 5 23" xfId="27313" xr:uid="{92954A63-0E27-49E2-A2E7-56FD8673AC78}"/>
    <cellStyle name="RISKtandbEdge 5 23 2" xfId="45616" xr:uid="{D15A75D6-FD19-4E16-8D79-F7AF49538F9D}"/>
    <cellStyle name="RISKtandbEdge 5 24" xfId="25968" xr:uid="{34D7B2B5-D61D-49B0-934D-79719032FDFE}"/>
    <cellStyle name="RISKtandbEdge 5 24 2" xfId="44756" xr:uid="{C10FFA33-B344-446F-97A4-1C18074E13F6}"/>
    <cellStyle name="RISKtandbEdge 5 25" xfId="25526" xr:uid="{36A4304C-9BDD-47EB-A07F-1989106513D0}"/>
    <cellStyle name="RISKtandbEdge 5 25 2" xfId="44400" xr:uid="{DE5A8A48-68E1-49DF-BB8E-1BD8384F70A3}"/>
    <cellStyle name="RISKtandbEdge 5 26" xfId="28995" xr:uid="{061339EA-77BE-4F1A-A33A-67E01426D0AB}"/>
    <cellStyle name="RISKtandbEdge 5 26 2" xfId="46589" xr:uid="{EA1FACC4-3D77-48EC-B2A7-0D4F6B9AC1AD}"/>
    <cellStyle name="RISKtandbEdge 5 27" xfId="29874" xr:uid="{EFE56AB9-1736-4A8D-88E4-6E86CC99E02E}"/>
    <cellStyle name="RISKtandbEdge 5 27 2" xfId="47164" xr:uid="{C8AD7031-E9E9-4EE3-918B-AFF9333CF43B}"/>
    <cellStyle name="RISKtandbEdge 5 28" xfId="29898" xr:uid="{6ADA57BF-198E-4307-9FD7-7B2F58D6EDDA}"/>
    <cellStyle name="RISKtandbEdge 5 28 2" xfId="47186" xr:uid="{804AFD08-757A-4B0C-AD6F-2DAC1A6EB2BF}"/>
    <cellStyle name="RISKtandbEdge 5 29" xfId="27531" xr:uid="{4D444754-8D62-4624-9810-A2BDF25A279E}"/>
    <cellStyle name="RISKtandbEdge 5 29 2" xfId="45723" xr:uid="{92390758-5B21-4D4A-92DD-6F40EDED4F50}"/>
    <cellStyle name="RISKtandbEdge 5 3" xfId="4025" xr:uid="{C0D082A0-8C39-4AC9-B1DE-F9546099E769}"/>
    <cellStyle name="RISKtandbEdge 5 3 10" xfId="17184" xr:uid="{B598C5B8-E710-4E20-9E19-A642C430CA9F}"/>
    <cellStyle name="RISKtandbEdge 5 3 10 2" xfId="38513" xr:uid="{1FF3E7C6-43A5-4BEA-A7B4-8B309A0418A5}"/>
    <cellStyle name="RISKtandbEdge 5 3 11" xfId="15224" xr:uid="{CEAD46C2-B3B6-43AA-8E1B-9609BCF07D81}"/>
    <cellStyle name="RISKtandbEdge 5 3 11 2" xfId="36990" xr:uid="{7CBBE46F-67A9-4EB2-9BEC-A818B2EAD1FA}"/>
    <cellStyle name="RISKtandbEdge 5 3 12" xfId="18901" xr:uid="{B93CCC85-7F81-45C1-9150-1090986F9124}"/>
    <cellStyle name="RISKtandbEdge 5 3 12 2" xfId="39734" xr:uid="{3E2B748A-DE83-4F07-B080-E32EC4660AA1}"/>
    <cellStyle name="RISKtandbEdge 5 3 13" xfId="19027" xr:uid="{CA8E34CA-706A-4AE2-98E1-C4758B293CC2}"/>
    <cellStyle name="RISKtandbEdge 5 3 13 2" xfId="39859" xr:uid="{EB00041A-62A2-42BE-8C91-B702C813DB98}"/>
    <cellStyle name="RISKtandbEdge 5 3 14" xfId="19395" xr:uid="{EA9678FA-7166-4A2F-A441-1FFBBEB590B5}"/>
    <cellStyle name="RISKtandbEdge 5 3 14 2" xfId="40116" xr:uid="{46DE9770-9BCF-4106-8F51-80DBF1989212}"/>
    <cellStyle name="RISKtandbEdge 5 3 15" xfId="20126" xr:uid="{873E8166-BC2C-4A6A-99F6-03F92AACED62}"/>
    <cellStyle name="RISKtandbEdge 5 3 15 2" xfId="40637" xr:uid="{8670B46C-4592-42D8-8D58-A77333A333E6}"/>
    <cellStyle name="RISKtandbEdge 5 3 16" xfId="19488" xr:uid="{10C9E6EC-3D54-4C39-A421-6B8E59E92679}"/>
    <cellStyle name="RISKtandbEdge 5 3 16 2" xfId="40165" xr:uid="{02456A57-5ACF-472A-ABB8-BC1DD4EF6C1C}"/>
    <cellStyle name="RISKtandbEdge 5 3 17" xfId="22150" xr:uid="{A23F0AAB-A1AF-40D7-8123-CDB39FAA6228}"/>
    <cellStyle name="RISKtandbEdge 5 3 17 2" xfId="42030" xr:uid="{768CBBD3-803E-480A-99A9-C29AEB7A6D3D}"/>
    <cellStyle name="RISKtandbEdge 5 3 18" xfId="22737" xr:uid="{F4429C53-0D24-46C2-AAF4-D355E559FB31}"/>
    <cellStyle name="RISKtandbEdge 5 3 18 2" xfId="42494" xr:uid="{9D7D3C2E-F709-403A-A5CD-D09FEA8B116D}"/>
    <cellStyle name="RISKtandbEdge 5 3 19" xfId="24004" xr:uid="{2E194F7E-C6B3-420C-9FAB-6EA7689CF09C}"/>
    <cellStyle name="RISKtandbEdge 5 3 19 2" xfId="43381" xr:uid="{CF399B7A-EC22-4C8D-9EA4-8964F3D53A82}"/>
    <cellStyle name="RISKtandbEdge 5 3 2" xfId="11774" xr:uid="{9E6B131A-A8D4-43E1-869C-C669603ABFF1}"/>
    <cellStyle name="RISKtandbEdge 5 3 2 2" xfId="34387" xr:uid="{1E72EC2C-DB26-49BB-8F1E-FF3960581338}"/>
    <cellStyle name="RISKtandbEdge 5 3 20" xfId="24445" xr:uid="{2E01C4C2-04DB-4730-8C8B-AA1C33C4C249}"/>
    <cellStyle name="RISKtandbEdge 5 3 20 2" xfId="43657" xr:uid="{F49D6ED4-AA38-4BA0-A407-21A3C84CD880}"/>
    <cellStyle name="RISKtandbEdge 5 3 21" xfId="27312" xr:uid="{83E37B1D-D80C-45AF-9CA5-BFD345A71591}"/>
    <cellStyle name="RISKtandbEdge 5 3 21 2" xfId="45615" xr:uid="{76EA0541-7316-4927-813A-37FF4EB4FCD4}"/>
    <cellStyle name="RISKtandbEdge 5 3 22" xfId="25498" xr:uid="{12C6E44A-2580-41B8-B5F8-E22F3CE6EF9D}"/>
    <cellStyle name="RISKtandbEdge 5 3 22 2" xfId="44375" xr:uid="{09E93002-D2E0-47AF-A4A5-2C8F51D45DC8}"/>
    <cellStyle name="RISKtandbEdge 5 3 23" xfId="23706" xr:uid="{51BCFA5E-294C-477C-BD71-972920326A77}"/>
    <cellStyle name="RISKtandbEdge 5 3 23 2" xfId="43124" xr:uid="{FED78F01-EE4B-4CAD-8C28-436C73B67CC5}"/>
    <cellStyle name="RISKtandbEdge 5 3 24" xfId="26817" xr:uid="{D0E04937-5D36-47FD-97C5-0F78DDB49C3E}"/>
    <cellStyle name="RISKtandbEdge 5 3 24 2" xfId="45288" xr:uid="{CB8ABCE1-2ED0-4096-9236-E73D80FA1851}"/>
    <cellStyle name="RISKtandbEdge 5 3 25" xfId="28303" xr:uid="{4A09CCD1-E9A1-45DA-B450-81DAF7646D1B}"/>
    <cellStyle name="RISKtandbEdge 5 3 25 2" xfId="46170" xr:uid="{65C9DC29-BB43-4751-921C-9FCB9E2FF399}"/>
    <cellStyle name="RISKtandbEdge 5 3 26" xfId="29368" xr:uid="{3D93720F-8EDA-4771-BA2F-2C3CD4CB686F}"/>
    <cellStyle name="RISKtandbEdge 5 3 26 2" xfId="46839" xr:uid="{B2107BEC-87DF-481B-899B-ABCDECEBFF58}"/>
    <cellStyle name="RISKtandbEdge 5 3 27" xfId="30237" xr:uid="{3E5BBD78-691A-48E8-B783-92241082B178}"/>
    <cellStyle name="RISKtandbEdge 5 3 27 2" xfId="47398" xr:uid="{CC17C168-A2D4-4725-86FE-960109EEEC2A}"/>
    <cellStyle name="RISKtandbEdge 5 3 28" xfId="29614" xr:uid="{C34AC108-0A1B-4D9E-81B9-74DDC87C023C}"/>
    <cellStyle name="RISKtandbEdge 5 3 28 2" xfId="47005" xr:uid="{00D98CD1-6C21-425F-A8B7-15240FA76425}"/>
    <cellStyle name="RISKtandbEdge 5 3 29" xfId="30592" xr:uid="{0F5F5F51-CA84-4F99-820C-8212859B5A9E}"/>
    <cellStyle name="RISKtandbEdge 5 3 29 2" xfId="47542" xr:uid="{FABC7279-1A65-42A3-8230-77CA9E321E90}"/>
    <cellStyle name="RISKtandbEdge 5 3 3" xfId="10263" xr:uid="{AB0800C6-59A0-4196-98E9-20762A1FD6A8}"/>
    <cellStyle name="RISKtandbEdge 5 3 3 2" xfId="33898" xr:uid="{654561C2-CA15-4336-B200-685650CD9BD8}"/>
    <cellStyle name="RISKtandbEdge 5 3 30" xfId="6822" xr:uid="{A4BDC5F8-B471-40C2-A633-372F88CF0C7C}"/>
    <cellStyle name="RISKtandbEdge 5 3 4" xfId="6992" xr:uid="{D254DE59-8D80-431D-9F54-25DD88FBED40}"/>
    <cellStyle name="RISKtandbEdge 5 3 4 2" xfId="31359" xr:uid="{4B8F3FCE-35FF-4569-B75F-1B7990426ACE}"/>
    <cellStyle name="RISKtandbEdge 5 3 5" xfId="11672" xr:uid="{F317E637-2FEB-41E0-81B8-7DE62C0A6C81}"/>
    <cellStyle name="RISKtandbEdge 5 3 5 2" xfId="34285" xr:uid="{B48F3004-BA70-4E61-85CF-ACA2DCE125D3}"/>
    <cellStyle name="RISKtandbEdge 5 3 6" xfId="16013" xr:uid="{BBD9AB3A-F650-42AF-B0C0-AD6D5704E52B}"/>
    <cellStyle name="RISKtandbEdge 5 3 6 2" xfId="37596" xr:uid="{B1AF9EE0-07C1-490A-BD45-5CF3C36BAF7F}"/>
    <cellStyle name="RISKtandbEdge 5 3 7" xfId="12563" xr:uid="{C71F9E7C-6925-4213-9A94-2A2129157354}"/>
    <cellStyle name="RISKtandbEdge 5 3 7 2" xfId="35007" xr:uid="{BA04E9CF-2662-4C4B-B7CF-85579EC4E1CF}"/>
    <cellStyle name="RISKtandbEdge 5 3 8" xfId="17437" xr:uid="{C6CB1774-4F63-4C80-B20A-9F34229D7538}"/>
    <cellStyle name="RISKtandbEdge 5 3 8 2" xfId="38684" xr:uid="{738F7DB2-A73E-46E3-B61F-85BD4288B62A}"/>
    <cellStyle name="RISKtandbEdge 5 3 9" xfId="18285" xr:uid="{17A7D5F7-B927-4E7F-9FFA-0BEE4C0003CE}"/>
    <cellStyle name="RISKtandbEdge 5 3 9 2" xfId="39316" xr:uid="{0AB81228-8C98-4122-8BA4-7FB3D13E4CAC}"/>
    <cellStyle name="RISKtandbEdge 5 30" xfId="29884" xr:uid="{36B92344-77A5-419F-BA4F-C5AD05E331E8}"/>
    <cellStyle name="RISKtandbEdge 5 30 2" xfId="47172" xr:uid="{E6DEBD53-CB7C-4D7E-BA56-1163AA9DEAA5}"/>
    <cellStyle name="RISKtandbEdge 5 31" xfId="30905" xr:uid="{187B0D30-EBC8-4344-A92C-677A4C4CB0C5}"/>
    <cellStyle name="RISKtandbEdge 5 31 2" xfId="47753" xr:uid="{AC83B87D-FB93-4837-B254-A45357DA49CB}"/>
    <cellStyle name="RISKtandbEdge 5 32" xfId="6823" xr:uid="{C1126214-AA09-4CDF-B72F-A0560220AF95}"/>
    <cellStyle name="RISKtandbEdge 5 4" xfId="11775" xr:uid="{C49B46BF-891A-4EAA-81B6-3AC6106BF334}"/>
    <cellStyle name="RISKtandbEdge 5 4 2" xfId="34388" xr:uid="{21D03A8D-5608-4DFD-9693-E0877183AA30}"/>
    <cellStyle name="RISKtandbEdge 5 5" xfId="10262" xr:uid="{087FE66D-278C-4CD8-BF96-DF463C8C8153}"/>
    <cellStyle name="RISKtandbEdge 5 5 2" xfId="33897" xr:uid="{3B637214-A9D7-4B38-8A86-7C566AB47BD5}"/>
    <cellStyle name="RISKtandbEdge 5 6" xfId="6993" xr:uid="{285762B5-FD1A-4146-B787-830199D66CF8}"/>
    <cellStyle name="RISKtandbEdge 5 6 2" xfId="31360" xr:uid="{79731ED8-F212-4561-B990-58EB850DF4CA}"/>
    <cellStyle name="RISKtandbEdge 5 7" xfId="11673" xr:uid="{03C3FE0B-8DBE-4A5B-AF46-8E8DC69933BA}"/>
    <cellStyle name="RISKtandbEdge 5 7 2" xfId="34286" xr:uid="{828131CA-9A03-4668-9717-5199B2E5C50C}"/>
    <cellStyle name="RISKtandbEdge 5 8" xfId="14660" xr:uid="{A9E05582-563F-40E1-9526-29C952A9EED0}"/>
    <cellStyle name="RISKtandbEdge 5 8 2" xfId="36572" xr:uid="{21ACE549-E8BD-4B5B-82CF-A8FAD5293CA9}"/>
    <cellStyle name="RISKtandbEdge 5 9" xfId="12526" xr:uid="{A1356B42-F80F-4EC1-B908-72BF2D5E17D8}"/>
    <cellStyle name="RISKtandbEdge 5 9 2" xfId="34970" xr:uid="{004CFD91-3E12-4B90-AE5E-A8A54B5EE21D}"/>
    <cellStyle name="RISKtandbEdge 6" xfId="4026" xr:uid="{FBE7A76C-C909-426F-A513-C3663E997313}"/>
    <cellStyle name="RISKtandbEdge 6 10" xfId="15631" xr:uid="{9163CCD7-1806-434A-91FA-D1C4D2F62FD0}"/>
    <cellStyle name="RISKtandbEdge 6 10 2" xfId="37289" xr:uid="{AB2F4B8A-45FB-4757-9CC2-45D9DE8166A0}"/>
    <cellStyle name="RISKtandbEdge 6 11" xfId="13957" xr:uid="{0AA5B35C-3B80-44D1-91F3-8D4104A7591A}"/>
    <cellStyle name="RISKtandbEdge 6 11 2" xfId="36063" xr:uid="{EAC02899-5B3E-4AD1-B76D-73AA9B7B1342}"/>
    <cellStyle name="RISKtandbEdge 6 12" xfId="16056" xr:uid="{D69C7612-8887-4213-9C6F-39791BFF227D}"/>
    <cellStyle name="RISKtandbEdge 6 12 2" xfId="37632" xr:uid="{AB2AD086-C0D1-4CE3-9638-95AC66CB4E95}"/>
    <cellStyle name="RISKtandbEdge 6 13" xfId="19920" xr:uid="{434F006D-9E46-479F-A7ED-F469235DE131}"/>
    <cellStyle name="RISKtandbEdge 6 13 2" xfId="40532" xr:uid="{A2377071-EBB3-48A2-8D24-83463FB71650}"/>
    <cellStyle name="RISKtandbEdge 6 14" xfId="16839" xr:uid="{85F2F6BA-46DA-4464-A702-CE6C253B3C56}"/>
    <cellStyle name="RISKtandbEdge 6 14 2" xfId="38267" xr:uid="{6FB37024-03FC-41B3-9BD1-CD00D4D04D7D}"/>
    <cellStyle name="RISKtandbEdge 6 15" xfId="17115" xr:uid="{A52C5505-E562-4C69-911D-8AD6259663BC}"/>
    <cellStyle name="RISKtandbEdge 6 15 2" xfId="38454" xr:uid="{26F54E2A-9AFE-4A71-8DF8-4A4D9957182C}"/>
    <cellStyle name="RISKtandbEdge 6 16" xfId="17873" xr:uid="{32062EBB-7D1C-4A84-9767-CD317364CDCE}"/>
    <cellStyle name="RISKtandbEdge 6 16 2" xfId="38989" xr:uid="{53257BDD-2107-451F-8C2D-238BD623436E}"/>
    <cellStyle name="RISKtandbEdge 6 17" xfId="23167" xr:uid="{C7E64CA8-EA8C-44B6-AA74-1E2294B4B8AC}"/>
    <cellStyle name="RISKtandbEdge 6 17 2" xfId="42766" xr:uid="{D5D521C8-7A5D-429F-81B4-9A218BF87EF4}"/>
    <cellStyle name="RISKtandbEdge 6 18" xfId="23988" xr:uid="{D0C4033A-6AA7-4B84-8393-70E7718EB974}"/>
    <cellStyle name="RISKtandbEdge 6 18 2" xfId="43365" xr:uid="{C4590864-28E7-431F-BC7F-77DF73FF00AB}"/>
    <cellStyle name="RISKtandbEdge 6 19" xfId="22583" xr:uid="{ED084B7E-6700-4FD1-AD24-32DAB668A252}"/>
    <cellStyle name="RISKtandbEdge 6 19 2" xfId="42369" xr:uid="{AAFC2F9D-A865-42D8-8439-DCA0E50D04D5}"/>
    <cellStyle name="RISKtandbEdge 6 2" xfId="4027" xr:uid="{1BF382BF-0F5B-4DB1-9B8B-993156E6EDAF}"/>
    <cellStyle name="RISKtandbEdge 6 2 10" xfId="16067" xr:uid="{3DB31F92-15A6-44D2-82E7-9B259B92688C}"/>
    <cellStyle name="RISKtandbEdge 6 2 10 2" xfId="37641" xr:uid="{9504C33D-E3E3-4C4E-BFA8-F34FD3D11867}"/>
    <cellStyle name="RISKtandbEdge 6 2 11" xfId="18032" xr:uid="{8F528467-EE4F-4654-A7C0-F50982F85E8C}"/>
    <cellStyle name="RISKtandbEdge 6 2 11 2" xfId="39128" xr:uid="{B62B2393-C5FB-44E0-B95A-D19EFB4AF5CC}"/>
    <cellStyle name="RISKtandbEdge 6 2 12" xfId="20656" xr:uid="{4708CE99-1C9A-49C0-80C2-104867210ECA}"/>
    <cellStyle name="RISKtandbEdge 6 2 12 2" xfId="41016" xr:uid="{7CAA54E1-5D02-42EC-9FD2-358197C8E5A7}"/>
    <cellStyle name="RISKtandbEdge 6 2 13" xfId="19026" xr:uid="{0D40F1F2-2EC5-463D-A544-8EED54FB3007}"/>
    <cellStyle name="RISKtandbEdge 6 2 13 2" xfId="39858" xr:uid="{D9087F24-DE82-4435-9C74-1D084EB438C3}"/>
    <cellStyle name="RISKtandbEdge 6 2 14" xfId="22572" xr:uid="{8CE261A7-FC32-4B78-A9C7-65724AD1C192}"/>
    <cellStyle name="RISKtandbEdge 6 2 14 2" xfId="42358" xr:uid="{B736702D-A5BF-4F0D-9E05-88B562FC5FB4}"/>
    <cellStyle name="RISKtandbEdge 6 2 15" xfId="20476" xr:uid="{A58C6B60-E179-48C7-8A29-AAEDE6C73174}"/>
    <cellStyle name="RISKtandbEdge 6 2 15 2" xfId="40869" xr:uid="{A6B5CB16-9512-4229-A7D1-DA3734A85309}"/>
    <cellStyle name="RISKtandbEdge 6 2 16" xfId="18565" xr:uid="{A6BC21A1-194B-4B65-A4E2-065F768969A5}"/>
    <cellStyle name="RISKtandbEdge 6 2 16 2" xfId="39509" xr:uid="{0FA0F875-CE7C-40C6-80E6-A2AE4A52990B}"/>
    <cellStyle name="RISKtandbEdge 6 2 17" xfId="20303" xr:uid="{599B1CCE-38D8-47E1-8EA2-DC2DDC71E8EB}"/>
    <cellStyle name="RISKtandbEdge 6 2 17 2" xfId="40737" xr:uid="{4CF87579-E76C-41D6-B6FE-BFADB32B35F3}"/>
    <cellStyle name="RISKtandbEdge 6 2 18" xfId="25315" xr:uid="{AD428756-DDDA-4AFE-87BE-A3D297C09830}"/>
    <cellStyle name="RISKtandbEdge 6 2 18 2" xfId="44231" xr:uid="{5426F0FB-2D25-4514-82ED-FCA2F3F77EE4}"/>
    <cellStyle name="RISKtandbEdge 6 2 19" xfId="24003" xr:uid="{1FBFA24E-C992-4AED-BEE5-D395FC7C6186}"/>
    <cellStyle name="RISKtandbEdge 6 2 19 2" xfId="43380" xr:uid="{E6E57036-A7FC-4734-947B-3D5D05320AC7}"/>
    <cellStyle name="RISKtandbEdge 6 2 2" xfId="11773" xr:uid="{0FB52F4B-96EE-4C91-AF50-E2671DD687A9}"/>
    <cellStyle name="RISKtandbEdge 6 2 2 2" xfId="34386" xr:uid="{FDA6F120-46B5-4F06-9C89-1EA79B061656}"/>
    <cellStyle name="RISKtandbEdge 6 2 20" xfId="25504" xr:uid="{E17B3B37-2614-4377-A7AF-BB6B2CC6C6B3}"/>
    <cellStyle name="RISKtandbEdge 6 2 20 2" xfId="44380" xr:uid="{F9EBC554-E7F2-4674-8D58-BAEBC73D5403}"/>
    <cellStyle name="RISKtandbEdge 6 2 21" xfId="27311" xr:uid="{F633848D-BC24-45C3-92CE-2A15AC6D1884}"/>
    <cellStyle name="RISKtandbEdge 6 2 21 2" xfId="45614" xr:uid="{BAE282DE-6A1B-4D67-BE73-F2D0A1CDDAA2}"/>
    <cellStyle name="RISKtandbEdge 6 2 22" xfId="27494" xr:uid="{B9DAF843-1995-4A71-9525-76EFC793C9F2}"/>
    <cellStyle name="RISKtandbEdge 6 2 22 2" xfId="45693" xr:uid="{3F78FB29-4ED5-4226-8767-29238156B394}"/>
    <cellStyle name="RISKtandbEdge 6 2 23" xfId="21929" xr:uid="{C975F7CA-7D22-4C0D-9D3A-D01DC355FEE6}"/>
    <cellStyle name="RISKtandbEdge 6 2 23 2" xfId="41845" xr:uid="{51781AE1-5A0F-480B-928C-B1BD64B54DF2}"/>
    <cellStyle name="RISKtandbEdge 6 2 24" xfId="22633" xr:uid="{D7DD8C29-E552-4124-9FB0-17D6DAEF38FB}"/>
    <cellStyle name="RISKtandbEdge 6 2 24 2" xfId="42407" xr:uid="{BD114C62-251F-41BD-9051-4FB7BAEC1053}"/>
    <cellStyle name="RISKtandbEdge 6 2 25" xfId="28980" xr:uid="{3ED9AD06-90EE-4097-93DF-78356B8411F1}"/>
    <cellStyle name="RISKtandbEdge 6 2 25 2" xfId="46574" xr:uid="{0F960288-B7FD-4AFE-A33E-32979F9D9349}"/>
    <cellStyle name="RISKtandbEdge 6 2 26" xfId="27753" xr:uid="{42A44DA7-C8C2-4AD2-9045-72961D9EB3F7}"/>
    <cellStyle name="RISKtandbEdge 6 2 26 2" xfId="45854" xr:uid="{57A71B75-E1E6-403A-8FD3-022096FABF12}"/>
    <cellStyle name="RISKtandbEdge 6 2 27" xfId="30017" xr:uid="{533571EE-5C3D-4962-8696-8FF4A7D172E6}"/>
    <cellStyle name="RISKtandbEdge 6 2 27 2" xfId="47248" xr:uid="{F0635499-8483-465D-8233-AF5FFC50D1ED}"/>
    <cellStyle name="RISKtandbEdge 6 2 28" xfId="27745" xr:uid="{04FF5679-B2B6-4F9F-B24D-96886DB1EF2E}"/>
    <cellStyle name="RISKtandbEdge 6 2 28 2" xfId="45846" xr:uid="{B0490504-DE2F-4113-9160-A68C5B2746F2}"/>
    <cellStyle name="RISKtandbEdge 6 2 29" xfId="30904" xr:uid="{59351BC7-2218-4DFF-9D78-1F230F8BE486}"/>
    <cellStyle name="RISKtandbEdge 6 2 29 2" xfId="47752" xr:uid="{EB71DB82-7DDF-4115-AED4-2842C34EB2AD}"/>
    <cellStyle name="RISKtandbEdge 6 2 3" xfId="10264" xr:uid="{686281AE-41BA-4013-BF18-8450017BA027}"/>
    <cellStyle name="RISKtandbEdge 6 2 3 2" xfId="33899" xr:uid="{257F6622-CFC2-44A2-BC54-4F0F570BBA99}"/>
    <cellStyle name="RISKtandbEdge 6 2 30" xfId="6821" xr:uid="{FFB0672E-2DA7-4C18-8222-88094E342030}"/>
    <cellStyle name="RISKtandbEdge 6 2 4" xfId="6991" xr:uid="{BA95DD20-6413-4F01-9991-2043CAFFCFAC}"/>
    <cellStyle name="RISKtandbEdge 6 2 4 2" xfId="31358" xr:uid="{66483FA4-A923-4764-8585-58B3E3A3B5F3}"/>
    <cellStyle name="RISKtandbEdge 6 2 5" xfId="11671" xr:uid="{A03E19FE-4184-4FED-A24A-14084C1B162A}"/>
    <cellStyle name="RISKtandbEdge 6 2 5 2" xfId="34284" xr:uid="{69E0A5EA-B0E0-4830-B347-BF5DAA8842DF}"/>
    <cellStyle name="RISKtandbEdge 6 2 6" xfId="14659" xr:uid="{39024786-EF38-4AAD-93FB-DD4DABB2E7BF}"/>
    <cellStyle name="RISKtandbEdge 6 2 6 2" xfId="36571" xr:uid="{B6F23DD9-EE2A-4A32-BCC9-9F8059CC35D6}"/>
    <cellStyle name="RISKtandbEdge 6 2 7" xfId="12813" xr:uid="{D684F46D-D81E-48B5-8642-9A46354DB50D}"/>
    <cellStyle name="RISKtandbEdge 6 2 7 2" xfId="35202" xr:uid="{572C3119-8D1F-4E27-B3F0-AB6F8A32D5A0}"/>
    <cellStyle name="RISKtandbEdge 6 2 8" xfId="17436" xr:uid="{45819AE6-22EC-4074-AE2E-9ECBEAB65A15}"/>
    <cellStyle name="RISKtandbEdge 6 2 8 2" xfId="38683" xr:uid="{F8BAF190-CFCA-439E-94CE-7315EFA4F96B}"/>
    <cellStyle name="RISKtandbEdge 6 2 9" xfId="18284" xr:uid="{05690329-C4DF-4F5E-8CD8-71E640E9BB50}"/>
    <cellStyle name="RISKtandbEdge 6 2 9 2" xfId="39315" xr:uid="{21AE299F-C77A-4653-80EE-3D99D4E2B7BA}"/>
    <cellStyle name="RISKtandbEdge 6 20" xfId="21068" xr:uid="{F4966C86-C858-4E1D-B4B0-7D063FB7D113}"/>
    <cellStyle name="RISKtandbEdge 6 20 2" xfId="41313" xr:uid="{B16C882E-4F9B-407A-B6D1-B25E76D01CD7}"/>
    <cellStyle name="RISKtandbEdge 6 21" xfId="18738" xr:uid="{BBF1407A-06F1-4D54-B31C-220AB3F5504B}"/>
    <cellStyle name="RISKtandbEdge 6 21 2" xfId="39613" xr:uid="{296E517D-82CE-4EF8-9DA0-8D90B11DE5D0}"/>
    <cellStyle name="RISKtandbEdge 6 22" xfId="22672" xr:uid="{0CA33D85-749F-4A6B-B273-3FF8A908D2FF}"/>
    <cellStyle name="RISKtandbEdge 6 22 2" xfId="42442" xr:uid="{EDAF5F92-12B5-4EB6-BBB7-283EA5C9F9EC}"/>
    <cellStyle name="RISKtandbEdge 6 23" xfId="26179" xr:uid="{EE7119FC-3E12-43E1-A97B-56891010182E}"/>
    <cellStyle name="RISKtandbEdge 6 23 2" xfId="44909" xr:uid="{35350BF8-8131-408F-AD96-CA5B59205101}"/>
    <cellStyle name="RISKtandbEdge 6 24" xfId="27818" xr:uid="{415ACCE1-BF34-4D31-8EC9-8B22886D87D4}"/>
    <cellStyle name="RISKtandbEdge 6 24 2" xfId="45905" xr:uid="{375C6C8A-DCE2-4797-A3F3-86065E29BD17}"/>
    <cellStyle name="RISKtandbEdge 6 25" xfId="26440" xr:uid="{5227B97A-A81C-4D3D-9699-D36F246A84FD}"/>
    <cellStyle name="RISKtandbEdge 6 25 2" xfId="45071" xr:uid="{959FA6FA-8CD8-4E20-B46F-A73AE0DF327F}"/>
    <cellStyle name="RISKtandbEdge 6 26" xfId="28209" xr:uid="{728D7607-A533-425C-8614-A03B7C5D56B3}"/>
    <cellStyle name="RISKtandbEdge 6 26 2" xfId="46098" xr:uid="{80157BD5-8051-489E-8FF3-D08BF369C5E3}"/>
    <cellStyle name="RISKtandbEdge 6 27" xfId="29070" xr:uid="{D7A0C611-AF11-4308-86EA-88B810964B56}"/>
    <cellStyle name="RISKtandbEdge 6 27 2" xfId="46643" xr:uid="{68883727-E0C5-42CB-94B7-EF52EB112263}"/>
    <cellStyle name="RISKtandbEdge 6 28" xfId="28131" xr:uid="{DC1129DB-C748-4A0F-A0B4-02B6BAB3BAF4}"/>
    <cellStyle name="RISKtandbEdge 6 28 2" xfId="46071" xr:uid="{D5661BFE-2C24-4F2F-8977-64E2756BA1D8}"/>
    <cellStyle name="RISKtandbEdge 6 29" xfId="30700" xr:uid="{492DD08F-25B7-4379-B66C-D7F897F7AFC1}"/>
    <cellStyle name="RISKtandbEdge 6 29 2" xfId="47646" xr:uid="{1A9CE059-34CC-48A6-B95E-B60A41E03BE9}"/>
    <cellStyle name="RISKtandbEdge 6 3" xfId="4028" xr:uid="{FF1BB004-71DB-44FE-A127-8E58E4C74442}"/>
    <cellStyle name="RISKtandbEdge 6 3 10" xfId="19168" xr:uid="{10D88EC1-B768-4518-A9F8-9AB1C347F144}"/>
    <cellStyle name="RISKtandbEdge 6 3 10 2" xfId="39977" xr:uid="{DD69698C-66F1-4863-BCE5-1C19FB4EB3E1}"/>
    <cellStyle name="RISKtandbEdge 6 3 11" xfId="19919" xr:uid="{33311692-EBFB-4C7A-8C32-8ECFA76A60F4}"/>
    <cellStyle name="RISKtandbEdge 6 3 11 2" xfId="40531" xr:uid="{18315720-1EDD-4F59-BEA1-785692C6F78C}"/>
    <cellStyle name="RISKtandbEdge 6 3 12" xfId="18900" xr:uid="{6ABF335F-9AC7-4792-9533-1A51299D8F50}"/>
    <cellStyle name="RISKtandbEdge 6 3 12 2" xfId="39733" xr:uid="{6E88DF69-2986-4D9F-9284-F8866410FAA5}"/>
    <cellStyle name="RISKtandbEdge 6 3 13" xfId="16084" xr:uid="{F77D3E5C-7A90-4F19-9A27-1255CB982258}"/>
    <cellStyle name="RISKtandbEdge 6 3 13 2" xfId="37655" xr:uid="{50D6F791-204C-4483-AF87-2348D1D8D58A}"/>
    <cellStyle name="RISKtandbEdge 6 3 14" xfId="22074" xr:uid="{4E2010A8-3974-4133-8138-6668EB507817}"/>
    <cellStyle name="RISKtandbEdge 6 3 14 2" xfId="41959" xr:uid="{780DC088-2105-4250-ACB0-524418746975}"/>
    <cellStyle name="RISKtandbEdge 6 3 15" xfId="23166" xr:uid="{783B060C-4E86-427E-89B5-51CA328E0B56}"/>
    <cellStyle name="RISKtandbEdge 6 3 15 2" xfId="42765" xr:uid="{870872D0-4658-4E0E-8587-B37E1E245FAB}"/>
    <cellStyle name="RISKtandbEdge 6 3 16" xfId="23987" xr:uid="{2B874CF0-BC6E-4A1F-B66D-443EAB67497E}"/>
    <cellStyle name="RISKtandbEdge 6 3 16 2" xfId="43364" xr:uid="{EF73AFD3-4EA1-416F-B0CA-CD81B30BF508}"/>
    <cellStyle name="RISKtandbEdge 6 3 17" xfId="21146" xr:uid="{2E6AFCA9-E17B-492B-8D58-C720E5A5C316}"/>
    <cellStyle name="RISKtandbEdge 6 3 17 2" xfId="41342" xr:uid="{5DA9134D-B186-4072-BA47-C60BCADEB628}"/>
    <cellStyle name="RISKtandbEdge 6 3 18" xfId="24545" xr:uid="{99C5FF91-C260-4FC0-A3B4-9575724AC21D}"/>
    <cellStyle name="RISKtandbEdge 6 3 18 2" xfId="43728" xr:uid="{0783E2F1-DDBA-4CFE-9CC9-97B9834669EC}"/>
    <cellStyle name="RISKtandbEdge 6 3 19" xfId="22197" xr:uid="{F529D4C1-FDAD-4FFA-80E9-CCA67A458C8D}"/>
    <cellStyle name="RISKtandbEdge 6 3 19 2" xfId="42076" xr:uid="{D6DD9715-8AC6-4355-B630-A022369C7537}"/>
    <cellStyle name="RISKtandbEdge 6 3 2" xfId="7347" xr:uid="{C8FBE2E3-ABF0-4C7F-AED5-5C7A2DB9915C}"/>
    <cellStyle name="RISKtandbEdge 6 3 2 2" xfId="31709" xr:uid="{7793E97B-39BD-466D-91B7-5285C6EB2279}"/>
    <cellStyle name="RISKtandbEdge 6 3 20" xfId="24247" xr:uid="{CF4B2D03-2D37-4BF8-97C4-CB21A3EAC18C}"/>
    <cellStyle name="RISKtandbEdge 6 3 20 2" xfId="43561" xr:uid="{0BFD5560-B693-4D3E-A151-C1226A4E8228}"/>
    <cellStyle name="RISKtandbEdge 6 3 21" xfId="21025" xr:uid="{4F3CB188-9311-4DD4-A68D-BB55945849E8}"/>
    <cellStyle name="RISKtandbEdge 6 3 21 2" xfId="41279" xr:uid="{96CEB7F4-C77B-4A6C-ADE6-8D49DA07301E}"/>
    <cellStyle name="RISKtandbEdge 6 3 22" xfId="27817" xr:uid="{2953989B-CF61-4073-BF4A-450BDBDFD928}"/>
    <cellStyle name="RISKtandbEdge 6 3 22 2" xfId="45904" xr:uid="{7E5E254A-87B4-4FE0-8420-F9D349A354FB}"/>
    <cellStyle name="RISKtandbEdge 6 3 23" xfId="25458" xr:uid="{CCA8736F-32A3-422D-849B-20A5E9C3EBD6}"/>
    <cellStyle name="RISKtandbEdge 6 3 23 2" xfId="44342" xr:uid="{620D7AA3-6733-4E79-BF91-E29CEE0E02D1}"/>
    <cellStyle name="RISKtandbEdge 6 3 24" xfId="23740" xr:uid="{6EC320B3-419D-4426-A3A5-FD16CFEF6F9D}"/>
    <cellStyle name="RISKtandbEdge 6 3 24 2" xfId="43154" xr:uid="{A411458A-6235-49A5-B51B-ADE154CC8850}"/>
    <cellStyle name="RISKtandbEdge 6 3 25" xfId="29176" xr:uid="{A5868914-1694-47D4-973F-2733D2CF1AB1}"/>
    <cellStyle name="RISKtandbEdge 6 3 25 2" xfId="46702" xr:uid="{D416D575-D76A-4FD7-AF21-FF65E786B36F}"/>
    <cellStyle name="RISKtandbEdge 6 3 26" xfId="29794" xr:uid="{AA517989-7F06-4860-8601-FCAAB74F73FF}"/>
    <cellStyle name="RISKtandbEdge 6 3 26 2" xfId="47113" xr:uid="{14136C2D-824B-40E7-9615-DE60730FE04F}"/>
    <cellStyle name="RISKtandbEdge 6 3 27" xfId="30699" xr:uid="{CF3359E8-9155-4FE9-825D-91EBFA39C173}"/>
    <cellStyle name="RISKtandbEdge 6 3 27 2" xfId="47645" xr:uid="{ABF18FAD-F179-4AA6-A5DA-BADA3A14D256}"/>
    <cellStyle name="RISKtandbEdge 6 3 28" xfId="29098" xr:uid="{BE935A3B-9436-4BF7-B9DD-F2A173CC7FE5}"/>
    <cellStyle name="RISKtandbEdge 6 3 28 2" xfId="46667" xr:uid="{D2C6E65B-F58C-4E0C-B10D-491F0344A8F8}"/>
    <cellStyle name="RISKtandbEdge 6 3 29" xfId="30194" xr:uid="{4F5A1D2A-5CAF-4557-B7A8-3C50F0C523D3}"/>
    <cellStyle name="RISKtandbEdge 6 3 29 2" xfId="47355" xr:uid="{10DEB360-1D7E-4412-8B1B-62E98435E89F}"/>
    <cellStyle name="RISKtandbEdge 6 3 3" xfId="13194" xr:uid="{588FFC50-58EF-424A-BEEC-C59BEE8B9B0E}"/>
    <cellStyle name="RISKtandbEdge 6 3 3 2" xfId="35542" xr:uid="{E01AA394-87FC-493D-9DD9-B4B0A98EC200}"/>
    <cellStyle name="RISKtandbEdge 6 3 30" xfId="6062" xr:uid="{B76D2252-E56A-4FF0-9C4D-938D31B7867F}"/>
    <cellStyle name="RISKtandbEdge 6 3 4" xfId="14209" xr:uid="{9CCD46C6-68BE-464A-9C8E-93C316559E43}"/>
    <cellStyle name="RISKtandbEdge 6 3 4 2" xfId="36262" xr:uid="{4E5C8282-F32D-4515-AD8D-3B6E88858493}"/>
    <cellStyle name="RISKtandbEdge 6 3 5" xfId="7239" xr:uid="{9F3085C7-8D86-4EE0-A6CC-1DC42CD75F13}"/>
    <cellStyle name="RISKtandbEdge 6 3 5 2" xfId="31604" xr:uid="{278F6550-5991-4229-96AD-972F9F247816}"/>
    <cellStyle name="RISKtandbEdge 6 3 6" xfId="15502" xr:uid="{5DBF0260-8236-4C8E-B204-D9275155C8C7}"/>
    <cellStyle name="RISKtandbEdge 6 3 6 2" xfId="37167" xr:uid="{A0787D58-C30D-4F14-8959-748F7A664524}"/>
    <cellStyle name="RISKtandbEdge 6 3 7" xfId="16561" xr:uid="{EEEE7DCB-636F-4271-8305-1EC3BB7E5581}"/>
    <cellStyle name="RISKtandbEdge 6 3 7 2" xfId="38054" xr:uid="{53778546-8736-4A95-99C8-227A73D250A7}"/>
    <cellStyle name="RISKtandbEdge 6 3 8" xfId="16037" xr:uid="{28D849F7-A3B4-4656-87ED-2718C09A849C}"/>
    <cellStyle name="RISKtandbEdge 6 3 8 2" xfId="37620" xr:uid="{B9375A21-8B92-481D-95AB-664903A506EB}"/>
    <cellStyle name="RISKtandbEdge 6 3 9" xfId="16295" xr:uid="{C39F0DD0-4BF7-4C1F-A540-8C63A952D740}"/>
    <cellStyle name="RISKtandbEdge 6 3 9 2" xfId="37832" xr:uid="{F172BDC5-2C1D-4912-87E5-93E35B1A056F}"/>
    <cellStyle name="RISKtandbEdge 6 30" xfId="30165" xr:uid="{7EE12B41-FFD9-4ECC-B984-EB7DF666B341}"/>
    <cellStyle name="RISKtandbEdge 6 30 2" xfId="47329" xr:uid="{A00F67D9-3F13-4E3F-9E4F-C2DE6DAA71F5}"/>
    <cellStyle name="RISKtandbEdge 6 31" xfId="30616" xr:uid="{03A83A54-1515-4029-85FF-3CFC98E604DD}"/>
    <cellStyle name="RISKtandbEdge 6 31 2" xfId="47562" xr:uid="{F7F3E46E-86BA-48CF-BD09-2355A2A39D4F}"/>
    <cellStyle name="RISKtandbEdge 6 32" xfId="6063" xr:uid="{9B83F370-25C3-4379-9673-E60579B4384F}"/>
    <cellStyle name="RISKtandbEdge 6 4" xfId="7348" xr:uid="{BD9AB902-5C40-4919-9F56-88D382D3E5AE}"/>
    <cellStyle name="RISKtandbEdge 6 4 2" xfId="31710" xr:uid="{5BEAE047-321E-495C-BCD2-8738ED7BBD2A}"/>
    <cellStyle name="RISKtandbEdge 6 5" xfId="13195" xr:uid="{AD562965-22A3-4A78-9E53-335C0DCD3D99}"/>
    <cellStyle name="RISKtandbEdge 6 5 2" xfId="35543" xr:uid="{62AB27D2-0EE2-4548-A275-B19025BA0DE9}"/>
    <cellStyle name="RISKtandbEdge 6 6" xfId="14210" xr:uid="{B2402A44-F83D-47F0-B3E6-0CE13B09D941}"/>
    <cellStyle name="RISKtandbEdge 6 6 2" xfId="36263" xr:uid="{635F23E8-FF68-4B4C-AD05-0C8B927105C0}"/>
    <cellStyle name="RISKtandbEdge 6 7" xfId="7240" xr:uid="{CDEC206F-9873-42B0-BB30-05CB68A52E52}"/>
    <cellStyle name="RISKtandbEdge 6 7 2" xfId="31605" xr:uid="{565A5363-945B-4FF3-B885-75A81FF9E13D}"/>
    <cellStyle name="RISKtandbEdge 6 8" xfId="12301" xr:uid="{2589A093-63BD-4DE7-9F86-8E0228B9F40C}"/>
    <cellStyle name="RISKtandbEdge 6 8 2" xfId="34807" xr:uid="{2701E6E2-BC36-47E4-BCBD-733E284A8DBB}"/>
    <cellStyle name="RISKtandbEdge 6 9" xfId="16562" xr:uid="{061ED76B-C1C1-4625-926E-649AB3EEB2BA}"/>
    <cellStyle name="RISKtandbEdge 6 9 2" xfId="38055" xr:uid="{F0424196-FBAF-4D89-A5A8-3CAF1465E0C9}"/>
    <cellStyle name="RISKtandbEdge 7" xfId="4029" xr:uid="{9C496BDB-F0A5-463A-8CC2-D6E987A0CE18}"/>
    <cellStyle name="RISKtandbEdge 7 10" xfId="17435" xr:uid="{E0444DC7-30E6-4040-83BB-7689EF2BA0EB}"/>
    <cellStyle name="RISKtandbEdge 7 10 2" xfId="38682" xr:uid="{25848A70-8E09-4566-B51D-D58B90692DDE}"/>
    <cellStyle name="RISKtandbEdge 7 11" xfId="18283" xr:uid="{BBB6AE8B-8243-4AE2-A7F8-41DF05CFC46A}"/>
    <cellStyle name="RISKtandbEdge 7 11 2" xfId="39314" xr:uid="{D9C12D9F-6D12-41B9-A1D9-87B3BA4EAFDD}"/>
    <cellStyle name="RISKtandbEdge 7 12" xfId="17183" xr:uid="{D69C07C5-3142-42EF-9B8A-7605790B3B5D}"/>
    <cellStyle name="RISKtandbEdge 7 12 2" xfId="38512" xr:uid="{E8104C93-5FE9-46B9-85F7-AD5B2656CF4D}"/>
    <cellStyle name="RISKtandbEdge 7 13" xfId="15744" xr:uid="{7A9E24BD-2E6B-4373-9EBB-32368D7C6F35}"/>
    <cellStyle name="RISKtandbEdge 7 13 2" xfId="37373" xr:uid="{BDA1F1BD-43BB-4CA6-A4D1-4FFCBE79BCA1}"/>
    <cellStyle name="RISKtandbEdge 7 14" xfId="20655" xr:uid="{343322C6-DC8E-4B6E-9564-C6A5DC72F4C1}"/>
    <cellStyle name="RISKtandbEdge 7 14 2" xfId="41015" xr:uid="{D2C72176-BE87-4EF8-A339-5A734A5C1C0A}"/>
    <cellStyle name="RISKtandbEdge 7 15" xfId="19025" xr:uid="{3A6C2865-EB4A-4994-B060-50EFC85BA6FC}"/>
    <cellStyle name="RISKtandbEdge 7 15 2" xfId="39857" xr:uid="{FFC74727-66C8-4C7D-80F4-957A0385DA06}"/>
    <cellStyle name="RISKtandbEdge 7 16" xfId="21219" xr:uid="{2594F1DC-4859-45F3-9584-FCCEAE52F864}"/>
    <cellStyle name="RISKtandbEdge 7 16 2" xfId="41412" xr:uid="{9780D1BB-0D11-49F5-A08A-B8C9C4A6BAD6}"/>
    <cellStyle name="RISKtandbEdge 7 17" xfId="15396" xr:uid="{3A9421FD-9041-4B49-8853-21DFDCF919E7}"/>
    <cellStyle name="RISKtandbEdge 7 17 2" xfId="37093" xr:uid="{594F546D-2684-4ECD-9E6F-C75C6DDD13A6}"/>
    <cellStyle name="RISKtandbEdge 7 18" xfId="18742" xr:uid="{19FCDEF6-940A-4353-BC26-04CBB0A22273}"/>
    <cellStyle name="RISKtandbEdge 7 18 2" xfId="39617" xr:uid="{B3A0096A-CF01-40A6-89CB-DAACED3F708D}"/>
    <cellStyle name="RISKtandbEdge 7 19" xfId="22151" xr:uid="{F55B5D60-3889-4F04-8B5C-56AAC4C66304}"/>
    <cellStyle name="RISKtandbEdge 7 19 2" xfId="42031" xr:uid="{DE3E803C-4186-4CF4-B03E-4AC341ABA826}"/>
    <cellStyle name="RISKtandbEdge 7 2" xfId="4030" xr:uid="{09AE5FB4-C5EF-445A-ABAF-B63CAC18EA8B}"/>
    <cellStyle name="RISKtandbEdge 7 2 10" xfId="19167" xr:uid="{8DB87098-DFBD-424E-B3E8-73E199136D8C}"/>
    <cellStyle name="RISKtandbEdge 7 2 10 2" xfId="39976" xr:uid="{3CAF0378-C6ED-486B-B7B5-A75E22AB5042}"/>
    <cellStyle name="RISKtandbEdge 7 2 11" xfId="19918" xr:uid="{DD4EE545-11CE-45A9-BCCC-344B48680452}"/>
    <cellStyle name="RISKtandbEdge 7 2 11 2" xfId="40530" xr:uid="{D5DB43A4-EE6F-48B7-BCE7-14601FD2983F}"/>
    <cellStyle name="RISKtandbEdge 7 2 12" xfId="15368" xr:uid="{3D93895C-D7C0-42FE-87DB-B41EED440060}"/>
    <cellStyle name="RISKtandbEdge 7 2 12 2" xfId="37068" xr:uid="{0F70DD77-550D-45C1-9628-7E4D026A9060}"/>
    <cellStyle name="RISKtandbEdge 7 2 13" xfId="17114" xr:uid="{DE0D1D51-38B0-4E22-B1B8-1E4EEBD9CCDE}"/>
    <cellStyle name="RISKtandbEdge 7 2 13 2" xfId="38453" xr:uid="{366DFBAF-794D-41F1-84FA-5CAFA06E1723}"/>
    <cellStyle name="RISKtandbEdge 7 2 14" xfId="20169" xr:uid="{1488DF08-02A0-41DF-83D5-F5B03A95AC5A}"/>
    <cellStyle name="RISKtandbEdge 7 2 14 2" xfId="40676" xr:uid="{C1740C1E-7FBC-47BF-8F72-717625CD2D9C}"/>
    <cellStyle name="RISKtandbEdge 7 2 15" xfId="23165" xr:uid="{3FD3DDC6-F3E1-48FF-913D-7844C74C3559}"/>
    <cellStyle name="RISKtandbEdge 7 2 15 2" xfId="42764" xr:uid="{A16A7E76-C9A5-4AC1-987D-301E1B4ED389}"/>
    <cellStyle name="RISKtandbEdge 7 2 16" xfId="23986" xr:uid="{A349F4C9-C2C4-4417-AF3E-A6A30E26D9AE}"/>
    <cellStyle name="RISKtandbEdge 7 2 16 2" xfId="43363" xr:uid="{38CCEDE5-D4F1-4B5B-AE7E-62FF2E6C0F50}"/>
    <cellStyle name="RISKtandbEdge 7 2 17" xfId="18693" xr:uid="{08533CDF-CF2B-4A90-851B-0F216C92BF8D}"/>
    <cellStyle name="RISKtandbEdge 7 2 17 2" xfId="39572" xr:uid="{1EAA327A-E013-4EFE-BFD8-AAE23875E8CB}"/>
    <cellStyle name="RISKtandbEdge 7 2 18" xfId="24544" xr:uid="{F54AEEE4-BCF6-4FE9-8C67-CBCAFDE8664A}"/>
    <cellStyle name="RISKtandbEdge 7 2 18 2" xfId="43727" xr:uid="{7CBC576B-2845-4B2C-A362-8639DB9491BB}"/>
    <cellStyle name="RISKtandbEdge 7 2 19" xfId="19485" xr:uid="{C860A30C-28AC-4760-BBD2-D01B55FF7A7B}"/>
    <cellStyle name="RISKtandbEdge 7 2 19 2" xfId="40162" xr:uid="{64CE2E0A-0989-4668-AE83-130A7D3A44B1}"/>
    <cellStyle name="RISKtandbEdge 7 2 2" xfId="7345" xr:uid="{0DCD3D69-D3AD-4451-902E-93BA5788C441}"/>
    <cellStyle name="RISKtandbEdge 7 2 2 2" xfId="31708" xr:uid="{EE36E625-5B03-4E98-B6A3-CCFA34571B2E}"/>
    <cellStyle name="RISKtandbEdge 7 2 20" xfId="25439" xr:uid="{B4CAE7C0-B8BB-476A-A885-D68C06C07B99}"/>
    <cellStyle name="RISKtandbEdge 7 2 20 2" xfId="44325" xr:uid="{2D994480-7C8D-4695-8A7D-EB3C71A07203}"/>
    <cellStyle name="RISKtandbEdge 7 2 21" xfId="26178" xr:uid="{9866143F-193D-4DF0-9FB2-B9B8ADB1B868}"/>
    <cellStyle name="RISKtandbEdge 7 2 21 2" xfId="44908" xr:uid="{21DD9330-F75E-467C-AA94-C170D8A923F4}"/>
    <cellStyle name="RISKtandbEdge 7 2 22" xfId="27816" xr:uid="{6C18011B-B075-4A48-B21A-EE159A5710A9}"/>
    <cellStyle name="RISKtandbEdge 7 2 22 2" xfId="45903" xr:uid="{3674DFCE-FE6C-4F20-9D45-3769BD9A95B2}"/>
    <cellStyle name="RISKtandbEdge 7 2 23" xfId="23580" xr:uid="{63A90AC7-90D6-4765-8F5D-86B1B41569F5}"/>
    <cellStyle name="RISKtandbEdge 7 2 23 2" xfId="43015" xr:uid="{983BE5B5-7F73-403B-B429-DF083A9E8AD3}"/>
    <cellStyle name="RISKtandbEdge 7 2 24" xfId="29191" xr:uid="{F3D546E0-255C-4D9B-AC38-29986D18123A}"/>
    <cellStyle name="RISKtandbEdge 7 2 24 2" xfId="46717" xr:uid="{6CE8D08A-AA7D-4922-8BAB-7A412ADD5ED4}"/>
    <cellStyle name="RISKtandbEdge 7 2 25" xfId="26887" xr:uid="{E4FD5CA1-BE7C-4410-B423-23B2B2F25404}"/>
    <cellStyle name="RISKtandbEdge 7 2 25 2" xfId="45310" xr:uid="{E400B57C-7A40-4624-B754-4FA8E883E183}"/>
    <cellStyle name="RISKtandbEdge 7 2 26" xfId="29038" xr:uid="{3A7275F0-E796-47F6-AF9A-5E3F6DB2FA91}"/>
    <cellStyle name="RISKtandbEdge 7 2 26 2" xfId="46625" xr:uid="{39E84B23-4655-40B7-B456-AB77F0E8688C}"/>
    <cellStyle name="RISKtandbEdge 7 2 27" xfId="30698" xr:uid="{5234A8C1-F185-4C7A-9677-400687A400A3}"/>
    <cellStyle name="RISKtandbEdge 7 2 27 2" xfId="47644" xr:uid="{CAB8A22B-F40F-4ABF-94FB-EFAE15615897}"/>
    <cellStyle name="RISKtandbEdge 7 2 28" xfId="30166" xr:uid="{F4DE931D-DC61-4210-BB75-3E90D77BF64A}"/>
    <cellStyle name="RISKtandbEdge 7 2 28 2" xfId="47330" xr:uid="{B2F0082D-BD30-4BB1-9703-C73BC28F3381}"/>
    <cellStyle name="RISKtandbEdge 7 2 29" xfId="30615" xr:uid="{C4455196-1F70-4244-9EDE-6060222BA63B}"/>
    <cellStyle name="RISKtandbEdge 7 2 29 2" xfId="47561" xr:uid="{3F1D3757-45EC-440D-97FE-C129430D75DA}"/>
    <cellStyle name="RISKtandbEdge 7 2 3" xfId="13193" xr:uid="{A9328984-4FFD-4618-8905-0CFF49323338}"/>
    <cellStyle name="RISKtandbEdge 7 2 3 2" xfId="35541" xr:uid="{77378185-8FF4-4D65-A0A3-ED8687D71283}"/>
    <cellStyle name="RISKtandbEdge 7 2 30" xfId="6061" xr:uid="{6F5F5700-D5DC-43BC-A3FA-025AF1DD2CAC}"/>
    <cellStyle name="RISKtandbEdge 7 2 4" xfId="6989" xr:uid="{3E8D26E3-ADB5-4BCC-B18E-518F09D8BA21}"/>
    <cellStyle name="RISKtandbEdge 7 2 4 2" xfId="31356" xr:uid="{B654498B-84D4-4B4A-AF21-87C4058F9164}"/>
    <cellStyle name="RISKtandbEdge 7 2 5" xfId="7238" xr:uid="{FFC58E31-1FCC-49A5-915B-373A2150C0E3}"/>
    <cellStyle name="RISKtandbEdge 7 2 5 2" xfId="31603" xr:uid="{CF84F9F0-8CB0-4CE7-B99D-5FF7A05BA964}"/>
    <cellStyle name="RISKtandbEdge 7 2 6" xfId="12781" xr:uid="{634DAE01-840A-46B9-B77B-C84AB362C2DD}"/>
    <cellStyle name="RISKtandbEdge 7 2 6 2" xfId="35189" xr:uid="{0577F4DB-3941-4988-A6BB-1F5333C24905}"/>
    <cellStyle name="RISKtandbEdge 7 2 7" xfId="16560" xr:uid="{EE928903-96D6-4842-8CB2-68E1E328DD2A}"/>
    <cellStyle name="RISKtandbEdge 7 2 7 2" xfId="38053" xr:uid="{10AC2A41-58E7-43F4-A4BF-5A78D05E5851}"/>
    <cellStyle name="RISKtandbEdge 7 2 8" xfId="12695" xr:uid="{25326114-F42B-47E9-9D16-98C307732189}"/>
    <cellStyle name="RISKtandbEdge 7 2 8 2" xfId="35109" xr:uid="{B54774D7-5DB3-401A-A3B0-217199671F40}"/>
    <cellStyle name="RISKtandbEdge 7 2 9" xfId="15804" xr:uid="{E25ABB82-79E7-4655-A64C-249DE079B86C}"/>
    <cellStyle name="RISKtandbEdge 7 2 9 2" xfId="37419" xr:uid="{746B93F4-AEC7-4548-B76D-480DABF10988}"/>
    <cellStyle name="RISKtandbEdge 7 20" xfId="16934" xr:uid="{BE080EB0-A0A4-4114-99BC-2047A16A0BF5}"/>
    <cellStyle name="RISKtandbEdge 7 20 2" xfId="38305" xr:uid="{0C6610B2-D224-4178-9444-0BD0B88ABC11}"/>
    <cellStyle name="RISKtandbEdge 7 21" xfId="24002" xr:uid="{AEE12CE3-FE3A-4A99-B10E-8CA9E464B3D9}"/>
    <cellStyle name="RISKtandbEdge 7 21 2" xfId="43379" xr:uid="{69C49B87-B717-4720-AD75-7433A49EFA79}"/>
    <cellStyle name="RISKtandbEdge 7 22" xfId="25170" xr:uid="{44607D02-2594-43C5-A7D3-5C34446BBD6C}"/>
    <cellStyle name="RISKtandbEdge 7 22 2" xfId="44114" xr:uid="{C69D6747-8710-4D92-8471-5AA84A8E0BFA}"/>
    <cellStyle name="RISKtandbEdge 7 23" xfId="27310" xr:uid="{B7F35F7E-AA86-4992-9363-A670C6E6C028}"/>
    <cellStyle name="RISKtandbEdge 7 23 2" xfId="45613" xr:uid="{27274C53-11A0-41E4-917B-0D674EAF9471}"/>
    <cellStyle name="RISKtandbEdge 7 24" xfId="25580" xr:uid="{E3DF04B9-DB0A-411F-8707-7C7CE09C0630}"/>
    <cellStyle name="RISKtandbEdge 7 24 2" xfId="44447" xr:uid="{5D62D67E-E40E-4286-95C6-2761B8BEC351}"/>
    <cellStyle name="RISKtandbEdge 7 25" xfId="23707" xr:uid="{DBDCC43E-79CC-4B19-AD54-4F4A1E5921DD}"/>
    <cellStyle name="RISKtandbEdge 7 25 2" xfId="43125" xr:uid="{9581BFFC-4024-4C3E-85AA-2002AE5B6197}"/>
    <cellStyle name="RISKtandbEdge 7 26" xfId="26997" xr:uid="{0C32BEE7-B3AD-4C6C-B308-E7EB6B957F45}"/>
    <cellStyle name="RISKtandbEdge 7 26 2" xfId="45404" xr:uid="{6DB7254B-B92E-421F-9602-1B4E5CF055C4}"/>
    <cellStyle name="RISKtandbEdge 7 27" xfId="26037" xr:uid="{5BBEF94C-776D-428F-840D-3F74A5F0C5B5}"/>
    <cellStyle name="RISKtandbEdge 7 27 2" xfId="44807" xr:uid="{6DED0C1B-A52C-4DEB-A3DF-60406914AB43}"/>
    <cellStyle name="RISKtandbEdge 7 28" xfId="28916" xr:uid="{D5145517-C7DB-4376-8F6B-DEFD0FEB22C6}"/>
    <cellStyle name="RISKtandbEdge 7 28 2" xfId="46520" xr:uid="{7092C68A-5CAA-4C3C-8629-1792D2909EA1}"/>
    <cellStyle name="RISKtandbEdge 7 29" xfId="30236" xr:uid="{CFE34A28-2BA5-4057-BCD8-58DE6BA2C332}"/>
    <cellStyle name="RISKtandbEdge 7 29 2" xfId="47397" xr:uid="{16B2A592-4820-4B4A-9398-DBB8343EECE2}"/>
    <cellStyle name="RISKtandbEdge 7 3" xfId="4031" xr:uid="{93053EED-6D04-4A6A-B277-CEE94CE8622F}"/>
    <cellStyle name="RISKtandbEdge 7 3 10" xfId="13901" xr:uid="{193D7A16-F391-48F6-BE94-A66577564059}"/>
    <cellStyle name="RISKtandbEdge 7 3 10 2" xfId="36016" xr:uid="{A061EBEE-C0B9-4161-A56E-4A438AE34119}"/>
    <cellStyle name="RISKtandbEdge 7 3 11" xfId="18031" xr:uid="{DCE31BE8-E224-4F84-A6B6-348140266925}"/>
    <cellStyle name="RISKtandbEdge 7 3 11 2" xfId="39127" xr:uid="{10730B2B-031B-46D9-9920-279425B53818}"/>
    <cellStyle name="RISKtandbEdge 7 3 12" xfId="20654" xr:uid="{660E8615-E98B-4DC5-94FF-22C4B0E7BC71}"/>
    <cellStyle name="RISKtandbEdge 7 3 12 2" xfId="41014" xr:uid="{A6A8F44D-25CC-4041-A036-4BDE68EA6C48}"/>
    <cellStyle name="RISKtandbEdge 7 3 13" xfId="19024" xr:uid="{C2FAF1A9-F3B0-4C27-B344-F2A7095DE80C}"/>
    <cellStyle name="RISKtandbEdge 7 3 13 2" xfId="39856" xr:uid="{524D4873-B3A0-491A-9903-D727D65673DE}"/>
    <cellStyle name="RISKtandbEdge 7 3 14" xfId="17049" xr:uid="{EC880755-7B25-4361-9DBD-66A4FECF38ED}"/>
    <cellStyle name="RISKtandbEdge 7 3 14 2" xfId="38391" xr:uid="{91B749E4-1FD2-4659-96F3-AB9ADE1F78C1}"/>
    <cellStyle name="RISKtandbEdge 7 3 15" xfId="20475" xr:uid="{1E884672-4DA4-46EE-994F-0476733EA640}"/>
    <cellStyle name="RISKtandbEdge 7 3 15 2" xfId="40868" xr:uid="{317623B3-831E-4F98-A29A-71549DF76517}"/>
    <cellStyle name="RISKtandbEdge 7 3 16" xfId="22201" xr:uid="{D1A264E7-C6F7-4A26-A2E8-28192BA0C78D}"/>
    <cellStyle name="RISKtandbEdge 7 3 16 2" xfId="42080" xr:uid="{7F1C5D1A-BD53-4400-B823-9095C2D0DEF9}"/>
    <cellStyle name="RISKtandbEdge 7 3 17" xfId="18575" xr:uid="{BDAEF41B-7D43-473A-B580-4882D8908AB2}"/>
    <cellStyle name="RISKtandbEdge 7 3 17 2" xfId="39519" xr:uid="{BB09839D-67FC-4E5D-AC72-45C7A57A1F32}"/>
    <cellStyle name="RISKtandbEdge 7 3 18" xfId="25046" xr:uid="{7CFB5895-B876-486A-BA76-1FBEE1CC7EE4}"/>
    <cellStyle name="RISKtandbEdge 7 3 18 2" xfId="44077" xr:uid="{5C0C094A-570A-4A33-A2AA-242BFD82AC2D}"/>
    <cellStyle name="RISKtandbEdge 7 3 19" xfId="24001" xr:uid="{9D8D15F9-F48F-43CD-97BA-07886566CEF0}"/>
    <cellStyle name="RISKtandbEdge 7 3 19 2" xfId="43378" xr:uid="{41A27390-F14C-40F1-9A6B-C4DB2F5F3011}"/>
    <cellStyle name="RISKtandbEdge 7 3 2" xfId="11771" xr:uid="{DADF0E57-E90B-4461-B235-B1D59D99C561}"/>
    <cellStyle name="RISKtandbEdge 7 3 2 2" xfId="34384" xr:uid="{E8B36EED-EBA6-4AAB-B50D-5D33883BF0B1}"/>
    <cellStyle name="RISKtandbEdge 7 3 20" xfId="23697" xr:uid="{DD586BDD-7317-4E8F-AEC7-C7FC02E53EFE}"/>
    <cellStyle name="RISKtandbEdge 7 3 20 2" xfId="43115" xr:uid="{B5CF0F58-E361-4856-AB63-4A60C271CE92}"/>
    <cellStyle name="RISKtandbEdge 7 3 21" xfId="27309" xr:uid="{3F8ACD36-FCC9-4C31-91B1-52315D43AD7C}"/>
    <cellStyle name="RISKtandbEdge 7 3 21 2" xfId="45612" xr:uid="{85FA27BF-4596-4F08-8735-05E921C0B103}"/>
    <cellStyle name="RISKtandbEdge 7 3 22" xfId="25830" xr:uid="{81A948DA-7FE5-4EF0-89F7-C383AEF0B2B6}"/>
    <cellStyle name="RISKtandbEdge 7 3 22 2" xfId="44653" xr:uid="{EC8DC3BC-18F7-4DF7-912F-FEF4A6885662}"/>
    <cellStyle name="RISKtandbEdge 7 3 23" xfId="25527" xr:uid="{88470676-A3EE-4DF3-A836-88C69CC1D098}"/>
    <cellStyle name="RISKtandbEdge 7 3 23 2" xfId="44401" xr:uid="{5378B40A-76AB-412A-9DE5-81D0D8809055}"/>
    <cellStyle name="RISKtandbEdge 7 3 24" xfId="28289" xr:uid="{7B9D5903-BEE6-48D6-8EB8-93AA5791923C}"/>
    <cellStyle name="RISKtandbEdge 7 3 24 2" xfId="46156" xr:uid="{B9599861-6718-44CE-BA51-B86A972A36BB}"/>
    <cellStyle name="RISKtandbEdge 7 3 25" xfId="26986" xr:uid="{83B996A6-EBBF-492B-968C-2A696D0D897D}"/>
    <cellStyle name="RISKtandbEdge 7 3 25 2" xfId="45393" xr:uid="{FD7B3B43-D916-472C-9709-2DAB7FFA4E64}"/>
    <cellStyle name="RISKtandbEdge 7 3 26" xfId="29897" xr:uid="{28A3FC35-E47B-4A41-990E-0E0DB32A77D0}"/>
    <cellStyle name="RISKtandbEdge 7 3 26 2" xfId="47185" xr:uid="{5F56D802-5440-497F-BD38-52C0741D610B}"/>
    <cellStyle name="RISKtandbEdge 7 3 27" xfId="27703" xr:uid="{E1815D22-0507-4B6F-B4C4-D9F74C0D892E}"/>
    <cellStyle name="RISKtandbEdge 7 3 27 2" xfId="45812" xr:uid="{DF9F1B6F-DEEB-40E2-BC02-D702B554041B}"/>
    <cellStyle name="RISKtandbEdge 7 3 28" xfId="28229" xr:uid="{454A335D-918D-4D32-89BF-4FD706DDD7C8}"/>
    <cellStyle name="RISKtandbEdge 7 3 28 2" xfId="46110" xr:uid="{6C8DD37D-6738-4339-A643-924C8D1E52EB}"/>
    <cellStyle name="RISKtandbEdge 7 3 29" xfId="30903" xr:uid="{7BD36B1C-093C-44E0-8037-B43BB274B310}"/>
    <cellStyle name="RISKtandbEdge 7 3 29 2" xfId="47751" xr:uid="{25C7EE8B-88D4-4D14-9EFE-A1BC84D3B34C}"/>
    <cellStyle name="RISKtandbEdge 7 3 3" xfId="10266" xr:uid="{F6C41288-3BDB-4398-B312-8252A49DFC42}"/>
    <cellStyle name="RISKtandbEdge 7 3 3 2" xfId="33901" xr:uid="{D1260C5B-FDCB-4C7C-96CF-A43A0CFAB97B}"/>
    <cellStyle name="RISKtandbEdge 7 3 30" xfId="6819" xr:uid="{013569D1-8CC4-401F-B656-8B6B314E0C5F}"/>
    <cellStyle name="RISKtandbEdge 7 3 4" xfId="6988" xr:uid="{68487243-A6C9-4E35-8F19-14B6C1B7E7E7}"/>
    <cellStyle name="RISKtandbEdge 7 3 4 2" xfId="31355" xr:uid="{8F8E2C42-D1E6-4BC0-8B18-77CABFF5F37B}"/>
    <cellStyle name="RISKtandbEdge 7 3 5" xfId="11669" xr:uid="{7B95491F-D4C8-44DD-93CC-855747899122}"/>
    <cellStyle name="RISKtandbEdge 7 3 5 2" xfId="34282" xr:uid="{F44D76FE-68E8-4FF0-9940-7055E9E742E9}"/>
    <cellStyle name="RISKtandbEdge 7 3 6" xfId="14658" xr:uid="{AD10EF1D-F653-4E4F-8080-2F460D1B94F7}"/>
    <cellStyle name="RISKtandbEdge 7 3 6 2" xfId="36570" xr:uid="{03DF1F74-9D78-41DF-AD66-A21FB14E5525}"/>
    <cellStyle name="RISKtandbEdge 7 3 7" xfId="12527" xr:uid="{31F0E749-5755-46F5-9768-71946CE074C0}"/>
    <cellStyle name="RISKtandbEdge 7 3 7 2" xfId="34971" xr:uid="{BCC2C5D2-6008-436E-9DAE-03295677E692}"/>
    <cellStyle name="RISKtandbEdge 7 3 8" xfId="17434" xr:uid="{CAE55C75-A101-4AA5-87CE-726F0FF4684C}"/>
    <cellStyle name="RISKtandbEdge 7 3 8 2" xfId="38681" xr:uid="{A22914CC-29A5-4F38-8E3E-7A91CCBAC1C2}"/>
    <cellStyle name="RISKtandbEdge 7 3 9" xfId="18282" xr:uid="{8F7D1A92-9CC4-48AF-8AF3-8EFA14C299B7}"/>
    <cellStyle name="RISKtandbEdge 7 3 9 2" xfId="39313" xr:uid="{2622DC37-A39F-4B80-9F78-4F12C663E382}"/>
    <cellStyle name="RISKtandbEdge 7 30" xfId="27730" xr:uid="{BCCF3771-7F94-4DEB-A405-4B81F62109B1}"/>
    <cellStyle name="RISKtandbEdge 7 30 2" xfId="45835" xr:uid="{C9D08C27-584F-4E50-94A7-510CF078D082}"/>
    <cellStyle name="RISKtandbEdge 7 31" xfId="30591" xr:uid="{4F335EF2-ADC2-44EF-A07F-6DB3056D4211}"/>
    <cellStyle name="RISKtandbEdge 7 31 2" xfId="47541" xr:uid="{A7EDFFE3-AF0B-49EC-A6D8-FBC2BD0B3222}"/>
    <cellStyle name="RISKtandbEdge 7 32" xfId="6820" xr:uid="{1592B8FB-9C08-40AD-8C89-09EC2B5BFDEA}"/>
    <cellStyle name="RISKtandbEdge 7 4" xfId="11772" xr:uid="{D679DD60-90DC-4139-899C-CD340C699626}"/>
    <cellStyle name="RISKtandbEdge 7 4 2" xfId="34385" xr:uid="{40B4AD0E-9846-4D76-959A-2E02DB619C64}"/>
    <cellStyle name="RISKtandbEdge 7 5" xfId="10265" xr:uid="{16CD8A95-E7FC-43A6-A216-266C788D1884}"/>
    <cellStyle name="RISKtandbEdge 7 5 2" xfId="33900" xr:uid="{69A20921-F5B4-4628-ADF2-2401BAC8F803}"/>
    <cellStyle name="RISKtandbEdge 7 6" xfId="6990" xr:uid="{6312EF14-9064-4A43-A66E-56D412053AD3}"/>
    <cellStyle name="RISKtandbEdge 7 6 2" xfId="31357" xr:uid="{9FA0B217-8994-419D-92B7-4D7EEE556041}"/>
    <cellStyle name="RISKtandbEdge 7 7" xfId="11670" xr:uid="{0EDC1B8D-5554-4E19-A024-7306348794A5}"/>
    <cellStyle name="RISKtandbEdge 7 7 2" xfId="34283" xr:uid="{0A5B9428-9EA1-453A-B53F-7EE687BDFDB1}"/>
    <cellStyle name="RISKtandbEdge 7 8" xfId="12302" xr:uid="{A20A5453-E12B-41BB-86ED-4F63F7C8940A}"/>
    <cellStyle name="RISKtandbEdge 7 8 2" xfId="34808" xr:uid="{190EECE1-196F-4BEB-8FE6-C93590EF9176}"/>
    <cellStyle name="RISKtandbEdge 7 9" xfId="14038" xr:uid="{A28A7B7F-D9AB-4898-BE46-BBBC8D056C7D}"/>
    <cellStyle name="RISKtandbEdge 7 9 2" xfId="36132" xr:uid="{AF3640E9-F48E-4E53-9A02-57B8A840D202}"/>
    <cellStyle name="RISKtandbEdge 8" xfId="4032" xr:uid="{B187915F-4021-4ABC-BD80-0B5E8015D8F5}"/>
    <cellStyle name="RISKtandbEdge 8 10" xfId="13681" xr:uid="{59834B70-044A-423C-8FFE-88233CA6FF52}"/>
    <cellStyle name="RISKtandbEdge 8 10 2" xfId="35837" xr:uid="{D5F8EE35-60C1-4ECD-81D0-E6FED04E5614}"/>
    <cellStyle name="RISKtandbEdge 8 11" xfId="16294" xr:uid="{0AEE00D0-370D-4C0B-ADC5-3B16F0A9F9D7}"/>
    <cellStyle name="RISKtandbEdge 8 11 2" xfId="37831" xr:uid="{462A8A4F-4DDF-4E9F-929A-1AA4650A7B35}"/>
    <cellStyle name="RISKtandbEdge 8 12" xfId="19166" xr:uid="{F0CFB659-0BD8-4209-9822-FF5B8BAE16A8}"/>
    <cellStyle name="RISKtandbEdge 8 12 2" xfId="39975" xr:uid="{46CA5D0B-31C7-45BB-B269-E4A058E0B619}"/>
    <cellStyle name="RISKtandbEdge 8 13" xfId="19917" xr:uid="{3DC039D6-5F8E-4750-AB1A-3F7254A05278}"/>
    <cellStyle name="RISKtandbEdge 8 13 2" xfId="40529" xr:uid="{92BE0593-4885-4294-BDE7-450F4FDA9685}"/>
    <cellStyle name="RISKtandbEdge 8 14" xfId="20114" xr:uid="{54BE637C-751D-45E9-AA76-01BE5037F101}"/>
    <cellStyle name="RISKtandbEdge 8 14 2" xfId="40628" xr:uid="{925439E4-F675-4861-8EA9-300B922CCE7B}"/>
    <cellStyle name="RISKtandbEdge 8 15" xfId="16047" xr:uid="{E65C57FF-169C-4586-99CC-D270F3473453}"/>
    <cellStyle name="RISKtandbEdge 8 15 2" xfId="37626" xr:uid="{E2E5BA18-526C-4DC8-B818-6C96FC3B5897}"/>
    <cellStyle name="RISKtandbEdge 8 16" xfId="22075" xr:uid="{BD107169-BE20-49DF-8654-661748D66D1F}"/>
    <cellStyle name="RISKtandbEdge 8 16 2" xfId="41960" xr:uid="{879F083A-5755-4F58-9729-3668E44E5FC8}"/>
    <cellStyle name="RISKtandbEdge 8 17" xfId="23164" xr:uid="{BB221365-A8EF-4A3B-B80A-CEBFFD248335}"/>
    <cellStyle name="RISKtandbEdge 8 17 2" xfId="42763" xr:uid="{E2FE6932-7024-44AC-A6A2-EEA84576F254}"/>
    <cellStyle name="RISKtandbEdge 8 18" xfId="23985" xr:uid="{77E0F4F2-3183-4F1D-BCFB-3D325F8A54F0}"/>
    <cellStyle name="RISKtandbEdge 8 18 2" xfId="43362" xr:uid="{4F136520-F65A-4C1D-BA85-624698DC44E9}"/>
    <cellStyle name="RISKtandbEdge 8 19" xfId="21145" xr:uid="{9B29BB92-14D8-4EC6-81A4-A59D1CBA4CE5}"/>
    <cellStyle name="RISKtandbEdge 8 19 2" xfId="41341" xr:uid="{B48305EB-3E12-408A-A7C6-DAA81A262106}"/>
    <cellStyle name="RISKtandbEdge 8 2" xfId="4033" xr:uid="{365D3ED4-6B07-45A9-9825-2A3326607ED7}"/>
    <cellStyle name="RISKtandbEdge 8 2 10" xfId="17182" xr:uid="{82086D07-881C-4F89-8532-C126EA538B3E}"/>
    <cellStyle name="RISKtandbEdge 8 2 10 2" xfId="38511" xr:uid="{D6AF0C55-0C96-4407-AF24-E5622DC19DF9}"/>
    <cellStyle name="RISKtandbEdge 8 2 11" xfId="18030" xr:uid="{60259372-6487-4C30-A259-F0FC9C34D816}"/>
    <cellStyle name="RISKtandbEdge 8 2 11 2" xfId="39126" xr:uid="{CCC880E4-3D79-42BD-B740-389CECE7C5F8}"/>
    <cellStyle name="RISKtandbEdge 8 2 12" xfId="20653" xr:uid="{85D7FB68-C9E0-4146-B574-A073F959104B}"/>
    <cellStyle name="RISKtandbEdge 8 2 12 2" xfId="41013" xr:uid="{E3CA7045-793F-4D46-B4C4-143CCE669067}"/>
    <cellStyle name="RISKtandbEdge 8 2 13" xfId="19023" xr:uid="{A22C4AA8-49B5-44E3-9C16-58F4186579D6}"/>
    <cellStyle name="RISKtandbEdge 8 2 13 2" xfId="39855" xr:uid="{C0985EEF-5F7B-403A-8BC4-7B3A9840A4D5}"/>
    <cellStyle name="RISKtandbEdge 8 2 14" xfId="19414" xr:uid="{0EDAF202-4C86-472C-A719-1A82425B7091}"/>
    <cellStyle name="RISKtandbEdge 8 2 14 2" xfId="40135" xr:uid="{97216432-7F07-4615-8761-CA6A8F04DD34}"/>
    <cellStyle name="RISKtandbEdge 8 2 15" xfId="18816" xr:uid="{5CE5DF9E-0B56-4C37-BE65-D3F2F9EFBB73}"/>
    <cellStyle name="RISKtandbEdge 8 2 15 2" xfId="39668" xr:uid="{6DE7C12F-93BC-4145-8DDB-F33D9B23E86A}"/>
    <cellStyle name="RISKtandbEdge 8 2 16" xfId="19489" xr:uid="{9846C7B5-F5CE-46A2-B3E1-2C54D665DB49}"/>
    <cellStyle name="RISKtandbEdge 8 2 16 2" xfId="40166" xr:uid="{AC5E2807-D32B-4E62-8498-6D509DD0EB1C}"/>
    <cellStyle name="RISKtandbEdge 8 2 17" xfId="20304" xr:uid="{7DBD6962-A071-4BA0-8DDB-012161CAAEA0}"/>
    <cellStyle name="RISKtandbEdge 8 2 17 2" xfId="40738" xr:uid="{AB499820-6BAC-45F8-8ABD-F0B7D86D7443}"/>
    <cellStyle name="RISKtandbEdge 8 2 18" xfId="25316" xr:uid="{8B5FBF9C-18F0-4381-9844-5CA348ADA43E}"/>
    <cellStyle name="RISKtandbEdge 8 2 18 2" xfId="44232" xr:uid="{812CDC7A-A152-4746-9078-E15836E39301}"/>
    <cellStyle name="RISKtandbEdge 8 2 19" xfId="24000" xr:uid="{FED01606-4CCB-477C-93D3-E14CD6CB6154}"/>
    <cellStyle name="RISKtandbEdge 8 2 19 2" xfId="43377" xr:uid="{2281866A-E380-4E75-BCEC-FF436F396907}"/>
    <cellStyle name="RISKtandbEdge 8 2 2" xfId="11770" xr:uid="{A7F0378B-DADF-4B18-B3E0-E1C3E99C53DD}"/>
    <cellStyle name="RISKtandbEdge 8 2 2 2" xfId="34383" xr:uid="{CF94EFB9-87F1-48E4-8CB9-6676E7E08EC0}"/>
    <cellStyle name="RISKtandbEdge 8 2 20" xfId="24444" xr:uid="{364D6E5D-73F0-4083-8303-266A1F751848}"/>
    <cellStyle name="RISKtandbEdge 8 2 20 2" xfId="43656" xr:uid="{6781B1C3-F120-4ECC-A5F0-B5C41C879EE0}"/>
    <cellStyle name="RISKtandbEdge 8 2 21" xfId="27308" xr:uid="{DE136207-FA75-4217-B841-1D5A7C2A8DB0}"/>
    <cellStyle name="RISKtandbEdge 8 2 21 2" xfId="45611" xr:uid="{E21ADDD7-80BC-4A64-9D47-C79F3B0B619A}"/>
    <cellStyle name="RISKtandbEdge 8 2 22" xfId="25969" xr:uid="{45173C4D-EFC6-4614-9680-B5B16D344696}"/>
    <cellStyle name="RISKtandbEdge 8 2 22 2" xfId="44757" xr:uid="{B4EEBA77-D5A7-4758-B9AA-EEB98D721D86}"/>
    <cellStyle name="RISKtandbEdge 8 2 23" xfId="22650" xr:uid="{F115DBF8-38E2-4F96-A9D9-18F6CCF2DBA5}"/>
    <cellStyle name="RISKtandbEdge 8 2 23 2" xfId="42421" xr:uid="{02A65BAF-F029-4FEE-AF19-C66DE48331CE}"/>
    <cellStyle name="RISKtandbEdge 8 2 24" xfId="29590" xr:uid="{F13E70A1-E20F-405B-A137-5FC2EAD0D0B2}"/>
    <cellStyle name="RISKtandbEdge 8 2 24 2" xfId="46985" xr:uid="{72A4EF49-8626-43C1-BE01-143D24937C2A}"/>
    <cellStyle name="RISKtandbEdge 8 2 25" xfId="28302" xr:uid="{3CEC2E5A-D8C3-4730-8B90-19F8EB765896}"/>
    <cellStyle name="RISKtandbEdge 8 2 25 2" xfId="46169" xr:uid="{BE44A127-7A6F-4C54-A314-10D05E92DF80}"/>
    <cellStyle name="RISKtandbEdge 8 2 26" xfId="29241" xr:uid="{FF7BE052-586C-4730-8773-FEDBF249A24E}"/>
    <cellStyle name="RISKtandbEdge 8 2 26 2" xfId="46759" xr:uid="{7BDE4CAE-A1FD-49E3-B920-0789C729D887}"/>
    <cellStyle name="RISKtandbEdge 8 2 27" xfId="30235" xr:uid="{AC8F0AE5-DCE5-4159-B1DA-F8B641F80F39}"/>
    <cellStyle name="RISKtandbEdge 8 2 27 2" xfId="47396" xr:uid="{B1A43117-77BE-40E1-AE20-494D6530A77E}"/>
    <cellStyle name="RISKtandbEdge 8 2 28" xfId="30383" xr:uid="{3866390E-C2E0-449E-8635-0224F4042622}"/>
    <cellStyle name="RISKtandbEdge 8 2 28 2" xfId="47481" xr:uid="{3CE6079B-0A63-4F5A-800F-946DA25E9EA0}"/>
    <cellStyle name="RISKtandbEdge 8 2 29" xfId="30590" xr:uid="{894ACB07-8286-4154-AC7E-0DF998B7EB20}"/>
    <cellStyle name="RISKtandbEdge 8 2 29 2" xfId="47540" xr:uid="{D319B3C8-308C-400A-858E-7C03430DDFFE}"/>
    <cellStyle name="RISKtandbEdge 8 2 3" xfId="10267" xr:uid="{77A0CEC8-7731-4146-AACA-F355E7C6692D}"/>
    <cellStyle name="RISKtandbEdge 8 2 3 2" xfId="33902" xr:uid="{50DA2795-6D76-43C5-B684-6DF51B25BD82}"/>
    <cellStyle name="RISKtandbEdge 8 2 30" xfId="6818" xr:uid="{F4DDEF0B-7484-4437-99E8-2B47D4CBEEB2}"/>
    <cellStyle name="RISKtandbEdge 8 2 4" xfId="6987" xr:uid="{DCD50D4C-EBC0-4FDF-84C6-8DDEFA931958}"/>
    <cellStyle name="RISKtandbEdge 8 2 4 2" xfId="31354" xr:uid="{92EE7027-A683-4A78-A29B-9D41F50D64CD}"/>
    <cellStyle name="RISKtandbEdge 8 2 5" xfId="11668" xr:uid="{E2B7C656-A34B-48C7-B202-812116FF4544}"/>
    <cellStyle name="RISKtandbEdge 8 2 5 2" xfId="34281" xr:uid="{D67C59F0-E7D0-4C0B-99A3-1D4902D62CC4}"/>
    <cellStyle name="RISKtandbEdge 8 2 6" xfId="14420" xr:uid="{D3983841-19F9-4EA3-9A3D-3F6930E35B09}"/>
    <cellStyle name="RISKtandbEdge 8 2 6 2" xfId="36409" xr:uid="{A1675AFE-355F-4697-BE20-E6FAB0BBAA62}"/>
    <cellStyle name="RISKtandbEdge 8 2 7" xfId="14037" xr:uid="{454CCD5C-AF40-41D2-A693-A253D9275C18}"/>
    <cellStyle name="RISKtandbEdge 8 2 7 2" xfId="36131" xr:uid="{9C0863BF-FCDA-4BB7-870B-CFD7AF377688}"/>
    <cellStyle name="RISKtandbEdge 8 2 8" xfId="17433" xr:uid="{95988308-AF58-4718-8CB1-A74FAFD98BF9}"/>
    <cellStyle name="RISKtandbEdge 8 2 8 2" xfId="38680" xr:uid="{E67AEC0C-4E50-493F-9FBD-01BA14630AF0}"/>
    <cellStyle name="RISKtandbEdge 8 2 9" xfId="18281" xr:uid="{77EA819D-41DE-492B-9BB3-C2155C17207E}"/>
    <cellStyle name="RISKtandbEdge 8 2 9 2" xfId="39312" xr:uid="{F2D58D91-BE41-4844-BA73-6F95441D9E09}"/>
    <cellStyle name="RISKtandbEdge 8 20" xfId="21069" xr:uid="{8B20735C-8460-455E-87DB-685A36CA09A2}"/>
    <cellStyle name="RISKtandbEdge 8 20 2" xfId="41314" xr:uid="{B298CC6A-A6C3-4BEE-BE98-5DC3569A9688}"/>
    <cellStyle name="RISKtandbEdge 8 21" xfId="20324" xr:uid="{8FFFACF6-6C9B-4030-BC17-DDF71D16A062}"/>
    <cellStyle name="RISKtandbEdge 8 21 2" xfId="40757" xr:uid="{03B90DB0-274C-4345-81E6-01714BCA0A48}"/>
    <cellStyle name="RISKtandbEdge 8 22" xfId="20348" xr:uid="{DDCFFEA3-E203-4FA4-ABE7-A23EE2859521}"/>
    <cellStyle name="RISKtandbEdge 8 22 2" xfId="40780" xr:uid="{DA9140B5-6CF0-4EE6-A10B-9819D1639FA2}"/>
    <cellStyle name="RISKtandbEdge 8 23" xfId="23794" xr:uid="{70A858F7-16DC-48B7-8B79-D498CFD10C6A}"/>
    <cellStyle name="RISKtandbEdge 8 23 2" xfId="43193" xr:uid="{7DAE73EA-E2D5-4E50-877E-EDE313DAFC59}"/>
    <cellStyle name="RISKtandbEdge 8 24" xfId="27815" xr:uid="{632419F0-A1D1-43C2-94C3-DA0799F6CCF7}"/>
    <cellStyle name="RISKtandbEdge 8 24 2" xfId="45902" xr:uid="{56DE0E7A-F4E4-4691-AB78-230F3564B890}"/>
    <cellStyle name="RISKtandbEdge 8 25" xfId="23581" xr:uid="{514EBB00-939F-4EB6-AA55-AC0892F23AF2}"/>
    <cellStyle name="RISKtandbEdge 8 25 2" xfId="43016" xr:uid="{85FEBEA5-A821-40EB-8902-4345D85A4CCC}"/>
    <cellStyle name="RISKtandbEdge 8 26" xfId="29077" xr:uid="{AA21E377-A34B-468E-8A32-6095AA7B2527}"/>
    <cellStyle name="RISKtandbEdge 8 26 2" xfId="46650" xr:uid="{6FD39981-9A7C-4ACF-8241-EA9578AD8147}"/>
    <cellStyle name="RISKtandbEdge 8 27" xfId="25222" xr:uid="{7714329C-37EB-4C8C-B258-62641A5E2E6E}"/>
    <cellStyle name="RISKtandbEdge 8 27 2" xfId="44160" xr:uid="{4D0247EA-D9F4-48A5-871F-596041A7138F}"/>
    <cellStyle name="RISKtandbEdge 8 28" xfId="28221" xr:uid="{58DBB5DA-0376-409F-8232-148143910BBD}"/>
    <cellStyle name="RISKtandbEdge 8 28 2" xfId="46104" xr:uid="{DD56E03A-75FC-448C-8C18-2800FCAFED57}"/>
    <cellStyle name="RISKtandbEdge 8 29" xfId="30697" xr:uid="{F7152EDE-D342-4A76-868D-646F8F3670D1}"/>
    <cellStyle name="RISKtandbEdge 8 29 2" xfId="47643" xr:uid="{28F0BA9B-FF63-4089-B81F-2B4936119951}"/>
    <cellStyle name="RISKtandbEdge 8 3" xfId="4034" xr:uid="{BC75D0EA-B399-4AE6-A63E-30A6F72A6580}"/>
    <cellStyle name="RISKtandbEdge 8 3 10" xfId="19165" xr:uid="{A20CE267-4BF6-4224-A56E-175CF5A79A64}"/>
    <cellStyle name="RISKtandbEdge 8 3 10 2" xfId="39974" xr:uid="{B6AC0F6D-4B62-4D7A-A1CE-B079C24F4106}"/>
    <cellStyle name="RISKtandbEdge 8 3 11" xfId="19916" xr:uid="{60222DDA-F4CE-4835-9738-72E3DE19946D}"/>
    <cellStyle name="RISKtandbEdge 8 3 11 2" xfId="40528" xr:uid="{7C085935-4032-4C4A-928E-CA8884D4B973}"/>
    <cellStyle name="RISKtandbEdge 8 3 12" xfId="20113" xr:uid="{2FA13C7E-A342-4E7D-946D-DE3082044C34}"/>
    <cellStyle name="RISKtandbEdge 8 3 12 2" xfId="40627" xr:uid="{4FED825E-305B-4930-B782-C93F81F0E853}"/>
    <cellStyle name="RISKtandbEdge 8 3 13" xfId="17113" xr:uid="{46337D3F-2E99-40CB-B196-6F08F8930275}"/>
    <cellStyle name="RISKtandbEdge 8 3 13 2" xfId="38452" xr:uid="{01D1AF9F-A855-47D1-B899-B03A32155D98}"/>
    <cellStyle name="RISKtandbEdge 8 3 14" xfId="17872" xr:uid="{35ABC06D-3239-4737-A5A0-24C40B36DDBC}"/>
    <cellStyle name="RISKtandbEdge 8 3 14 2" xfId="38988" xr:uid="{60888453-FAAD-4AAB-8BD5-4E5F9808D8E9}"/>
    <cellStyle name="RISKtandbEdge 8 3 15" xfId="23163" xr:uid="{324AF048-FB94-4AE4-8333-864619397A90}"/>
    <cellStyle name="RISKtandbEdge 8 3 15 2" xfId="42762" xr:uid="{7CEA9B9D-1F25-449D-81E9-2DD472E0C6B0}"/>
    <cellStyle name="RISKtandbEdge 8 3 16" xfId="23984" xr:uid="{4F1018FB-2665-447C-89BF-F7A8191A78D4}"/>
    <cellStyle name="RISKtandbEdge 8 3 16 2" xfId="43361" xr:uid="{77AAA39F-9545-41AC-907B-76E5824EAA33}"/>
    <cellStyle name="RISKtandbEdge 8 3 17" xfId="21144" xr:uid="{A165FD02-06D3-4648-AAE5-B4ED34749E77}"/>
    <cellStyle name="RISKtandbEdge 8 3 17 2" xfId="41340" xr:uid="{2B51F1DB-1491-437E-874F-0E2BAC443EF9}"/>
    <cellStyle name="RISKtandbEdge 8 3 18" xfId="24543" xr:uid="{B422F3A6-AD2B-4CA9-BF6F-F1A9945E99A9}"/>
    <cellStyle name="RISKtandbEdge 8 3 18 2" xfId="43726" xr:uid="{A226A665-FA86-4C8A-895A-16A47173D799}"/>
    <cellStyle name="RISKtandbEdge 8 3 19" xfId="18739" xr:uid="{1F81CDC6-8EA9-455C-B111-38A9B86451B3}"/>
    <cellStyle name="RISKtandbEdge 8 3 19 2" xfId="39614" xr:uid="{90C463BF-F41C-4345-8D1D-13A287A5DE5B}"/>
    <cellStyle name="RISKtandbEdge 8 3 2" xfId="7343" xr:uid="{E8FB4A76-F07B-4E8A-BA35-2610FC002DC3}"/>
    <cellStyle name="RISKtandbEdge 8 3 2 2" xfId="31706" xr:uid="{DDB7FBF7-546D-4D06-A0DE-5821E1B24934}"/>
    <cellStyle name="RISKtandbEdge 8 3 20" xfId="25036" xr:uid="{216CEBA0-6366-495A-9F02-8A2C236C1F87}"/>
    <cellStyle name="RISKtandbEdge 8 3 20 2" xfId="44069" xr:uid="{CAD934F2-04B4-4620-ABAF-B0AB4FDB2AE4}"/>
    <cellStyle name="RISKtandbEdge 8 3 21" xfId="26177" xr:uid="{FDF9BBA1-415A-474D-A3FB-13207B1228BA}"/>
    <cellStyle name="RISKtandbEdge 8 3 21 2" xfId="44907" xr:uid="{54909DD2-BBBF-4E7F-BCEA-CEC0C8B60F1E}"/>
    <cellStyle name="RISKtandbEdge 8 3 22" xfId="27814" xr:uid="{F2632D5F-4DE1-419E-A01D-F5EBA9839511}"/>
    <cellStyle name="RISKtandbEdge 8 3 22 2" xfId="45901" xr:uid="{C1D7DE3F-3C4D-469C-98BA-6B52F0F08548}"/>
    <cellStyle name="RISKtandbEdge 8 3 23" xfId="25459" xr:uid="{F2D51B94-0965-4A35-AC6C-37143168A462}"/>
    <cellStyle name="RISKtandbEdge 8 3 23 2" xfId="44343" xr:uid="{084E00D8-5CCB-4FD5-8BA3-8B0EC9DA9F36}"/>
    <cellStyle name="RISKtandbEdge 8 3 24" xfId="25863" xr:uid="{872D8ABF-83E6-474C-BE8E-AA4DFEA5846E}"/>
    <cellStyle name="RISKtandbEdge 8 3 24 2" xfId="44680" xr:uid="{E4B06784-9D83-4BAF-AE58-AB0CF04CBD58}"/>
    <cellStyle name="RISKtandbEdge 8 3 25" xfId="27513" xr:uid="{6DADE152-9436-4E25-9A06-2D479CB3B763}"/>
    <cellStyle name="RISKtandbEdge 8 3 25 2" xfId="45707" xr:uid="{84E0AB44-A497-47E4-9EE1-9DE9129C3656}"/>
    <cellStyle name="RISKtandbEdge 8 3 26" xfId="29608" xr:uid="{F8E95C07-7CDB-4F01-BB99-9B0FF7611FDD}"/>
    <cellStyle name="RISKtandbEdge 8 3 26 2" xfId="47000" xr:uid="{A40E1669-9378-4BCC-9DF7-6B267AD4E2B3}"/>
    <cellStyle name="RISKtandbEdge 8 3 27" xfId="30696" xr:uid="{68DA7301-A0CF-47F0-8A4B-A36143519207}"/>
    <cellStyle name="RISKtandbEdge 8 3 27 2" xfId="47642" xr:uid="{8F777D59-A8F7-4EF7-8F15-CA0C005F53C8}"/>
    <cellStyle name="RISKtandbEdge 8 3 28" xfId="30167" xr:uid="{7D0FDFE4-5E59-42E6-A0D0-15C63D05D0CA}"/>
    <cellStyle name="RISKtandbEdge 8 3 28 2" xfId="47331" xr:uid="{0B9DC14B-EE9F-4A8A-A95E-8CA547E1478A}"/>
    <cellStyle name="RISKtandbEdge 8 3 29" xfId="28244" xr:uid="{27BFBF94-AF83-4079-A208-7F38A6A5EA5E}"/>
    <cellStyle name="RISKtandbEdge 8 3 29 2" xfId="46119" xr:uid="{61357B24-97E6-4B1D-B830-181CB32F587B}"/>
    <cellStyle name="RISKtandbEdge 8 3 3" xfId="13191" xr:uid="{D8520FE0-C235-4022-9B48-A27DC398C9A6}"/>
    <cellStyle name="RISKtandbEdge 8 3 3 2" xfId="35539" xr:uid="{47FF78EA-8693-4D7F-82DB-516893D4F4F7}"/>
    <cellStyle name="RISKtandbEdge 8 3 30" xfId="6059" xr:uid="{691B2CAB-6EC6-4945-BA0C-343604B38398}"/>
    <cellStyle name="RISKtandbEdge 8 3 4" xfId="14207" xr:uid="{E6062BE8-6060-4189-A390-D3F607167D63}"/>
    <cellStyle name="RISKtandbEdge 8 3 4 2" xfId="36260" xr:uid="{7B51DD21-B9A2-41F8-9CB8-8A0B3B7EF479}"/>
    <cellStyle name="RISKtandbEdge 8 3 5" xfId="7236" xr:uid="{80857023-2887-4047-B009-B23CE93018BA}"/>
    <cellStyle name="RISKtandbEdge 8 3 5 2" xfId="31601" xr:uid="{431D4D5B-FA94-4E16-BF49-3C8462C6EF19}"/>
    <cellStyle name="RISKtandbEdge 8 3 6" xfId="15503" xr:uid="{DA69B5E5-4EA2-4CE2-ABA1-AD5A9B1373DC}"/>
    <cellStyle name="RISKtandbEdge 8 3 6 2" xfId="37168" xr:uid="{636855EE-2D49-4EE6-817F-B7B8C66B847D}"/>
    <cellStyle name="RISKtandbEdge 8 3 7" xfId="16558" xr:uid="{6C6BEB7C-4CCE-438B-A5FA-E3D759E0BFDF}"/>
    <cellStyle name="RISKtandbEdge 8 3 7 2" xfId="38051" xr:uid="{A03672DC-F776-4704-8483-BC9FD56541B4}"/>
    <cellStyle name="RISKtandbEdge 8 3 8" xfId="15632" xr:uid="{93E53B45-C1D1-4AFA-AF7F-2FB4AED1BE1C}"/>
    <cellStyle name="RISKtandbEdge 8 3 8 2" xfId="37290" xr:uid="{5CB089C3-097E-4691-8EF8-DC5E5BE25EDF}"/>
    <cellStyle name="RISKtandbEdge 8 3 9" xfId="12824" xr:uid="{F060B698-78BF-42E3-81D5-6158547D281A}"/>
    <cellStyle name="RISKtandbEdge 8 3 9 2" xfId="35211" xr:uid="{20352EBE-F3B2-47E7-8F0F-B47BBD181D5D}"/>
    <cellStyle name="RISKtandbEdge 8 30" xfId="29783" xr:uid="{31536D83-9072-4230-8171-D870F68169ED}"/>
    <cellStyle name="RISKtandbEdge 8 30 2" xfId="47102" xr:uid="{278DFAC6-A898-4BEC-91AE-FE264E6C766C}"/>
    <cellStyle name="RISKtandbEdge 8 31" xfId="30509" xr:uid="{26C9F207-C041-45FF-8A01-04D7E1594611}"/>
    <cellStyle name="RISKtandbEdge 8 31 2" xfId="47512" xr:uid="{DA000BBB-63DD-46BD-9CC6-C21AE3AD3493}"/>
    <cellStyle name="RISKtandbEdge 8 32" xfId="6060" xr:uid="{1753BB28-7645-426E-BE82-056F4F7A475D}"/>
    <cellStyle name="RISKtandbEdge 8 4" xfId="7344" xr:uid="{8BE2D21E-EB32-4128-83C7-ACC9C7D4388A}"/>
    <cellStyle name="RISKtandbEdge 8 4 2" xfId="31707" xr:uid="{28D74EF0-0EB9-48A6-AA7B-1FAA26BDD79D}"/>
    <cellStyle name="RISKtandbEdge 8 5" xfId="13192" xr:uid="{9DDDF578-E6E6-4E83-B60C-7FE867050ABC}"/>
    <cellStyle name="RISKtandbEdge 8 5 2" xfId="35540" xr:uid="{A3EE9D9F-C181-47FA-BC41-2C576D581959}"/>
    <cellStyle name="RISKtandbEdge 8 6" xfId="14208" xr:uid="{22BA7450-4FDF-41D2-8366-6BC4E8C7D504}"/>
    <cellStyle name="RISKtandbEdge 8 6 2" xfId="36261" xr:uid="{FD7B9CEC-320E-447B-BCD9-9A798599EA31}"/>
    <cellStyle name="RISKtandbEdge 8 7" xfId="7237" xr:uid="{034BEF23-F7D2-43AD-ACAB-0F2A3C00B1C6}"/>
    <cellStyle name="RISKtandbEdge 8 7 2" xfId="31602" xr:uid="{211E8A92-2CDB-4DF4-BDE7-87FB67A1E464}"/>
    <cellStyle name="RISKtandbEdge 8 8" xfId="12758" xr:uid="{31AD2CDC-7477-451B-A2AF-C8A674356B60}"/>
    <cellStyle name="RISKtandbEdge 8 8 2" xfId="35167" xr:uid="{EF98B2CD-EB23-44D0-9EAE-B22D09660B0D}"/>
    <cellStyle name="RISKtandbEdge 8 9" xfId="16559" xr:uid="{A62139E4-065B-4F67-96F9-BA403404084D}"/>
    <cellStyle name="RISKtandbEdge 8 9 2" xfId="38052" xr:uid="{CB48C8C9-E2C0-4A54-B953-5CFC425DACF2}"/>
    <cellStyle name="RISKtandbEdge 9" xfId="4035" xr:uid="{93A97A8F-A314-4FB2-A8A0-32DA29410749}"/>
    <cellStyle name="RISKtandbEdge 9 10" xfId="14543" xr:uid="{08B82751-40D0-42F4-B90C-DDC73D3F3723}"/>
    <cellStyle name="RISKtandbEdge 9 10 2" xfId="36476" xr:uid="{DBC2114A-D430-4D31-9F77-1AD39FD066CA}"/>
    <cellStyle name="RISKtandbEdge 9 11" xfId="12643" xr:uid="{C843B4F7-2AB3-47B2-913F-6318EACF1EDF}"/>
    <cellStyle name="RISKtandbEdge 9 11 2" xfId="35069" xr:uid="{60B6A9E4-ADC8-4EEC-BB10-9793397C3202}"/>
    <cellStyle name="RISKtandbEdge 9 12" xfId="20652" xr:uid="{92AD3A44-2342-4A01-A019-87B984022F2F}"/>
    <cellStyle name="RISKtandbEdge 9 12 2" xfId="41012" xr:uid="{F509E90D-631E-480D-BBD2-4D1DE4D046EF}"/>
    <cellStyle name="RISKtandbEdge 9 13" xfId="19022" xr:uid="{ADC1ED57-A6A2-404A-A027-FF35FBC8E193}"/>
    <cellStyle name="RISKtandbEdge 9 13 2" xfId="39854" xr:uid="{5B6BEDA2-13F1-40D3-A3E3-71F6E2C78C17}"/>
    <cellStyle name="RISKtandbEdge 9 14" xfId="21218" xr:uid="{C3D7302B-5FF3-44B3-9010-0319872C2610}"/>
    <cellStyle name="RISKtandbEdge 9 14 2" xfId="41411" xr:uid="{B72723DC-2578-47A5-9E4A-D0EACFF4D879}"/>
    <cellStyle name="RISKtandbEdge 9 15" xfId="20474" xr:uid="{48EA1B21-DC47-4A9A-93BA-14CE765BDB42}"/>
    <cellStyle name="RISKtandbEdge 9 15 2" xfId="40867" xr:uid="{9209F900-2592-460B-9C7A-B916011F627B}"/>
    <cellStyle name="RISKtandbEdge 9 16" xfId="20326" xr:uid="{83C2D984-3F03-4FA9-BF79-A2864AC46C99}"/>
    <cellStyle name="RISKtandbEdge 9 16 2" xfId="40759" xr:uid="{CC2C9773-366D-4F00-9199-D1E545984A63}"/>
    <cellStyle name="RISKtandbEdge 9 17" xfId="18695" xr:uid="{62529DD9-DFB9-4371-AC61-1E6993178D87}"/>
    <cellStyle name="RISKtandbEdge 9 17 2" xfId="39573" xr:uid="{90763990-0168-4E8D-8C46-C754B381A217}"/>
    <cellStyle name="RISKtandbEdge 9 18" xfId="22736" xr:uid="{50A260CC-2CE5-4592-B9ED-00D1E4879BA0}"/>
    <cellStyle name="RISKtandbEdge 9 18 2" xfId="42493" xr:uid="{6054048B-C062-4EEA-B306-F1C9450C1D32}"/>
    <cellStyle name="RISKtandbEdge 9 19" xfId="23999" xr:uid="{AC913BE7-3229-433F-B53A-D9539B1EF351}"/>
    <cellStyle name="RISKtandbEdge 9 19 2" xfId="43376" xr:uid="{0F7F3689-E7E1-4011-A507-B0D435AB12B0}"/>
    <cellStyle name="RISKtandbEdge 9 2" xfId="11769" xr:uid="{AD5D6C6B-09E6-4863-8A02-DCD1ACE12801}"/>
    <cellStyle name="RISKtandbEdge 9 2 2" xfId="34382" xr:uid="{58BD6ABF-F99A-4492-9676-A1D00F08775D}"/>
    <cellStyle name="RISKtandbEdge 9 20" xfId="25505" xr:uid="{D2A6F146-124C-4D63-B3BC-71A114959635}"/>
    <cellStyle name="RISKtandbEdge 9 20 2" xfId="44381" xr:uid="{AFE50CB8-C4DD-467B-9316-D8DF88F07F80}"/>
    <cellStyle name="RISKtandbEdge 9 21" xfId="27307" xr:uid="{680BE392-11CF-47DC-9206-1C3EEF410587}"/>
    <cellStyle name="RISKtandbEdge 9 21 2" xfId="45610" xr:uid="{DDC5C5AD-6B98-4F2E-A301-379678D6691C}"/>
    <cellStyle name="RISKtandbEdge 9 22" xfId="22629" xr:uid="{7DC48B5F-E1A4-4460-8358-53D1386B21CD}"/>
    <cellStyle name="RISKtandbEdge 9 22 2" xfId="42404" xr:uid="{239C6D1E-7665-4E2F-BDDF-FF879E0126C7}"/>
    <cellStyle name="RISKtandbEdge 9 23" xfId="25528" xr:uid="{9409C326-BB3F-4FAA-BD09-A136D70382F1}"/>
    <cellStyle name="RISKtandbEdge 9 23 2" xfId="44402" xr:uid="{B5AAAE95-1388-4261-BB69-17AA90B1E7C9}"/>
    <cellStyle name="RISKtandbEdge 9 24" xfId="28773" xr:uid="{FCC98E74-C252-4A3E-959B-71FD911C4834}"/>
    <cellStyle name="RISKtandbEdge 9 24 2" xfId="46449" xr:uid="{279FA033-3093-4944-B1DE-60B0937078F9}"/>
    <cellStyle name="RISKtandbEdge 9 25" xfId="28981" xr:uid="{9F63A937-C221-4D26-AB09-807585DA0919}"/>
    <cellStyle name="RISKtandbEdge 9 25 2" xfId="46575" xr:uid="{FFF49DDB-93EB-4FE7-925E-0E219595B986}"/>
    <cellStyle name="RISKtandbEdge 9 26" xfId="25987" xr:uid="{64FC07F8-8EDF-4D93-A79E-0025C85E5294}"/>
    <cellStyle name="RISKtandbEdge 9 26 2" xfId="44770" xr:uid="{5E742B80-68C7-46C4-AE61-79AF5AF14134}"/>
    <cellStyle name="RISKtandbEdge 9 27" xfId="26023" xr:uid="{AFB52004-06E2-4EA0-951C-CD162DE3889A}"/>
    <cellStyle name="RISKtandbEdge 9 27 2" xfId="44796" xr:uid="{D7BAD812-0A5E-4B0E-A57E-6E789E325FAC}"/>
    <cellStyle name="RISKtandbEdge 9 28" xfId="27628" xr:uid="{592A7B99-83AD-4E31-8A30-61D4CC81FAEC}"/>
    <cellStyle name="RISKtandbEdge 9 28 2" xfId="45766" xr:uid="{7D344594-C186-48B7-8C0E-5B72D6D26E13}"/>
    <cellStyle name="RISKtandbEdge 9 29" xfId="30902" xr:uid="{D3E00A89-F2AE-4F38-BC41-56ACC189869C}"/>
    <cellStyle name="RISKtandbEdge 9 29 2" xfId="47750" xr:uid="{B385F05C-BE2B-4F6F-A07D-46DF1831F799}"/>
    <cellStyle name="RISKtandbEdge 9 3" xfId="10268" xr:uid="{BCC43929-22F7-4F13-B0E5-A6EA19C9F159}"/>
    <cellStyle name="RISKtandbEdge 9 3 2" xfId="33903" xr:uid="{6D00AC36-E91B-4DA0-B0E3-9C2BEBD4BCF9}"/>
    <cellStyle name="RISKtandbEdge 9 30" xfId="6817" xr:uid="{6DEC46CA-8EB5-42CC-A803-63E5B521D83E}"/>
    <cellStyle name="RISKtandbEdge 9 4" xfId="6986" xr:uid="{37B272A8-D0F3-4D9C-99AE-B923983BB899}"/>
    <cellStyle name="RISKtandbEdge 9 4 2" xfId="31353" xr:uid="{B246208E-1EC7-4CEB-A8D4-606B00489C07}"/>
    <cellStyle name="RISKtandbEdge 9 5" xfId="11667" xr:uid="{3F2FE8BA-EB20-4112-A6D6-C20B5B1FC589}"/>
    <cellStyle name="RISKtandbEdge 9 5 2" xfId="34280" xr:uid="{6FECA5E7-3ABC-4412-8E85-73D9BF583321}"/>
    <cellStyle name="RISKtandbEdge 9 6" xfId="12303" xr:uid="{088E3A98-DD17-413F-AF78-8F9A1116AF70}"/>
    <cellStyle name="RISKtandbEdge 9 6 2" xfId="34809" xr:uid="{BF048C7C-1674-4D38-8BAE-6F40D1FE7BC0}"/>
    <cellStyle name="RISKtandbEdge 9 7" xfId="12528" xr:uid="{0CB6A6CD-356B-4365-9E44-E34425BD6BD3}"/>
    <cellStyle name="RISKtandbEdge 9 7 2" xfId="34972" xr:uid="{C77ABE3C-8ED4-4789-9992-7ECC9A1AC9FD}"/>
    <cellStyle name="RISKtandbEdge 9 8" xfId="17432" xr:uid="{D485C5D0-E2B0-478C-8614-3C869CA2D303}"/>
    <cellStyle name="RISKtandbEdge 9 8 2" xfId="38679" xr:uid="{13F079F9-DE70-48C0-A044-2B50D8BE1230}"/>
    <cellStyle name="RISKtandbEdge 9 9" xfId="18280" xr:uid="{19FBF229-DAE5-41EC-BB79-AF56A88CC412}"/>
    <cellStyle name="RISKtandbEdge 9 9 2" xfId="39311" xr:uid="{41350F71-0AF0-4AEA-8AA1-BD8330E268E3}"/>
    <cellStyle name="RISKtlandrEdge" xfId="4036" xr:uid="{3FFCDFDF-717B-44D1-B8C1-33436F2E3A7C}"/>
    <cellStyle name="RISKtlandrEdge 10" xfId="4037" xr:uid="{5D928735-D9B3-449B-8E2F-EAE746FCDAD8}"/>
    <cellStyle name="RISKtlandrEdge 10 10" xfId="17181" xr:uid="{BC93CF22-8A04-46DB-8F1A-B45AADA7709B}"/>
    <cellStyle name="RISKtlandrEdge 10 10 2" xfId="38510" xr:uid="{0BE8A152-F94B-419D-BD7F-4EB0552EAD18}"/>
    <cellStyle name="RISKtlandrEdge 10 11" xfId="18029" xr:uid="{7A535D5E-387A-443D-BABB-0162BF29AEFA}"/>
    <cellStyle name="RISKtlandrEdge 10 11 2" xfId="39125" xr:uid="{F8A53A0C-4430-4D64-98EB-DD136A222BA8}"/>
    <cellStyle name="RISKtlandrEdge 10 12" xfId="20651" xr:uid="{80EBD0F3-FD3A-418B-A9A8-CFE87A36CB0D}"/>
    <cellStyle name="RISKtlandrEdge 10 12 2" xfId="41011" xr:uid="{F90BCBD8-AAC5-40EF-85B7-99D8AB90ADD2}"/>
    <cellStyle name="RISKtlandrEdge 10 13" xfId="19021" xr:uid="{D066982F-E11E-4D6C-9A85-1C3B548D8C74}"/>
    <cellStyle name="RISKtlandrEdge 10 13 2" xfId="39853" xr:uid="{E543D663-DFBF-4744-B369-01124A347386}"/>
    <cellStyle name="RISKtlandrEdge 10 14" xfId="19396" xr:uid="{B584598B-F249-41C3-9804-C1098157DB2D}"/>
    <cellStyle name="RISKtlandrEdge 10 14 2" xfId="40117" xr:uid="{11F5C555-E1ED-4DB1-B706-86442BC91DF1}"/>
    <cellStyle name="RISKtlandrEdge 10 15" xfId="16139" xr:uid="{2F3BD977-449B-44FE-A2F8-CC8706318328}"/>
    <cellStyle name="RISKtlandrEdge 10 15 2" xfId="37705" xr:uid="{AFDB16D7-67BB-485E-8813-B5180C4E413F}"/>
    <cellStyle name="RISKtlandrEdge 10 16" xfId="18743" xr:uid="{E26C5591-EF81-4878-B906-1DA9CF481B87}"/>
    <cellStyle name="RISKtlandrEdge 10 16 2" xfId="39618" xr:uid="{CA2961A5-BDBA-4ABA-BBBC-CFA62F72D5F4}"/>
    <cellStyle name="RISKtlandrEdge 10 17" xfId="22161" xr:uid="{10EECE21-9574-430D-AE86-600BFEA00DA5}"/>
    <cellStyle name="RISKtlandrEdge 10 17 2" xfId="42041" xr:uid="{A742F972-12CA-4776-B7BF-5F18B7FB88D4}"/>
    <cellStyle name="RISKtlandrEdge 10 18" xfId="25317" xr:uid="{49A26722-EDE6-4927-AA6F-34DC8053BAA5}"/>
    <cellStyle name="RISKtlandrEdge 10 18 2" xfId="44233" xr:uid="{2C307234-77A2-4D1D-8DBE-F16FA036DADF}"/>
    <cellStyle name="RISKtlandrEdge 10 19" xfId="22795" xr:uid="{CFBC05CA-617B-4E04-BE29-1DBDDA7A8678}"/>
    <cellStyle name="RISKtlandrEdge 10 19 2" xfId="42542" xr:uid="{B2D4CC79-7E64-49AC-8DC4-C3EEA84A4ECD}"/>
    <cellStyle name="RISKtlandrEdge 10 2" xfId="11768" xr:uid="{663E73B8-8768-429B-9664-2BAF0EDB21D5}"/>
    <cellStyle name="RISKtlandrEdge 10 2 2" xfId="34381" xr:uid="{D7B192FC-E8F9-495A-BEAF-91E530E8F8D7}"/>
    <cellStyle name="RISKtlandrEdge 10 20" xfId="25169" xr:uid="{F9703DEE-9FAF-4C5C-BCB9-A1AE47568950}"/>
    <cellStyle name="RISKtlandrEdge 10 20 2" xfId="44113" xr:uid="{952673FC-0447-421F-844A-F3C0BA87DC55}"/>
    <cellStyle name="RISKtlandrEdge 10 21" xfId="27306" xr:uid="{92F9BBE9-B4F2-4CCC-B7E9-8E838CAB0474}"/>
    <cellStyle name="RISKtlandrEdge 10 21 2" xfId="45609" xr:uid="{E40AA21D-8B86-4FE4-8AD3-A8D7338BB69C}"/>
    <cellStyle name="RISKtlandrEdge 10 22" xfId="21919" xr:uid="{80FE4B0B-CE3C-4EB3-9068-B94375BDC460}"/>
    <cellStyle name="RISKtlandrEdge 10 22 2" xfId="41836" xr:uid="{E48A3779-70B1-41DB-BCBF-E7C19ED1A562}"/>
    <cellStyle name="RISKtlandrEdge 10 23" xfId="23708" xr:uid="{ACAA300E-CAE9-4310-97BA-10001C3E619F}"/>
    <cellStyle name="RISKtlandrEdge 10 23 2" xfId="43126" xr:uid="{5504362B-8DB3-402A-A8B6-D6CE65560009}"/>
    <cellStyle name="RISKtlandrEdge 10 24" xfId="29192" xr:uid="{9D299840-5BDA-434D-9874-0F1D8B540A08}"/>
    <cellStyle name="RISKtlandrEdge 10 24 2" xfId="46718" xr:uid="{A78B7835-84E1-45B9-B558-CE4653AD65AD}"/>
    <cellStyle name="RISKtlandrEdge 10 25" xfId="27016" xr:uid="{8F3A0BE1-D613-4F90-97A0-CD49FF7D8E48}"/>
    <cellStyle name="RISKtlandrEdge 10 25 2" xfId="45419" xr:uid="{FF010185-52BD-4AC7-B98F-2E99F90EC869}"/>
    <cellStyle name="RISKtlandrEdge 10 26" xfId="29823" xr:uid="{E370A9A4-B704-47FA-B459-7D90D4C7C66E}"/>
    <cellStyle name="RISKtlandrEdge 10 26 2" xfId="47140" xr:uid="{964A5411-9D4B-4BC7-9EDC-94455BFAE5C1}"/>
    <cellStyle name="RISKtlandrEdge 10 27" xfId="30234" xr:uid="{F62D5833-A74B-4F46-81E7-B4CA862F62EC}"/>
    <cellStyle name="RISKtlandrEdge 10 27 2" xfId="47395" xr:uid="{6BF15F67-9C69-41B8-B3F1-D5FACBC4B508}"/>
    <cellStyle name="RISKtlandrEdge 10 28" xfId="29883" xr:uid="{1E1B6E1A-5B17-4CC6-95F4-9DEAEBFF98CE}"/>
    <cellStyle name="RISKtlandrEdge 10 28 2" xfId="47171" xr:uid="{A56B7DF8-F7ED-45E2-8E8B-AC61200A05DD}"/>
    <cellStyle name="RISKtlandrEdge 10 29" xfId="30589" xr:uid="{1351F8C9-46BC-4D59-AAF4-453D96D12985}"/>
    <cellStyle name="RISKtlandrEdge 10 29 2" xfId="47539" xr:uid="{6F7DF6AE-D358-48A1-9048-2DC6958B02E8}"/>
    <cellStyle name="RISKtlandrEdge 10 3" xfId="10269" xr:uid="{8A7D8F0C-FE21-45F8-8238-2C2040BD6567}"/>
    <cellStyle name="RISKtlandrEdge 10 3 2" xfId="33904" xr:uid="{5FC751E2-D0C1-402C-9F6E-B04341EE2A3C}"/>
    <cellStyle name="RISKtlandrEdge 10 30" xfId="6816" xr:uid="{07023586-40C2-4052-9E85-5201001500B5}"/>
    <cellStyle name="RISKtlandrEdge 10 4" xfId="6985" xr:uid="{906CC511-8F60-44EC-8A0D-EF5BF58A54E1}"/>
    <cellStyle name="RISKtlandrEdge 10 4 2" xfId="31352" xr:uid="{B66667AB-4509-4855-AE70-38B2957DEA94}"/>
    <cellStyle name="RISKtlandrEdge 10 5" xfId="11666" xr:uid="{FEBC07E4-E80C-434C-9C86-5D6071EFEA44}"/>
    <cellStyle name="RISKtlandrEdge 10 5 2" xfId="34279" xr:uid="{D5620E5B-0A26-4785-A21E-AAD1726AC00D}"/>
    <cellStyle name="RISKtlandrEdge 10 6" xfId="12304" xr:uid="{6ADAE6E2-156B-47E1-BF24-872A3BD75DCA}"/>
    <cellStyle name="RISKtlandrEdge 10 6 2" xfId="34810" xr:uid="{E45D6AA4-78AF-4860-A130-27DC5F7E8EF6}"/>
    <cellStyle name="RISKtlandrEdge 10 7" xfId="14036" xr:uid="{BE57049A-9645-4F4F-AACE-62C8E2FED3F0}"/>
    <cellStyle name="RISKtlandrEdge 10 7 2" xfId="36130" xr:uid="{C6F45D4D-A530-4CED-B3FB-C269BB8AC66B}"/>
    <cellStyle name="RISKtlandrEdge 10 8" xfId="17431" xr:uid="{4934B188-CA94-46FE-ABAD-798D6957FE47}"/>
    <cellStyle name="RISKtlandrEdge 10 8 2" xfId="38678" xr:uid="{5F3964EE-7142-472D-9FAB-2CDD7B14ECA5}"/>
    <cellStyle name="RISKtlandrEdge 10 9" xfId="18279" xr:uid="{43CB464E-9D8B-42BE-B357-A8BB77B1F9E4}"/>
    <cellStyle name="RISKtlandrEdge 10 9 2" xfId="39310" xr:uid="{E10BCA29-B3BB-428E-95F9-17CDA7A58B66}"/>
    <cellStyle name="RISKtlandrEdge 11" xfId="7342" xr:uid="{364ED5CF-A2A6-4E56-AF40-2F3BE363C6B4}"/>
    <cellStyle name="RISKtlandrEdge 11 2" xfId="31705" xr:uid="{406C5DE0-5FDC-43ED-90C4-66AD9959C23C}"/>
    <cellStyle name="RISKtlandrEdge 12" xfId="13190" xr:uid="{41EF6631-F239-46D3-97B1-D5AAA70217A9}"/>
    <cellStyle name="RISKtlandrEdge 12 2" xfId="35538" xr:uid="{CDFEF0DE-434E-4133-9648-7E1671ACC7CE}"/>
    <cellStyle name="RISKtlandrEdge 13" xfId="14206" xr:uid="{E865D2E3-6432-43C6-BEBE-AD72C256ADE4}"/>
    <cellStyle name="RISKtlandrEdge 13 2" xfId="36259" xr:uid="{B3D41A4B-B3A0-4B38-9135-D137CB8F3E0E}"/>
    <cellStyle name="RISKtlandrEdge 14" xfId="7235" xr:uid="{2A798547-412A-4E5F-86D7-ACAF32726588}"/>
    <cellStyle name="RISKtlandrEdge 14 2" xfId="31600" xr:uid="{23648886-9C7F-474D-B976-CFCB52FCB82D}"/>
    <cellStyle name="RISKtlandrEdge 15" xfId="13810" xr:uid="{AB2F1384-5D5D-4DB4-9902-753C1D196525}"/>
    <cellStyle name="RISKtlandrEdge 15 2" xfId="35935" xr:uid="{0F8004D9-0C2A-40B3-B383-CED5B105FE75}"/>
    <cellStyle name="RISKtlandrEdge 16" xfId="16557" xr:uid="{CF3B195F-3A35-47F5-A164-7AF5822DBB57}"/>
    <cellStyle name="RISKtlandrEdge 16 2" xfId="38050" xr:uid="{5B48F30E-8D46-45B7-83CF-F0831B8BA1EB}"/>
    <cellStyle name="RISKtlandrEdge 17" xfId="13717" xr:uid="{B193EC93-345A-470E-A347-E0DA4AA54F36}"/>
    <cellStyle name="RISKtlandrEdge 17 2" xfId="35873" xr:uid="{0D7A9321-D47B-44FA-BF12-30F14AE82F0E}"/>
    <cellStyle name="RISKtlandrEdge 18" xfId="16293" xr:uid="{C8B3404F-AC57-415D-BF65-6696C3F0A422}"/>
    <cellStyle name="RISKtlandrEdge 18 2" xfId="37830" xr:uid="{DAB79F53-037A-4435-9581-DECD3BFB2C60}"/>
    <cellStyle name="RISKtlandrEdge 19" xfId="19164" xr:uid="{9A0D77EB-547A-4CDF-8B37-3FE5F08A1B51}"/>
    <cellStyle name="RISKtlandrEdge 19 2" xfId="39973" xr:uid="{CB8DD714-93B1-4EAE-A38B-1EF2A8574EF4}"/>
    <cellStyle name="RISKtlandrEdge 2" xfId="4038" xr:uid="{8A9E72B0-9EB3-4ACB-9238-17A074E5E58D}"/>
    <cellStyle name="RISKtlandrEdge 2 10" xfId="16556" xr:uid="{A0B2E06D-E122-4AB5-A130-9FC8ECCA652C}"/>
    <cellStyle name="RISKtlandrEdge 2 10 2" xfId="38049" xr:uid="{766A6948-F19C-41FC-97AB-9659BEBAD203}"/>
    <cellStyle name="RISKtlandrEdge 2 11" xfId="13873" xr:uid="{56094BC9-A901-462D-859B-20F7309F4E83}"/>
    <cellStyle name="RISKtlandrEdge 2 11 2" xfId="35996" xr:uid="{8125F77B-5460-4057-9232-2E9EEAEA9551}"/>
    <cellStyle name="RISKtlandrEdge 2 12" xfId="12613" xr:uid="{A7C5F2A3-C409-4B5E-9349-9DDBFADAFB3A}"/>
    <cellStyle name="RISKtlandrEdge 2 12 2" xfId="35045" xr:uid="{03207137-3F74-4B56-9ACC-B9340A9D5667}"/>
    <cellStyle name="RISKtlandrEdge 2 13" xfId="19163" xr:uid="{3D07FCAC-A266-43A4-9697-725638399DA7}"/>
    <cellStyle name="RISKtlandrEdge 2 13 2" xfId="39972" xr:uid="{CFC28A43-10A5-42DA-8FD0-5224A5C61985}"/>
    <cellStyle name="RISKtlandrEdge 2 14" xfId="19914" xr:uid="{9F28729D-22F7-44E7-94FB-F0E3882257E4}"/>
    <cellStyle name="RISKtlandrEdge 2 14 2" xfId="40526" xr:uid="{1419B8A5-19EC-4BF8-B8AD-F3310E1845ED}"/>
    <cellStyle name="RISKtlandrEdge 2 15" xfId="16840" xr:uid="{B1D56672-D037-4DA7-A92A-84DFBBD16140}"/>
    <cellStyle name="RISKtlandrEdge 2 15 2" xfId="38268" xr:uid="{98FB1C3B-0EA9-4C1A-A23D-44ADDFBB30DD}"/>
    <cellStyle name="RISKtlandrEdge 2 16" xfId="17112" xr:uid="{5406AF24-31D4-4CF0-9112-9DD3FCD5AFA8}"/>
    <cellStyle name="RISKtlandrEdge 2 16 2" xfId="38451" xr:uid="{C2AF1EE1-B757-4018-A286-F3658837CA15}"/>
    <cellStyle name="RISKtlandrEdge 2 17" xfId="21749" xr:uid="{27923A39-92CF-4D44-96EE-CABE2AD3E851}"/>
    <cellStyle name="RISKtlandrEdge 2 17 2" xfId="41770" xr:uid="{A02FC86E-80E4-4304-BAC0-5B530D7FBA22}"/>
    <cellStyle name="RISKtlandrEdge 2 18" xfId="23161" xr:uid="{A1D309AB-BB25-4512-B561-B8841EB37083}"/>
    <cellStyle name="RISKtlandrEdge 2 18 2" xfId="42760" xr:uid="{9D718E6D-390D-4225-9EE1-86324D4D2BE0}"/>
    <cellStyle name="RISKtlandrEdge 2 19" xfId="23982" xr:uid="{A467CD9C-F133-45C2-B237-2140FF8161F2}"/>
    <cellStyle name="RISKtlandrEdge 2 19 2" xfId="43359" xr:uid="{C34BF5D2-A941-4741-940D-99B64433F7EF}"/>
    <cellStyle name="RISKtlandrEdge 2 2" xfId="4039" xr:uid="{94504297-092F-4EC0-B6F7-5FEAF7039D7C}"/>
    <cellStyle name="RISKtlandrEdge 2 2 10" xfId="17430" xr:uid="{58C8836D-6BAF-4C9F-BA05-2BEFEBFC44CB}"/>
    <cellStyle name="RISKtlandrEdge 2 2 10 2" xfId="38677" xr:uid="{847DE72E-DDAA-4012-ABDD-26996F72223D}"/>
    <cellStyle name="RISKtlandrEdge 2 2 11" xfId="18278" xr:uid="{40178C62-9BB4-40AD-B1BE-BA2518CA5149}"/>
    <cellStyle name="RISKtlandrEdge 2 2 11 2" xfId="39309" xr:uid="{96F33399-DEB0-49A5-99C1-5ABC908F1318}"/>
    <cellStyle name="RISKtlandrEdge 2 2 12" xfId="15690" xr:uid="{89464D31-F8ED-422E-AE22-C6610504FCF2}"/>
    <cellStyle name="RISKtlandrEdge 2 2 12 2" xfId="37327" xr:uid="{E3705728-CEB3-4365-B60C-0C189E9FBC2B}"/>
    <cellStyle name="RISKtlandrEdge 2 2 13" xfId="15225" xr:uid="{F1F5194F-FCB7-4C58-89F6-3FE2F22E175E}"/>
    <cellStyle name="RISKtlandrEdge 2 2 13 2" xfId="36991" xr:uid="{D1507C7A-D753-49FD-B949-DD3D1C841EE7}"/>
    <cellStyle name="RISKtlandrEdge 2 2 14" xfId="20650" xr:uid="{0B9112A0-A62E-470A-B783-5A9679360DBD}"/>
    <cellStyle name="RISKtlandrEdge 2 2 14 2" xfId="41010" xr:uid="{F33873A6-7991-4EB3-A6C7-45DF272C558C}"/>
    <cellStyle name="RISKtlandrEdge 2 2 15" xfId="19020" xr:uid="{E84AAE1F-8F65-4057-91BB-AA6A23CFE18B}"/>
    <cellStyle name="RISKtlandrEdge 2 2 15 2" xfId="39852" xr:uid="{0F90DE13-5CCD-451D-AF53-AB26F1CCF76E}"/>
    <cellStyle name="RISKtlandrEdge 2 2 16" xfId="21217" xr:uid="{2E5FEDBE-7002-41FA-921F-6866DCDB1E98}"/>
    <cellStyle name="RISKtlandrEdge 2 2 16 2" xfId="41410" xr:uid="{FB160489-2B4C-49B9-B6AD-CA18492F6049}"/>
    <cellStyle name="RISKtlandrEdge 2 2 17" xfId="20473" xr:uid="{7F824D52-B224-4186-881C-B485AE8872F8}"/>
    <cellStyle name="RISKtlandrEdge 2 2 17 2" xfId="40866" xr:uid="{9384B031-1E90-4F07-81EB-AF812E8D6190}"/>
    <cellStyle name="RISKtlandrEdge 2 2 18" xfId="22202" xr:uid="{D69003FF-AA9A-4C69-BC06-E445D7DB9560}"/>
    <cellStyle name="RISKtlandrEdge 2 2 18 2" xfId="42081" xr:uid="{0366F5C6-7E58-46D3-B55D-045229F5B235}"/>
    <cellStyle name="RISKtlandrEdge 2 2 19" xfId="22152" xr:uid="{81BEB640-BE63-469D-8F31-DE166D7E6C09}"/>
    <cellStyle name="RISKtlandrEdge 2 2 19 2" xfId="42032" xr:uid="{F9A8BCD5-889D-4597-BF5B-E7D8C6847EDA}"/>
    <cellStyle name="RISKtlandrEdge 2 2 2" xfId="4040" xr:uid="{50E4EA5E-B58D-4240-A7B2-F7E4008B4B1B}"/>
    <cellStyle name="RISKtlandrEdge 2 2 2 10" xfId="19162" xr:uid="{383AFFE6-4E07-4ECD-9B89-745AD5B52BED}"/>
    <cellStyle name="RISKtlandrEdge 2 2 2 10 2" xfId="39971" xr:uid="{347905DC-7F6C-432E-9077-30CCCF03D945}"/>
    <cellStyle name="RISKtlandrEdge 2 2 2 11" xfId="19913" xr:uid="{D50D1FCA-2FF2-47CE-B11C-401CF5AA9897}"/>
    <cellStyle name="RISKtlandrEdge 2 2 2 11 2" xfId="40525" xr:uid="{D3FCFE2B-05A5-4FF9-B554-4FE3285B5E39}"/>
    <cellStyle name="RISKtlandrEdge 2 2 2 12" xfId="18898" xr:uid="{CDE5C22D-4502-4673-A8DD-2957C16B74D3}"/>
    <cellStyle name="RISKtlandrEdge 2 2 2 12 2" xfId="39731" xr:uid="{32AF607B-4CB1-4C9C-B96F-9AD8BD4F1DFC}"/>
    <cellStyle name="RISKtlandrEdge 2 2 2 13" xfId="15336" xr:uid="{883312EA-AF41-4EC8-8B36-9EB750C0982E}"/>
    <cellStyle name="RISKtlandrEdge 2 2 2 13 2" xfId="37036" xr:uid="{D5E1125A-4DA0-4334-A6B1-5FCFAC63D765}"/>
    <cellStyle name="RISKtlandrEdge 2 2 2 14" xfId="22077" xr:uid="{78014E85-9468-4376-89EC-57AD6860662E}"/>
    <cellStyle name="RISKtlandrEdge 2 2 2 14 2" xfId="41962" xr:uid="{F8EA75EF-58E2-4BB5-9CF0-8B01C5D9C7CC}"/>
    <cellStyle name="RISKtlandrEdge 2 2 2 15" xfId="23160" xr:uid="{43CBFA05-86E7-4966-88F8-F20959B24620}"/>
    <cellStyle name="RISKtlandrEdge 2 2 2 15 2" xfId="42759" xr:uid="{13582BDA-9722-4168-8182-90BFF62DFA95}"/>
    <cellStyle name="RISKtlandrEdge 2 2 2 16" xfId="23981" xr:uid="{D1715280-F7EC-44F7-83EF-791064827DAE}"/>
    <cellStyle name="RISKtlandrEdge 2 2 2 16 2" xfId="43358" xr:uid="{6573AC57-0BEE-4871-B74B-429A94DEFB72}"/>
    <cellStyle name="RISKtlandrEdge 2 2 2 17" xfId="21895" xr:uid="{A805060A-8596-4792-B85F-EBF812029070}"/>
    <cellStyle name="RISKtlandrEdge 2 2 2 17 2" xfId="41825" xr:uid="{9AA61666-B090-4B43-B9DD-965DBF195FC4}"/>
    <cellStyle name="RISKtlandrEdge 2 2 2 18" xfId="24213" xr:uid="{384DA6A1-034F-44D8-952F-B6B156B70076}"/>
    <cellStyle name="RISKtlandrEdge 2 2 2 18 2" xfId="43533" xr:uid="{BF7190F9-7CBA-4935-8901-C78B04542D50}"/>
    <cellStyle name="RISKtlandrEdge 2 2 2 19" xfId="19486" xr:uid="{DCA67126-C640-490D-8DB9-970317403D6C}"/>
    <cellStyle name="RISKtlandrEdge 2 2 2 19 2" xfId="40163" xr:uid="{7D27D897-F13D-44F0-8A34-0E4BEA5FD0C3}"/>
    <cellStyle name="RISKtlandrEdge 2 2 2 2" xfId="7340" xr:uid="{A9EE0DF0-EEB5-45A8-9EC8-7B3AD8ACBF3A}"/>
    <cellStyle name="RISKtlandrEdge 2 2 2 2 2" xfId="31703" xr:uid="{35FA5570-6A2A-411C-8254-1CB5B21BD5B8}"/>
    <cellStyle name="RISKtlandrEdge 2 2 2 20" xfId="21952" xr:uid="{47885266-64C3-41BB-B5E5-DF8A03554995}"/>
    <cellStyle name="RISKtlandrEdge 2 2 2 20 2" xfId="41865" xr:uid="{66060DE5-1403-4999-A90D-DB52C51B0A1C}"/>
    <cellStyle name="RISKtlandrEdge 2 2 2 21" xfId="26175" xr:uid="{FFC64D35-C32D-441B-9A9C-42E63157AF64}"/>
    <cellStyle name="RISKtlandrEdge 2 2 2 21 2" xfId="44905" xr:uid="{BE0ED625-D06D-43D8-AA47-702FF2B82C7E}"/>
    <cellStyle name="RISKtlandrEdge 2 2 2 22" xfId="27811" xr:uid="{6D45138C-34CE-403F-BED8-48220B1EB516}"/>
    <cellStyle name="RISKtlandrEdge 2 2 2 22 2" xfId="45898" xr:uid="{139B17DE-15D7-47A0-B201-E6E716DDC40F}"/>
    <cellStyle name="RISKtlandrEdge 2 2 2 23" xfId="29272" xr:uid="{CA830D19-9547-451C-8350-C473145D8054}"/>
    <cellStyle name="RISKtlandrEdge 2 2 2 23 2" xfId="46787" xr:uid="{232137AE-904A-4BA1-A553-0021CB32EB69}"/>
    <cellStyle name="RISKtlandrEdge 2 2 2 24" xfId="26977" xr:uid="{D71B47F3-D27F-4DC1-86DF-7A9D1C029823}"/>
    <cellStyle name="RISKtlandrEdge 2 2 2 24 2" xfId="45384" xr:uid="{F19C054F-3CEA-47C4-A4C0-2E059A7D9DC8}"/>
    <cellStyle name="RISKtlandrEdge 2 2 2 25" xfId="27678" xr:uid="{E365C9DF-18F4-4F82-BF7E-0019A515164A}"/>
    <cellStyle name="RISKtlandrEdge 2 2 2 25 2" xfId="45792" xr:uid="{789B3AFC-A521-4220-8CD2-B658C10EEC59}"/>
    <cellStyle name="RISKtlandrEdge 2 2 2 26" xfId="25853" xr:uid="{15F2BFA0-FA29-488F-AA69-AED0D1C15CF5}"/>
    <cellStyle name="RISKtlandrEdge 2 2 2 26 2" xfId="44671" xr:uid="{7490EF6E-9C98-4FA4-9EEE-8D9D4598B205}"/>
    <cellStyle name="RISKtlandrEdge 2 2 2 27" xfId="30693" xr:uid="{38059010-1CB6-4372-8561-9CC4FBE87FCA}"/>
    <cellStyle name="RISKtlandrEdge 2 2 2 27 2" xfId="47639" xr:uid="{89B225A8-AA21-479E-AAB7-8C03598EEE78}"/>
    <cellStyle name="RISKtlandrEdge 2 2 2 28" xfId="28907" xr:uid="{EF4089A2-5D37-4B5E-BB47-44C1072A042F}"/>
    <cellStyle name="RISKtlandrEdge 2 2 2 28 2" xfId="46511" xr:uid="{44D96018-B574-4587-8270-329D7E0AF2F0}"/>
    <cellStyle name="RISKtlandrEdge 2 2 2 29" xfId="29097" xr:uid="{72EDACDF-0765-4AD6-85A1-AFCF8D6B79E6}"/>
    <cellStyle name="RISKtlandrEdge 2 2 2 29 2" xfId="46666" xr:uid="{AB07317B-8A2C-4D53-9621-6B8D660159DD}"/>
    <cellStyle name="RISKtlandrEdge 2 2 2 3" xfId="13188" xr:uid="{49A95EFE-952D-4043-BE67-08236F81B59D}"/>
    <cellStyle name="RISKtlandrEdge 2 2 2 3 2" xfId="35536" xr:uid="{A423DF2F-EE8E-4B1F-B269-78F071B92792}"/>
    <cellStyle name="RISKtlandrEdge 2 2 2 30" xfId="6056" xr:uid="{B123E49C-EC17-4637-985C-4E5635D921D1}"/>
    <cellStyle name="RISKtlandrEdge 2 2 2 4" xfId="14204" xr:uid="{89114B40-7220-4EE9-B968-15E64EFEFA18}"/>
    <cellStyle name="RISKtlandrEdge 2 2 2 4 2" xfId="36257" xr:uid="{5BC027DE-0C91-4378-845F-AA55A5F13637}"/>
    <cellStyle name="RISKtlandrEdge 2 2 2 5" xfId="7233" xr:uid="{5B9D2741-BA8B-4DA7-A9D5-1ECA3D4B2357}"/>
    <cellStyle name="RISKtlandrEdge 2 2 2 5 2" xfId="31598" xr:uid="{C1DD08FA-FB82-4DAF-A157-F36467C2804A}"/>
    <cellStyle name="RISKtlandrEdge 2 2 2 6" xfId="12757" xr:uid="{D71F2754-86E6-411E-8EC8-7BFCEFCDD925}"/>
    <cellStyle name="RISKtlandrEdge 2 2 2 6 2" xfId="35166" xr:uid="{DC393248-42BE-493C-9E4C-5F675B6B3086}"/>
    <cellStyle name="RISKtlandrEdge 2 2 2 7" xfId="16555" xr:uid="{4CC5EC2B-EBE3-4203-A0BD-6FF8CC56CFF3}"/>
    <cellStyle name="RISKtlandrEdge 2 2 2 7 2" xfId="38048" xr:uid="{B2ACEE24-363A-4BBF-A1FE-FC06FAC9A09A}"/>
    <cellStyle name="RISKtlandrEdge 2 2 2 8" xfId="14466" xr:uid="{C16CE2AB-3F1F-4FCF-BD20-98360BF236D1}"/>
    <cellStyle name="RISKtlandrEdge 2 2 2 8 2" xfId="36455" xr:uid="{96924FCD-9631-42A8-BDED-C05ED7FCCD8E}"/>
    <cellStyle name="RISKtlandrEdge 2 2 2 9" xfId="16292" xr:uid="{55BFFE3E-8E4F-484F-96B3-8D8B86C280B8}"/>
    <cellStyle name="RISKtlandrEdge 2 2 2 9 2" xfId="37829" xr:uid="{12E8F183-39E6-4487-9C8A-894D87AFE80E}"/>
    <cellStyle name="RISKtlandrEdge 2 2 20" xfId="22735" xr:uid="{EEFDE3C7-3FD9-451B-8178-8748205D6860}"/>
    <cellStyle name="RISKtlandrEdge 2 2 20 2" xfId="42492" xr:uid="{FA1C89EA-E76B-400B-9D5D-1D931F47D44C}"/>
    <cellStyle name="RISKtlandrEdge 2 2 21" xfId="25055" xr:uid="{34607949-4BD5-4DD0-A720-3C6C375671E7}"/>
    <cellStyle name="RISKtlandrEdge 2 2 21 2" xfId="44082" xr:uid="{C8C2D301-9B69-4101-8A4C-206CF043A86E}"/>
    <cellStyle name="RISKtlandrEdge 2 2 22" xfId="21935" xr:uid="{86E1B609-A6B3-49FF-A64A-43A11695012A}"/>
    <cellStyle name="RISKtlandrEdge 2 2 22 2" xfId="41850" xr:uid="{A578A1F8-971E-4D6A-AE40-F0684EB4B629}"/>
    <cellStyle name="RISKtlandrEdge 2 2 23" xfId="27305" xr:uid="{D09E170C-25F7-47D0-805A-6240949CB7E0}"/>
    <cellStyle name="RISKtlandrEdge 2 2 23 2" xfId="45608" xr:uid="{EF77A4C5-CC26-4FD4-88B1-58389E1DD99B}"/>
    <cellStyle name="RISKtlandrEdge 2 2 24" xfId="24333" xr:uid="{DE5AEF4A-A785-4661-91DF-567A13EF32DE}"/>
    <cellStyle name="RISKtlandrEdge 2 2 24 2" xfId="43596" xr:uid="{0EBAA38F-F50F-47F5-BA5E-58B30DD7DD56}"/>
    <cellStyle name="RISKtlandrEdge 2 2 25" xfId="29260" xr:uid="{1A0C528A-BB0C-4B70-92FF-184773458DEC}"/>
    <cellStyle name="RISKtlandrEdge 2 2 25 2" xfId="46775" xr:uid="{625631A3-02B6-4C38-90D8-9B6CE91FC328}"/>
    <cellStyle name="RISKtlandrEdge 2 2 26" xfId="26536" xr:uid="{AC743072-9623-4517-BE18-0C8CFDD6E762}"/>
    <cellStyle name="RISKtlandrEdge 2 2 26 2" xfId="45111" xr:uid="{7B2B29D3-BC00-4CD8-9654-214B79C75369}"/>
    <cellStyle name="RISKtlandrEdge 2 2 27" xfId="28774" xr:uid="{2DAAC142-1D22-4587-8810-FBDCD5625A27}"/>
    <cellStyle name="RISKtlandrEdge 2 2 27 2" xfId="46450" xr:uid="{0B86B924-EC07-4A21-91A0-AD1A73DF55FF}"/>
    <cellStyle name="RISKtlandrEdge 2 2 28" xfId="29616" xr:uid="{42F9A9AD-D407-4D67-8F33-70AAD2B77526}"/>
    <cellStyle name="RISKtlandrEdge 2 2 28 2" xfId="47007" xr:uid="{5D4F9B22-5A4A-42D1-BB2E-FAC654213227}"/>
    <cellStyle name="RISKtlandrEdge 2 2 29" xfId="30233" xr:uid="{4F2C8B5F-08EA-4555-B773-F560F6745169}"/>
    <cellStyle name="RISKtlandrEdge 2 2 29 2" xfId="47394" xr:uid="{2FBD23A6-B261-4034-B95D-22CD9A489BDC}"/>
    <cellStyle name="RISKtlandrEdge 2 2 3" xfId="4041" xr:uid="{66897F64-1352-4985-93A1-C04367F38D2B}"/>
    <cellStyle name="RISKtlandrEdge 2 2 3 10" xfId="17180" xr:uid="{C04AF8C7-62CA-4B2C-81E3-D6ACEFB9AAEF}"/>
    <cellStyle name="RISKtlandrEdge 2 2 3 10 2" xfId="38509" xr:uid="{361C65E4-18BF-4005-B8D6-E4B7A8609F2D}"/>
    <cellStyle name="RISKtlandrEdge 2 2 3 11" xfId="18028" xr:uid="{75C1B7E7-EB5D-4DDD-BF05-D28A9E6D46E5}"/>
    <cellStyle name="RISKtlandrEdge 2 2 3 11 2" xfId="39124" xr:uid="{D267ECFD-F579-4AF5-8AA6-BFA046B1FCE0}"/>
    <cellStyle name="RISKtlandrEdge 2 2 3 12" xfId="20649" xr:uid="{8E53F23B-DCE5-4ADC-8B0D-F44435C6656B}"/>
    <cellStyle name="RISKtlandrEdge 2 2 3 12 2" xfId="41009" xr:uid="{C032728D-1138-43BA-BB73-72F8D29E2BFD}"/>
    <cellStyle name="RISKtlandrEdge 2 2 3 13" xfId="19019" xr:uid="{A94EF3D1-E3FF-4F97-A5AB-B368BC621FE4}"/>
    <cellStyle name="RISKtlandrEdge 2 2 3 13 2" xfId="39851" xr:uid="{1AB55250-A53B-4515-BC4A-CAF4DAAC2C5A}"/>
    <cellStyle name="RISKtlandrEdge 2 2 3 14" xfId="17805" xr:uid="{3107E168-401C-4239-B8C3-1E954137F8AD}"/>
    <cellStyle name="RISKtlandrEdge 2 2 3 14 2" xfId="38930" xr:uid="{C1DF67DA-D0FB-44DF-8797-87AD7F91EE1D}"/>
    <cellStyle name="RISKtlandrEdge 2 2 3 15" xfId="18815" xr:uid="{0A2F28FC-082F-4024-A6FE-1EBAAD8D54A5}"/>
    <cellStyle name="RISKtlandrEdge 2 2 3 15 2" xfId="39667" xr:uid="{47EA8CB2-FB85-4F8C-9193-537CC440CE8E}"/>
    <cellStyle name="RISKtlandrEdge 2 2 3 16" xfId="19490" xr:uid="{666373B5-2BE3-4ABA-A943-B9FD33F7519C}"/>
    <cellStyle name="RISKtlandrEdge 2 2 3 16 2" xfId="40167" xr:uid="{A8CDC165-EC73-4C45-93AE-BF823FF946F0}"/>
    <cellStyle name="RISKtlandrEdge 2 2 3 17" xfId="15423" xr:uid="{41FFDBEA-3447-4A95-87B2-3B874906E769}"/>
    <cellStyle name="RISKtlandrEdge 2 2 3 17 2" xfId="37111" xr:uid="{1EABBC87-E049-4B3B-86EF-A2C8E0AA0BFD}"/>
    <cellStyle name="RISKtlandrEdge 2 2 3 18" xfId="25318" xr:uid="{83695E21-809A-487E-91C7-E6002695E19E}"/>
    <cellStyle name="RISKtlandrEdge 2 2 3 18 2" xfId="44234" xr:uid="{CE40C906-0CD3-48D6-841B-8D008917BDB7}"/>
    <cellStyle name="RISKtlandrEdge 2 2 3 19" xfId="23997" xr:uid="{9492DEF4-082E-4797-9FB9-081800E356D5}"/>
    <cellStyle name="RISKtlandrEdge 2 2 3 19 2" xfId="43374" xr:uid="{370451F1-0965-461E-8A3F-4A3063AABF1D}"/>
    <cellStyle name="RISKtlandrEdge 2 2 3 2" xfId="11766" xr:uid="{2B9CAC8C-CAA0-4F18-80CA-EE470B7335AD}"/>
    <cellStyle name="RISKtlandrEdge 2 2 3 2 2" xfId="34379" xr:uid="{C41AB130-E57A-4EE9-8CA2-50BCEAD0639F}"/>
    <cellStyle name="RISKtlandrEdge 2 2 3 20" xfId="24443" xr:uid="{57187134-FFEE-4D66-948F-55F5AAC43EFD}"/>
    <cellStyle name="RISKtlandrEdge 2 2 3 20 2" xfId="43655" xr:uid="{C9D31006-EEC5-4607-8AD8-37F8FEAAEF20}"/>
    <cellStyle name="RISKtlandrEdge 2 2 3 21" xfId="27304" xr:uid="{8C42F19C-A9E1-4EB4-857F-ECAD52CBA421}"/>
    <cellStyle name="RISKtlandrEdge 2 2 3 21 2" xfId="45607" xr:uid="{143D2B14-2FFF-4216-80F8-87DC7F742B72}"/>
    <cellStyle name="RISKtlandrEdge 2 2 3 22" xfId="25499" xr:uid="{761DDE2C-CD09-405A-BAAC-F54CAA5C2025}"/>
    <cellStyle name="RISKtlandrEdge 2 2 3 22 2" xfId="44376" xr:uid="{762704B1-2707-4661-9B10-E91AD5DD8173}"/>
    <cellStyle name="RISKtlandrEdge 2 2 3 23" xfId="29269" xr:uid="{72FA88CF-52C0-4EB5-A4C3-77ACAA40BAD4}"/>
    <cellStyle name="RISKtlandrEdge 2 2 3 23 2" xfId="46784" xr:uid="{4FE11763-FE07-4754-BB7A-36D740391700}"/>
    <cellStyle name="RISKtlandrEdge 2 2 3 24" xfId="29001" xr:uid="{53310A02-20F8-47AC-BDD9-2298F5DADBC4}"/>
    <cellStyle name="RISKtlandrEdge 2 2 3 24 2" xfId="46595" xr:uid="{B3D00029-3B8D-461A-BDF4-911AFFF46901}"/>
    <cellStyle name="RISKtlandrEdge 2 2 3 25" xfId="29581" xr:uid="{9D8CD013-8F02-4481-8BF8-BDCD647444EE}"/>
    <cellStyle name="RISKtlandrEdge 2 2 3 25 2" xfId="46976" xr:uid="{DFC7C691-D414-4BCA-876E-9A2738A94FF6}"/>
    <cellStyle name="RISKtlandrEdge 2 2 3 26" xfId="27752" xr:uid="{B7BA8714-BF37-4B5A-861B-493F48B1CE40}"/>
    <cellStyle name="RISKtlandrEdge 2 2 3 26 2" xfId="45853" xr:uid="{C7EE186C-9F4B-406E-8762-568EC2A4C23B}"/>
    <cellStyle name="RISKtlandrEdge 2 2 3 27" xfId="30019" xr:uid="{3AC3CADD-9AE0-4E93-82A6-D8AE85A63EA9}"/>
    <cellStyle name="RISKtlandrEdge 2 2 3 27 2" xfId="47250" xr:uid="{17FF6539-2F04-4314-BE74-FDDC0F9999B5}"/>
    <cellStyle name="RISKtlandrEdge 2 2 3 28" xfId="27744" xr:uid="{9EF809A6-9936-405B-BA4D-31BBC245A091}"/>
    <cellStyle name="RISKtlandrEdge 2 2 3 28 2" xfId="45845" xr:uid="{DF6519AD-4791-4C67-94ED-B4F500403E36}"/>
    <cellStyle name="RISKtlandrEdge 2 2 3 29" xfId="30588" xr:uid="{D62E09FF-C139-4742-A12A-D4F40D683AF4}"/>
    <cellStyle name="RISKtlandrEdge 2 2 3 29 2" xfId="47538" xr:uid="{5BA59754-6086-43C6-94CB-6C9EC57FBC03}"/>
    <cellStyle name="RISKtlandrEdge 2 2 3 3" xfId="10271" xr:uid="{91D37FDC-1A51-4B3C-878B-B6B708BDF355}"/>
    <cellStyle name="RISKtlandrEdge 2 2 3 3 2" xfId="33906" xr:uid="{77C92D0D-1D9F-4DBF-B354-A858B5D1A7E5}"/>
    <cellStyle name="RISKtlandrEdge 2 2 3 30" xfId="6814" xr:uid="{23C0DE18-460C-4D63-A675-8F5C0AEE5D17}"/>
    <cellStyle name="RISKtlandrEdge 2 2 3 4" xfId="6983" xr:uid="{E0A484B9-1A5B-42ED-BBF4-0DC27C08AF27}"/>
    <cellStyle name="RISKtlandrEdge 2 2 3 4 2" xfId="31350" xr:uid="{1CBBB55A-2F76-4F5B-ADE9-B8DF128B25F2}"/>
    <cellStyle name="RISKtlandrEdge 2 2 3 5" xfId="11664" xr:uid="{1A8DEFCB-4083-4EE1-A58A-56D801A9E864}"/>
    <cellStyle name="RISKtlandrEdge 2 2 3 5 2" xfId="34277" xr:uid="{44B5BC6E-6CE5-4D77-A91D-9C5BAB8668EC}"/>
    <cellStyle name="RISKtlandrEdge 2 2 3 6" xfId="12305" xr:uid="{7CF26A73-0202-41CA-81AA-AE904F660CAF}"/>
    <cellStyle name="RISKtlandrEdge 2 2 3 6 2" xfId="34811" xr:uid="{7DD5BAA9-4ADA-4D81-86AA-CE77B24075F6}"/>
    <cellStyle name="RISKtlandrEdge 2 2 3 7" xfId="14035" xr:uid="{5FAC03AD-484C-4D7F-BBE3-F4F8A2CE0E86}"/>
    <cellStyle name="RISKtlandrEdge 2 2 3 7 2" xfId="36129" xr:uid="{CE7ED63C-7E16-424C-ADD3-29D9A036FAAC}"/>
    <cellStyle name="RISKtlandrEdge 2 2 3 8" xfId="17429" xr:uid="{66CE487A-C665-4001-99E1-581BC06C5E98}"/>
    <cellStyle name="RISKtlandrEdge 2 2 3 8 2" xfId="38676" xr:uid="{BEB668B6-8724-47E6-96B9-99F25189E422}"/>
    <cellStyle name="RISKtlandrEdge 2 2 3 9" xfId="18277" xr:uid="{7C9A7BDF-1689-4B92-A65A-09730D7A5974}"/>
    <cellStyle name="RISKtlandrEdge 2 2 3 9 2" xfId="39308" xr:uid="{93BAA3D4-AA0D-49F7-982E-3EFFEAE01274}"/>
    <cellStyle name="RISKtlandrEdge 2 2 30" xfId="29816" xr:uid="{26C97F45-F82C-476C-80CD-02ED67203C3F}"/>
    <cellStyle name="RISKtlandrEdge 2 2 30 2" xfId="47133" xr:uid="{E5961602-D6CE-4649-B3C0-0EC4390DB020}"/>
    <cellStyle name="RISKtlandrEdge 2 2 31" xfId="30901" xr:uid="{9D1CBA2E-6F03-4EAD-8AB6-DDA23729EDA4}"/>
    <cellStyle name="RISKtlandrEdge 2 2 31 2" xfId="47749" xr:uid="{8EC6C84B-2687-43C3-9D00-7B10CC1A143F}"/>
    <cellStyle name="RISKtlandrEdge 2 2 32" xfId="6815" xr:uid="{4A0939C2-0BA5-47FC-93B6-E845A419D448}"/>
    <cellStyle name="RISKtlandrEdge 2 2 4" xfId="11767" xr:uid="{8F34E70C-C1A6-4D95-8A7D-4D737B257FF7}"/>
    <cellStyle name="RISKtlandrEdge 2 2 4 2" xfId="34380" xr:uid="{24106862-99D1-4163-A80E-C9DA8B0E4440}"/>
    <cellStyle name="RISKtlandrEdge 2 2 5" xfId="10270" xr:uid="{0C9276F7-72D9-435D-9D10-692B197A2BF6}"/>
    <cellStyle name="RISKtlandrEdge 2 2 5 2" xfId="33905" xr:uid="{1E954B5A-BED5-4916-8A6B-510F9F64CAD1}"/>
    <cellStyle name="RISKtlandrEdge 2 2 6" xfId="6984" xr:uid="{B980C17A-9C58-4F12-93A7-7B48DE946740}"/>
    <cellStyle name="RISKtlandrEdge 2 2 6 2" xfId="31351" xr:uid="{EABF5B7C-E2F9-4C09-B733-366BD27C4C9D}"/>
    <cellStyle name="RISKtlandrEdge 2 2 7" xfId="11665" xr:uid="{9FFD2E91-751F-42CD-A4A7-06D4B167A750}"/>
    <cellStyle name="RISKtlandrEdge 2 2 7 2" xfId="34278" xr:uid="{1668E50B-D574-4893-B81D-9962B2437957}"/>
    <cellStyle name="RISKtlandrEdge 2 2 8" xfId="14657" xr:uid="{45063D60-253F-4228-9E1E-8612367E988A}"/>
    <cellStyle name="RISKtlandrEdge 2 2 8 2" xfId="36569" xr:uid="{762953E0-3FBF-43E9-9DBE-CE0F5C5D4E0A}"/>
    <cellStyle name="RISKtlandrEdge 2 2 9" xfId="12529" xr:uid="{22ACDC76-3FC4-4449-8924-0BEC0EBC9A2D}"/>
    <cellStyle name="RISKtlandrEdge 2 2 9 2" xfId="34973" xr:uid="{05DE4460-97EB-4256-8626-E698ECC91BE3}"/>
    <cellStyle name="RISKtlandrEdge 2 20" xfId="16915" xr:uid="{D1AFB249-1EC7-4240-876C-3E4D4E5B7F7C}"/>
    <cellStyle name="RISKtlandrEdge 2 20 2" xfId="38294" xr:uid="{9CE6B2FC-01E2-4A07-B5D5-6EF015ACBFA6}"/>
    <cellStyle name="RISKtlandrEdge 2 21" xfId="24542" xr:uid="{A57064B9-3EF1-4035-A4F8-0F4482992088}"/>
    <cellStyle name="RISKtlandrEdge 2 21 2" xfId="43725" xr:uid="{27332B91-EF41-472E-81E7-A7154C271F6C}"/>
    <cellStyle name="RISKtlandrEdge 2 22" xfId="23998" xr:uid="{AAFC7CC7-FC87-4965-8656-53DBBCDDD067}"/>
    <cellStyle name="RISKtlandrEdge 2 22 2" xfId="43375" xr:uid="{5315D59B-287F-4959-B76E-B7823A4916D8}"/>
    <cellStyle name="RISKtlandrEdge 2 23" xfId="21872" xr:uid="{E68FBB3D-6BB3-4EA8-8309-1C2B10536064}"/>
    <cellStyle name="RISKtlandrEdge 2 23 2" xfId="41810" xr:uid="{AC7DD4CB-7955-4483-9302-2D95E2C21AD7}"/>
    <cellStyle name="RISKtlandrEdge 2 24" xfId="22614" xr:uid="{54AF645C-11F4-4D50-92A1-B9385FD4CDC3}"/>
    <cellStyle name="RISKtlandrEdge 2 24 2" xfId="42392" xr:uid="{922B9C9F-2FCE-4AF4-98D0-464C5E31C4AE}"/>
    <cellStyle name="RISKtlandrEdge 2 25" xfId="27812" xr:uid="{462BF0B4-FEA4-4185-9280-3A31CED4EC5A}"/>
    <cellStyle name="RISKtlandrEdge 2 25 2" xfId="45899" xr:uid="{B7CBC6C6-A3C9-4360-BD63-AC1CA689FC47}"/>
    <cellStyle name="RISKtlandrEdge 2 26" xfId="26441" xr:uid="{C6695EF4-055C-4089-9418-17888F787919}"/>
    <cellStyle name="RISKtlandrEdge 2 26 2" xfId="45072" xr:uid="{965EFB3E-7D24-4922-B941-DC2C2C3BAB5E}"/>
    <cellStyle name="RISKtlandrEdge 2 27" xfId="28288" xr:uid="{93BC4527-0CC2-40BF-AF75-7DA4C827C707}"/>
    <cellStyle name="RISKtlandrEdge 2 27 2" xfId="46155" xr:uid="{57E35892-77E6-4AA0-9A0B-04F00B36AF66}"/>
    <cellStyle name="RISKtlandrEdge 2 28" xfId="28077" xr:uid="{4B0472DB-5FB0-4209-B6FD-382E57BC8CF7}"/>
    <cellStyle name="RISKtlandrEdge 2 28 2" xfId="46062" xr:uid="{4D8987C1-1A5D-4D69-B0FD-D791262E69E2}"/>
    <cellStyle name="RISKtlandrEdge 2 29" xfId="27642" xr:uid="{66AEE769-D6DC-47C0-91BD-5BDCACA271C8}"/>
    <cellStyle name="RISKtlandrEdge 2 29 2" xfId="45776" xr:uid="{08120A2A-656A-463A-8130-7AC371F8DBD9}"/>
    <cellStyle name="RISKtlandrEdge 2 3" xfId="4042" xr:uid="{85C3DA3B-8ECE-40CC-BB35-41A0864EF41B}"/>
    <cellStyle name="RISKtlandrEdge 2 3 10" xfId="19161" xr:uid="{61B3D7A9-BEAC-4053-90BF-39D978674610}"/>
    <cellStyle name="RISKtlandrEdge 2 3 10 2" xfId="39970" xr:uid="{2B4CCF6E-ACA8-461C-A1A5-5A0224B4C5B5}"/>
    <cellStyle name="RISKtlandrEdge 2 3 11" xfId="18011" xr:uid="{8A48AF8B-2968-403F-8841-4947F0BE8A01}"/>
    <cellStyle name="RISKtlandrEdge 2 3 11 2" xfId="39107" xr:uid="{244EBCF5-2A69-46A5-B45D-1C9488BAA96F}"/>
    <cellStyle name="RISKtlandrEdge 2 3 12" xfId="20112" xr:uid="{1C9DB2BA-8563-4CF7-9FC9-24245856F57A}"/>
    <cellStyle name="RISKtlandrEdge 2 3 12 2" xfId="40626" xr:uid="{A90DAD63-D1FB-4A49-8B2D-A8E0C675FD8D}"/>
    <cellStyle name="RISKtlandrEdge 2 3 13" xfId="17111" xr:uid="{C12D08B5-B88E-45BE-942C-A706477D9E2A}"/>
    <cellStyle name="RISKtlandrEdge 2 3 13 2" xfId="38450" xr:uid="{2DD8C3CE-CBC3-48C2-BD25-BF0F14841DB7}"/>
    <cellStyle name="RISKtlandrEdge 2 3 14" xfId="20168" xr:uid="{B6607449-1F19-4CC8-B914-1CB0EB466325}"/>
    <cellStyle name="RISKtlandrEdge 2 3 14 2" xfId="40675" xr:uid="{E3D27F6F-AD8D-4673-9394-A6A635677D6F}"/>
    <cellStyle name="RISKtlandrEdge 2 3 15" xfId="23159" xr:uid="{EE356535-59E6-4251-A731-5CFB7556C9B7}"/>
    <cellStyle name="RISKtlandrEdge 2 3 15 2" xfId="42758" xr:uid="{6D59C899-902A-4B4A-BDFB-4C9A06F419B8}"/>
    <cellStyle name="RISKtlandrEdge 2 3 16" xfId="23980" xr:uid="{44CBED43-2176-4A20-9686-091F3BBE1D43}"/>
    <cellStyle name="RISKtlandrEdge 2 3 16 2" xfId="43357" xr:uid="{5BA55204-7825-4CC3-A639-8BE5862019F3}"/>
    <cellStyle name="RISKtlandrEdge 2 3 17" xfId="18697" xr:uid="{F721DA94-CD4F-4AA1-B623-27801FA5E089}"/>
    <cellStyle name="RISKtlandrEdge 2 3 17 2" xfId="39575" xr:uid="{0C37642C-7E5A-4DE6-A24A-2552AC696C06}"/>
    <cellStyle name="RISKtlandrEdge 2 3 18" xfId="25791" xr:uid="{B286F057-74D8-4651-A1C4-94FC6DB40F42}"/>
    <cellStyle name="RISKtlandrEdge 2 3 18 2" xfId="44619" xr:uid="{12EEB6EE-7FF5-49B3-B54E-5D997BA0E02C}"/>
    <cellStyle name="RISKtlandrEdge 2 3 19" xfId="16947" xr:uid="{2DF27CA0-055C-4571-AC98-73334ED7299E}"/>
    <cellStyle name="RISKtlandrEdge 2 3 19 2" xfId="38317" xr:uid="{D65CED56-186E-40AD-B4A2-243824C70DB2}"/>
    <cellStyle name="RISKtlandrEdge 2 3 2" xfId="7339" xr:uid="{DCF99C7D-8690-4816-865F-93EE383FC1FE}"/>
    <cellStyle name="RISKtlandrEdge 2 3 2 2" xfId="31702" xr:uid="{D310F707-FB5D-42DC-B523-6FDCF10A400E}"/>
    <cellStyle name="RISKtlandrEdge 2 3 20" xfId="24249" xr:uid="{E141A590-5FBE-4189-A30A-AF8E815E0D77}"/>
    <cellStyle name="RISKtlandrEdge 2 3 20 2" xfId="43563" xr:uid="{483C93F2-A09A-4C68-91AA-ADF90C2F7284}"/>
    <cellStyle name="RISKtlandrEdge 2 3 21" xfId="23793" xr:uid="{7B85542D-4CBF-46D7-BD84-DA7450CA1B40}"/>
    <cellStyle name="RISKtlandrEdge 2 3 21 2" xfId="43192" xr:uid="{3294BB54-E48D-40FD-A556-EBDC0D7207C5}"/>
    <cellStyle name="RISKtlandrEdge 2 3 22" xfId="27810" xr:uid="{8E49DBE9-716F-48E4-9736-5D9F30F6620C}"/>
    <cellStyle name="RISKtlandrEdge 2 3 22 2" xfId="45897" xr:uid="{CEE78B57-78AB-4E2E-BC86-828EC2412455}"/>
    <cellStyle name="RISKtlandrEdge 2 3 23" xfId="25529" xr:uid="{67A9FA8D-4C8C-4280-98D0-B51E3F25B7B8}"/>
    <cellStyle name="RISKtlandrEdge 2 3 23 2" xfId="44403" xr:uid="{6B2872C2-6992-4470-9FCE-4271BF01E18B}"/>
    <cellStyle name="RISKtlandrEdge 2 3 24" xfId="29193" xr:uid="{72E97453-FE9F-4B98-B5DD-83307B44D3D9}"/>
    <cellStyle name="RISKtlandrEdge 2 3 24 2" xfId="46719" xr:uid="{AD24D1C0-611D-4C87-97D7-6D78B069C9AC}"/>
    <cellStyle name="RISKtlandrEdge 2 3 25" xfId="29071" xr:uid="{356CB568-1B1F-4C72-8CF8-09F0161ABA79}"/>
    <cellStyle name="RISKtlandrEdge 2 3 25 2" xfId="46644" xr:uid="{7F62E7F0-0D61-4BA2-8EA2-18265582D4CE}"/>
    <cellStyle name="RISKtlandrEdge 2 3 26" xfId="29700" xr:uid="{99E82C5F-DDB7-464E-81CA-958BADB84956}"/>
    <cellStyle name="RISKtlandrEdge 2 3 26 2" xfId="47045" xr:uid="{A93A5828-C998-471B-821E-4C74493781C5}"/>
    <cellStyle name="RISKtlandrEdge 2 3 27" xfId="30692" xr:uid="{7F5755B4-5486-43E8-AB74-66FFDC452709}"/>
    <cellStyle name="RISKtlandrEdge 2 3 27 2" xfId="47638" xr:uid="{38FCD7B6-716B-439E-AD17-021A3CB9A33B}"/>
    <cellStyle name="RISKtlandrEdge 2 3 28" xfId="30799" xr:uid="{718C330A-A83A-451C-98E6-7F8437C113F4}"/>
    <cellStyle name="RISKtlandrEdge 2 3 28 2" xfId="47724" xr:uid="{320E3CD4-9AB4-4346-BC65-77D54D3863C1}"/>
    <cellStyle name="RISKtlandrEdge 2 3 29" xfId="30613" xr:uid="{86F5DAFA-5031-4F22-8822-497B69306D0C}"/>
    <cellStyle name="RISKtlandrEdge 2 3 29 2" xfId="47559" xr:uid="{15088EDF-DACB-4283-A229-10F70CF27307}"/>
    <cellStyle name="RISKtlandrEdge 2 3 3" xfId="13187" xr:uid="{2BF75121-C382-4746-9ADF-903A48368898}"/>
    <cellStyle name="RISKtlandrEdge 2 3 3 2" xfId="35535" xr:uid="{BD7DBBF0-1566-4FE8-8D91-49962164EDC1}"/>
    <cellStyle name="RISKtlandrEdge 2 3 30" xfId="6055" xr:uid="{96D2A6C1-E019-4BAD-AE46-DCE4C4F2DDFF}"/>
    <cellStyle name="RISKtlandrEdge 2 3 4" xfId="14203" xr:uid="{1E9C7E16-D566-4E20-95DE-75A91CA9FC31}"/>
    <cellStyle name="RISKtlandrEdge 2 3 4 2" xfId="36256" xr:uid="{ED436E3B-51CB-434D-AD2C-F68592570947}"/>
    <cellStyle name="RISKtlandrEdge 2 3 5" xfId="7232" xr:uid="{1414CC57-1787-4AB3-8968-3E44069F32FE}"/>
    <cellStyle name="RISKtlandrEdge 2 3 5 2" xfId="31597" xr:uid="{8D6EECE4-49C2-4D32-923D-25B860341475}"/>
    <cellStyle name="RISKtlandrEdge 2 3 6" xfId="15505" xr:uid="{F3114887-D68B-49B9-B798-592D3AFC0201}"/>
    <cellStyle name="RISKtlandrEdge 2 3 6 2" xfId="37170" xr:uid="{755B46AB-97CD-424A-96D7-B499714967AC}"/>
    <cellStyle name="RISKtlandrEdge 2 3 7" xfId="16554" xr:uid="{1BCCE3CD-4951-4C0C-858E-4962BD99E88C}"/>
    <cellStyle name="RISKtlandrEdge 2 3 7 2" xfId="38047" xr:uid="{4B0061E6-7F72-47BF-B6F0-309EB567AAB1}"/>
    <cellStyle name="RISKtlandrEdge 2 3 8" xfId="15633" xr:uid="{CC105881-6B64-4D52-BF2D-5B3D43EBA79E}"/>
    <cellStyle name="RISKtlandrEdge 2 3 8 2" xfId="37291" xr:uid="{1FA23FBA-BA6F-4CDC-89C1-00A359732491}"/>
    <cellStyle name="RISKtlandrEdge 2 3 9" xfId="15803" xr:uid="{8091D242-2F8C-4334-B9BD-695F555DA12D}"/>
    <cellStyle name="RISKtlandrEdge 2 3 9 2" xfId="37418" xr:uid="{D31EB082-204E-4F74-880E-A49074C25C82}"/>
    <cellStyle name="RISKtlandrEdge 2 30" xfId="30694" xr:uid="{9765DEF8-E3C3-4E43-B182-F5ECF8606DB7}"/>
    <cellStyle name="RISKtlandrEdge 2 30 2" xfId="47640" xr:uid="{728DBFD0-8481-4559-A6BD-0A246AF19808}"/>
    <cellStyle name="RISKtlandrEdge 2 31" xfId="30168" xr:uid="{1D229443-2BB7-46E9-BAC5-ACE660DA7C50}"/>
    <cellStyle name="RISKtlandrEdge 2 31 2" xfId="47332" xr:uid="{EEBF9819-86D5-40AA-860C-B8BF15BC8AA6}"/>
    <cellStyle name="RISKtlandrEdge 2 32" xfId="30614" xr:uid="{BD01B855-B61C-4463-8381-C4A6B9F72985}"/>
    <cellStyle name="RISKtlandrEdge 2 32 2" xfId="47560" xr:uid="{CA68FC27-60C5-4EB2-9F69-6F8CB4597583}"/>
    <cellStyle name="RISKtlandrEdge 2 33" xfId="6057" xr:uid="{C5F30563-D900-4E2B-B32F-3C3D68C94A2F}"/>
    <cellStyle name="RISKtlandrEdge 2 4" xfId="4043" xr:uid="{B606461B-4E97-4D91-B6DB-087A1DD86451}"/>
    <cellStyle name="RISKtlandrEdge 2 4 10" xfId="16057" xr:uid="{0D360C0D-14B9-4FCD-A34E-E08DFB6EFA64}"/>
    <cellStyle name="RISKtlandrEdge 2 4 10 2" xfId="37633" xr:uid="{43D9D704-4D9B-404F-9DA4-D7F8C616DC73}"/>
    <cellStyle name="RISKtlandrEdge 2 4 11" xfId="19912" xr:uid="{C36945A7-D034-4495-8879-B73863029B92}"/>
    <cellStyle name="RISKtlandrEdge 2 4 11 2" xfId="40524" xr:uid="{2A7DB747-4A16-4F0B-A2A1-BA88811F3C37}"/>
    <cellStyle name="RISKtlandrEdge 2 4 12" xfId="20648" xr:uid="{CD5DBFF7-A63A-43A8-BC93-854101E9F7D7}"/>
    <cellStyle name="RISKtlandrEdge 2 4 12 2" xfId="41008" xr:uid="{3070B98F-C296-4A61-85E1-35611F463A71}"/>
    <cellStyle name="RISKtlandrEdge 2 4 13" xfId="19018" xr:uid="{6FAD01DD-1B57-4775-A859-217D78263C91}"/>
    <cellStyle name="RISKtlandrEdge 2 4 13 2" xfId="39850" xr:uid="{7760EA32-55BF-44B3-A85E-512D379DBF96}"/>
    <cellStyle name="RISKtlandrEdge 2 4 14" xfId="21216" xr:uid="{78AFB650-CB06-4599-8EEE-EFBF1A621088}"/>
    <cellStyle name="RISKtlandrEdge 2 4 14 2" xfId="41409" xr:uid="{F9711129-E8A9-4402-83F2-BF1644010438}"/>
    <cellStyle name="RISKtlandrEdge 2 4 15" xfId="20472" xr:uid="{F31F5445-F806-439A-A6BA-3300894A01E3}"/>
    <cellStyle name="RISKtlandrEdge 2 4 15 2" xfId="40865" xr:uid="{D302E749-F5F6-4199-8F7B-AAD604DF500D}"/>
    <cellStyle name="RISKtlandrEdge 2 4 16" xfId="15421" xr:uid="{B65CEF99-3914-4BDD-ACD2-5EC8322EBFB5}"/>
    <cellStyle name="RISKtlandrEdge 2 4 16 2" xfId="37109" xr:uid="{9901D716-14B0-42C7-9E3C-9BE8C60193C1}"/>
    <cellStyle name="RISKtlandrEdge 2 4 17" xfId="22153" xr:uid="{F9C76224-A0F0-469A-8D74-9E9E3D47604A}"/>
    <cellStyle name="RISKtlandrEdge 2 4 17 2" xfId="42033" xr:uid="{F5B7129E-B121-4FB6-97A8-932E3A5CC587}"/>
    <cellStyle name="RISKtlandrEdge 2 4 18" xfId="22734" xr:uid="{EC6ADBB7-518C-4E95-9591-4CF6AF9CE969}"/>
    <cellStyle name="RISKtlandrEdge 2 4 18 2" xfId="42491" xr:uid="{A93D59E5-A95C-4BF9-BD3F-54C9A1AC0227}"/>
    <cellStyle name="RISKtlandrEdge 2 4 19" xfId="22796" xr:uid="{78E92AB8-505B-4B9F-8670-2B8D45FB5745}"/>
    <cellStyle name="RISKtlandrEdge 2 4 19 2" xfId="42543" xr:uid="{885F444E-EBB2-4136-9057-DB08A026B848}"/>
    <cellStyle name="RISKtlandrEdge 2 4 2" xfId="11765" xr:uid="{B1EB20FE-7CBD-49BF-AA1D-9A09409DCC56}"/>
    <cellStyle name="RISKtlandrEdge 2 4 2 2" xfId="34378" xr:uid="{C15EAD27-D7D1-43D9-9341-605D58C8A17B}"/>
    <cellStyle name="RISKtlandrEdge 2 4 20" xfId="25506" xr:uid="{C1F9F415-E065-4AD1-8FF7-17314BCEA6F4}"/>
    <cellStyle name="RISKtlandrEdge 2 4 20 2" xfId="44382" xr:uid="{C210F81F-A78C-4BEE-B230-4391EC16D935}"/>
    <cellStyle name="RISKtlandrEdge 2 4 21" xfId="27303" xr:uid="{57EB8CC7-80EA-4018-9607-91F45423CD4D}"/>
    <cellStyle name="RISKtlandrEdge 2 4 21 2" xfId="45606" xr:uid="{56F36018-9CF0-4B13-A994-00FB86A24667}"/>
    <cellStyle name="RISKtlandrEdge 2 4 22" xfId="25970" xr:uid="{63DEDA33-6840-4B13-A5FD-F2FAB701CEEE}"/>
    <cellStyle name="RISKtlandrEdge 2 4 22 2" xfId="44758" xr:uid="{3029173A-E8E5-48CC-AF07-02EE3E7430FA}"/>
    <cellStyle name="RISKtlandrEdge 2 4 23" xfId="22667" xr:uid="{85EFBB95-767F-4DA1-B1D2-2936958E6662}"/>
    <cellStyle name="RISKtlandrEdge 2 4 23 2" xfId="42437" xr:uid="{4F6DBF41-0479-4CFD-9999-DAA3464CCE01}"/>
    <cellStyle name="RISKtlandrEdge 2 4 24" xfId="26818" xr:uid="{D3430F59-0145-4B80-A370-4712464C8378}"/>
    <cellStyle name="RISKtlandrEdge 2 4 24 2" xfId="45289" xr:uid="{F089713E-17F4-40E6-890F-7BE43540DAB3}"/>
    <cellStyle name="RISKtlandrEdge 2 4 25" xfId="28301" xr:uid="{9FC66E8D-9328-49A5-885A-AEC363BA64D3}"/>
    <cellStyle name="RISKtlandrEdge 2 4 25 2" xfId="46168" xr:uid="{918E9D56-CFDA-406A-A864-4B88AEAD31D0}"/>
    <cellStyle name="RISKtlandrEdge 2 4 26" xfId="25205" xr:uid="{E9575A4F-D00A-48DA-9B40-A796F29C4C1F}"/>
    <cellStyle name="RISKtlandrEdge 2 4 26 2" xfId="44144" xr:uid="{B7A9FF43-25C9-442A-B63E-A96D1A491DCC}"/>
    <cellStyle name="RISKtlandrEdge 2 4 27" xfId="30232" xr:uid="{5DCC463E-67F4-41C1-BBF7-EC6082DE877B}"/>
    <cellStyle name="RISKtlandrEdge 2 4 27 2" xfId="47393" xr:uid="{F38AED2D-4AFC-49DB-9B0D-0A2D37FA95A7}"/>
    <cellStyle name="RISKtlandrEdge 2 4 28" xfId="30169" xr:uid="{FE34E95F-4DBA-4CAB-BC55-11821505C430}"/>
    <cellStyle name="RISKtlandrEdge 2 4 28 2" xfId="47333" xr:uid="{9E6A4BEC-E124-4FEB-A644-CF74BE2B99A8}"/>
    <cellStyle name="RISKtlandrEdge 2 4 29" xfId="30900" xr:uid="{F19A835C-0376-4753-A36F-AB29E184E004}"/>
    <cellStyle name="RISKtlandrEdge 2 4 29 2" xfId="47748" xr:uid="{2A7677EE-F589-44B1-9C27-3513F82DFA54}"/>
    <cellStyle name="RISKtlandrEdge 2 4 3" xfId="10272" xr:uid="{AA25ABC1-121C-4CA8-A6EA-2CF44A6346EE}"/>
    <cellStyle name="RISKtlandrEdge 2 4 3 2" xfId="33907" xr:uid="{E896D9B5-0EF9-4980-A31C-A1E429891683}"/>
    <cellStyle name="RISKtlandrEdge 2 4 30" xfId="6813" xr:uid="{C06CA7E4-6572-44E7-8921-79FD27DB17E9}"/>
    <cellStyle name="RISKtlandrEdge 2 4 4" xfId="6982" xr:uid="{B8048E76-0D47-4BD1-A01B-72681AE4169C}"/>
    <cellStyle name="RISKtlandrEdge 2 4 4 2" xfId="31349" xr:uid="{C7EC092D-6A59-4EC5-94B6-140DCACEA9A3}"/>
    <cellStyle name="RISKtlandrEdge 2 4 5" xfId="7231" xr:uid="{871125CC-1739-46A3-97D4-FDA10923469F}"/>
    <cellStyle name="RISKtlandrEdge 2 4 5 2" xfId="31596" xr:uid="{2A92E832-41F4-4B74-85A4-41CB85CC60CE}"/>
    <cellStyle name="RISKtlandrEdge 2 4 6" xfId="16016" xr:uid="{65F11452-11F7-4588-9CE5-F32B515D1457}"/>
    <cellStyle name="RISKtlandrEdge 2 4 6 2" xfId="37599" xr:uid="{5501153E-4B9B-45DB-9A17-25587C80402A}"/>
    <cellStyle name="RISKtlandrEdge 2 4 7" xfId="12530" xr:uid="{5EB7E268-3B25-4641-B8F0-C1A1CE60A9E5}"/>
    <cellStyle name="RISKtlandrEdge 2 4 7 2" xfId="34974" xr:uid="{E335E8C3-C1B1-4967-ABD2-216B7CBED0A7}"/>
    <cellStyle name="RISKtlandrEdge 2 4 8" xfId="17428" xr:uid="{C3E7BA04-3FE8-4D5B-8619-70535360FD05}"/>
    <cellStyle name="RISKtlandrEdge 2 4 8 2" xfId="38675" xr:uid="{567A45BC-6E75-4C63-87DE-D632FAFCA635}"/>
    <cellStyle name="RISKtlandrEdge 2 4 9" xfId="18276" xr:uid="{3CD52EAA-F518-40E5-B5CA-090BD0205B0E}"/>
    <cellStyle name="RISKtlandrEdge 2 4 9 2" xfId="39307" xr:uid="{2AED3D52-545F-468A-B752-FC7A54979B11}"/>
    <cellStyle name="RISKtlandrEdge 2 5" xfId="7341" xr:uid="{6CED4ED5-CA68-4611-9644-CB7B95E7DA8B}"/>
    <cellStyle name="RISKtlandrEdge 2 5 2" xfId="31704" xr:uid="{235D08E3-E22E-4A94-A778-27F820CAA334}"/>
    <cellStyle name="RISKtlandrEdge 2 6" xfId="13189" xr:uid="{745BB632-1D0B-478F-8070-BF04D54BCE14}"/>
    <cellStyle name="RISKtlandrEdge 2 6 2" xfId="35537" xr:uid="{C5092BD0-A98C-44CE-9483-F9595A8BAC4E}"/>
    <cellStyle name="RISKtlandrEdge 2 7" xfId="14205" xr:uid="{4AB5731C-916C-451F-9F6F-6F1D32DAEC4A}"/>
    <cellStyle name="RISKtlandrEdge 2 7 2" xfId="36258" xr:uid="{E979F184-9B1E-45BC-8A44-F5DB18E7454F}"/>
    <cellStyle name="RISKtlandrEdge 2 8" xfId="7234" xr:uid="{E7C15BD3-2C9D-4B6D-9E71-88A6773279D2}"/>
    <cellStyle name="RISKtlandrEdge 2 8 2" xfId="31599" xr:uid="{C8A37710-2597-45D7-9271-4B2D804DD335}"/>
    <cellStyle name="RISKtlandrEdge 2 9" xfId="15504" xr:uid="{6C0105DE-2D33-4EAE-8E2C-FA762D0B1F2E}"/>
    <cellStyle name="RISKtlandrEdge 2 9 2" xfId="37169" xr:uid="{851E9896-D8ED-425C-98AB-6BB4249DFEFA}"/>
    <cellStyle name="RISKtlandrEdge 20" xfId="19915" xr:uid="{D3A31339-6963-4098-A33A-BB5565640F1A}"/>
    <cellStyle name="RISKtlandrEdge 20 2" xfId="40527" xr:uid="{4939A4B3-96CA-49A9-A313-67D8090C91AD}"/>
    <cellStyle name="RISKtlandrEdge 21" xfId="18899" xr:uid="{DD3E2812-4CA1-4483-BA65-9F5261801393}"/>
    <cellStyle name="RISKtlandrEdge 21 2" xfId="39732" xr:uid="{18740AE8-7843-4538-B8D3-117DFED0601A}"/>
    <cellStyle name="RISKtlandrEdge 22" xfId="14538" xr:uid="{5081F5E3-4B83-4620-B159-8051059CC91B}"/>
    <cellStyle name="RISKtlandrEdge 22 2" xfId="36471" xr:uid="{C138BE98-0537-40D0-BB07-02BAEB6431A6}"/>
    <cellStyle name="RISKtlandrEdge 23" xfId="22076" xr:uid="{A1C7BB36-04EA-4E5F-B137-491CF1CC9827}"/>
    <cellStyle name="RISKtlandrEdge 23 2" xfId="41961" xr:uid="{F8CE4CE3-45E3-4FA8-AE0C-0309A3542D45}"/>
    <cellStyle name="RISKtlandrEdge 24" xfId="23162" xr:uid="{8FA276F8-E008-40F4-8CD1-8AFAC1E9CBE4}"/>
    <cellStyle name="RISKtlandrEdge 24 2" xfId="42761" xr:uid="{F8FA3D23-CA0C-413A-B515-6ABADD70894D}"/>
    <cellStyle name="RISKtlandrEdge 25" xfId="23983" xr:uid="{33378879-97D1-4388-A427-0B39946923E8}"/>
    <cellStyle name="RISKtlandrEdge 25 2" xfId="43360" xr:uid="{A2A8BC22-6BCC-463A-9F9F-B43EC894FA15}"/>
    <cellStyle name="RISKtlandrEdge 26" xfId="22584" xr:uid="{A5295550-4B2D-415D-952B-E832EFA8CA83}"/>
    <cellStyle name="RISKtlandrEdge 26 2" xfId="42370" xr:uid="{D6326DCB-04DC-4D09-B7CA-9F193517F6DC}"/>
    <cellStyle name="RISKtlandrEdge 27" xfId="22287" xr:uid="{A138165C-3F6C-46F3-932F-0772EFCDE152}"/>
    <cellStyle name="RISKtlandrEdge 27 2" xfId="42151" xr:uid="{46A51B36-CFE2-4136-974C-3C56A1723BAD}"/>
    <cellStyle name="RISKtlandrEdge 28" xfId="22198" xr:uid="{5D756E3A-36B8-4EFE-9BE2-8B6DCB1B0965}"/>
    <cellStyle name="RISKtlandrEdge 28 2" xfId="42077" xr:uid="{8354A1A8-6FF2-497E-AEB1-9AEB55DD25F4}"/>
    <cellStyle name="RISKtlandrEdge 29" xfId="24248" xr:uid="{0A9915CE-1641-41AA-B680-1F1CAA190648}"/>
    <cellStyle name="RISKtlandrEdge 29 2" xfId="43562" xr:uid="{129D269E-FB24-4F95-AE57-56954E0CA65C}"/>
    <cellStyle name="RISKtlandrEdge 3" xfId="4044" xr:uid="{CB160215-58F6-471B-AD3A-82FDD1BE2F8F}"/>
    <cellStyle name="RISKtlandrEdge 3 10" xfId="13489" xr:uid="{A82CF835-90A2-4C01-B192-C9F7A1DDEA15}"/>
    <cellStyle name="RISKtlandrEdge 3 10 2" xfId="35743" xr:uid="{6F88ECBD-0E0A-4498-A698-5E99B5004AF1}"/>
    <cellStyle name="RISKtlandrEdge 3 11" xfId="13956" xr:uid="{87E48E59-7CD7-4186-93F4-E3B1B03F4E9D}"/>
    <cellStyle name="RISKtlandrEdge 3 11 2" xfId="36062" xr:uid="{8DE4727C-BA41-4E35-917D-F6E9C13CECEF}"/>
    <cellStyle name="RISKtlandrEdge 3 12" xfId="19160" xr:uid="{89C9AEE2-EB16-4616-BCE7-679823291B19}"/>
    <cellStyle name="RISKtlandrEdge 3 12 2" xfId="39969" xr:uid="{16180D76-D01C-41A0-B32C-B1CC46050C7A}"/>
    <cellStyle name="RISKtlandrEdge 3 13" xfId="15743" xr:uid="{489E6591-5B3D-470C-8FD8-E9E4F2425347}"/>
    <cellStyle name="RISKtlandrEdge 3 13 2" xfId="37372" xr:uid="{8BE45C0F-98D3-4893-A496-564F80BE4A94}"/>
    <cellStyle name="RISKtlandrEdge 3 14" xfId="16114" xr:uid="{B993B0B9-3A38-485C-8F6D-A4375107BEE7}"/>
    <cellStyle name="RISKtlandrEdge 3 14 2" xfId="37684" xr:uid="{11B3D66A-123D-468C-9BBE-1C7983F87869}"/>
    <cellStyle name="RISKtlandrEdge 3 15" xfId="16085" xr:uid="{BABB2DA0-BB31-46DF-996C-CEBA1D88916C}"/>
    <cellStyle name="RISKtlandrEdge 3 15 2" xfId="37656" xr:uid="{4A4E9E04-DF23-4445-B60C-27DB8BB4C068}"/>
    <cellStyle name="RISKtlandrEdge 3 16" xfId="22078" xr:uid="{910CB496-5A7A-4E7F-AC42-BEEA2F97CE40}"/>
    <cellStyle name="RISKtlandrEdge 3 16 2" xfId="41963" xr:uid="{97073D38-5ED6-4F78-A7C3-4BCAF2E70A69}"/>
    <cellStyle name="RISKtlandrEdge 3 17" xfId="23158" xr:uid="{B34C088A-4A2F-4B24-AD37-E7ED780AA22C}"/>
    <cellStyle name="RISKtlandrEdge 3 17 2" xfId="42757" xr:uid="{BFDDAAC2-EBDC-41AC-BE12-597928F83E21}"/>
    <cellStyle name="RISKtlandrEdge 3 18" xfId="23979" xr:uid="{F7726C63-7D5D-43BD-82EE-447269F588CB}"/>
    <cellStyle name="RISKtlandrEdge 3 18 2" xfId="43356" xr:uid="{A68D5A46-CDDD-4467-A863-9F4A22DC24A0}"/>
    <cellStyle name="RISKtlandrEdge 3 19" xfId="18698" xr:uid="{5B3D30AA-317A-418B-9667-EA8B92B1DA43}"/>
    <cellStyle name="RISKtlandrEdge 3 19 2" xfId="39576" xr:uid="{1F8CA68B-7078-455C-AB3E-DAFBB28E648A}"/>
    <cellStyle name="RISKtlandrEdge 3 2" xfId="4045" xr:uid="{94D31489-2457-4EAF-B508-3C86A0DBA2CD}"/>
    <cellStyle name="RISKtlandrEdge 3 2 10" xfId="17179" xr:uid="{90509355-6646-4BE9-893C-7768E8C1F5D6}"/>
    <cellStyle name="RISKtlandrEdge 3 2 10 2" xfId="38508" xr:uid="{011E74B0-E7BA-40ED-AE5C-CC8AADB9EDC6}"/>
    <cellStyle name="RISKtlandrEdge 3 2 11" xfId="19911" xr:uid="{207C680E-4FC0-4F5F-9D8B-9568CD5F3BAB}"/>
    <cellStyle name="RISKtlandrEdge 3 2 11 2" xfId="40523" xr:uid="{946C13F5-75EB-4FA2-B3FF-DF6F16100F12}"/>
    <cellStyle name="RISKtlandrEdge 3 2 12" xfId="20647" xr:uid="{ED96429D-4C5B-4A77-B5F4-92414EECDC35}"/>
    <cellStyle name="RISKtlandrEdge 3 2 12 2" xfId="41007" xr:uid="{8A308881-9681-487C-95AB-606BA1E5379F}"/>
    <cellStyle name="RISKtlandrEdge 3 2 13" xfId="19017" xr:uid="{F724F869-2CA4-4978-A032-8BDF8D1895F5}"/>
    <cellStyle name="RISKtlandrEdge 3 2 13 2" xfId="39849" xr:uid="{C98C4ECA-0ED5-4F0C-A66C-BE44AE55338A}"/>
    <cellStyle name="RISKtlandrEdge 3 2 14" xfId="21215" xr:uid="{6B5CE2D3-7BB2-4730-9A4E-EA5D0183D0DA}"/>
    <cellStyle name="RISKtlandrEdge 3 2 14 2" xfId="41408" xr:uid="{B5671B24-5E90-4CA2-B512-F0150F33D1E6}"/>
    <cellStyle name="RISKtlandrEdge 3 2 15" xfId="20471" xr:uid="{491C6917-8D43-46E3-80B4-9A7C0BFD09ED}"/>
    <cellStyle name="RISKtlandrEdge 3 2 15 2" xfId="40864" xr:uid="{BBDD7C6B-E210-471B-AEA1-7C58BB35BFB4}"/>
    <cellStyle name="RISKtlandrEdge 3 2 16" xfId="19491" xr:uid="{9960B554-4761-41EC-896E-8BD8FD0B4F02}"/>
    <cellStyle name="RISKtlandrEdge 3 2 16 2" xfId="40168" xr:uid="{5B296DAA-74AE-4E72-A77D-E824D5911150}"/>
    <cellStyle name="RISKtlandrEdge 3 2 17" xfId="20305" xr:uid="{74F55AA3-EE6F-4A0D-BD24-F0D4B22682D3}"/>
    <cellStyle name="RISKtlandrEdge 3 2 17 2" xfId="40739" xr:uid="{A9B966E2-0DB2-4B0A-9189-C58F103845FB}"/>
    <cellStyle name="RISKtlandrEdge 3 2 18" xfId="25319" xr:uid="{A864D230-6C2B-4C14-9A86-0E07F0CEDE0F}"/>
    <cellStyle name="RISKtlandrEdge 3 2 18 2" xfId="44235" xr:uid="{D9F840CF-B6F6-43D4-B912-D6B46BF433A4}"/>
    <cellStyle name="RISKtlandrEdge 3 2 19" xfId="23996" xr:uid="{851027C1-1694-4896-BC7B-092DA1E3B098}"/>
    <cellStyle name="RISKtlandrEdge 3 2 19 2" xfId="43373" xr:uid="{2D2C9D7B-628E-4277-A991-182C67E17B42}"/>
    <cellStyle name="RISKtlandrEdge 3 2 2" xfId="11764" xr:uid="{633BFC8F-1621-4A6A-9629-198081725A56}"/>
    <cellStyle name="RISKtlandrEdge 3 2 2 2" xfId="34377" xr:uid="{E5C19113-F541-4E2A-8C90-811D06EDCE24}"/>
    <cellStyle name="RISKtlandrEdge 3 2 20" xfId="25168" xr:uid="{F2FDE3CE-4E74-493F-95A9-F3B5B0CE1D0E}"/>
    <cellStyle name="RISKtlandrEdge 3 2 20 2" xfId="44112" xr:uid="{F2319EF5-84B0-451F-9F27-CA3C7E2153BA}"/>
    <cellStyle name="RISKtlandrEdge 3 2 21" xfId="23784" xr:uid="{06496049-7D7F-4AC9-85B1-C70CAE8825BA}"/>
    <cellStyle name="RISKtlandrEdge 3 2 21 2" xfId="43184" xr:uid="{D9F48403-086A-4C30-A27E-6905CB83E1CB}"/>
    <cellStyle name="RISKtlandrEdge 3 2 22" xfId="25831" xr:uid="{415289D9-4B80-401C-A358-26012C388E51}"/>
    <cellStyle name="RISKtlandrEdge 3 2 22 2" xfId="44654" xr:uid="{E81F7685-0FF4-481A-BE90-2EB28E7B84D2}"/>
    <cellStyle name="RISKtlandrEdge 3 2 23" xfId="21928" xr:uid="{E12F55FB-07BE-4CEB-8A71-5238618FB3CA}"/>
    <cellStyle name="RISKtlandrEdge 3 2 23 2" xfId="41844" xr:uid="{EA6FE6C1-9791-4954-ACE0-206E685A4DE6}"/>
    <cellStyle name="RISKtlandrEdge 3 2 24" xfId="28997" xr:uid="{53F5139D-A22F-4517-A28D-3BF9E8965888}"/>
    <cellStyle name="RISKtlandrEdge 3 2 24 2" xfId="46591" xr:uid="{AB3A6E5C-C708-4D99-BC30-F7DEBFC5F596}"/>
    <cellStyle name="RISKtlandrEdge 3 2 25" xfId="28982" xr:uid="{0531A5AE-63E4-4DFC-959E-FA0007F5E56D}"/>
    <cellStyle name="RISKtlandrEdge 3 2 25 2" xfId="46576" xr:uid="{E8FE45D7-9600-40BB-9CE3-B55B15964864}"/>
    <cellStyle name="RISKtlandrEdge 3 2 26" xfId="29895" xr:uid="{BCD1EC72-DAC5-40F6-8F4F-BE610BA48A64}"/>
    <cellStyle name="RISKtlandrEdge 3 2 26 2" xfId="47183" xr:uid="{7D8C721F-1C49-4798-8CC5-FBB052288326}"/>
    <cellStyle name="RISKtlandrEdge 3 2 27" xfId="29226" xr:uid="{F26E6E7C-57F8-423B-98C8-F2E2E9A05A1B}"/>
    <cellStyle name="RISKtlandrEdge 3 2 27 2" xfId="46745" xr:uid="{3E889F97-F363-4B66-8607-F522A8DCDA97}"/>
    <cellStyle name="RISKtlandrEdge 3 2 28" xfId="27523" xr:uid="{187F716E-B516-4941-B9C0-463638C92A7D}"/>
    <cellStyle name="RISKtlandrEdge 3 2 28 2" xfId="45716" xr:uid="{DCA01293-0EE8-440F-99EB-7965B1E7BC58}"/>
    <cellStyle name="RISKtlandrEdge 3 2 29" xfId="30587" xr:uid="{6746E6E9-C100-45E2-9822-B66B44B4A72D}"/>
    <cellStyle name="RISKtlandrEdge 3 2 29 2" xfId="47537" xr:uid="{F0AC0B0B-C81A-4092-8BF5-2E0FD88A515E}"/>
    <cellStyle name="RISKtlandrEdge 3 2 3" xfId="10274" xr:uid="{12D48508-4CFA-4177-A15E-736E0D4353FA}"/>
    <cellStyle name="RISKtlandrEdge 3 2 3 2" xfId="33909" xr:uid="{480D262C-3646-47F7-83A8-EA91CE71294E}"/>
    <cellStyle name="RISKtlandrEdge 3 2 30" xfId="6812" xr:uid="{276FC506-7F5E-48FC-B2D6-575B207A4B94}"/>
    <cellStyle name="RISKtlandrEdge 3 2 4" xfId="6981" xr:uid="{95BBCD04-7506-44A8-AAEE-7A19ED297FAD}"/>
    <cellStyle name="RISKtlandrEdge 3 2 4 2" xfId="31348" xr:uid="{2C5F559F-5CCF-40DB-B510-904E99A613F9}"/>
    <cellStyle name="RISKtlandrEdge 3 2 5" xfId="11663" xr:uid="{B56D00E6-56FA-4210-B996-EB46A7A2BCA1}"/>
    <cellStyle name="RISKtlandrEdge 3 2 5 2" xfId="34276" xr:uid="{47617913-CF63-4311-A46F-4CA13AA9C661}"/>
    <cellStyle name="RISKtlandrEdge 3 2 6" xfId="14656" xr:uid="{DF737CFB-688C-4DCF-B993-6BF11120C869}"/>
    <cellStyle name="RISKtlandrEdge 3 2 6 2" xfId="36568" xr:uid="{8203CC9C-FA47-4CF5-935D-F5335811F465}"/>
    <cellStyle name="RISKtlandrEdge 3 2 7" xfId="12531" xr:uid="{2EFA2171-11D6-426F-BF98-E27CB578B084}"/>
    <cellStyle name="RISKtlandrEdge 3 2 7 2" xfId="34975" xr:uid="{85C99821-CACC-4197-AA38-ED9F5EF7FD9E}"/>
    <cellStyle name="RISKtlandrEdge 3 2 8" xfId="17427" xr:uid="{18AD7A8E-69D7-45B0-91C6-416473A403D2}"/>
    <cellStyle name="RISKtlandrEdge 3 2 8 2" xfId="38674" xr:uid="{FBDE2E00-EDFD-4563-9C29-23ECE9DC2D97}"/>
    <cellStyle name="RISKtlandrEdge 3 2 9" xfId="18275" xr:uid="{32FB7470-605F-4966-B104-BFDAEE5EF9C3}"/>
    <cellStyle name="RISKtlandrEdge 3 2 9 2" xfId="39306" xr:uid="{1CFD970E-CC43-496B-AA41-D15651930D69}"/>
    <cellStyle name="RISKtlandrEdge 3 20" xfId="24541" xr:uid="{78B7BF1F-D4A4-4025-945B-F771004058B3}"/>
    <cellStyle name="RISKtlandrEdge 3 20 2" xfId="43724" xr:uid="{D9B0174E-5EA2-43EA-A26D-D877315BAA13}"/>
    <cellStyle name="RISKtlandrEdge 3 21" xfId="25056" xr:uid="{A7BD1341-02B9-4B6B-8276-347421A9480E}"/>
    <cellStyle name="RISKtlandrEdge 3 21 2" xfId="44083" xr:uid="{DA8BB6FA-6805-429C-B385-5DE465DC1849}"/>
    <cellStyle name="RISKtlandrEdge 3 22" xfId="25441" xr:uid="{2FFCFFB0-D1AB-4CAC-AE1B-E7EE61BCA28D}"/>
    <cellStyle name="RISKtlandrEdge 3 22 2" xfId="44327" xr:uid="{53B75C5C-208F-4FF4-BFA7-0F9F2E5A39C4}"/>
    <cellStyle name="RISKtlandrEdge 3 23" xfId="26174" xr:uid="{2541AAAA-FC9F-4F89-A7CB-B21A6C00F0C5}"/>
    <cellStyle name="RISKtlandrEdge 3 23 2" xfId="44904" xr:uid="{DC325FB7-3262-4844-BBDE-4578EA6F7800}"/>
    <cellStyle name="RISKtlandrEdge 3 24" xfId="27809" xr:uid="{D33D0CD2-4E5F-4900-9831-FA75C9402F8C}"/>
    <cellStyle name="RISKtlandrEdge 3 24 2" xfId="45896" xr:uid="{799E4CF9-A593-4512-9CD2-DFFCA9B32617}"/>
    <cellStyle name="RISKtlandrEdge 3 25" xfId="23601" xr:uid="{4C1F0EB9-BAE5-4586-9404-D4EB225E46B2}"/>
    <cellStyle name="RISKtlandrEdge 3 25 2" xfId="43036" xr:uid="{F11B9E71-2338-4E9F-9C1E-BC7907CD81F9}"/>
    <cellStyle name="RISKtlandrEdge 3 26" xfId="26003" xr:uid="{F8E0C0D6-11E0-4AB8-A4F9-7362A1DCA158}"/>
    <cellStyle name="RISKtlandrEdge 3 26 2" xfId="44781" xr:uid="{BAEC015E-25C0-4167-8CEF-DB7688404A24}"/>
    <cellStyle name="RISKtlandrEdge 3 27" xfId="29178" xr:uid="{CBBF830F-D00D-4582-9D96-6F82B222C4C9}"/>
    <cellStyle name="RISKtlandrEdge 3 27 2" xfId="46704" xr:uid="{50F2638E-7F79-4597-9ECC-7EEE9249F8EA}"/>
    <cellStyle name="RISKtlandrEdge 3 28" xfId="26019" xr:uid="{52D2EEC9-9C88-4499-93AA-B9D15CEDB62A}"/>
    <cellStyle name="RISKtlandrEdge 3 28 2" xfId="44793" xr:uid="{A22CDA80-2556-4D87-82BD-F06E6A0CD76A}"/>
    <cellStyle name="RISKtlandrEdge 3 29" xfId="30691" xr:uid="{77B95338-3B2B-4842-8E22-FEC9818A0E71}"/>
    <cellStyle name="RISKtlandrEdge 3 29 2" xfId="47637" xr:uid="{3807945A-48F3-49F1-865F-1F8B60521475}"/>
    <cellStyle name="RISKtlandrEdge 3 3" xfId="4046" xr:uid="{4F98A90A-6D12-4AA9-B402-0144778A70AE}"/>
    <cellStyle name="RISKtlandrEdge 3 3 10" xfId="19159" xr:uid="{941553A4-6A24-4C30-9F68-2CBFA0798C3B}"/>
    <cellStyle name="RISKtlandrEdge 3 3 10 2" xfId="39968" xr:uid="{33D39CBB-965C-4A30-B24E-C1A5A6F11E6C}"/>
    <cellStyle name="RISKtlandrEdge 3 3 11" xfId="18027" xr:uid="{4F6F696E-9173-431E-BE6F-33C91C404A85}"/>
    <cellStyle name="RISKtlandrEdge 3 3 11 2" xfId="39123" xr:uid="{212A514C-7CEB-48D3-AC6A-3A50BEA29BC4}"/>
    <cellStyle name="RISKtlandrEdge 3 3 12" xfId="18897" xr:uid="{BA6A358B-C01F-4B68-8131-6C0B7200A6E2}"/>
    <cellStyle name="RISKtlandrEdge 3 3 12 2" xfId="39730" xr:uid="{92D681C1-B3C8-464D-A0BC-89EE08BA7DA6}"/>
    <cellStyle name="RISKtlandrEdge 3 3 13" xfId="17110" xr:uid="{370E5DF3-A19E-4741-AC50-97089F5137E0}"/>
    <cellStyle name="RISKtlandrEdge 3 3 13 2" xfId="38449" xr:uid="{5DA5CFEC-EC80-4FCC-81CE-D107039EEAFD}"/>
    <cellStyle name="RISKtlandrEdge 3 3 14" xfId="17871" xr:uid="{10BAE0B0-E35E-4D12-88FC-8EFAEDC06F41}"/>
    <cellStyle name="RISKtlandrEdge 3 3 14 2" xfId="38987" xr:uid="{F2959D0C-4487-430E-B4B5-6A943B292CB0}"/>
    <cellStyle name="RISKtlandrEdge 3 3 15" xfId="23157" xr:uid="{4EE418F3-CD9D-473E-BB8A-BBD78920DD68}"/>
    <cellStyle name="RISKtlandrEdge 3 3 15 2" xfId="42756" xr:uid="{7F7B8293-7DB0-4237-8D6E-1C5DB57BF13C}"/>
    <cellStyle name="RISKtlandrEdge 3 3 16" xfId="23978" xr:uid="{FFF09E2F-D47A-4B03-861B-81B1A58959B8}"/>
    <cellStyle name="RISKtlandrEdge 3 3 16 2" xfId="43355" xr:uid="{93F37E8A-FA54-42BE-87CA-38DE47256C16}"/>
    <cellStyle name="RISKtlandrEdge 3 3 17" xfId="18699" xr:uid="{47C27546-3ED0-4846-802E-557C1447B35C}"/>
    <cellStyle name="RISKtlandrEdge 3 3 17 2" xfId="39577" xr:uid="{C9857F3A-595F-4B37-9158-94B418948AE9}"/>
    <cellStyle name="RISKtlandrEdge 3 3 18" xfId="21070" xr:uid="{68221705-EEB1-42F3-8235-3FAF64C59636}"/>
    <cellStyle name="RISKtlandrEdge 3 3 18 2" xfId="41315" xr:uid="{F91AC293-AE5A-4A3E-8EDD-CB740A11EEF3}"/>
    <cellStyle name="RISKtlandrEdge 3 3 19" xfId="22209" xr:uid="{E76D90A7-7C8A-45AC-997D-7E4239E774CC}"/>
    <cellStyle name="RISKtlandrEdge 3 3 19 2" xfId="42088" xr:uid="{6D49C0BC-AF23-467C-9E86-9D74F631FAF6}"/>
    <cellStyle name="RISKtlandrEdge 3 3 2" xfId="7337" xr:uid="{055AAFED-1B8C-405C-A89B-13F45A3A5F43}"/>
    <cellStyle name="RISKtlandrEdge 3 3 2 2" xfId="31700" xr:uid="{BBE66BC5-048E-417D-8A2A-82F783B5748F}"/>
    <cellStyle name="RISKtlandrEdge 3 3 20" xfId="20332" xr:uid="{6E539299-12BB-4EAA-B629-C5A40CF2165F}"/>
    <cellStyle name="RISKtlandrEdge 3 3 20 2" xfId="40765" xr:uid="{B2809C88-2847-4608-86A6-C526F7C505EC}"/>
    <cellStyle name="RISKtlandrEdge 3 3 21" xfId="27302" xr:uid="{57058868-FD1D-4F43-8A76-FBAB859ADD50}"/>
    <cellStyle name="RISKtlandrEdge 3 3 21 2" xfId="45605" xr:uid="{53BEDA3C-CCD0-4971-8E1E-BB8D36226C34}"/>
    <cellStyle name="RISKtlandrEdge 3 3 22" xfId="27808" xr:uid="{7FA8D3B0-E6EB-493C-ACC8-E09F67E82AE1}"/>
    <cellStyle name="RISKtlandrEdge 3 3 22 2" xfId="45895" xr:uid="{E7419E77-81CF-42B8-9142-49F3F166F05D}"/>
    <cellStyle name="RISKtlandrEdge 3 3 23" xfId="23582" xr:uid="{5395A258-ACB8-432E-A8DC-BB1EDD56E7B9}"/>
    <cellStyle name="RISKtlandrEdge 3 3 23 2" xfId="43017" xr:uid="{A6A4136A-F55A-438A-BDEE-421204500314}"/>
    <cellStyle name="RISKtlandrEdge 3 3 24" xfId="28760" xr:uid="{22480D15-295D-4DA8-859E-AB76BF3C5AD2}"/>
    <cellStyle name="RISKtlandrEdge 3 3 24 2" xfId="46440" xr:uid="{FD96C452-7435-4198-B769-F1BD8AFF4F08}"/>
    <cellStyle name="RISKtlandrEdge 3 3 25" xfId="25599" xr:uid="{2D925DC8-196A-4E60-AFBB-593B205A8BFF}"/>
    <cellStyle name="RISKtlandrEdge 3 3 25 2" xfId="44461" xr:uid="{153ACC1E-D258-473F-A0A5-D3597CAF7E5F}"/>
    <cellStyle name="RISKtlandrEdge 3 3 26" xfId="29792" xr:uid="{1D050B70-DBF6-4F4C-80A3-EB0250941A83}"/>
    <cellStyle name="RISKtlandrEdge 3 3 26 2" xfId="47111" xr:uid="{974B831D-879D-4E2A-9FB7-B3AEB82CF9C9}"/>
    <cellStyle name="RISKtlandrEdge 3 3 27" xfId="30690" xr:uid="{828A3583-C199-4766-A58F-3C92FDC7B6DA}"/>
    <cellStyle name="RISKtlandrEdge 3 3 27 2" xfId="47636" xr:uid="{4B271553-EE20-4332-BF8A-9C5BE9F38777}"/>
    <cellStyle name="RISKtlandrEdge 3 3 28" xfId="29882" xr:uid="{16FA9A9F-2F33-4EC6-9728-C48E20105BA4}"/>
    <cellStyle name="RISKtlandrEdge 3 3 28 2" xfId="47170" xr:uid="{7770D47E-FB78-49FC-B2ED-FAD17E5E7BCC}"/>
    <cellStyle name="RISKtlandrEdge 3 3 29" xfId="26940" xr:uid="{80951371-A341-4412-B540-C2FF26209A8A}"/>
    <cellStyle name="RISKtlandrEdge 3 3 29 2" xfId="45353" xr:uid="{9E7A8301-69C2-422D-98E6-0E64E3F680C9}"/>
    <cellStyle name="RISKtlandrEdge 3 3 3" xfId="13185" xr:uid="{E5236F45-F42C-484F-9414-13732F90FA74}"/>
    <cellStyle name="RISKtlandrEdge 3 3 3 2" xfId="35533" xr:uid="{CF162779-F027-44A2-9370-605A69BF5FEB}"/>
    <cellStyle name="RISKtlandrEdge 3 3 30" xfId="6053" xr:uid="{8A2C2AB7-50E1-47FF-A151-1012C47A24CD}"/>
    <cellStyle name="RISKtlandrEdge 3 3 4" xfId="14201" xr:uid="{0E7689F1-481E-4625-85DF-09D0056B02D7}"/>
    <cellStyle name="RISKtlandrEdge 3 3 4 2" xfId="36254" xr:uid="{0E991FA1-14BB-43E5-9861-BAA2CF4CC8CB}"/>
    <cellStyle name="RISKtlandrEdge 3 3 5" xfId="7229" xr:uid="{CB2EF0FD-B1DE-4040-89AD-BA2809A6F121}"/>
    <cellStyle name="RISKtlandrEdge 3 3 5 2" xfId="31594" xr:uid="{4F746682-CDCF-4A6D-A857-930F10202C1A}"/>
    <cellStyle name="RISKtlandrEdge 3 3 6" xfId="15506" xr:uid="{5C35936A-9F43-4E49-B6DF-F37D5CCB15F9}"/>
    <cellStyle name="RISKtlandrEdge 3 3 6 2" xfId="37171" xr:uid="{49DFAC56-81CD-434C-A691-744CEE0A7240}"/>
    <cellStyle name="RISKtlandrEdge 3 3 7" xfId="16552" xr:uid="{81B38CAF-3897-40B5-831B-5C45642F6925}"/>
    <cellStyle name="RISKtlandrEdge 3 3 7 2" xfId="38045" xr:uid="{6FE91464-E19C-4452-8595-715205505F4F}"/>
    <cellStyle name="RISKtlandrEdge 3 3 8" xfId="14467" xr:uid="{688EF09C-08E9-41DC-94AF-FBDCF88348A0}"/>
    <cellStyle name="RISKtlandrEdge 3 3 8 2" xfId="36456" xr:uid="{42041503-2052-4029-9354-16C95D7A8E2C}"/>
    <cellStyle name="RISKtlandrEdge 3 3 9" xfId="15802" xr:uid="{48A16940-8C01-4C7F-81B8-ED8579F77C2E}"/>
    <cellStyle name="RISKtlandrEdge 3 3 9 2" xfId="37417" xr:uid="{38A8D717-6C31-4A00-B60A-7D617EDE1F85}"/>
    <cellStyle name="RISKtlandrEdge 3 30" xfId="30800" xr:uid="{9939EE32-D0D6-4595-BB87-92EA6F0A7325}"/>
    <cellStyle name="RISKtlandrEdge 3 30 2" xfId="47725" xr:uid="{5266A227-BA90-4B99-AE05-940AD6AB4EB4}"/>
    <cellStyle name="RISKtlandrEdge 3 31" xfId="30612" xr:uid="{FD3480FE-166D-4E59-AE24-2E440173A037}"/>
    <cellStyle name="RISKtlandrEdge 3 31 2" xfId="47558" xr:uid="{B6267843-E3C6-4FDA-9D61-2B725E169122}"/>
    <cellStyle name="RISKtlandrEdge 3 32" xfId="6054" xr:uid="{80816E1B-CA63-43B6-8F9A-3661350653F7}"/>
    <cellStyle name="RISKtlandrEdge 3 4" xfId="7338" xr:uid="{C95073E2-A101-49E5-8841-A2B85D6660FC}"/>
    <cellStyle name="RISKtlandrEdge 3 4 2" xfId="31701" xr:uid="{693D0CEF-561E-4955-8DAB-269CB10DAD05}"/>
    <cellStyle name="RISKtlandrEdge 3 5" xfId="13186" xr:uid="{B36DFFE9-7C43-4C02-966B-FC01210921C8}"/>
    <cellStyle name="RISKtlandrEdge 3 5 2" xfId="35534" xr:uid="{6A20303F-C3D8-40D4-B290-3FD1F53A5C4E}"/>
    <cellStyle name="RISKtlandrEdge 3 6" xfId="14202" xr:uid="{9B744B3F-A524-4B6D-805C-54D8BE72F634}"/>
    <cellStyle name="RISKtlandrEdge 3 6 2" xfId="36255" xr:uid="{D6DA047E-E6B5-43E6-90F4-37535629D593}"/>
    <cellStyle name="RISKtlandrEdge 3 7" xfId="7230" xr:uid="{1D398BCB-8887-4A91-A232-DB9D3446A891}"/>
    <cellStyle name="RISKtlandrEdge 3 7 2" xfId="31595" xr:uid="{9AF3A440-8206-4625-B9D3-85CD67D6B8B2}"/>
    <cellStyle name="RISKtlandrEdge 3 8" xfId="13811" xr:uid="{5D5C0FB2-C697-4528-8DF7-3001DA003904}"/>
    <cellStyle name="RISKtlandrEdge 3 8 2" xfId="35936" xr:uid="{0FB127E9-8000-4FD1-9E5F-BDA8470CFCC8}"/>
    <cellStyle name="RISKtlandrEdge 3 9" xfId="16553" xr:uid="{6ED09204-9F64-4110-90FA-7EA007E4E25C}"/>
    <cellStyle name="RISKtlandrEdge 3 9 2" xfId="38046" xr:uid="{5CA26108-D772-456C-A2A8-60E84E58721B}"/>
    <cellStyle name="RISKtlandrEdge 30" xfId="26176" xr:uid="{D7AF9CA3-A19A-4621-9C87-B1F4C0E08B5C}"/>
    <cellStyle name="RISKtlandrEdge 30 2" xfId="44906" xr:uid="{2FB4FD53-B0F8-4717-A27B-78CA0735F01F}"/>
    <cellStyle name="RISKtlandrEdge 31" xfId="27813" xr:uid="{05C49520-D742-47DA-AD47-80E31C23F061}"/>
    <cellStyle name="RISKtlandrEdge 31 2" xfId="45900" xr:uid="{B891D0B8-5166-48C7-ABB0-B277FA2C2A24}"/>
    <cellStyle name="RISKtlandrEdge 32" xfId="25818" xr:uid="{3E50267C-A879-4A14-A7E5-12531943C783}"/>
    <cellStyle name="RISKtlandrEdge 32 2" xfId="44644" xr:uid="{09869AE5-CB69-4B9D-8719-2EAD3C004266}"/>
    <cellStyle name="RISKtlandrEdge 33" xfId="25611" xr:uid="{FB9839C6-2583-42A5-9FEB-8A6CE069B9F5}"/>
    <cellStyle name="RISKtlandrEdge 33 2" xfId="44470" xr:uid="{2D43ACA8-3701-4442-B4E2-48B770591F8C}"/>
    <cellStyle name="RISKtlandrEdge 34" xfId="29177" xr:uid="{A324991C-750A-4A6E-8231-82BBBEAA22CC}"/>
    <cellStyle name="RISKtlandrEdge 34 2" xfId="46703" xr:uid="{E7B09C06-EB9C-466D-9687-8D13FE576345}"/>
    <cellStyle name="RISKtlandrEdge 35" xfId="29793" xr:uid="{CE527517-A524-4D45-8764-E9AF30A372E6}"/>
    <cellStyle name="RISKtlandrEdge 35 2" xfId="47112" xr:uid="{28E48A5C-6594-41E3-8F9C-240F3E6E591A}"/>
    <cellStyle name="RISKtlandrEdge 36" xfId="30695" xr:uid="{3AE44B73-C721-4D37-BD1D-51C6EEAF2F2D}"/>
    <cellStyle name="RISKtlandrEdge 36 2" xfId="47641" xr:uid="{6431436F-2809-444A-9CC4-CBAD82AD2F2A}"/>
    <cellStyle name="RISKtlandrEdge 37" xfId="25244" xr:uid="{1C35BE38-0F85-4E3E-AA67-F0F8ADB0400B}"/>
    <cellStyle name="RISKtlandrEdge 37 2" xfId="44171" xr:uid="{095314FB-B451-4083-88A4-1B3DAE9EC96B}"/>
    <cellStyle name="RISKtlandrEdge 38" xfId="30193" xr:uid="{BABEA5F0-D488-4005-BF73-9E2EE11A41DB}"/>
    <cellStyle name="RISKtlandrEdge 38 2" xfId="47354" xr:uid="{9002140F-F0FA-4527-869E-615B7D8448BF}"/>
    <cellStyle name="RISKtlandrEdge 39" xfId="6058" xr:uid="{6E1F4AB8-FD2A-4A27-96D8-EA242166EF65}"/>
    <cellStyle name="RISKtlandrEdge 4" xfId="4047" xr:uid="{159E5B58-CDB4-4CAF-AD24-A470B97345A5}"/>
    <cellStyle name="RISKtlandrEdge 4 10" xfId="17426" xr:uid="{87D7DFE9-8E95-4140-9932-03F993B4AB33}"/>
    <cellStyle name="RISKtlandrEdge 4 10 2" xfId="38673" xr:uid="{0F866D05-C0F3-4C73-B248-DCAD7885B623}"/>
    <cellStyle name="RISKtlandrEdge 4 11" xfId="18274" xr:uid="{746695E4-892E-429D-BB90-F2C4A3A93058}"/>
    <cellStyle name="RISKtlandrEdge 4 11 2" xfId="39305" xr:uid="{CA6343F7-D1A5-450D-B2E7-F4CBDD6A9983}"/>
    <cellStyle name="RISKtlandrEdge 4 12" xfId="12667" xr:uid="{8458110B-5DA5-4618-9056-3A261C2AE5FC}"/>
    <cellStyle name="RISKtlandrEdge 4 12 2" xfId="35091" xr:uid="{2DE312E5-2BB2-42D2-8B07-041F6696DFE7}"/>
    <cellStyle name="RISKtlandrEdge 4 13" xfId="19910" xr:uid="{E8DC3F61-BB83-4AAE-80BC-D9196E7956DD}"/>
    <cellStyle name="RISKtlandrEdge 4 13 2" xfId="40522" xr:uid="{E1159304-5E26-44D4-9A25-B893657A5D79}"/>
    <cellStyle name="RISKtlandrEdge 4 14" xfId="20646" xr:uid="{492D4CFC-DACE-4756-9966-2A61996A19B0}"/>
    <cellStyle name="RISKtlandrEdge 4 14 2" xfId="41006" xr:uid="{228D1E48-0B61-49E1-A348-822424955413}"/>
    <cellStyle name="RISKtlandrEdge 4 15" xfId="19016" xr:uid="{DC3301D0-B74C-4ACD-9A4F-80B0C8989FD2}"/>
    <cellStyle name="RISKtlandrEdge 4 15 2" xfId="39848" xr:uid="{410E37DA-05D2-444B-9AC2-DB197BD97024}"/>
    <cellStyle name="RISKtlandrEdge 4 16" xfId="17050" xr:uid="{63B6E875-4792-4FB8-8559-DDE81C5BC3D0}"/>
    <cellStyle name="RISKtlandrEdge 4 16 2" xfId="38392" xr:uid="{EF1ADB7A-8885-4BE2-8167-469197DD62C1}"/>
    <cellStyle name="RISKtlandrEdge 4 17" xfId="18814" xr:uid="{1E3FDE73-851A-4E60-8948-E55C74E6609F}"/>
    <cellStyle name="RISKtlandrEdge 4 17 2" xfId="39666" xr:uid="{EA65BF40-3BD0-46B2-9D2A-FB064157A649}"/>
    <cellStyle name="RISKtlandrEdge 4 18" xfId="18745" xr:uid="{C4D2C917-EF41-43EF-8E22-D33465F5C943}"/>
    <cellStyle name="RISKtlandrEdge 4 18 2" xfId="39620" xr:uid="{B89779B4-4515-498A-AF05-15838A793940}"/>
    <cellStyle name="RISKtlandrEdge 4 19" xfId="22154" xr:uid="{1887A944-94DF-4D14-8097-7603117A2D30}"/>
    <cellStyle name="RISKtlandrEdge 4 19 2" xfId="42034" xr:uid="{A101848F-27A7-4BD4-9384-06D1A50EDDEC}"/>
    <cellStyle name="RISKtlandrEdge 4 2" xfId="4048" xr:uid="{C5567C18-0BB1-4149-B3FB-0773EFB787DD}"/>
    <cellStyle name="RISKtlandrEdge 4 2 10" xfId="19158" xr:uid="{EFCC0260-E9B5-4D84-9A75-6333B00FA6BE}"/>
    <cellStyle name="RISKtlandrEdge 4 2 10 2" xfId="39967" xr:uid="{349980D2-C98D-4B51-A5D9-194EE5D5D6D6}"/>
    <cellStyle name="RISKtlandrEdge 4 2 11" xfId="12841" xr:uid="{A51EDE5C-43EA-4639-A4C3-681519EC7A42}"/>
    <cellStyle name="RISKtlandrEdge 4 2 11 2" xfId="35222" xr:uid="{AF5F04F8-FADF-4807-8FF0-AFF2B2147441}"/>
    <cellStyle name="RISKtlandrEdge 4 2 12" xfId="18896" xr:uid="{246D45E9-BBE0-48CA-A80E-518C84571DE3}"/>
    <cellStyle name="RISKtlandrEdge 4 2 12 2" xfId="39729" xr:uid="{4D09E9C1-F56F-47A6-87D3-6D7A1FE3E131}"/>
    <cellStyle name="RISKtlandrEdge 4 2 13" xfId="19015" xr:uid="{B9B45D67-4400-41CB-B2E2-7F9F99320F0F}"/>
    <cellStyle name="RISKtlandrEdge 4 2 13 2" xfId="39847" xr:uid="{B8A7E92F-A7DE-43D2-A03A-ADFED697206C}"/>
    <cellStyle name="RISKtlandrEdge 4 2 14" xfId="22079" xr:uid="{8229C09E-E0F9-4948-AD71-244C3580833E}"/>
    <cellStyle name="RISKtlandrEdge 4 2 14 2" xfId="41964" xr:uid="{8CDB19DB-0946-4A58-AF90-94C46653B8A8}"/>
    <cellStyle name="RISKtlandrEdge 4 2 15" xfId="23156" xr:uid="{31C87378-5695-4742-A58C-935CC4A83000}"/>
    <cellStyle name="RISKtlandrEdge 4 2 15 2" xfId="42755" xr:uid="{425B5F59-56C9-4BF2-A2DE-B00945907E22}"/>
    <cellStyle name="RISKtlandrEdge 4 2 16" xfId="23977" xr:uid="{736840D5-6003-4693-B2E9-627EFC3B18BB}"/>
    <cellStyle name="RISKtlandrEdge 4 2 16 2" xfId="43354" xr:uid="{4BE24279-A7A3-462A-95B9-5B802363BDC6}"/>
    <cellStyle name="RISKtlandrEdge 4 2 17" xfId="18700" xr:uid="{C454FB5F-71AB-4C43-93C9-C7BB78F4AC8F}"/>
    <cellStyle name="RISKtlandrEdge 4 2 17 2" xfId="39578" xr:uid="{0DE83A56-1557-459E-91EE-137F31C7DAD7}"/>
    <cellStyle name="RISKtlandrEdge 4 2 18" xfId="24540" xr:uid="{6014343B-7CA8-41AC-B93A-410F20F8D6B0}"/>
    <cellStyle name="RISKtlandrEdge 4 2 18 2" xfId="43723" xr:uid="{1853DFF9-8CF1-4DF7-8FA4-6F97EC867134}"/>
    <cellStyle name="RISKtlandrEdge 4 2 19" xfId="23527" xr:uid="{9D0003E1-1228-4653-8BE1-3B437CE5B717}"/>
    <cellStyle name="RISKtlandrEdge 4 2 19 2" xfId="42982" xr:uid="{467EB51C-5CED-45D5-A1B3-D767CD6D867F}"/>
    <cellStyle name="RISKtlandrEdge 4 2 2" xfId="7336" xr:uid="{19AFD88D-9003-434F-BB1B-7FD3E3581998}"/>
    <cellStyle name="RISKtlandrEdge 4 2 2 2" xfId="31699" xr:uid="{0021D540-452A-4B97-B64F-4AB1705C9BCC}"/>
    <cellStyle name="RISKtlandrEdge 4 2 20" xfId="22656" xr:uid="{E8DB79A7-6658-4099-990E-323B2B13DF40}"/>
    <cellStyle name="RISKtlandrEdge 4 2 20 2" xfId="42427" xr:uid="{F6494038-3E0B-4B85-B615-7782C53E8FB7}"/>
    <cellStyle name="RISKtlandrEdge 4 2 21" xfId="27301" xr:uid="{8A790BBC-9249-4D4B-B659-A16527A9BE53}"/>
    <cellStyle name="RISKtlandrEdge 4 2 21 2" xfId="45604" xr:uid="{F458C6D2-DE39-43A8-8682-6AE164963DF6}"/>
    <cellStyle name="RISKtlandrEdge 4 2 22" xfId="25585" xr:uid="{3630782D-21FB-47E9-AAB5-29FCFC62EB4B}"/>
    <cellStyle name="RISKtlandrEdge 4 2 22 2" xfId="44451" xr:uid="{BCB11522-C916-4217-8D81-6F875AA3FD59}"/>
    <cellStyle name="RISKtlandrEdge 4 2 23" xfId="25460" xr:uid="{BB8E4AE8-3588-44DB-B6B5-F93C8D71CF9D}"/>
    <cellStyle name="RISKtlandrEdge 4 2 23 2" xfId="44344" xr:uid="{0CF841BF-65BF-4A6B-A7F0-88BC5F986E82}"/>
    <cellStyle name="RISKtlandrEdge 4 2 24" xfId="29006" xr:uid="{F939941D-B1C6-4DF8-81AF-5FAC0689439A}"/>
    <cellStyle name="RISKtlandrEdge 4 2 24 2" xfId="46600" xr:uid="{46257DE6-52E3-43D1-9630-7614E62DBA5F}"/>
    <cellStyle name="RISKtlandrEdge 4 2 25" xfId="29772" xr:uid="{4F7A5B98-942D-459F-819E-B5188116F492}"/>
    <cellStyle name="RISKtlandrEdge 4 2 25 2" xfId="47091" xr:uid="{00974A6B-EB7B-440A-8EFF-67A6FD644891}"/>
    <cellStyle name="RISKtlandrEdge 4 2 26" xfId="28857" xr:uid="{2C9A3F59-D49D-4A70-83A0-A74D692C7B9A}"/>
    <cellStyle name="RISKtlandrEdge 4 2 26 2" xfId="46478" xr:uid="{6D35BA6B-984E-4AAA-B8D3-A70F89C7D6B3}"/>
    <cellStyle name="RISKtlandrEdge 4 2 27" xfId="30218" xr:uid="{E0455513-17C9-4678-9314-E1FC73BED8CA}"/>
    <cellStyle name="RISKtlandrEdge 4 2 27 2" xfId="47379" xr:uid="{6D414B6C-C450-4110-81CE-ED3E937C5AAC}"/>
    <cellStyle name="RISKtlandrEdge 4 2 28" xfId="30803" xr:uid="{5EE44AB1-EA1B-4F52-86E0-63BA45C12610}"/>
    <cellStyle name="RISKtlandrEdge 4 2 28 2" xfId="47728" xr:uid="{62A0A615-B206-4208-9ACE-F76FB9AEC63A}"/>
    <cellStyle name="RISKtlandrEdge 4 2 29" xfId="30611" xr:uid="{0EFC30D6-C8AE-4B98-8B85-A6F040E681D0}"/>
    <cellStyle name="RISKtlandrEdge 4 2 29 2" xfId="47557" xr:uid="{FC8C328D-9FED-414B-B701-CD409413EEBD}"/>
    <cellStyle name="RISKtlandrEdge 4 2 3" xfId="13184" xr:uid="{431C77C6-4BCF-4688-9BD2-AC580EBC9459}"/>
    <cellStyle name="RISKtlandrEdge 4 2 3 2" xfId="35532" xr:uid="{03D7932D-7081-4D24-B32D-0A6C992EDEE2}"/>
    <cellStyle name="RISKtlandrEdge 4 2 30" xfId="6052" xr:uid="{BDE50238-E83F-46AD-BD21-D489E6FFC7ED}"/>
    <cellStyle name="RISKtlandrEdge 4 2 4" xfId="14200" xr:uid="{55BD2B5E-C305-47EE-BAB3-B6B04230E2D7}"/>
    <cellStyle name="RISKtlandrEdge 4 2 4 2" xfId="36253" xr:uid="{616EA711-2E4C-4EBC-8619-55C643BE6E40}"/>
    <cellStyle name="RISKtlandrEdge 4 2 5" xfId="7228" xr:uid="{EBC208C1-DC5F-4A70-9CC0-C1FDAB3B85EC}"/>
    <cellStyle name="RISKtlandrEdge 4 2 5 2" xfId="31593" xr:uid="{139D47BE-84F6-41BE-B4AC-D5F6271621D4}"/>
    <cellStyle name="RISKtlandrEdge 4 2 6" xfId="12756" xr:uid="{18BCB24D-185F-4944-948D-31E1E24E49D7}"/>
    <cellStyle name="RISKtlandrEdge 4 2 6 2" xfId="35165" xr:uid="{CA3B2938-9814-45DA-B240-DF9DAE498102}"/>
    <cellStyle name="RISKtlandrEdge 4 2 7" xfId="16551" xr:uid="{B6E16E35-DDC2-47CE-AF40-4E473C21420D}"/>
    <cellStyle name="RISKtlandrEdge 4 2 7 2" xfId="38044" xr:uid="{F0CEAC1B-0C16-44DF-A2C5-661ADD103096}"/>
    <cellStyle name="RISKtlandrEdge 4 2 8" xfId="15634" xr:uid="{D2772663-085C-4A05-BBC5-935B67927E52}"/>
    <cellStyle name="RISKtlandrEdge 4 2 8 2" xfId="37292" xr:uid="{951EAAC4-E4CD-451F-AD05-6E31E2F018D9}"/>
    <cellStyle name="RISKtlandrEdge 4 2 9" xfId="12614" xr:uid="{724790EB-AF29-460D-9326-9C1564D983DD}"/>
    <cellStyle name="RISKtlandrEdge 4 2 9 2" xfId="35046" xr:uid="{FDAC4C6B-7099-4F1F-BD82-0EDC333E510A}"/>
    <cellStyle name="RISKtlandrEdge 4 20" xfId="22733" xr:uid="{568D418F-874B-49B9-B42E-39112D465635}"/>
    <cellStyle name="RISKtlandrEdge 4 20 2" xfId="42490" xr:uid="{A19CB967-5603-4A9F-91AE-540AEB0037B0}"/>
    <cellStyle name="RISKtlandrEdge 4 21" xfId="23949" xr:uid="{A2C856F6-9D47-4C06-B579-63B5C0D24C0C}"/>
    <cellStyle name="RISKtlandrEdge 4 21 2" xfId="43326" xr:uid="{79B394A9-4008-44E2-A3C7-6581D689241E}"/>
    <cellStyle name="RISKtlandrEdge 4 22" xfId="23597" xr:uid="{10D206F8-F95C-49B5-82E0-BE6A35DC9478}"/>
    <cellStyle name="RISKtlandrEdge 4 22 2" xfId="43032" xr:uid="{7555DB27-7C54-4EFB-A17E-6EE2DA72E893}"/>
    <cellStyle name="RISKtlandrEdge 4 23" xfId="20292" xr:uid="{323C441C-0C8E-40D8-BCD3-2D10A4FEE095}"/>
    <cellStyle name="RISKtlandrEdge 4 23 2" xfId="40729" xr:uid="{0BD6B97A-938E-4870-9BCB-C23B8822EC73}"/>
    <cellStyle name="RISKtlandrEdge 4 24" xfId="25581" xr:uid="{7421A3CB-9236-4E90-AF57-E440967EF169}"/>
    <cellStyle name="RISKtlandrEdge 4 24 2" xfId="44448" xr:uid="{81507852-1F62-4EAD-89ED-15C21EF94F99}"/>
    <cellStyle name="RISKtlandrEdge 4 25" xfId="25530" xr:uid="{EC74C337-714A-448B-AFCD-100381FFEC34}"/>
    <cellStyle name="RISKtlandrEdge 4 25 2" xfId="44404" xr:uid="{90138F36-B485-47E0-8D62-C293E2F8B6EA}"/>
    <cellStyle name="RISKtlandrEdge 4 26" xfId="28287" xr:uid="{54E19FFE-61A6-4897-BBFE-90894BC36F09}"/>
    <cellStyle name="RISKtlandrEdge 4 26 2" xfId="46154" xr:uid="{0B7CFF59-CBF3-416C-8559-B6ABB5B09F68}"/>
    <cellStyle name="RISKtlandrEdge 4 27" xfId="25854" xr:uid="{68B2A31F-DB5B-477A-BE9B-8D584DA61B47}"/>
    <cellStyle name="RISKtlandrEdge 4 27 2" xfId="44672" xr:uid="{2E19D15A-44F8-4FEA-8BAB-FA80D7AA31B3}"/>
    <cellStyle name="RISKtlandrEdge 4 28" xfId="26529" xr:uid="{0532CCA9-56F7-4F81-BB6A-BE4AC7C7CA5D}"/>
    <cellStyle name="RISKtlandrEdge 4 28 2" xfId="45105" xr:uid="{F301F25F-F8D8-4757-A2F7-C910ACA740FA}"/>
    <cellStyle name="RISKtlandrEdge 4 29" xfId="30231" xr:uid="{55893307-5392-48AB-9B8F-3F9F2106E99F}"/>
    <cellStyle name="RISKtlandrEdge 4 29 2" xfId="47392" xr:uid="{0920482B-4DF9-4B7D-A8AF-6593802E82A1}"/>
    <cellStyle name="RISKtlandrEdge 4 3" xfId="4049" xr:uid="{98884794-D26F-418A-9A79-906EBA03B8E9}"/>
    <cellStyle name="RISKtlandrEdge 4 3 10" xfId="13795" xr:uid="{58F588C6-49FE-462E-A9AA-7E088F1745EB}"/>
    <cellStyle name="RISKtlandrEdge 4 3 10 2" xfId="35926" xr:uid="{6F8102F2-7493-47EF-BAC0-93E0852D6257}"/>
    <cellStyle name="RISKtlandrEdge 4 3 11" xfId="19909" xr:uid="{B3A9AB33-CCD2-4744-80CB-0D13C906BFA8}"/>
    <cellStyle name="RISKtlandrEdge 4 3 11 2" xfId="40521" xr:uid="{BD854AF5-EFCB-482F-BDED-FB8329B83020}"/>
    <cellStyle name="RISKtlandrEdge 4 3 12" xfId="20645" xr:uid="{3CC62EB8-718A-46A6-96C5-CC2D91828581}"/>
    <cellStyle name="RISKtlandrEdge 4 3 12 2" xfId="41005" xr:uid="{946993E1-D775-4393-B113-63472E021C74}"/>
    <cellStyle name="RISKtlandrEdge 4 3 13" xfId="17109" xr:uid="{1FC5E8CB-E39B-42AD-9D7C-0F621082A450}"/>
    <cellStyle name="RISKtlandrEdge 4 3 13 2" xfId="38448" xr:uid="{B8E277C8-15C7-4658-BE23-E99A2ED8B8FD}"/>
    <cellStyle name="RISKtlandrEdge 4 3 14" xfId="21214" xr:uid="{9DAC4D34-8E33-4989-9391-E590DA32611C}"/>
    <cellStyle name="RISKtlandrEdge 4 3 14 2" xfId="41407" xr:uid="{51167319-A30F-42AD-99F9-EF7CE8447A5D}"/>
    <cellStyle name="RISKtlandrEdge 4 3 15" xfId="20470" xr:uid="{D4D7D4EB-B089-4F76-A730-B2548596142C}"/>
    <cellStyle name="RISKtlandrEdge 4 3 15 2" xfId="40863" xr:uid="{C77CDA08-2CCD-4296-99E8-4FAB35A60C56}"/>
    <cellStyle name="RISKtlandrEdge 4 3 16" xfId="22203" xr:uid="{AE484840-2881-4C74-A277-DEF83B63F1A9}"/>
    <cellStyle name="RISKtlandrEdge 4 3 16 2" xfId="42082" xr:uid="{4AED56AE-D926-4FD9-A2E1-C4E352F4FA36}"/>
    <cellStyle name="RISKtlandrEdge 4 3 17" xfId="18574" xr:uid="{C4AAFAD9-90CD-4265-8E81-A84AC51149C3}"/>
    <cellStyle name="RISKtlandrEdge 4 3 17 2" xfId="39518" xr:uid="{63E107F3-1123-4AA1-B563-3F9B2B215710}"/>
    <cellStyle name="RISKtlandrEdge 4 3 18" xfId="25320" xr:uid="{3DB436AB-E41E-4F2F-8B8B-2CE42A7D9186}"/>
    <cellStyle name="RISKtlandrEdge 4 3 18 2" xfId="44236" xr:uid="{2FB328E3-2DA4-45FC-818E-C58D4D1CBA6C}"/>
    <cellStyle name="RISKtlandrEdge 4 3 19" xfId="19498" xr:uid="{F7006314-61DA-4E67-9DA3-95392F4B57DA}"/>
    <cellStyle name="RISKtlandrEdge 4 3 19 2" xfId="40175" xr:uid="{4A1F948F-B7CD-47FC-86FD-3A2775D88ADB}"/>
    <cellStyle name="RISKtlandrEdge 4 3 2" xfId="11762" xr:uid="{E9AE51DB-73EE-4E14-AA6E-7585E593AE2D}"/>
    <cellStyle name="RISKtlandrEdge 4 3 2 2" xfId="34375" xr:uid="{6A2EC6D9-1213-4376-94C5-F91CA9110E68}"/>
    <cellStyle name="RISKtlandrEdge 4 3 20" xfId="23665" xr:uid="{EA87493B-C5E3-4D01-ACB8-22177D5C90AA}"/>
    <cellStyle name="RISKtlandrEdge 4 3 20 2" xfId="43088" xr:uid="{8A42F918-C921-4ACD-8D05-B427AAEA5361}"/>
    <cellStyle name="RISKtlandrEdge 4 3 21" xfId="23792" xr:uid="{FED44670-690D-4198-8F3F-02869CFB400B}"/>
    <cellStyle name="RISKtlandrEdge 4 3 21 2" xfId="43191" xr:uid="{A1140DEC-16F4-43EF-B2AE-7657DEE16413}"/>
    <cellStyle name="RISKtlandrEdge 4 3 22" xfId="27807" xr:uid="{ADE3A1A4-0279-4C64-B7BC-73B7863AA6D8}"/>
    <cellStyle name="RISKtlandrEdge 4 3 22 2" xfId="45894" xr:uid="{B8D00786-0DBC-4F22-95A4-856FC3579FD2}"/>
    <cellStyle name="RISKtlandrEdge 4 3 23" xfId="29270" xr:uid="{708E7AA8-4D53-4F27-844F-01DC36FE06EC}"/>
    <cellStyle name="RISKtlandrEdge 4 3 23 2" xfId="46785" xr:uid="{F6C7D741-3B80-48F3-B3DC-781B0A27E175}"/>
    <cellStyle name="RISKtlandrEdge 4 3 24" xfId="25995" xr:uid="{C60346C7-A804-4256-81E9-B3E28F7059A9}"/>
    <cellStyle name="RISKtlandrEdge 4 3 24 2" xfId="44774" xr:uid="{BC464D0A-5879-4CF2-89C1-EFB408ECCBC1}"/>
    <cellStyle name="RISKtlandrEdge 4 3 25" xfId="28904" xr:uid="{530B9C4B-77AF-4BE0-B6EA-C3BCE66BBCEA}"/>
    <cellStyle name="RISKtlandrEdge 4 3 25 2" xfId="46508" xr:uid="{7C87279E-609C-48CB-99D0-95DBCAC2A825}"/>
    <cellStyle name="RISKtlandrEdge 4 3 26" xfId="29367" xr:uid="{8C7F8042-81E3-4CC8-B5CB-8103FAB547C8}"/>
    <cellStyle name="RISKtlandrEdge 4 3 26 2" xfId="46838" xr:uid="{1170AB06-1456-40F4-A20E-DA821AE9C353}"/>
    <cellStyle name="RISKtlandrEdge 4 3 27" xfId="30689" xr:uid="{B872D265-B6E2-4E6C-9CB8-861C9E8FA1B0}"/>
    <cellStyle name="RISKtlandrEdge 4 3 27 2" xfId="47635" xr:uid="{3C6458BB-303D-4F0A-AD20-94E4FB20DEDF}"/>
    <cellStyle name="RISKtlandrEdge 4 3 28" xfId="30802" xr:uid="{2AAF25F4-8A79-46AF-8121-58A35795ECA1}"/>
    <cellStyle name="RISKtlandrEdge 4 3 28 2" xfId="47727" xr:uid="{FB54A0BB-34FD-4145-9DA6-689E6CBF44F6}"/>
    <cellStyle name="RISKtlandrEdge 4 3 29" xfId="30586" xr:uid="{39F7E989-F82B-44EA-8773-F8BAA0E4D1FA}"/>
    <cellStyle name="RISKtlandrEdge 4 3 29 2" xfId="47536" xr:uid="{EA7F8A74-A4B7-4F77-AEF4-C39899E1107F}"/>
    <cellStyle name="RISKtlandrEdge 4 3 3" xfId="10276" xr:uid="{9BD6E6B8-4A12-4EB2-9A73-B906858AB4DC}"/>
    <cellStyle name="RISKtlandrEdge 4 3 3 2" xfId="33911" xr:uid="{B70F8157-210C-41D2-9196-4919F9A5E083}"/>
    <cellStyle name="RISKtlandrEdge 4 3 30" xfId="6810" xr:uid="{801D1E5E-0315-405E-BB3D-0F4A07858AB4}"/>
    <cellStyle name="RISKtlandrEdge 4 3 4" xfId="6979" xr:uid="{944D0079-ACD7-46B8-9F6F-40DBFCDFFCDA}"/>
    <cellStyle name="RISKtlandrEdge 4 3 4 2" xfId="31346" xr:uid="{9B795761-DDE2-410B-BC30-5832EE9DD68D}"/>
    <cellStyle name="RISKtlandrEdge 4 3 5" xfId="11661" xr:uid="{60F47343-1BA7-4C11-87AC-EE1D5640508C}"/>
    <cellStyle name="RISKtlandrEdge 4 3 5 2" xfId="34274" xr:uid="{0DC398F6-15FB-4DDC-A51E-5EAA7155619A}"/>
    <cellStyle name="RISKtlandrEdge 4 3 6" xfId="12307" xr:uid="{9459E7C7-74B0-4039-9070-DDFF6AF52BCB}"/>
    <cellStyle name="RISKtlandrEdge 4 3 6 2" xfId="34813" xr:uid="{288B135F-96EF-425B-8520-8158A5976BF6}"/>
    <cellStyle name="RISKtlandrEdge 4 3 7" xfId="12532" xr:uid="{06CECABB-CC54-475E-9DE2-3D920724A4FD}"/>
    <cellStyle name="RISKtlandrEdge 4 3 7 2" xfId="34976" xr:uid="{D5B6DD65-5586-4E5F-8746-BBD18B372E0F}"/>
    <cellStyle name="RISKtlandrEdge 4 3 8" xfId="17425" xr:uid="{56D08432-80A0-4CDC-AAB3-987A560EFE02}"/>
    <cellStyle name="RISKtlandrEdge 4 3 8 2" xfId="38672" xr:uid="{7E881EAB-1579-4D13-A48F-AEEFD369634F}"/>
    <cellStyle name="RISKtlandrEdge 4 3 9" xfId="18273" xr:uid="{B851B34A-F492-45D5-808D-7C7593AD0E10}"/>
    <cellStyle name="RISKtlandrEdge 4 3 9 2" xfId="39304" xr:uid="{A9F99124-625B-4117-BE51-E1623D81A6A8}"/>
    <cellStyle name="RISKtlandrEdge 4 30" xfId="30384" xr:uid="{CD0EE44B-9C93-4B9F-8910-16F2B344EBBE}"/>
    <cellStyle name="RISKtlandrEdge 4 30 2" xfId="47482" xr:uid="{A0D54ED0-A5FF-46BE-8862-AC9398F131F9}"/>
    <cellStyle name="RISKtlandrEdge 4 31" xfId="30899" xr:uid="{A733999A-B49C-4D3C-A7B7-8A837D5819AF}"/>
    <cellStyle name="RISKtlandrEdge 4 31 2" xfId="47747" xr:uid="{E5F5EE30-2BC6-43AA-99C2-C8CE98115383}"/>
    <cellStyle name="RISKtlandrEdge 4 32" xfId="6811" xr:uid="{03934AEA-5D18-414A-9177-3C9A135102B3}"/>
    <cellStyle name="RISKtlandrEdge 4 4" xfId="11763" xr:uid="{E43C9968-B4FF-47C7-A598-3B5AFCE67267}"/>
    <cellStyle name="RISKtlandrEdge 4 4 2" xfId="34376" xr:uid="{1F15361B-99F9-4E59-82CF-B53D07FEAFC3}"/>
    <cellStyle name="RISKtlandrEdge 4 5" xfId="10275" xr:uid="{3F17941C-0549-43BD-ABDA-05DFC177B3EA}"/>
    <cellStyle name="RISKtlandrEdge 4 5 2" xfId="33910" xr:uid="{BCEF0A2D-210F-4490-B64A-72C346775A89}"/>
    <cellStyle name="RISKtlandrEdge 4 6" xfId="6980" xr:uid="{3FF26E9B-C134-4649-AFC1-73548D09710A}"/>
    <cellStyle name="RISKtlandrEdge 4 6 2" xfId="31347" xr:uid="{D461B112-50B5-4517-92A4-F9E9DF4C756F}"/>
    <cellStyle name="RISKtlandrEdge 4 7" xfId="11662" xr:uid="{12AFF159-49C3-4782-9E03-0DDC16AE423A}"/>
    <cellStyle name="RISKtlandrEdge 4 7 2" xfId="34275" xr:uid="{2F68BE05-C4AC-498A-8610-CBE767255DB2}"/>
    <cellStyle name="RISKtlandrEdge 4 8" xfId="12306" xr:uid="{B59EB369-A63F-41CC-B75B-4375C5A03BDC}"/>
    <cellStyle name="RISKtlandrEdge 4 8 2" xfId="34812" xr:uid="{D0743806-16D5-4F0C-80E2-A7B7DE3B253E}"/>
    <cellStyle name="RISKtlandrEdge 4 9" xfId="14033" xr:uid="{213A56EA-1890-4A2A-8C04-58B2CE432090}"/>
    <cellStyle name="RISKtlandrEdge 4 9 2" xfId="36127" xr:uid="{9597D10F-1FF3-4A56-AB06-7BB88F720844}"/>
    <cellStyle name="RISKtlandrEdge 5" xfId="4050" xr:uid="{3658E20C-5F1C-4402-AD93-240B0FA0FC62}"/>
    <cellStyle name="RISKtlandrEdge 5 10" xfId="13719" xr:uid="{DE2CA476-F89E-41F8-AFBC-1E1A0FA509BD}"/>
    <cellStyle name="RISKtlandrEdge 5 10 2" xfId="35875" xr:uid="{EA029E6C-F45B-4ADD-B750-E8A00737173B}"/>
    <cellStyle name="RISKtlandrEdge 5 11" xfId="16290" xr:uid="{71299681-D5E0-4D67-A6FF-DBC47DB41ACF}"/>
    <cellStyle name="RISKtlandrEdge 5 11 2" xfId="37827" xr:uid="{CD9472F1-658C-4004-9985-C0C53C3D7303}"/>
    <cellStyle name="RISKtlandrEdge 5 12" xfId="19157" xr:uid="{C054006D-FA5D-4AAE-8E1F-CA2BCD6438A0}"/>
    <cellStyle name="RISKtlandrEdge 5 12 2" xfId="39966" xr:uid="{8E8478E5-828D-45BA-98FD-8C959ED88415}"/>
    <cellStyle name="RISKtlandrEdge 5 13" xfId="18026" xr:uid="{14516D7A-BBFC-4FD2-AEAE-D98B16280E76}"/>
    <cellStyle name="RISKtlandrEdge 5 13 2" xfId="39122" xr:uid="{4C69CEE6-763E-4B4B-9A0B-63362367BB81}"/>
    <cellStyle name="RISKtlandrEdge 5 14" xfId="15369" xr:uid="{62976B01-48D2-4194-A5E2-18C70C410F4B}"/>
    <cellStyle name="RISKtlandrEdge 5 14 2" xfId="37069" xr:uid="{F4FDBD4A-A507-45D8-B5C7-5C1D85A75B99}"/>
    <cellStyle name="RISKtlandrEdge 5 15" xfId="16086" xr:uid="{D805E898-D2F1-4BD3-AA98-B07B6386BC9E}"/>
    <cellStyle name="RISKtlandrEdge 5 15 2" xfId="37657" xr:uid="{212425F9-208F-4B69-8C72-E1B76A556F14}"/>
    <cellStyle name="RISKtlandrEdge 5 16" xfId="20167" xr:uid="{33A5AC0F-1270-4AA0-AEC8-9004181B0233}"/>
    <cellStyle name="RISKtlandrEdge 5 16 2" xfId="40674" xr:uid="{35947BA8-BFD3-4CA3-9AF5-ECABFFAD6223}"/>
    <cellStyle name="RISKtlandrEdge 5 17" xfId="23155" xr:uid="{3F4EFD92-F199-4455-A07B-ACAA727AFC0E}"/>
    <cellStyle name="RISKtlandrEdge 5 17 2" xfId="42754" xr:uid="{09BE78BC-280B-45B2-9CAD-806358DCFBA8}"/>
    <cellStyle name="RISKtlandrEdge 5 18" xfId="23976" xr:uid="{BF17030F-D338-49B4-A61A-9D187B629633}"/>
    <cellStyle name="RISKtlandrEdge 5 18 2" xfId="43353" xr:uid="{0F1DBFA5-FBAB-43C3-8367-A8803B64ACEA}"/>
    <cellStyle name="RISKtlandrEdge 5 19" xfId="20913" xr:uid="{5EB38DB5-11A2-4E0B-AE19-3E035F16486E}"/>
    <cellStyle name="RISKtlandrEdge 5 19 2" xfId="41215" xr:uid="{FD1F31EA-8187-4C67-99F4-ECC56F7C1476}"/>
    <cellStyle name="RISKtlandrEdge 5 2" xfId="4051" xr:uid="{5E545E3E-1EAF-48EB-9B43-50AF822BC332}"/>
    <cellStyle name="RISKtlandrEdge 5 2 10" xfId="17177" xr:uid="{E7A26B9F-1AD1-4CC3-B291-7B0B5C37F67E}"/>
    <cellStyle name="RISKtlandrEdge 5 2 10 2" xfId="38506" xr:uid="{864826FF-8ED2-423A-8965-58B8BA64F73D}"/>
    <cellStyle name="RISKtlandrEdge 5 2 11" xfId="19908" xr:uid="{FB9096BD-AC6A-4C4E-8DE1-235F1475D7D6}"/>
    <cellStyle name="RISKtlandrEdge 5 2 11 2" xfId="40520" xr:uid="{A5051C51-B2E9-4495-A0B9-638F34C02C25}"/>
    <cellStyle name="RISKtlandrEdge 5 2 12" xfId="20644" xr:uid="{4E590A95-2CC8-4564-8ACE-858134BC385F}"/>
    <cellStyle name="RISKtlandrEdge 5 2 12 2" xfId="41004" xr:uid="{01E828FC-9572-4D27-844F-58174C5B0906}"/>
    <cellStyle name="RISKtlandrEdge 5 2 13" xfId="19013" xr:uid="{6DA4400E-4F1D-45DA-AA84-95D6AD92275A}"/>
    <cellStyle name="RISKtlandrEdge 5 2 13 2" xfId="39845" xr:uid="{421D18B9-1D29-4271-B804-247244F9453B}"/>
    <cellStyle name="RISKtlandrEdge 5 2 14" xfId="20908" xr:uid="{BCF9AB09-B848-45DA-A432-6B2749CAB6C8}"/>
    <cellStyle name="RISKtlandrEdge 5 2 14 2" xfId="41211" xr:uid="{08C6B03E-ADA0-48A0-8A56-42BE5B6D2D3C}"/>
    <cellStyle name="RISKtlandrEdge 5 2 15" xfId="16140" xr:uid="{8C3F832A-18AA-481F-BE7F-2E80A780AA4A}"/>
    <cellStyle name="RISKtlandrEdge 5 2 15 2" xfId="37706" xr:uid="{A656F166-4F95-4327-AEA7-FF918CCB0B60}"/>
    <cellStyle name="RISKtlandrEdge 5 2 16" xfId="19492" xr:uid="{D357AE2C-268A-4927-9037-C3730A99C093}"/>
    <cellStyle name="RISKtlandrEdge 5 2 16 2" xfId="40169" xr:uid="{0B5DE0FA-2F0C-4DC8-A3D2-E4FD6D099F24}"/>
    <cellStyle name="RISKtlandrEdge 5 2 17" xfId="22155" xr:uid="{E71A03CC-020C-45E5-9358-B6BD4DA4B6FC}"/>
    <cellStyle name="RISKtlandrEdge 5 2 17 2" xfId="42035" xr:uid="{4C8DCD6E-CA13-42A2-9857-0A54D2F98E5A}"/>
    <cellStyle name="RISKtlandrEdge 5 2 18" xfId="22732" xr:uid="{7BCF49A3-6D87-4CD4-9EB6-3582B8962860}"/>
    <cellStyle name="RISKtlandrEdge 5 2 18 2" xfId="42489" xr:uid="{C5538D08-F2AC-49D3-A813-C5175278F8ED}"/>
    <cellStyle name="RISKtlandrEdge 5 2 19" xfId="23398" xr:uid="{8195683B-7FF0-40D3-BC15-2B7133FBBC93}"/>
    <cellStyle name="RISKtlandrEdge 5 2 19 2" xfId="42920" xr:uid="{65A2B877-03BA-4023-BB07-0A46B51D5622}"/>
    <cellStyle name="RISKtlandrEdge 5 2 2" xfId="11761" xr:uid="{7B1DF9AD-6AF0-49CC-8556-DDA1D7969303}"/>
    <cellStyle name="RISKtlandrEdge 5 2 2 2" xfId="34374" xr:uid="{FE367140-22B2-4A61-A37B-41C3C57C32EA}"/>
    <cellStyle name="RISKtlandrEdge 5 2 20" xfId="24250" xr:uid="{2F7BA3C2-EDE5-4AB2-9068-F880C755F3B5}"/>
    <cellStyle name="RISKtlandrEdge 5 2 20 2" xfId="43564" xr:uid="{B8781D23-5E5C-4C73-AF8F-ACEE6487E555}"/>
    <cellStyle name="RISKtlandrEdge 5 2 21" xfId="22615" xr:uid="{51F89706-FC5C-40E3-A6A8-372181F50D06}"/>
    <cellStyle name="RISKtlandrEdge 5 2 21 2" xfId="42393" xr:uid="{54F11163-4238-4816-A406-C4CEFC1A0001}"/>
    <cellStyle name="RISKtlandrEdge 5 2 22" xfId="27806" xr:uid="{3F37E39A-1202-4DAF-8AF8-1AD6B2192B0E}"/>
    <cellStyle name="RISKtlandrEdge 5 2 22 2" xfId="45893" xr:uid="{16A6F78E-7B82-473D-BE1E-C8546C62CAA5}"/>
    <cellStyle name="RISKtlandrEdge 5 2 23" xfId="25531" xr:uid="{94F72834-3771-42DE-847C-8B27484BE2C8}"/>
    <cellStyle name="RISKtlandrEdge 5 2 23 2" xfId="44405" xr:uid="{E1847019-855C-4DB1-97EF-F8C9B98F0A18}"/>
    <cellStyle name="RISKtlandrEdge 5 2 24" xfId="28860" xr:uid="{FF209102-A203-4916-A378-782C10B75B7E}"/>
    <cellStyle name="RISKtlandrEdge 5 2 24 2" xfId="46481" xr:uid="{9C9F8074-A4FF-4991-B456-7EF347F3B638}"/>
    <cellStyle name="RISKtlandrEdge 5 2 25" xfId="28210" xr:uid="{B1D9ABDA-D440-4697-BA1B-ABBC20C92844}"/>
    <cellStyle name="RISKtlandrEdge 5 2 25 2" xfId="46099" xr:uid="{9848646E-EB50-4A11-A081-A18DDD96A4D9}"/>
    <cellStyle name="RISKtlandrEdge 5 2 26" xfId="29395" xr:uid="{37E6CBEB-33F5-4861-90B7-1C0D642250C1}"/>
    <cellStyle name="RISKtlandrEdge 5 2 26 2" xfId="46862" xr:uid="{AC33C333-F4E3-4790-A551-E101A7EE984D}"/>
    <cellStyle name="RISKtlandrEdge 5 2 27" xfId="30688" xr:uid="{845946EF-0E15-4EA0-8B95-300FEE03F2FA}"/>
    <cellStyle name="RISKtlandrEdge 5 2 27 2" xfId="47634" xr:uid="{2CFD9F3A-CDBC-4CF9-A695-70B20556BCD4}"/>
    <cellStyle name="RISKtlandrEdge 5 2 28" xfId="25206" xr:uid="{39738A30-26A3-4B74-94EF-E2545AECF77B}"/>
    <cellStyle name="RISKtlandrEdge 5 2 28 2" xfId="44145" xr:uid="{8301BDE2-54F1-45EC-B52F-DF9901498291}"/>
    <cellStyle name="RISKtlandrEdge 5 2 29" xfId="30898" xr:uid="{48010BD2-DCDD-437B-B5A0-362F32D902B8}"/>
    <cellStyle name="RISKtlandrEdge 5 2 29 2" xfId="47746" xr:uid="{08E5CF30-CE52-4322-B2E0-356AD01A3184}"/>
    <cellStyle name="RISKtlandrEdge 5 2 3" xfId="10277" xr:uid="{BAA18DC9-15B4-450F-9CDE-A5951571D863}"/>
    <cellStyle name="RISKtlandrEdge 5 2 3 2" xfId="33912" xr:uid="{1DC0795F-43FF-4A7E-A3D4-602F1993006E}"/>
    <cellStyle name="RISKtlandrEdge 5 2 30" xfId="6809" xr:uid="{D05AA0F1-406A-4D27-8899-A64D22A564C5}"/>
    <cellStyle name="RISKtlandrEdge 5 2 4" xfId="6978" xr:uid="{D5C4BD99-54BD-42C0-A580-614790815609}"/>
    <cellStyle name="RISKtlandrEdge 5 2 4 2" xfId="31345" xr:uid="{33F7300E-E1B2-45C5-819A-FC4DADF50406}"/>
    <cellStyle name="RISKtlandrEdge 5 2 5" xfId="7226" xr:uid="{572B07B4-619E-48DE-8C85-D4240767E16A}"/>
    <cellStyle name="RISKtlandrEdge 5 2 5 2" xfId="31591" xr:uid="{AFD4E503-06B4-4FA7-8726-19B2D7801243}"/>
    <cellStyle name="RISKtlandrEdge 5 2 6" xfId="14654" xr:uid="{AA1E4587-DEB4-4533-86F7-05005F77FCFB}"/>
    <cellStyle name="RISKtlandrEdge 5 2 6 2" xfId="36566" xr:uid="{6A36E564-21AE-4D86-B168-B2432F3746C6}"/>
    <cellStyle name="RISKtlandrEdge 5 2 7" xfId="14032" xr:uid="{ECBC0D1B-2774-4838-B7BD-453714E3DF83}"/>
    <cellStyle name="RISKtlandrEdge 5 2 7 2" xfId="36126" xr:uid="{AFEFF344-D9B5-4330-A031-2360ACE5E490}"/>
    <cellStyle name="RISKtlandrEdge 5 2 8" xfId="17424" xr:uid="{034A665C-532B-40D4-A326-46FBE68B39E8}"/>
    <cellStyle name="RISKtlandrEdge 5 2 8 2" xfId="38671" xr:uid="{6CC27272-DAC6-4BD3-AC21-4062711649C6}"/>
    <cellStyle name="RISKtlandrEdge 5 2 9" xfId="18272" xr:uid="{FF158807-9A87-4019-BB59-B299D1D5D8A4}"/>
    <cellStyle name="RISKtlandrEdge 5 2 9 2" xfId="39303" xr:uid="{C46F4405-465E-48FD-9CF8-D06A9788EBCA}"/>
    <cellStyle name="RISKtlandrEdge 5 20" xfId="25794" xr:uid="{EF96ECE1-FF73-4285-9048-1BFE999F27BE}"/>
    <cellStyle name="RISKtlandrEdge 5 20 2" xfId="44622" xr:uid="{2BA1F83A-F73C-475C-987A-E2096DE47840}"/>
    <cellStyle name="RISKtlandrEdge 5 21" xfId="23948" xr:uid="{5ADDC626-BDDB-444E-817A-0F6614C909E2}"/>
    <cellStyle name="RISKtlandrEdge 5 21 2" xfId="43325" xr:uid="{756EDCF5-4B92-45E1-B9AC-685D40D254AF}"/>
    <cellStyle name="RISKtlandrEdge 5 22" xfId="24442" xr:uid="{026549ED-E8A5-47D6-834C-FF1E8F937277}"/>
    <cellStyle name="RISKtlandrEdge 5 22 2" xfId="43654" xr:uid="{6F8BC576-0DEB-4D96-89C5-EACD35563A09}"/>
    <cellStyle name="RISKtlandrEdge 5 23" xfId="27300" xr:uid="{BFC65038-D8B6-4907-9F97-52D0A7896235}"/>
    <cellStyle name="RISKtlandrEdge 5 23 2" xfId="45603" xr:uid="{49B724EE-00B5-4AFA-A824-B163E4CAA7AA}"/>
    <cellStyle name="RISKtlandrEdge 5 24" xfId="23694" xr:uid="{E1B00546-C1CE-4C08-9379-6AB3BCF5AB03}"/>
    <cellStyle name="RISKtlandrEdge 5 24 2" xfId="43114" xr:uid="{ADE1A489-70FD-41CE-8A6C-A0B117E3D532}"/>
    <cellStyle name="RISKtlandrEdge 5 25" xfId="23583" xr:uid="{615C703D-500F-4DEA-9A4F-585A388F1860}"/>
    <cellStyle name="RISKtlandrEdge 5 25 2" xfId="43018" xr:uid="{2245ED1F-BFFD-49AC-BCCF-A2E3AA624CBC}"/>
    <cellStyle name="RISKtlandrEdge 5 26" xfId="26976" xr:uid="{8CE78974-1734-4EBE-A7BD-46A55FAC463B}"/>
    <cellStyle name="RISKtlandrEdge 5 26 2" xfId="45383" xr:uid="{AA356973-B357-4617-A1DD-10858C59B4D7}"/>
    <cellStyle name="RISKtlandrEdge 5 27" xfId="28047" xr:uid="{B63A1E2D-E585-45A8-B74A-11D1743AFE3B}"/>
    <cellStyle name="RISKtlandrEdge 5 27 2" xfId="46042" xr:uid="{0B7CC2ED-A9E6-4C24-949C-2DBB2174A890}"/>
    <cellStyle name="RISKtlandrEdge 5 28" xfId="25844" xr:uid="{76079CC5-364E-492F-A1D8-E774E5C63725}"/>
    <cellStyle name="RISKtlandrEdge 5 28 2" xfId="44663" xr:uid="{17D2E2B5-5AAB-44F3-B26F-45FAE72D62DD}"/>
    <cellStyle name="RISKtlandrEdge 5 29" xfId="28249" xr:uid="{34220D01-B7F7-47AC-B33B-1548FFECA59D}"/>
    <cellStyle name="RISKtlandrEdge 5 29 2" xfId="46124" xr:uid="{AEB4F241-84FA-46F3-B23B-52DDB5081CC6}"/>
    <cellStyle name="RISKtlandrEdge 5 3" xfId="4052" xr:uid="{68ADE222-248F-419F-9E3F-7CC30D11F901}"/>
    <cellStyle name="RISKtlandrEdge 5 3 10" xfId="19156" xr:uid="{DC7F5371-C61C-40A9-8F16-76B16C15E340}"/>
    <cellStyle name="RISKtlandrEdge 5 3 10 2" xfId="39965" xr:uid="{D8CEA2FE-B926-4DAB-BC11-4FD8D25EA1F4}"/>
    <cellStyle name="RISKtlandrEdge 5 3 11" xfId="15158" xr:uid="{A0FB66FB-2DE4-4B6B-9784-EE7514DCCCCF}"/>
    <cellStyle name="RISKtlandrEdge 5 3 11 2" xfId="36947" xr:uid="{BA0E78FB-825F-41BC-9632-E14F2E56DC22}"/>
    <cellStyle name="RISKtlandrEdge 5 3 12" xfId="18895" xr:uid="{D21E0FF2-0EA7-4B7B-B79D-822B07350F2C}"/>
    <cellStyle name="RISKtlandrEdge 5 3 12 2" xfId="39728" xr:uid="{0840AE4D-407D-47AF-BDA5-26C6C19CB5E0}"/>
    <cellStyle name="RISKtlandrEdge 5 3 13" xfId="15343" xr:uid="{296A8ACA-1147-4746-A782-D18A804757DB}"/>
    <cellStyle name="RISKtlandrEdge 5 3 13 2" xfId="37043" xr:uid="{8DA3C84D-9DE1-40BC-B557-CB01430453E8}"/>
    <cellStyle name="RISKtlandrEdge 5 3 14" xfId="22080" xr:uid="{23ABCD54-ECCC-47A3-BDB2-20ACF61FA473}"/>
    <cellStyle name="RISKtlandrEdge 5 3 14 2" xfId="41965" xr:uid="{1649C2D4-974E-4FF0-BA95-23B551DEC63E}"/>
    <cellStyle name="RISKtlandrEdge 5 3 15" xfId="23154" xr:uid="{56062652-2209-4273-90AD-034778377AD4}"/>
    <cellStyle name="RISKtlandrEdge 5 3 15 2" xfId="42753" xr:uid="{CA768B60-305E-4467-8AE9-EA90B29444CE}"/>
    <cellStyle name="RISKtlandrEdge 5 3 16" xfId="23975" xr:uid="{B8C12967-577B-4C1D-97C7-C9E6BBF3D5DD}"/>
    <cellStyle name="RISKtlandrEdge 5 3 16 2" xfId="43352" xr:uid="{A7C23B49-5DB5-45B9-BCB1-47940BAFBAD9}"/>
    <cellStyle name="RISKtlandrEdge 5 3 17" xfId="18701" xr:uid="{FFD93ADF-F9FA-43DE-BBDE-64BE290EFC18}"/>
    <cellStyle name="RISKtlandrEdge 5 3 17 2" xfId="39579" xr:uid="{88DA06C7-68BE-4FAF-A906-A82B40B9B3DB}"/>
    <cellStyle name="RISKtlandrEdge 5 3 18" xfId="20368" xr:uid="{E20270F8-3FFA-4310-A315-4332BDD663B2}"/>
    <cellStyle name="RISKtlandrEdge 5 3 18 2" xfId="40795" xr:uid="{B8DEF017-E397-479D-AE05-CCA35CB124B2}"/>
    <cellStyle name="RISKtlandrEdge 5 3 19" xfId="23947" xr:uid="{ABEF42A7-29EC-4E1A-87B4-131A156CF56D}"/>
    <cellStyle name="RISKtlandrEdge 5 3 19 2" xfId="43324" xr:uid="{797C79D7-372C-414A-B3E1-121BF0F3E650}"/>
    <cellStyle name="RISKtlandrEdge 5 3 2" xfId="7334" xr:uid="{8DFE9CBF-C453-48C8-A108-47E87E944BF6}"/>
    <cellStyle name="RISKtlandrEdge 5 3 2 2" xfId="31697" xr:uid="{685DF507-807D-4302-B0A7-B17DD47A44BE}"/>
    <cellStyle name="RISKtlandrEdge 5 3 20" xfId="25507" xr:uid="{94AE605E-49A2-40BA-8D4A-A72328CEE607}"/>
    <cellStyle name="RISKtlandrEdge 5 3 20 2" xfId="44383" xr:uid="{8BCF7117-9BE8-4806-832B-E73C156C256C}"/>
    <cellStyle name="RISKtlandrEdge 5 3 21" xfId="27299" xr:uid="{D34A5905-2B1C-402E-A2B0-49547E2B619C}"/>
    <cellStyle name="RISKtlandrEdge 5 3 21 2" xfId="45602" xr:uid="{23D8C53F-5BD7-4223-B02E-9391D0D992D1}"/>
    <cellStyle name="RISKtlandrEdge 5 3 22" xfId="25971" xr:uid="{B6EC59E7-2A91-4DB0-8BD3-088BD7407506}"/>
    <cellStyle name="RISKtlandrEdge 5 3 22 2" xfId="44759" xr:uid="{2EAD3333-DCDF-4B09-A819-B0629920C079}"/>
    <cellStyle name="RISKtlandrEdge 5 3 23" xfId="28959" xr:uid="{F7C502EB-4602-4613-8663-D664B8C1AC1E}"/>
    <cellStyle name="RISKtlandrEdge 5 3 23 2" xfId="46553" xr:uid="{7DF282AE-B047-4F89-A566-E8E5C3AFEA2F}"/>
    <cellStyle name="RISKtlandrEdge 5 3 24" xfId="29358" xr:uid="{FCDA3D83-811E-47BB-8992-B9E1BBAFEEB5}"/>
    <cellStyle name="RISKtlandrEdge 5 3 24 2" xfId="46831" xr:uid="{3A05F8EB-AC42-4817-810F-4FB88B87BDEC}"/>
    <cellStyle name="RISKtlandrEdge 5 3 25" xfId="27582" xr:uid="{A9D5D1F4-C65F-48D2-A3E3-A88A4C45F863}"/>
    <cellStyle name="RISKtlandrEdge 5 3 25 2" xfId="45731" xr:uid="{7A044F6F-B009-44F9-91D8-11A4E849B179}"/>
    <cellStyle name="RISKtlandrEdge 5 3 26" xfId="29894" xr:uid="{5045AB46-3940-4B63-A85E-74E3CD321D0D}"/>
    <cellStyle name="RISKtlandrEdge 5 3 26 2" xfId="47182" xr:uid="{8849B971-937B-49EA-8512-8F992D631DC7}"/>
    <cellStyle name="RISKtlandrEdge 5 3 27" xfId="30230" xr:uid="{A90A46B0-C309-4E97-936A-2CAE301CABBA}"/>
    <cellStyle name="RISKtlandrEdge 5 3 27 2" xfId="47391" xr:uid="{D1A93FE1-98C3-47B5-BE84-44C3410750C7}"/>
    <cellStyle name="RISKtlandrEdge 5 3 28" xfId="30170" xr:uid="{226FBEA5-C317-48BD-85AB-378B72DC8750}"/>
    <cellStyle name="RISKtlandrEdge 5 3 28 2" xfId="47334" xr:uid="{5D2F83E2-13F4-425F-A798-95CB908A9F56}"/>
    <cellStyle name="RISKtlandrEdge 5 3 29" xfId="30610" xr:uid="{91FC259B-4F7E-4439-AC6D-A96056461119}"/>
    <cellStyle name="RISKtlandrEdge 5 3 29 2" xfId="47556" xr:uid="{3C1B5036-1BA0-4C1B-8153-2421F4CA4010}"/>
    <cellStyle name="RISKtlandrEdge 5 3 3" xfId="13182" xr:uid="{8312BDB0-8EC0-4852-A764-6C10A861706F}"/>
    <cellStyle name="RISKtlandrEdge 5 3 3 2" xfId="35530" xr:uid="{57F3979B-279C-4BD6-B6B4-75F982D8DBEF}"/>
    <cellStyle name="RISKtlandrEdge 5 3 30" xfId="6050" xr:uid="{3F85DA22-B777-413E-BC09-F479B88D65B2}"/>
    <cellStyle name="RISKtlandrEdge 5 3 4" xfId="14198" xr:uid="{36CE4E85-384E-4C0F-82EC-4F0CAC6395C4}"/>
    <cellStyle name="RISKtlandrEdge 5 3 4 2" xfId="36251" xr:uid="{472BD646-8541-4E81-A879-19ABB2BFCF69}"/>
    <cellStyle name="RISKtlandrEdge 5 3 5" xfId="13423" xr:uid="{7ECCEEA5-D000-438B-8FE1-624649A8D665}"/>
    <cellStyle name="RISKtlandrEdge 5 3 5 2" xfId="35717" xr:uid="{84AB3BD8-63EA-458B-8765-F6A3A6B76431}"/>
    <cellStyle name="RISKtlandrEdge 5 3 6" xfId="13493" xr:uid="{585B1FEE-07AF-43FB-B3B7-6208ECE0B459}"/>
    <cellStyle name="RISKtlandrEdge 5 3 6 2" xfId="35747" xr:uid="{12220929-5046-4AA9-AD80-1E614C6474EF}"/>
    <cellStyle name="RISKtlandrEdge 5 3 7" xfId="16549" xr:uid="{642AF5CD-4E15-4F1F-B35F-88DA3B4E1A7D}"/>
    <cellStyle name="RISKtlandrEdge 5 3 7 2" xfId="38042" xr:uid="{654DEE48-F996-44A0-B0A4-89C7853C860E}"/>
    <cellStyle name="RISKtlandrEdge 5 3 8" xfId="16038" xr:uid="{AEF3F31D-0278-4DE7-B8B2-C7B70B4CA989}"/>
    <cellStyle name="RISKtlandrEdge 5 3 8 2" xfId="37621" xr:uid="{55E59093-4526-48EE-A4CF-1AF51C6E9E9F}"/>
    <cellStyle name="RISKtlandrEdge 5 3 9" xfId="15801" xr:uid="{27D7C93B-FAA9-436F-BAF8-DB788DB74B47}"/>
    <cellStyle name="RISKtlandrEdge 5 3 9 2" xfId="37416" xr:uid="{061BD5B9-0778-4FCB-9348-044E80788196}"/>
    <cellStyle name="RISKtlandrEdge 5 30" xfId="27706" xr:uid="{C3D1D40C-7A1E-4B2A-8795-856BDDED5FE8}"/>
    <cellStyle name="RISKtlandrEdge 5 30 2" xfId="45815" xr:uid="{3854A5BD-CD3D-4C45-BF42-D358424D1C92}"/>
    <cellStyle name="RISKtlandrEdge 5 31" xfId="30191" xr:uid="{9FC28DA9-C205-4C46-868A-EFD8836A2B9D}"/>
    <cellStyle name="RISKtlandrEdge 5 31 2" xfId="47352" xr:uid="{37847CB3-63CE-4028-B083-32AF2E4D8AD6}"/>
    <cellStyle name="RISKtlandrEdge 5 32" xfId="6051" xr:uid="{6AC11F5E-1624-48D6-B1F9-CBECF9F8EA7F}"/>
    <cellStyle name="RISKtlandrEdge 5 4" xfId="7335" xr:uid="{0EC47F51-C384-479C-8FBD-95077AFD4919}"/>
    <cellStyle name="RISKtlandrEdge 5 4 2" xfId="31698" xr:uid="{E7CCC515-B4FC-49ED-A9E1-7D1317D9624C}"/>
    <cellStyle name="RISKtlandrEdge 5 5" xfId="13183" xr:uid="{609DD7A8-B9B0-4443-8798-0151DAF1B216}"/>
    <cellStyle name="RISKtlandrEdge 5 5 2" xfId="35531" xr:uid="{39B72FF1-0344-4133-8968-06843FE1F099}"/>
    <cellStyle name="RISKtlandrEdge 5 6" xfId="14199" xr:uid="{F647B73F-B5BF-49E3-A04C-9F0AE04BDC21}"/>
    <cellStyle name="RISKtlandrEdge 5 6 2" xfId="36252" xr:uid="{1E6A8763-12BB-4D20-9D27-BB31EBC65BC9}"/>
    <cellStyle name="RISKtlandrEdge 5 7" xfId="11660" xr:uid="{79783D61-810D-4072-8BAC-980BF3E150B9}"/>
    <cellStyle name="RISKtlandrEdge 5 7 2" xfId="34273" xr:uid="{568B2002-74E2-4E4F-B5E3-1B901B66024A}"/>
    <cellStyle name="RISKtlandrEdge 5 8" xfId="15507" xr:uid="{E7DA1823-D663-4E86-B396-8789D713DEE2}"/>
    <cellStyle name="RISKtlandrEdge 5 8 2" xfId="37172" xr:uid="{5E7995D8-22FF-426D-82E4-A937E90AAC9F}"/>
    <cellStyle name="RISKtlandrEdge 5 9" xfId="16550" xr:uid="{6A22F7D1-58EF-4DF6-87E0-AB16B9DAE4B4}"/>
    <cellStyle name="RISKtlandrEdge 5 9 2" xfId="38043" xr:uid="{BA6D4896-059A-48C1-904F-B3004CF01493}"/>
    <cellStyle name="RISKtlandrEdge 6" xfId="4053" xr:uid="{8230BE70-C18C-4AD2-9EB4-52426BDA451F}"/>
    <cellStyle name="RISKtlandrEdge 6 10" xfId="13878" xr:uid="{5BB39583-AC13-4503-A54B-AE2991FE710C}"/>
    <cellStyle name="RISKtlandrEdge 6 10 2" xfId="36001" xr:uid="{A94B2474-A40B-4059-B8C9-96096174A585}"/>
    <cellStyle name="RISKtlandrEdge 6 11" xfId="13951" xr:uid="{82D0455F-C15D-47AF-B4F3-72D56E4C7642}"/>
    <cellStyle name="RISKtlandrEdge 6 11 2" xfId="36057" xr:uid="{CA6C986F-8221-41D1-B98E-2EE656E22400}"/>
    <cellStyle name="RISKtlandrEdge 6 12" xfId="15691" xr:uid="{742712C8-810A-4EAB-975E-58211AF65987}"/>
    <cellStyle name="RISKtlandrEdge 6 12 2" xfId="37328" xr:uid="{79C96F13-D009-49F8-8350-A2D0F78C77D1}"/>
    <cellStyle name="RISKtlandrEdge 6 13" xfId="19907" xr:uid="{AB9D23FD-5F60-49AC-8632-9D52A61A2416}"/>
    <cellStyle name="RISKtlandrEdge 6 13 2" xfId="40519" xr:uid="{3D394994-AB2A-4E8B-9404-8ABBB7538E30}"/>
    <cellStyle name="RISKtlandrEdge 6 14" xfId="20643" xr:uid="{BB307075-A863-4327-9898-3B25FD5B1C4E}"/>
    <cellStyle name="RISKtlandrEdge 6 14 2" xfId="41003" xr:uid="{C3384B44-2033-41F7-9CFC-67C921E0510C}"/>
    <cellStyle name="RISKtlandrEdge 6 15" xfId="17108" xr:uid="{F10E62DE-44F9-4ED7-8F5B-30A5ADE67FF0}"/>
    <cellStyle name="RISKtlandrEdge 6 15 2" xfId="38447" xr:uid="{1C3135A4-AAFA-434B-A20F-7ABFE21F2862}"/>
    <cellStyle name="RISKtlandrEdge 6 16" xfId="21213" xr:uid="{C2741576-2C73-412C-9F7B-C3E4985445D5}"/>
    <cellStyle name="RISKtlandrEdge 6 16 2" xfId="41406" xr:uid="{F3288AFF-74C4-4CAC-BEA3-299D46632913}"/>
    <cellStyle name="RISKtlandrEdge 6 17" xfId="20469" xr:uid="{AC180DE0-E618-4BF4-A8D1-5A714DCA8187}"/>
    <cellStyle name="RISKtlandrEdge 6 17 2" xfId="40862" xr:uid="{42EB1721-32F1-4B64-8C8E-AF1694B630EE}"/>
    <cellStyle name="RISKtlandrEdge 6 18" xfId="21739" xr:uid="{D8EC8A13-A9E5-4D22-A0E0-64CA1EA14ADC}"/>
    <cellStyle name="RISKtlandrEdge 6 18 2" xfId="41761" xr:uid="{5C9D4C0A-5A26-4D8B-9AD7-41852E6C87F6}"/>
    <cellStyle name="RISKtlandrEdge 6 19" xfId="20306" xr:uid="{CE5321DA-4407-41DB-9C37-EDE2BD248017}"/>
    <cellStyle name="RISKtlandrEdge 6 19 2" xfId="40740" xr:uid="{6CAB9E19-7E17-4AC0-BAD3-81CD9A59A827}"/>
    <cellStyle name="RISKtlandrEdge 6 2" xfId="4054" xr:uid="{F02D8C2E-9BBD-401B-908D-5CB2317B5875}"/>
    <cellStyle name="RISKtlandrEdge 6 2 10" xfId="19155" xr:uid="{735EF5BD-9148-4C42-A4CF-EE66D7F6F7B8}"/>
    <cellStyle name="RISKtlandrEdge 6 2 10 2" xfId="39964" xr:uid="{577F43D3-70BA-4BED-8134-1AC06A0D61F1}"/>
    <cellStyle name="RISKtlandrEdge 6 2 11" xfId="18025" xr:uid="{7FEC48D2-2CBE-494B-9D8F-127A5F88F6BF}"/>
    <cellStyle name="RISKtlandrEdge 6 2 11 2" xfId="39121" xr:uid="{B664D194-B46B-45DB-BB0C-80956331DE3E}"/>
    <cellStyle name="RISKtlandrEdge 6 2 12" xfId="16842" xr:uid="{51AFF1BC-CDEF-46FD-B0C2-D1602AFD6E32}"/>
    <cellStyle name="RISKtlandrEdge 6 2 12 2" xfId="38270" xr:uid="{463CC6F8-D6BD-4764-8A4F-5EF54535EAB6}"/>
    <cellStyle name="RISKtlandrEdge 6 2 13" xfId="19012" xr:uid="{C1055420-CF88-4D0B-8553-F6FE7483CBB0}"/>
    <cellStyle name="RISKtlandrEdge 6 2 13 2" xfId="39844" xr:uid="{32FA30CB-FE6B-4397-BC01-D54879B03E8B}"/>
    <cellStyle name="RISKtlandrEdge 6 2 14" xfId="21195" xr:uid="{65876B70-D2BC-4F4E-AD06-D8A96A1B940F}"/>
    <cellStyle name="RISKtlandrEdge 6 2 14 2" xfId="41388" xr:uid="{3B52CC99-E32B-4DA4-853B-8B676900B53F}"/>
    <cellStyle name="RISKtlandrEdge 6 2 15" xfId="16145" xr:uid="{2060761C-4A32-4F8D-80B2-E01474DBEEF3}"/>
    <cellStyle name="RISKtlandrEdge 6 2 15 2" xfId="37710" xr:uid="{9158A5FB-AD94-49D4-B551-238B8CAE7851}"/>
    <cellStyle name="RISKtlandrEdge 6 2 16" xfId="16164" xr:uid="{D96F6811-7790-4E1D-8ACB-7B0118AD6B95}"/>
    <cellStyle name="RISKtlandrEdge 6 2 16 2" xfId="37726" xr:uid="{CC028894-F803-442D-BE29-D5DA7761BD80}"/>
    <cellStyle name="RISKtlandrEdge 6 2 17" xfId="18702" xr:uid="{63FE3DF9-C4F0-420F-A77E-9AD14E579A89}"/>
    <cellStyle name="RISKtlandrEdge 6 2 17 2" xfId="39580" xr:uid="{31986486-7665-4EB6-90A7-4AB2DFABE2F7}"/>
    <cellStyle name="RISKtlandrEdge 6 2 18" xfId="24539" xr:uid="{A00337B0-2B79-499F-B1F7-88A8870DDC5B}"/>
    <cellStyle name="RISKtlandrEdge 6 2 18 2" xfId="43722" xr:uid="{599294C4-7386-4D4B-B94B-94A23283C81A}"/>
    <cellStyle name="RISKtlandrEdge 6 2 19" xfId="18562" xr:uid="{3686552F-DC9B-43D7-B215-9B780A60CF50}"/>
    <cellStyle name="RISKtlandrEdge 6 2 19 2" xfId="39506" xr:uid="{127ACF1C-6506-4448-84EC-EB84B44A9AD4}"/>
    <cellStyle name="RISKtlandrEdge 6 2 2" xfId="7333" xr:uid="{8BB332AC-6AE4-4ED5-81ED-22F9827777FB}"/>
    <cellStyle name="RISKtlandrEdge 6 2 2 2" xfId="31696" xr:uid="{0B18D62C-69F2-4ED2-A737-FDF8C4FB8C6D}"/>
    <cellStyle name="RISKtlandrEdge 6 2 20" xfId="25167" xr:uid="{A0B3B2E8-9F2E-464F-8FA7-773A3FEC0BA0}"/>
    <cellStyle name="RISKtlandrEdge 6 2 20 2" xfId="44111" xr:uid="{4CEA20E6-9B36-4678-A474-2DA90949FC83}"/>
    <cellStyle name="RISKtlandrEdge 6 2 21" xfId="27298" xr:uid="{96095AE7-387C-44ED-AA94-A69EA69B9A5B}"/>
    <cellStyle name="RISKtlandrEdge 6 2 21 2" xfId="45601" xr:uid="{D86ED3DE-F33D-4F3D-9986-A63B29589AE2}"/>
    <cellStyle name="RISKtlandrEdge 6 2 22" xfId="23638" xr:uid="{212A12AB-EB15-4F5F-A70E-38C23968CA94}"/>
    <cellStyle name="RISKtlandrEdge 6 2 22 2" xfId="43068" xr:uid="{77C13E6F-1FA3-49F3-8D5D-D69246903D6F}"/>
    <cellStyle name="RISKtlandrEdge 6 2 23" xfId="29448" xr:uid="{267C6DC0-1831-4186-981B-912D0CFAF7C2}"/>
    <cellStyle name="RISKtlandrEdge 6 2 23 2" xfId="46906" xr:uid="{EF2782E9-49F7-407A-A980-AC1396D15253}"/>
    <cellStyle name="RISKtlandrEdge 6 2 24" xfId="28998" xr:uid="{C4DC7506-D6EF-4F1D-9590-FDDDD9EF3D2D}"/>
    <cellStyle name="RISKtlandrEdge 6 2 24 2" xfId="46592" xr:uid="{724DB1FD-BBF7-49B5-809F-A9CB509322BA}"/>
    <cellStyle name="RISKtlandrEdge 6 2 25" xfId="28300" xr:uid="{4D572ACC-B1FB-45E1-B976-E851C555E1C9}"/>
    <cellStyle name="RISKtlandrEdge 6 2 25 2" xfId="46167" xr:uid="{3041127C-5A53-41EB-BF41-17E013EB66FF}"/>
    <cellStyle name="RISKtlandrEdge 6 2 26" xfId="28723" xr:uid="{5D9AB07A-246E-4B05-927C-C2CF8AA01347}"/>
    <cellStyle name="RISKtlandrEdge 6 2 26 2" xfId="46436" xr:uid="{E0ED00C2-9989-4597-9464-28943519E88E}"/>
    <cellStyle name="RISKtlandrEdge 6 2 27" xfId="30018" xr:uid="{96DC2F85-4723-427D-8A3B-13E551627740}"/>
    <cellStyle name="RISKtlandrEdge 6 2 27 2" xfId="47249" xr:uid="{9BAEAAF4-6C9C-4176-A524-CF3E91670784}"/>
    <cellStyle name="RISKtlandrEdge 6 2 28" xfId="25846" xr:uid="{3F791FC3-C2A2-4011-A54C-5CCD19EF55C6}"/>
    <cellStyle name="RISKtlandrEdge 6 2 28 2" xfId="44665" xr:uid="{2AEF7AE8-4BE6-4D2A-BB33-770C2D05FFEE}"/>
    <cellStyle name="RISKtlandrEdge 6 2 29" xfId="30585" xr:uid="{80800054-11F5-4C8D-B872-0769BB00F48D}"/>
    <cellStyle name="RISKtlandrEdge 6 2 29 2" xfId="47535" xr:uid="{A0AABF47-E761-44ED-B6F8-3AA968BAC123}"/>
    <cellStyle name="RISKtlandrEdge 6 2 3" xfId="10317" xr:uid="{D9BFD4EF-540C-4D68-A281-576F45CC9F7C}"/>
    <cellStyle name="RISKtlandrEdge 6 2 3 2" xfId="33952" xr:uid="{A41D7B21-EF21-4743-9A33-35D2F6AF74D6}"/>
    <cellStyle name="RISKtlandrEdge 6 2 30" xfId="6049" xr:uid="{C6C2C648-6DBE-43B6-B061-FDCD80BC2A79}"/>
    <cellStyle name="RISKtlandrEdge 6 2 4" xfId="14197" xr:uid="{C6CEAFC6-150E-43CE-A068-3D5A9FBF3799}"/>
    <cellStyle name="RISKtlandrEdge 6 2 4 2" xfId="36250" xr:uid="{559F8FB4-2E98-4344-915E-89B5D6B9F1CB}"/>
    <cellStyle name="RISKtlandrEdge 6 2 5" xfId="13424" xr:uid="{E6A369BF-20CE-4E64-9568-B9A2C1C8BB40}"/>
    <cellStyle name="RISKtlandrEdge 6 2 5 2" xfId="35718" xr:uid="{909C1978-6859-49FB-BC4A-E718A47A2066}"/>
    <cellStyle name="RISKtlandrEdge 6 2 6" xfId="15508" xr:uid="{1B0F9E1B-146B-432D-91DC-ED3253AEC06E}"/>
    <cellStyle name="RISKtlandrEdge 6 2 6 2" xfId="37173" xr:uid="{46C3B3B3-0F73-465F-B157-FC8CB0DA43AE}"/>
    <cellStyle name="RISKtlandrEdge 6 2 7" xfId="14015" xr:uid="{02134282-EC9F-48DF-8E0F-91958CC861ED}"/>
    <cellStyle name="RISKtlandrEdge 6 2 7 2" xfId="36109" xr:uid="{115DBE39-42CB-4798-9AD8-922A206433FF}"/>
    <cellStyle name="RISKtlandrEdge 6 2 8" xfId="17423" xr:uid="{F5E8024D-D98F-4C88-B84A-890DADBFB162}"/>
    <cellStyle name="RISKtlandrEdge 6 2 8 2" xfId="38670" xr:uid="{1C3B6142-EB12-4084-B47B-3852949F7BC3}"/>
    <cellStyle name="RISKtlandrEdge 6 2 9" xfId="18271" xr:uid="{9E7FDC57-7135-41B2-BB6C-3ED44034C313}"/>
    <cellStyle name="RISKtlandrEdge 6 2 9 2" xfId="39302" xr:uid="{888C7786-66B0-4990-8834-8CCB9D82E6B1}"/>
    <cellStyle name="RISKtlandrEdge 6 20" xfId="25321" xr:uid="{6074A274-A545-4574-9B10-8F43B4167EEE}"/>
    <cellStyle name="RISKtlandrEdge 6 20 2" xfId="44237" xr:uid="{021BA607-66A0-45E1-A917-22F62BDBDABF}"/>
    <cellStyle name="RISKtlandrEdge 6 21" xfId="18563" xr:uid="{ED77FF15-4BD0-46D0-B72D-7424A4C0007A}"/>
    <cellStyle name="RISKtlandrEdge 6 21 2" xfId="39507" xr:uid="{C3D68312-9D70-4E89-824A-A8DA0F993398}"/>
    <cellStyle name="RISKtlandrEdge 6 22" xfId="21129" xr:uid="{AF934506-C0E3-47E9-B409-F6B87CFCE9A4}"/>
    <cellStyle name="RISKtlandrEdge 6 22 2" xfId="41335" xr:uid="{0B4E8FF4-184B-4232-931A-79E11070755E}"/>
    <cellStyle name="RISKtlandrEdge 6 23" xfId="26173" xr:uid="{22776E2B-3EDD-48E5-9160-B37023DD849E}"/>
    <cellStyle name="RISKtlandrEdge 6 23 2" xfId="44903" xr:uid="{A7891D4D-A7D5-4071-B1F9-E5C616A8F436}"/>
    <cellStyle name="RISKtlandrEdge 6 24" xfId="27805" xr:uid="{031E5042-2840-42C9-89DF-9B215D58A9EB}"/>
    <cellStyle name="RISKtlandrEdge 6 24 2" xfId="45892" xr:uid="{432BA54B-09CC-40B1-8268-C46A6C750E45}"/>
    <cellStyle name="RISKtlandrEdge 6 25" xfId="29271" xr:uid="{B75C89DB-2490-4FB5-87B5-86AA16B94982}"/>
    <cellStyle name="RISKtlandrEdge 6 25 2" xfId="46786" xr:uid="{B4B9F7D9-20C3-4805-B6F3-170CAAC8E469}"/>
    <cellStyle name="RISKtlandrEdge 6 26" xfId="28769" xr:uid="{D5EF4966-0A80-42AF-9FC4-9CC062314DC7}"/>
    <cellStyle name="RISKtlandrEdge 6 26 2" xfId="46447" xr:uid="{39FFB28A-CBD9-4A6A-96B8-52D36E7BF9C6}"/>
    <cellStyle name="RISKtlandrEdge 6 27" xfId="25866" xr:uid="{67765619-4ED9-4CDD-81BC-BF59A146E060}"/>
    <cellStyle name="RISKtlandrEdge 6 27 2" xfId="44683" xr:uid="{1347D716-0B4E-4E91-B669-E48930F62C64}"/>
    <cellStyle name="RISKtlandrEdge 6 28" xfId="29233" xr:uid="{ADF1D4F5-CA08-4C16-8ECC-F8DF17707920}"/>
    <cellStyle name="RISKtlandrEdge 6 28 2" xfId="46752" xr:uid="{7949274F-50BF-4DEA-83B5-27CF51725212}"/>
    <cellStyle name="RISKtlandrEdge 6 29" xfId="30687" xr:uid="{A6123C66-A331-43EF-A89E-18A95C70D600}"/>
    <cellStyle name="RISKtlandrEdge 6 29 2" xfId="47633" xr:uid="{6627198B-A5BF-4700-8E9B-9CF76597DF14}"/>
    <cellStyle name="RISKtlandrEdge 6 3" xfId="4055" xr:uid="{FB6D44C3-88D3-4AFA-A2AD-C7532AF5669F}"/>
    <cellStyle name="RISKtlandrEdge 6 3 10" xfId="17176" xr:uid="{8CD4E140-D027-4E97-9B82-CCE20116CCBE}"/>
    <cellStyle name="RISKtlandrEdge 6 3 10 2" xfId="38505" xr:uid="{8ACBA12E-2F36-4397-AE7C-7625A01A7AFA}"/>
    <cellStyle name="RISKtlandrEdge 6 3 11" xfId="19906" xr:uid="{103014DB-61DB-42DE-A317-6DB6B81BF973}"/>
    <cellStyle name="RISKtlandrEdge 6 3 11 2" xfId="40518" xr:uid="{DD8DF72D-DCBE-451C-84E3-377084804A77}"/>
    <cellStyle name="RISKtlandrEdge 6 3 12" xfId="20642" xr:uid="{EC51920E-FC00-49DC-9949-8C293D012897}"/>
    <cellStyle name="RISKtlandrEdge 6 3 12 2" xfId="41002" xr:uid="{2D9FDF07-7F9F-434C-8EAD-BC0BEA01EF9F}"/>
    <cellStyle name="RISKtlandrEdge 6 3 13" xfId="16092" xr:uid="{D74932A3-C06D-4F3A-B786-3698223B7D19}"/>
    <cellStyle name="RISKtlandrEdge 6 3 13 2" xfId="37662" xr:uid="{90444C63-0D14-45EF-BC04-A3EA00EC1C13}"/>
    <cellStyle name="RISKtlandrEdge 6 3 14" xfId="17870" xr:uid="{A4FC8DD1-69D7-4D8A-8DA9-3B28DC6032F3}"/>
    <cellStyle name="RISKtlandrEdge 6 3 14 2" xfId="38986" xr:uid="{BA7CD5FE-E1D5-486B-9A58-FCD20C2D060B}"/>
    <cellStyle name="RISKtlandrEdge 6 3 15" xfId="23153" xr:uid="{2B4FABC8-9998-4870-BC0B-FD42558EA1CE}"/>
    <cellStyle name="RISKtlandrEdge 6 3 15 2" xfId="42752" xr:uid="{2F9B7E68-1805-490C-A53F-6E7B7A404EDA}"/>
    <cellStyle name="RISKtlandrEdge 6 3 16" xfId="23974" xr:uid="{71AEA20D-61B7-40A7-9807-AF69063B1925}"/>
    <cellStyle name="RISKtlandrEdge 6 3 16 2" xfId="43351" xr:uid="{84014295-EDA6-4FBD-8166-9F75B54C6D13}"/>
    <cellStyle name="RISKtlandrEdge 6 3 17" xfId="22156" xr:uid="{F7DCBBE9-AF8C-4C10-B4AC-DB66F73B84A2}"/>
    <cellStyle name="RISKtlandrEdge 6 3 17 2" xfId="42036" xr:uid="{5566A0D0-73F7-4D7B-8CF3-FE8CC33E66EE}"/>
    <cellStyle name="RISKtlandrEdge 6 3 18" xfId="22731" xr:uid="{0F8BCB5B-50E5-479E-9BE4-4556F28FBD62}"/>
    <cellStyle name="RISKtlandrEdge 6 3 18 2" xfId="42488" xr:uid="{6CB84685-A640-44BC-B6AA-A33F46DCE50C}"/>
    <cellStyle name="RISKtlandrEdge 6 3 19" xfId="24964" xr:uid="{71D1D5A5-C76A-4A39-8F85-82CB20AF84A7}"/>
    <cellStyle name="RISKtlandrEdge 6 3 19 2" xfId="44046" xr:uid="{3D9CB8D1-8209-42A5-9D80-DB11B34A0CAE}"/>
    <cellStyle name="RISKtlandrEdge 6 3 2" xfId="11759" xr:uid="{AF9C1D33-B408-49A9-B42C-67539B9B3265}"/>
    <cellStyle name="RISKtlandrEdge 6 3 2 2" xfId="34372" xr:uid="{DA8AECFF-F9FF-49F8-A078-A91CF4CC33F6}"/>
    <cellStyle name="RISKtlandrEdge 6 3 20" xfId="24251" xr:uid="{AE93E988-8C11-4454-8FBB-BEAA2E816E09}"/>
    <cellStyle name="RISKtlandrEdge 6 3 20 2" xfId="43565" xr:uid="{4B0DCEF0-B7CD-4788-8C90-B00643BB572C}"/>
    <cellStyle name="RISKtlandrEdge 6 3 21" xfId="23791" xr:uid="{D5ABDFE4-DEAD-4630-9ABF-13F11FE46E32}"/>
    <cellStyle name="RISKtlandrEdge 6 3 21 2" xfId="43190" xr:uid="{1E9C1811-67A8-4016-8D24-B9435341225D}"/>
    <cellStyle name="RISKtlandrEdge 6 3 22" xfId="27804" xr:uid="{3FB860BA-DA1A-4116-A3E0-06229CCBFFDA}"/>
    <cellStyle name="RISKtlandrEdge 6 3 22 2" xfId="45891" xr:uid="{E3073927-A394-46DC-A739-3AA0629CE12E}"/>
    <cellStyle name="RISKtlandrEdge 6 3 23" xfId="24396" xr:uid="{FBBBEAED-7934-435D-B332-9AB398AF8A41}"/>
    <cellStyle name="RISKtlandrEdge 6 3 23 2" xfId="43637" xr:uid="{B10B20CE-C62E-46E8-825C-96DDA99E627B}"/>
    <cellStyle name="RISKtlandrEdge 6 3 24" xfId="29194" xr:uid="{7ACE3FF0-CD58-4C48-8BC6-E299815E0835}"/>
    <cellStyle name="RISKtlandrEdge 6 3 24 2" xfId="46720" xr:uid="{285518DB-9B11-4963-A69C-E673D273AFE5}"/>
    <cellStyle name="RISKtlandrEdge 6 3 25" xfId="29179" xr:uid="{D53C285C-8413-40AB-9B19-D08EE92C8ABD}"/>
    <cellStyle name="RISKtlandrEdge 6 3 25 2" xfId="46705" xr:uid="{1FC34E55-0F22-4BC2-B140-481D673364A6}"/>
    <cellStyle name="RISKtlandrEdge 6 3 26" xfId="29791" xr:uid="{8176826A-79B3-4014-84B0-303538068410}"/>
    <cellStyle name="RISKtlandrEdge 6 3 26 2" xfId="47110" xr:uid="{020C78D3-B747-434F-9A9A-9CA47BB2F65E}"/>
    <cellStyle name="RISKtlandrEdge 6 3 27" xfId="30686" xr:uid="{815559D5-A7DA-4391-B037-66FEEA178143}"/>
    <cellStyle name="RISKtlandrEdge 6 3 27 2" xfId="47632" xr:uid="{140D2D1B-8BCC-4840-9ACD-EBA1B3A6193D}"/>
    <cellStyle name="RISKtlandrEdge 6 3 28" xfId="25857" xr:uid="{5C764BBA-71C4-4366-94BF-D074CE7B162B}"/>
    <cellStyle name="RISKtlandrEdge 6 3 28 2" xfId="44675" xr:uid="{F7F49BB4-AB6A-4FA7-A2B7-453974A0BA21}"/>
    <cellStyle name="RISKtlandrEdge 6 3 29" xfId="26837" xr:uid="{A3AD827C-D7EA-4515-8A82-0DCDD15DB68A}"/>
    <cellStyle name="RISKtlandrEdge 6 3 29 2" xfId="45304" xr:uid="{40A5C8C2-C338-4FBE-B474-4BE14B4C0C8A}"/>
    <cellStyle name="RISKtlandrEdge 6 3 3" xfId="13181" xr:uid="{593191F3-9629-48C3-9D26-18956B6615BB}"/>
    <cellStyle name="RISKtlandrEdge 6 3 3 2" xfId="35529" xr:uid="{A8533A90-C8B4-487A-806C-A4448408ABDE}"/>
    <cellStyle name="RISKtlandrEdge 6 3 30" xfId="6807" xr:uid="{2E59B0D5-33AF-4CC8-9F52-C30C9F18928C}"/>
    <cellStyle name="RISKtlandrEdge 6 3 4" xfId="6975" xr:uid="{947A9947-9DEA-419E-A198-16A86F7EFA6F}"/>
    <cellStyle name="RISKtlandrEdge 6 3 4 2" xfId="31342" xr:uid="{1F094032-7A95-4B66-A7DD-7700ED9100FA}"/>
    <cellStyle name="RISKtlandrEdge 6 3 5" xfId="7208" xr:uid="{DEF86AFB-FC7E-4ABD-A6B1-337C8283E34C}"/>
    <cellStyle name="RISKtlandrEdge 6 3 5 2" xfId="31574" xr:uid="{67D9BEC2-E8D7-4F53-B61C-BCD2F693E42D}"/>
    <cellStyle name="RISKtlandrEdge 6 3 6" xfId="14653" xr:uid="{AD5A73F5-6F24-45B5-9196-7A039103384A}"/>
    <cellStyle name="RISKtlandrEdge 6 3 6 2" xfId="36565" xr:uid="{60579FCE-5293-49DD-9D5A-620D8E1C9FD0}"/>
    <cellStyle name="RISKtlandrEdge 6 3 7" xfId="16548" xr:uid="{5A34B763-C567-41E7-AE94-FD8CCD960ADB}"/>
    <cellStyle name="RISKtlandrEdge 6 3 7 2" xfId="38041" xr:uid="{779FDB22-23CA-49C4-83B2-A50E083FD01F}"/>
    <cellStyle name="RISKtlandrEdge 6 3 8" xfId="14468" xr:uid="{EF3B7B8D-AF63-474F-858F-893994CC383B}"/>
    <cellStyle name="RISKtlandrEdge 6 3 8 2" xfId="36457" xr:uid="{E6E8D40C-D84B-4812-9F33-C47CA935C797}"/>
    <cellStyle name="RISKtlandrEdge 6 3 9" xfId="16289" xr:uid="{864A3412-01D0-4BF9-ADDD-7AB6CC1763E0}"/>
    <cellStyle name="RISKtlandrEdge 6 3 9 2" xfId="37826" xr:uid="{B94B97BA-8175-4AB6-8C20-6770802F0FE1}"/>
    <cellStyle name="RISKtlandrEdge 6 30" xfId="30801" xr:uid="{4E5D7688-85F5-437F-BA1B-973AF8132ED4}"/>
    <cellStyle name="RISKtlandrEdge 6 30 2" xfId="47726" xr:uid="{4E6AC3C0-6444-42B0-8384-E4389D4A8229}"/>
    <cellStyle name="RISKtlandrEdge 6 31" xfId="30599" xr:uid="{BA8FAC46-2F58-495D-BAD9-711A253FFA76}"/>
    <cellStyle name="RISKtlandrEdge 6 31 2" xfId="47545" xr:uid="{E00D0081-EC3C-4419-9F82-0910E2096B0C}"/>
    <cellStyle name="RISKtlandrEdge 6 32" xfId="6808" xr:uid="{4022193F-5C07-4824-A8A8-A89043C6A002}"/>
    <cellStyle name="RISKtlandrEdge 6 4" xfId="11760" xr:uid="{1E34257E-9BEB-4521-B480-14D981FB2688}"/>
    <cellStyle name="RISKtlandrEdge 6 4 2" xfId="34373" xr:uid="{D1AEFA0E-E31D-4518-A4C5-C16B4F4A8EEE}"/>
    <cellStyle name="RISKtlandrEdge 6 5" xfId="10278" xr:uid="{0CCAFBC1-59F3-472D-A82A-26AB04F81C15}"/>
    <cellStyle name="RISKtlandrEdge 6 5 2" xfId="33913" xr:uid="{F96AE1AD-C19E-4FAA-AAFC-F59228519DAD}"/>
    <cellStyle name="RISKtlandrEdge 6 6" xfId="6976" xr:uid="{79EFAAF2-45EA-4552-9723-F59525B0ED6A}"/>
    <cellStyle name="RISKtlandrEdge 6 6 2" xfId="31343" xr:uid="{C2ED7A7D-59B2-44C4-A0F1-F4F3104BCCCD}"/>
    <cellStyle name="RISKtlandrEdge 6 7" xfId="11659" xr:uid="{98BD5AF3-44A9-4B94-806E-4DDE644A718E}"/>
    <cellStyle name="RISKtlandrEdge 6 7 2" xfId="34272" xr:uid="{F2A8C790-9C0E-48E5-B090-7BB7DE23A7DB}"/>
    <cellStyle name="RISKtlandrEdge 6 8" xfId="12308" xr:uid="{DB8046A0-DAA8-402C-ADEB-6CFC9B55A394}"/>
    <cellStyle name="RISKtlandrEdge 6 8 2" xfId="34814" xr:uid="{9F852EF8-860D-4CCD-85D1-11609727973A}"/>
    <cellStyle name="RISKtlandrEdge 6 9" xfId="12533" xr:uid="{62D8840C-3BD9-4A95-BD15-9BB313D25BC7}"/>
    <cellStyle name="RISKtlandrEdge 6 9 2" xfId="34977" xr:uid="{CD6D20A5-A638-4D53-B393-CA3E97AF8548}"/>
    <cellStyle name="RISKtlandrEdge 7" xfId="4056" xr:uid="{DEF06A02-FFDE-4704-BCC4-A9D14E6DE153}"/>
    <cellStyle name="RISKtlandrEdge 7 10" xfId="17422" xr:uid="{8F0CFFF7-F3FB-47FD-BB62-6F0153BC677A}"/>
    <cellStyle name="RISKtlandrEdge 7 10 2" xfId="38669" xr:uid="{541ADA2E-F55D-4E4E-87D0-F13F791A417A}"/>
    <cellStyle name="RISKtlandrEdge 7 11" xfId="18270" xr:uid="{762AC782-4466-488C-9D41-B42E5CE6B5D5}"/>
    <cellStyle name="RISKtlandrEdge 7 11 2" xfId="39301" xr:uid="{DD1240BC-CF3A-4234-9C9C-7526A9025FCE}"/>
    <cellStyle name="RISKtlandrEdge 7 12" xfId="19154" xr:uid="{90EE3106-6E1A-4AB9-9302-8890E8899994}"/>
    <cellStyle name="RISKtlandrEdge 7 12 2" xfId="39963" xr:uid="{08B2FCC5-3B82-4E41-BAAD-ED6DDFD07612}"/>
    <cellStyle name="RISKtlandrEdge 7 13" xfId="15226" xr:uid="{1680A68C-D053-4A21-85D0-1A59FC26248F}"/>
    <cellStyle name="RISKtlandrEdge 7 13 2" xfId="36992" xr:uid="{37837C27-020B-498A-90BD-E5BEE979A936}"/>
    <cellStyle name="RISKtlandrEdge 7 14" xfId="18894" xr:uid="{FFD27DD3-9327-4742-AAF0-60935979A1B4}"/>
    <cellStyle name="RISKtlandrEdge 7 14 2" xfId="39727" xr:uid="{95E91917-CD27-4503-B780-1C309971E253}"/>
    <cellStyle name="RISKtlandrEdge 7 15" xfId="18527" xr:uid="{65C6A5F0-6531-42B4-8618-C63FD61D3613}"/>
    <cellStyle name="RISKtlandrEdge 7 15 2" xfId="39479" xr:uid="{8B3DF5D9-E440-4991-BC59-D9EF1CDBBB9C}"/>
    <cellStyle name="RISKtlandrEdge 7 16" xfId="19398" xr:uid="{662E19A9-A3A5-445C-8F9F-08D19FDBA3CC}"/>
    <cellStyle name="RISKtlandrEdge 7 16 2" xfId="40119" xr:uid="{F3DA5E87-F17F-4A47-89E9-AB7EDAD96527}"/>
    <cellStyle name="RISKtlandrEdge 7 17" xfId="18813" xr:uid="{33BD9E14-4820-4F6D-A93D-5022B15330EE}"/>
    <cellStyle name="RISKtlandrEdge 7 17 2" xfId="39665" xr:uid="{2C683D3F-44BD-446E-B7A7-040AA539D100}"/>
    <cellStyle name="RISKtlandrEdge 7 18" xfId="18746" xr:uid="{6624972C-785D-4753-9788-28073AA248BF}"/>
    <cellStyle name="RISKtlandrEdge 7 18 2" xfId="39621" xr:uid="{0B6C0FDD-9DDC-4766-BE8E-98A42AA7857B}"/>
    <cellStyle name="RISKtlandrEdge 7 19" xfId="20915" xr:uid="{A33DD742-EEAD-43B3-839A-DD7DB22811C2}"/>
    <cellStyle name="RISKtlandrEdge 7 19 2" xfId="41217" xr:uid="{2241CFAE-04BC-44BF-9E4D-2DFAC8C25231}"/>
    <cellStyle name="RISKtlandrEdge 7 2" xfId="4057" xr:uid="{C10E9D41-6A9A-4B0D-BCEC-C3982EA8A3DA}"/>
    <cellStyle name="RISKtlandrEdge 7 2 10" xfId="16058" xr:uid="{FEB48CD0-7E71-4EE2-ADE8-FAA0822267C4}"/>
    <cellStyle name="RISKtlandrEdge 7 2 10 2" xfId="37634" xr:uid="{7EF3572E-786C-448A-B0D9-D25E3D254986}"/>
    <cellStyle name="RISKtlandrEdge 7 2 11" xfId="19905" xr:uid="{306E9D1F-A2D8-4808-801D-21E54AE57885}"/>
    <cellStyle name="RISKtlandrEdge 7 2 11 2" xfId="40517" xr:uid="{0DA22849-9E11-4DCC-91E5-0AE631C61422}"/>
    <cellStyle name="RISKtlandrEdge 7 2 12" xfId="20119" xr:uid="{FC741314-CE45-45A3-BDD4-00A8B3931FB1}"/>
    <cellStyle name="RISKtlandrEdge 7 2 12 2" xfId="40632" xr:uid="{00A81C40-4E4F-462A-9827-7056ADCF6570}"/>
    <cellStyle name="RISKtlandrEdge 7 2 13" xfId="19011" xr:uid="{B05D50B6-D8B5-4802-9D5F-B231EA36C034}"/>
    <cellStyle name="RISKtlandrEdge 7 2 13 2" xfId="39843" xr:uid="{E06014A7-0752-417B-9664-1BE50F3B5C5C}"/>
    <cellStyle name="RISKtlandrEdge 7 2 14" xfId="22081" xr:uid="{B46A4AA2-12AC-426E-820B-C2AFDE196A66}"/>
    <cellStyle name="RISKtlandrEdge 7 2 14 2" xfId="41966" xr:uid="{66C07491-92DF-4D4F-B8F4-38CB00F0B6D1}"/>
    <cellStyle name="RISKtlandrEdge 7 2 15" xfId="23152" xr:uid="{D71F4B66-186A-474B-955E-E004E256C346}"/>
    <cellStyle name="RISKtlandrEdge 7 2 15 2" xfId="42751" xr:uid="{F61BACD3-A98D-4A58-99E8-5EAEDF175BB0}"/>
    <cellStyle name="RISKtlandrEdge 7 2 16" xfId="23973" xr:uid="{7EA6EBC3-B434-4092-A20A-8C25DDA6EA1E}"/>
    <cellStyle name="RISKtlandrEdge 7 2 16 2" xfId="43350" xr:uid="{76459683-9520-4737-9E4E-BB1E6A39C454}"/>
    <cellStyle name="RISKtlandrEdge 7 2 17" xfId="15406" xr:uid="{7B9FB650-5506-4088-AF32-A30D02EF3569}"/>
    <cellStyle name="RISKtlandrEdge 7 2 17 2" xfId="37100" xr:uid="{90A1A98F-B918-49D0-A0D9-8FF1FF955773}"/>
    <cellStyle name="RISKtlandrEdge 7 2 18" xfId="25322" xr:uid="{774A4E25-4BBD-428B-AC9B-A039CD8EA59A}"/>
    <cellStyle name="RISKtlandrEdge 7 2 18 2" xfId="44238" xr:uid="{ABBCBA1B-358A-4653-944E-80AB99A3C431}"/>
    <cellStyle name="RISKtlandrEdge 7 2 19" xfId="18752" xr:uid="{F95EF9CF-E879-43C7-8357-77B7FA6E839F}"/>
    <cellStyle name="RISKtlandrEdge 7 2 19 2" xfId="39627" xr:uid="{C576AB5D-6648-406E-9D62-F96121B782F6}"/>
    <cellStyle name="RISKtlandrEdge 7 2 2" xfId="11758" xr:uid="{13CC55B8-1C3E-4903-B883-1FA003BBAE02}"/>
    <cellStyle name="RISKtlandrEdge 7 2 2 2" xfId="34371" xr:uid="{82BC7C87-1A41-4E75-8E38-64F6248267B1}"/>
    <cellStyle name="RISKtlandrEdge 7 2 20" xfId="26435" xr:uid="{75AA180F-8982-4719-92A7-27FF21F1FF8C}"/>
    <cellStyle name="RISKtlandrEdge 7 2 20 2" xfId="45066" xr:uid="{1A11781D-31B9-4CF4-93C7-CE86E6288CD6}"/>
    <cellStyle name="RISKtlandrEdge 7 2 21" xfId="26172" xr:uid="{7EA2B1A1-B9F6-471C-9CD5-C966D5622BE7}"/>
    <cellStyle name="RISKtlandrEdge 7 2 21 2" xfId="44902" xr:uid="{904E1153-F392-46D3-BC15-6C656132E137}"/>
    <cellStyle name="RISKtlandrEdge 7 2 22" xfId="27803" xr:uid="{C53659FA-A934-428F-B6E2-96FB19DBF33C}"/>
    <cellStyle name="RISKtlandrEdge 7 2 22 2" xfId="45890" xr:uid="{92AEFDBF-5102-4267-9158-A862AB0765D2}"/>
    <cellStyle name="RISKtlandrEdge 7 2 23" xfId="22649" xr:uid="{F7C61324-21BA-4193-A01D-05F2D8A6E902}"/>
    <cellStyle name="RISKtlandrEdge 7 2 23 2" xfId="42420" xr:uid="{DA47E81B-6D3C-4828-A85C-98ED1014A8C5}"/>
    <cellStyle name="RISKtlandrEdge 7 2 24" xfId="26894" xr:uid="{CBB5C984-1139-4F79-8FF8-D7DDB11B7297}"/>
    <cellStyle name="RISKtlandrEdge 7 2 24 2" xfId="45317" xr:uid="{27B51941-5FA3-4F0F-8247-BC0FDF897559}"/>
    <cellStyle name="RISKtlandrEdge 7 2 25" xfId="29773" xr:uid="{E8BE21D6-B39A-4C67-BA23-6136C5423165}"/>
    <cellStyle name="RISKtlandrEdge 7 2 25 2" xfId="47092" xr:uid="{80875299-E70C-4711-80B7-3B9583C2BD00}"/>
    <cellStyle name="RISKtlandrEdge 7 2 26" xfId="30075" xr:uid="{9E21C1C9-618E-4B4B-88AF-161C21B10A9D}"/>
    <cellStyle name="RISKtlandrEdge 7 2 26 2" xfId="47271" xr:uid="{8FF274CE-E8B1-424A-8E49-D94081D028FB}"/>
    <cellStyle name="RISKtlandrEdge 7 2 27" xfId="30685" xr:uid="{D4769F67-91FF-4A92-B906-9F3400CE15A8}"/>
    <cellStyle name="RISKtlandrEdge 7 2 27 2" xfId="47631" xr:uid="{115E8B33-6D3E-46C8-90A7-3F638CEB59CF}"/>
    <cellStyle name="RISKtlandrEdge 7 2 28" xfId="29881" xr:uid="{B7EC83EF-E745-4DC8-9533-DF30ADC17968}"/>
    <cellStyle name="RISKtlandrEdge 7 2 28 2" xfId="47169" xr:uid="{C0543EBC-6A86-4D4A-ACF2-36D888D79EE9}"/>
    <cellStyle name="RISKtlandrEdge 7 2 29" xfId="30609" xr:uid="{F37D538E-A3D2-43AA-97CB-C93DF3912DED}"/>
    <cellStyle name="RISKtlandrEdge 7 2 29 2" xfId="47555" xr:uid="{300BF5CD-CDB4-4538-B3B8-58CDE6BB3F86}"/>
    <cellStyle name="RISKtlandrEdge 7 2 3" xfId="13180" xr:uid="{5EF96730-D96C-4862-9309-DD60DB08AC90}"/>
    <cellStyle name="RISKtlandrEdge 7 2 3 2" xfId="35528" xr:uid="{0812B9A1-676C-493A-B41C-2FE69A19FBD5}"/>
    <cellStyle name="RISKtlandrEdge 7 2 30" xfId="6806" xr:uid="{EDA684D0-40CA-4B80-B9EE-DBFA0BC9C14F}"/>
    <cellStyle name="RISKtlandrEdge 7 2 4" xfId="6974" xr:uid="{AC49B409-A7A0-420C-A52C-11D0FA4E7D98}"/>
    <cellStyle name="RISKtlandrEdge 7 2 4 2" xfId="31341" xr:uid="{C2FEFB99-EBF4-4D3E-9B59-3F253D9BA9DE}"/>
    <cellStyle name="RISKtlandrEdge 7 2 5" xfId="11658" xr:uid="{686F0711-8C72-42E8-BCA7-7FE6B5D1360D}"/>
    <cellStyle name="RISKtlandrEdge 7 2 5 2" xfId="34271" xr:uid="{9AD6FA2E-CA2A-4B58-9628-7C71AFE40F00}"/>
    <cellStyle name="RISKtlandrEdge 7 2 6" xfId="12309" xr:uid="{6BBE57FE-4E0F-4A25-979A-7DDBE9BE309F}"/>
    <cellStyle name="RISKtlandrEdge 7 2 6 2" xfId="34815" xr:uid="{58E1E400-7A54-4888-80D2-E5818AD8460D}"/>
    <cellStyle name="RISKtlandrEdge 7 2 7" xfId="16547" xr:uid="{1CD57BB1-971F-41DB-87E7-CAE7AC6E5123}"/>
    <cellStyle name="RISKtlandrEdge 7 2 7 2" xfId="38040" xr:uid="{825BB498-2169-414C-8C60-4081F567E7BD}"/>
    <cellStyle name="RISKtlandrEdge 7 2 8" xfId="13874" xr:uid="{2F333FEB-1C32-4766-B35A-6ADC00792FFD}"/>
    <cellStyle name="RISKtlandrEdge 7 2 8 2" xfId="35997" xr:uid="{AE5E3B0E-F653-4FD8-8867-54E11057EC0E}"/>
    <cellStyle name="RISKtlandrEdge 7 2 9" xfId="15209" xr:uid="{2C4F5823-66A5-4399-809C-DB8389B9C716}"/>
    <cellStyle name="RISKtlandrEdge 7 2 9 2" xfId="36979" xr:uid="{77E99762-1ABE-4931-B604-54C733DA12D3}"/>
    <cellStyle name="RISKtlandrEdge 7 20" xfId="21071" xr:uid="{97FB90E1-BF5F-4475-991F-16B79669CB2B}"/>
    <cellStyle name="RISKtlandrEdge 7 20 2" xfId="41316" xr:uid="{CCBEA4A6-6033-425D-B142-0ED4804B2BD9}"/>
    <cellStyle name="RISKtlandrEdge 7 21" xfId="23946" xr:uid="{4BA0D93F-5403-4FAC-89C3-995D12826AC0}"/>
    <cellStyle name="RISKtlandrEdge 7 21 2" xfId="43323" xr:uid="{2A538AAF-4440-4457-8EAA-35D26248D861}"/>
    <cellStyle name="RISKtlandrEdge 7 22" xfId="21934" xr:uid="{714C9E68-E083-4E21-8434-0B4C1EAE93E0}"/>
    <cellStyle name="RISKtlandrEdge 7 22 2" xfId="41849" xr:uid="{AEB66520-56CF-4F02-94AD-7DFA4C126E3C}"/>
    <cellStyle name="RISKtlandrEdge 7 23" xfId="27297" xr:uid="{E5E25C11-EC61-4B89-A40A-F922EECBC01D}"/>
    <cellStyle name="RISKtlandrEdge 7 23 2" xfId="45600" xr:uid="{4953CD4F-3E11-4F6A-8C36-3DB9E5D20C3B}"/>
    <cellStyle name="RISKtlandrEdge 7 24" xfId="23542" xr:uid="{6B997DFA-F390-4E7E-B4EB-3CAA3FBF745B}"/>
    <cellStyle name="RISKtlandrEdge 7 24 2" xfId="42987" xr:uid="{87EC8050-217F-4E92-8A22-C254277D96B2}"/>
    <cellStyle name="RISKtlandrEdge 7 25" xfId="23675" xr:uid="{17862B47-3513-435F-A2FD-5E728866DFB3}"/>
    <cellStyle name="RISKtlandrEdge 7 25 2" xfId="43097" xr:uid="{2FC696C3-AFC6-45EE-B1FB-288B0D0944B6}"/>
    <cellStyle name="RISKtlandrEdge 7 26" xfId="26032" xr:uid="{B72C0848-4307-4605-B063-38E72BE80250}"/>
    <cellStyle name="RISKtlandrEdge 7 26 2" xfId="44803" xr:uid="{C4BA8576-FB09-4B96-A2F2-3D99FD28FE39}"/>
    <cellStyle name="RISKtlandrEdge 7 27" xfId="28983" xr:uid="{66C5642B-2BF1-4C87-A748-13B156CE4DFB}"/>
    <cellStyle name="RISKtlandrEdge 7 27 2" xfId="46577" xr:uid="{05646C69-C5D9-4DE2-AFC8-B3C8C02F2329}"/>
    <cellStyle name="RISKtlandrEdge 7 28" xfId="29822" xr:uid="{08ABA7D2-A462-48F7-8550-9230B276923F}"/>
    <cellStyle name="RISKtlandrEdge 7 28 2" xfId="47139" xr:uid="{9ADF9BB5-210D-4876-A0E0-2B458E9BC02D}"/>
    <cellStyle name="RISKtlandrEdge 7 29" xfId="30229" xr:uid="{AE8673D0-5E99-4971-922D-D9457D768E25}"/>
    <cellStyle name="RISKtlandrEdge 7 29 2" xfId="47390" xr:uid="{3861100B-65F5-4BE0-9FB1-57F9CAF6CFDD}"/>
    <cellStyle name="RISKtlandrEdge 7 3" xfId="4058" xr:uid="{2D786F0E-FE55-49F9-AB6F-C63DD700EC36}"/>
    <cellStyle name="RISKtlandrEdge 7 3 10" xfId="16819" xr:uid="{4AFFD47D-3137-48AF-8D6C-F4038D4C6BAB}"/>
    <cellStyle name="RISKtlandrEdge 7 3 10 2" xfId="38247" xr:uid="{81BC0F70-5B55-4AB5-90AA-E9B421FE9995}"/>
    <cellStyle name="RISKtlandrEdge 7 3 11" xfId="18024" xr:uid="{2A6530E8-1BE1-4F02-A85B-83B8DAAF7485}"/>
    <cellStyle name="RISKtlandrEdge 7 3 11 2" xfId="39120" xr:uid="{7FB03010-BAE6-4F23-9F78-372D76D1E604}"/>
    <cellStyle name="RISKtlandrEdge 7 3 12" xfId="20641" xr:uid="{FCB77438-A3A7-4D01-9048-99FDE6C47339}"/>
    <cellStyle name="RISKtlandrEdge 7 3 12 2" xfId="41001" xr:uid="{6198383C-F715-4AFB-B52F-57D5D24075FB}"/>
    <cellStyle name="RISKtlandrEdge 7 3 13" xfId="15338" xr:uid="{F1D8AAD1-D468-4FC5-81CF-3A982B95511E}"/>
    <cellStyle name="RISKtlandrEdge 7 3 13 2" xfId="37038" xr:uid="{DFC7DE7D-B1F3-45A9-B36C-997E78844AA6}"/>
    <cellStyle name="RISKtlandrEdge 7 3 14" xfId="21212" xr:uid="{3931D144-2B8E-4BEF-9AA0-E389C2D50AB7}"/>
    <cellStyle name="RISKtlandrEdge 7 3 14 2" xfId="41405" xr:uid="{4CCFC2C4-ED6C-40DF-A871-96EAE8D2B9D0}"/>
    <cellStyle name="RISKtlandrEdge 7 3 15" xfId="20468" xr:uid="{9C286F5A-7182-4777-BF21-218F3412721D}"/>
    <cellStyle name="RISKtlandrEdge 7 3 15 2" xfId="40861" xr:uid="{E8D9635C-4783-49D3-939F-BE70365CBC62}"/>
    <cellStyle name="RISKtlandrEdge 7 3 16" xfId="22204" xr:uid="{6450B429-40F0-42BB-8097-B48BFD6F98B6}"/>
    <cellStyle name="RISKtlandrEdge 7 3 16 2" xfId="42083" xr:uid="{BAFFABDC-C755-4F61-816A-A0BADC80B7B8}"/>
    <cellStyle name="RISKtlandrEdge 7 3 17" xfId="18703" xr:uid="{E41CEBEC-B32F-40DF-AB1F-926023CEEFC3}"/>
    <cellStyle name="RISKtlandrEdge 7 3 17 2" xfId="39581" xr:uid="{9D574C7E-ED5F-496E-9587-B01C3A2722A4}"/>
    <cellStyle name="RISKtlandrEdge 7 3 18" xfId="25792" xr:uid="{B4D7D076-7AFE-4749-A33C-4A355A47D8B3}"/>
    <cellStyle name="RISKtlandrEdge 7 3 18 2" xfId="44620" xr:uid="{8BB91B5B-F726-4825-842D-6B068520446B}"/>
    <cellStyle name="RISKtlandrEdge 7 3 19" xfId="23945" xr:uid="{516EE14E-2349-402A-AFBE-A25CCD974D3B}"/>
    <cellStyle name="RISKtlandrEdge 7 3 19 2" xfId="43322" xr:uid="{9D3139DB-9A1E-4272-BC60-DF46ED374CAA}"/>
    <cellStyle name="RISKtlandrEdge 7 3 2" xfId="7331" xr:uid="{C26D699E-206D-46B2-AD37-05B970FB2B73}"/>
    <cellStyle name="RISKtlandrEdge 7 3 2 2" xfId="31694" xr:uid="{23D487F7-BA10-4ACC-AED3-34CBBD0E952F}"/>
    <cellStyle name="RISKtlandrEdge 7 3 20" xfId="24441" xr:uid="{A7A1BAEE-8AF2-42C8-9EE0-274070DA5FE4}"/>
    <cellStyle name="RISKtlandrEdge 7 3 20 2" xfId="43653" xr:uid="{34CFB2C2-4355-4207-9F2B-A9726B39C779}"/>
    <cellStyle name="RISKtlandrEdge 7 3 21" xfId="27296" xr:uid="{D8DDD470-3477-4CEB-926E-22FEC4AB36E8}"/>
    <cellStyle name="RISKtlandrEdge 7 3 21 2" xfId="45599" xr:uid="{127578EF-5D62-4BC0-B43F-D66B68CD498B}"/>
    <cellStyle name="RISKtlandrEdge 7 3 22" xfId="25500" xr:uid="{6625CC38-DB18-4B22-88F2-CFA7BD0F4272}"/>
    <cellStyle name="RISKtlandrEdge 7 3 22 2" xfId="44377" xr:uid="{E5B0A864-743A-4AF4-AC6E-4936AC91E204}"/>
    <cellStyle name="RISKtlandrEdge 7 3 23" xfId="23584" xr:uid="{12356C41-D5DA-449D-84C6-E2CF1D3C16EC}"/>
    <cellStyle name="RISKtlandrEdge 7 3 23 2" xfId="43019" xr:uid="{CB238672-D0E0-4F54-A734-E8CDA2E500EB}"/>
    <cellStyle name="RISKtlandrEdge 7 3 24" xfId="26975" xr:uid="{09D0D1EC-3D31-4A94-8ACE-D47C70F6DB52}"/>
    <cellStyle name="RISKtlandrEdge 7 3 24 2" xfId="45382" xr:uid="{6A97D42D-04A1-4D4A-A11D-81BEC3268A65}"/>
    <cellStyle name="RISKtlandrEdge 7 3 25" xfId="29371" xr:uid="{CCA54158-124B-4E0F-8E5C-92BEC44F076A}"/>
    <cellStyle name="RISKtlandrEdge 7 3 25 2" xfId="46840" xr:uid="{1AF0233E-9F5A-43C6-B2E4-31E53DD40C14}"/>
    <cellStyle name="RISKtlandrEdge 7 3 26" xfId="30379" xr:uid="{05B64405-9C04-4651-A692-77511F19C078}"/>
    <cellStyle name="RISKtlandrEdge 7 3 26 2" xfId="47477" xr:uid="{ACEB045B-CB9E-445C-986E-78074574B97F}"/>
    <cellStyle name="RISKtlandrEdge 7 3 27" xfId="30502" xr:uid="{E60DC547-EA1C-4A95-A3E3-9992782F3B0E}"/>
    <cellStyle name="RISKtlandrEdge 7 3 27 2" xfId="47505" xr:uid="{2B9A8D09-3BF1-4BE2-A543-4363EAD01443}"/>
    <cellStyle name="RISKtlandrEdge 7 3 28" xfId="28243" xr:uid="{C49837F5-1B72-4812-A337-140B747A862E}"/>
    <cellStyle name="RISKtlandrEdge 7 3 28 2" xfId="46118" xr:uid="{43E075A8-1FE1-4FBE-B139-8B74CB694AF5}"/>
    <cellStyle name="RISKtlandrEdge 7 3 29" xfId="30584" xr:uid="{B3E22075-6B6F-45C2-93D0-789496AE0759}"/>
    <cellStyle name="RISKtlandrEdge 7 3 29 2" xfId="47534" xr:uid="{C2F9F46A-8E9D-4E00-890F-325162684A3C}"/>
    <cellStyle name="RISKtlandrEdge 7 3 3" xfId="10280" xr:uid="{F76A43E6-E2D1-49A7-B5D3-BC162EE61014}"/>
    <cellStyle name="RISKtlandrEdge 7 3 3 2" xfId="33915" xr:uid="{D4777CF7-4B92-40D5-BCDC-7329EE4C118D}"/>
    <cellStyle name="RISKtlandrEdge 7 3 30" xfId="6047" xr:uid="{0C2F526A-8CBD-4DC0-BBF8-13031C240543}"/>
    <cellStyle name="RISKtlandrEdge 7 3 4" xfId="14195" xr:uid="{10E70DE1-D60F-4D66-941B-1409F5AA8022}"/>
    <cellStyle name="RISKtlandrEdge 7 3 4 2" xfId="36248" xr:uid="{E71CA7E9-A36C-49E5-B636-3AC2AE2331C2}"/>
    <cellStyle name="RISKtlandrEdge 7 3 5" xfId="7224" xr:uid="{DABF8D1A-35AE-4C8B-8729-24337FF86D14}"/>
    <cellStyle name="RISKtlandrEdge 7 3 5 2" xfId="31589" xr:uid="{181BC3B2-D0D5-4EF0-B7BF-9916F7FB81BD}"/>
    <cellStyle name="RISKtlandrEdge 7 3 6" xfId="12327" xr:uid="{546697D0-7561-405E-8B7D-A63FC76F5E78}"/>
    <cellStyle name="RISKtlandrEdge 7 3 6 2" xfId="34831" xr:uid="{83DCE1BD-9345-4A34-BCED-B2A3D74C9ED6}"/>
    <cellStyle name="RISKtlandrEdge 7 3 7" xfId="12534" xr:uid="{41D9E312-5EAF-4A27-9B86-6F9FBFE38C56}"/>
    <cellStyle name="RISKtlandrEdge 7 3 7 2" xfId="34978" xr:uid="{662191AC-A060-4568-8C10-257B64C845E9}"/>
    <cellStyle name="RISKtlandrEdge 7 3 8" xfId="17421" xr:uid="{ED4FBFAB-95D6-44CC-A18F-7982442BF1BE}"/>
    <cellStyle name="RISKtlandrEdge 7 3 8 2" xfId="38668" xr:uid="{BDB8DAEF-2DBA-40C3-8544-6E2DA4DEF76F}"/>
    <cellStyle name="RISKtlandrEdge 7 3 9" xfId="18269" xr:uid="{692DBDF6-F549-4835-9110-E3DBEDE09FAB}"/>
    <cellStyle name="RISKtlandrEdge 7 3 9 2" xfId="39300" xr:uid="{304B2188-0611-4378-8031-780667F83632}"/>
    <cellStyle name="RISKtlandrEdge 7 30" xfId="30171" xr:uid="{5DC5FDDD-7DA9-4BC2-AC70-62F1FAE282E1}"/>
    <cellStyle name="RISKtlandrEdge 7 30 2" xfId="47335" xr:uid="{DDA39ADD-44A1-4A32-926D-59D46B7FC935}"/>
    <cellStyle name="RISKtlandrEdge 7 31" xfId="30897" xr:uid="{407119A4-F272-4446-B64B-AC49271B758F}"/>
    <cellStyle name="RISKtlandrEdge 7 31 2" xfId="47745" xr:uid="{01413BDC-EE84-41C7-B855-D3295E8E4E9E}"/>
    <cellStyle name="RISKtlandrEdge 7 32" xfId="6048" xr:uid="{BEA11489-790E-40AD-A406-78B5069861B5}"/>
    <cellStyle name="RISKtlandrEdge 7 4" xfId="7332" xr:uid="{49319BF9-C5F1-4F91-93CB-A73CEC719733}"/>
    <cellStyle name="RISKtlandrEdge 7 4 2" xfId="31695" xr:uid="{4792B492-3ABD-4DBC-8C0D-AA4DFF86FDED}"/>
    <cellStyle name="RISKtlandrEdge 7 5" xfId="10279" xr:uid="{8590ABF7-F04E-41BB-B4C5-3AA6A4CB0CE7}"/>
    <cellStyle name="RISKtlandrEdge 7 5 2" xfId="33914" xr:uid="{F6BD776E-5E64-4817-9DFC-39D18EFAF129}"/>
    <cellStyle name="RISKtlandrEdge 7 6" xfId="14196" xr:uid="{914B2999-35F0-44A0-BC2E-1C71DA598EC7}"/>
    <cellStyle name="RISKtlandrEdge 7 6 2" xfId="36249" xr:uid="{F10634CB-D9F5-4307-A16D-C66A45E0F3FF}"/>
    <cellStyle name="RISKtlandrEdge 7 7" xfId="7225" xr:uid="{279BAA35-6F3E-4752-928C-EC4BDE41E9A2}"/>
    <cellStyle name="RISKtlandrEdge 7 7 2" xfId="31590" xr:uid="{7E0C8906-9253-40BE-B71E-0AE55DD9C632}"/>
    <cellStyle name="RISKtlandrEdge 7 8" xfId="13813" xr:uid="{9789E0BD-ECF0-4997-9323-27CBB474BC8B}"/>
    <cellStyle name="RISKtlandrEdge 7 8 2" xfId="35938" xr:uid="{F0F13E02-4E8E-4A36-AB00-F2D9B1C2BDD3}"/>
    <cellStyle name="RISKtlandrEdge 7 9" xfId="14031" xr:uid="{E4A9E976-F559-4E2D-9EC7-FA417E398D97}"/>
    <cellStyle name="RISKtlandrEdge 7 9 2" xfId="36125" xr:uid="{053F506C-3EAC-4E01-A804-681AC25CA541}"/>
    <cellStyle name="RISKtlandrEdge 8" xfId="4059" xr:uid="{EED30A97-855C-4BEB-8C0C-039E350AF251}"/>
    <cellStyle name="RISKtlandrEdge 8 10" xfId="13720" xr:uid="{39D9900C-FD07-4BB8-97AE-7D76196D9AE1}"/>
    <cellStyle name="RISKtlandrEdge 8 10 2" xfId="35876" xr:uid="{BC6B7AAC-492A-48A9-8768-8EFA6A641267}"/>
    <cellStyle name="RISKtlandrEdge 8 11" xfId="16288" xr:uid="{272FB672-0EFB-43A0-B639-912BF24166B0}"/>
    <cellStyle name="RISKtlandrEdge 8 11 2" xfId="37825" xr:uid="{34F1BC1C-2A61-4C29-AD0B-3D39362D6F73}"/>
    <cellStyle name="RISKtlandrEdge 8 12" xfId="19153" xr:uid="{ECC882BE-0842-484E-A694-90038FC85812}"/>
    <cellStyle name="RISKtlandrEdge 8 12 2" xfId="39962" xr:uid="{ACE8EE00-8889-40C1-B7A2-C602B4B50420}"/>
    <cellStyle name="RISKtlandrEdge 8 13" xfId="19904" xr:uid="{66F6C2B2-0CDC-4C3A-9FD9-C29130F3A09A}"/>
    <cellStyle name="RISKtlandrEdge 8 13 2" xfId="40516" xr:uid="{0AD62EA0-DACE-4115-AB83-9EAFFBFA029E}"/>
    <cellStyle name="RISKtlandrEdge 8 14" xfId="16115" xr:uid="{E0EDA4C7-3D88-48C7-89DD-6B758C83C9FF}"/>
    <cellStyle name="RISKtlandrEdge 8 14 2" xfId="37685" xr:uid="{8655A8A7-428E-4E39-A4A8-07A08DD00F63}"/>
    <cellStyle name="RISKtlandrEdge 8 15" xfId="19010" xr:uid="{AF662EB9-4CBE-4703-B6B6-E955A5E84B6F}"/>
    <cellStyle name="RISKtlandrEdge 8 15 2" xfId="39842" xr:uid="{AAE6057B-86C6-45DB-9630-826EA899953D}"/>
    <cellStyle name="RISKtlandrEdge 8 16" xfId="20166" xr:uid="{6DCA8DFB-5C1E-4977-9D9F-7D36F22EB7D7}"/>
    <cellStyle name="RISKtlandrEdge 8 16 2" xfId="40673" xr:uid="{ED6DFBB4-C43B-41CE-B483-53ACE40DA3AF}"/>
    <cellStyle name="RISKtlandrEdge 8 17" xfId="23151" xr:uid="{FF078B77-814F-4A74-8C5E-7DA8562BC73C}"/>
    <cellStyle name="RISKtlandrEdge 8 17 2" xfId="42750" xr:uid="{8251C95C-AEE6-4512-9FFA-3C67C1CB0841}"/>
    <cellStyle name="RISKtlandrEdge 8 18" xfId="23972" xr:uid="{703AAE9D-5FCF-42E0-8CDF-B4E13AA800E7}"/>
    <cellStyle name="RISKtlandrEdge 8 18 2" xfId="43349" xr:uid="{B0A190A9-2E21-4809-A70C-B3917C338797}"/>
    <cellStyle name="RISKtlandrEdge 8 19" xfId="22157" xr:uid="{2E1CE6D7-5C0B-41E7-BB87-0F30F2612DBC}"/>
    <cellStyle name="RISKtlandrEdge 8 19 2" xfId="42037" xr:uid="{FB871181-FAB1-4082-A679-4B6161DF9B58}"/>
    <cellStyle name="RISKtlandrEdge 8 2" xfId="4060" xr:uid="{1D0ABB7C-BA01-46CB-98CB-A14A8F1A1529}"/>
    <cellStyle name="RISKtlandrEdge 8 2 10" xfId="17175" xr:uid="{55BB8B65-EC14-4FEA-9C8B-3F3102FEF918}"/>
    <cellStyle name="RISKtlandrEdge 8 2 10 2" xfId="38504" xr:uid="{3B9FA1B7-9719-4B82-B7FF-933868536A38}"/>
    <cellStyle name="RISKtlandrEdge 8 2 11" xfId="15742" xr:uid="{00FFC03A-0DA5-479A-9BB2-2CB88584393F}"/>
    <cellStyle name="RISKtlandrEdge 8 2 11 2" xfId="37371" xr:uid="{572BC55C-4C62-44B1-96C6-73BE161488EE}"/>
    <cellStyle name="RISKtlandrEdge 8 2 12" xfId="20640" xr:uid="{9948E27A-CFC9-4380-A3C3-ADA3E63B844D}"/>
    <cellStyle name="RISKtlandrEdge 8 2 12 2" xfId="41000" xr:uid="{B2EA74A7-2002-4ACE-83DD-CD61F2A9A460}"/>
    <cellStyle name="RISKtlandrEdge 8 2 13" xfId="17107" xr:uid="{B2E9CE45-1F28-4D62-8BE8-6642363AE8A7}"/>
    <cellStyle name="RISKtlandrEdge 8 2 13 2" xfId="38446" xr:uid="{BB577FA7-504B-48AE-A642-B2D896AC02F2}"/>
    <cellStyle name="RISKtlandrEdge 8 2 14" xfId="17806" xr:uid="{DA60D75F-B0DD-47DB-86C5-F5A107105E1A}"/>
    <cellStyle name="RISKtlandrEdge 8 2 14 2" xfId="38931" xr:uid="{4DC9B797-53E5-4C78-B4FA-61CD8949412D}"/>
    <cellStyle name="RISKtlandrEdge 8 2 15" xfId="15398" xr:uid="{18E5A4EB-7731-43CB-A67F-9D27B3F27A2F}"/>
    <cellStyle name="RISKtlandrEdge 8 2 15 2" xfId="37095" xr:uid="{3D6DDAD3-EAA1-4CC9-9813-B82E29003F2F}"/>
    <cellStyle name="RISKtlandrEdge 8 2 16" xfId="19493" xr:uid="{BF2C511E-14A0-449D-AE2B-57C5274FBAB7}"/>
    <cellStyle name="RISKtlandrEdge 8 2 16 2" xfId="40170" xr:uid="{3A59C0AA-DA7C-4CA0-88A5-87984291E213}"/>
    <cellStyle name="RISKtlandrEdge 8 2 17" xfId="18704" xr:uid="{446797AA-3A9A-43F4-A229-3CA284679699}"/>
    <cellStyle name="RISKtlandrEdge 8 2 17 2" xfId="39582" xr:uid="{C2D53981-5097-43BE-B69F-88360BCD3BA1}"/>
    <cellStyle name="RISKtlandrEdge 8 2 18" xfId="24538" xr:uid="{7CE81546-D7CF-40C4-9C29-A3D3A3F3E6F0}"/>
    <cellStyle name="RISKtlandrEdge 8 2 18 2" xfId="43721" xr:uid="{366FA9E1-966D-4A07-8F88-BE1786CC5ED9}"/>
    <cellStyle name="RISKtlandrEdge 8 2 19" xfId="23944" xr:uid="{368FB8E4-7BBC-4935-8714-8EE31878EB71}"/>
    <cellStyle name="RISKtlandrEdge 8 2 19 2" xfId="43321" xr:uid="{B6733E81-891D-4D16-984C-20AC745062C5}"/>
    <cellStyle name="RISKtlandrEdge 8 2 2" xfId="7330" xr:uid="{6DB80CF2-3764-4F28-91A1-3F699A41D947}"/>
    <cellStyle name="RISKtlandrEdge 8 2 2 2" xfId="31693" xr:uid="{E7D5DD80-3A63-46C8-8EAF-B0DCEC41458D}"/>
    <cellStyle name="RISKtlandrEdge 8 2 20" xfId="25508" xr:uid="{BA1B2328-4295-4787-9639-61EE625AA0AB}"/>
    <cellStyle name="RISKtlandrEdge 8 2 20 2" xfId="44384" xr:uid="{14836205-7062-4A83-9C20-50F6DB1E46E5}"/>
    <cellStyle name="RISKtlandrEdge 8 2 21" xfId="27295" xr:uid="{5B2F6CB8-14C7-4F22-BF9A-C14C47D10F0B}"/>
    <cellStyle name="RISKtlandrEdge 8 2 21 2" xfId="45598" xr:uid="{06D78386-617C-4221-9715-68BDEBF33696}"/>
    <cellStyle name="RISKtlandrEdge 8 2 22" xfId="25972" xr:uid="{EE0F8CDE-0035-4B47-83D6-7682B746C560}"/>
    <cellStyle name="RISKtlandrEdge 8 2 22 2" xfId="44760" xr:uid="{99092590-166C-4F09-9F1F-2FA37873693A}"/>
    <cellStyle name="RISKtlandrEdge 8 2 23" xfId="25461" xr:uid="{343391CC-02B8-48A3-93B8-0B65B51E69B8}"/>
    <cellStyle name="RISKtlandrEdge 8 2 23 2" xfId="44345" xr:uid="{0619AACC-2699-44CE-8976-E55A57870B92}"/>
    <cellStyle name="RISKtlandrEdge 8 2 24" xfId="29591" xr:uid="{6EF37F0C-B8F5-4F22-98C8-F7F895AAA037}"/>
    <cellStyle name="RISKtlandrEdge 8 2 24 2" xfId="46986" xr:uid="{3940D610-E308-402C-90A8-DE126AEB9783}"/>
    <cellStyle name="RISKtlandrEdge 8 2 25" xfId="27679" xr:uid="{6C9224A3-1A18-4352-A859-1E6DDF2AC6DE}"/>
    <cellStyle name="RISKtlandrEdge 8 2 25 2" xfId="45793" xr:uid="{A0FB36D0-FE4C-498B-A999-1A35A040AA68}"/>
    <cellStyle name="RISKtlandrEdge 8 2 26" xfId="29893" xr:uid="{7C22DAFC-3765-4077-BB38-16D24ECE64DF}"/>
    <cellStyle name="RISKtlandrEdge 8 2 26 2" xfId="47181" xr:uid="{A1453D6D-1D7B-40EE-8715-E4652F79A00D}"/>
    <cellStyle name="RISKtlandrEdge 8 2 27" xfId="25994" xr:uid="{7423A4C6-4A83-4990-9F9D-803D6E7D10BA}"/>
    <cellStyle name="RISKtlandrEdge 8 2 27 2" xfId="44773" xr:uid="{53C16624-1DA5-411A-AF72-BB4143BC3504}"/>
    <cellStyle name="RISKtlandrEdge 8 2 28" xfId="30385" xr:uid="{59CCB6AA-7A8B-41CB-ACFE-9C96E078663D}"/>
    <cellStyle name="RISKtlandrEdge 8 2 28 2" xfId="47483" xr:uid="{30CB61E2-9A83-41F5-8B57-0D56D4CE6F7B}"/>
    <cellStyle name="RISKtlandrEdge 8 2 29" xfId="30896" xr:uid="{146884B2-05CA-4364-B372-2DD5AF2E5F79}"/>
    <cellStyle name="RISKtlandrEdge 8 2 29 2" xfId="47744" xr:uid="{7B9C915E-E5B4-4568-8577-79F7CDD4CAF5}"/>
    <cellStyle name="RISKtlandrEdge 8 2 3" xfId="10281" xr:uid="{FA764A6B-A57D-4F55-BAB6-DBF55B3458B3}"/>
    <cellStyle name="RISKtlandrEdge 8 2 3 2" xfId="33916" xr:uid="{B457CEB8-FB5B-47D9-866B-7A28625810DE}"/>
    <cellStyle name="RISKtlandrEdge 8 2 30" xfId="6046" xr:uid="{2AB15EDC-9346-4DFF-8EE1-DD630B1F1E82}"/>
    <cellStyle name="RISKtlandrEdge 8 2 4" xfId="14194" xr:uid="{208882F7-B995-48AA-8446-23F5E29FE948}"/>
    <cellStyle name="RISKtlandrEdge 8 2 4 2" xfId="36247" xr:uid="{EE9DC2A3-B41D-4A34-A59F-38B1143217FA}"/>
    <cellStyle name="RISKtlandrEdge 8 2 5" xfId="11657" xr:uid="{FE5546CD-603E-4F4A-808C-87E97D28FA26}"/>
    <cellStyle name="RISKtlandrEdge 8 2 5 2" xfId="34270" xr:uid="{8A7D8C9A-7E06-49ED-ACD0-F97A53164C12}"/>
    <cellStyle name="RISKtlandrEdge 8 2 6" xfId="14652" xr:uid="{4A6D3682-EA17-4D5B-9750-37593F9FF02D}"/>
    <cellStyle name="RISKtlandrEdge 8 2 6 2" xfId="36564" xr:uid="{B1ACAC03-2D4D-4468-B531-35BF51E8475D}"/>
    <cellStyle name="RISKtlandrEdge 8 2 7" xfId="14030" xr:uid="{169BB595-6BDF-48C3-A107-ADFAA4C3DEA5}"/>
    <cellStyle name="RISKtlandrEdge 8 2 7 2" xfId="36124" xr:uid="{E914B802-A183-4D89-B696-CC1220F5C56F}"/>
    <cellStyle name="RISKtlandrEdge 8 2 8" xfId="17420" xr:uid="{6BD2B15F-E7ED-4433-BB05-B4C2AC651435}"/>
    <cellStyle name="RISKtlandrEdge 8 2 8 2" xfId="38667" xr:uid="{EB20F4F2-24E2-4D5A-9849-192C460EE5C8}"/>
    <cellStyle name="RISKtlandrEdge 8 2 9" xfId="18268" xr:uid="{C52893ED-9A0A-4852-97B7-F8FE97480170}"/>
    <cellStyle name="RISKtlandrEdge 8 2 9 2" xfId="39299" xr:uid="{EBDEB423-0EF9-462F-A27B-E82C0520DA91}"/>
    <cellStyle name="RISKtlandrEdge 8 20" xfId="22730" xr:uid="{BAB9E65E-B08F-40A9-B93C-72D675DC6C9E}"/>
    <cellStyle name="RISKtlandrEdge 8 20 2" xfId="42487" xr:uid="{7F1DA5FF-B56E-4995-B901-869E87E2CB5C}"/>
    <cellStyle name="RISKtlandrEdge 8 21" xfId="21012" xr:uid="{6D838232-5815-40BB-BE47-1530E6350004}"/>
    <cellStyle name="RISKtlandrEdge 8 21 2" xfId="41270" xr:uid="{5A692D23-66CC-4297-8354-D265AAD28D8F}"/>
    <cellStyle name="RISKtlandrEdge 8 22" xfId="25442" xr:uid="{A34CDAF1-81B7-40EF-8F32-3A0E10AFFB47}"/>
    <cellStyle name="RISKtlandrEdge 8 22 2" xfId="44328" xr:uid="{CC6FB87C-0E70-437B-8355-1B3677267CFC}"/>
    <cellStyle name="RISKtlandrEdge 8 23" xfId="25079" xr:uid="{85CF3280-ED9A-471D-9381-B6AD49737981}"/>
    <cellStyle name="RISKtlandrEdge 8 23 2" xfId="44087" xr:uid="{A594404F-26C1-4412-8629-BEE8D3E518C3}"/>
    <cellStyle name="RISKtlandrEdge 8 24" xfId="27802" xr:uid="{D1F22A0C-756F-4E39-99A8-253461C3F3A7}"/>
    <cellStyle name="RISKtlandrEdge 8 24 2" xfId="45889" xr:uid="{3BD5197D-39BE-46AE-B7A1-8074A7EA312F}"/>
    <cellStyle name="RISKtlandrEdge 8 25" xfId="25532" xr:uid="{F7161F08-33F8-4392-B55E-1F871DAE30E5}"/>
    <cellStyle name="RISKtlandrEdge 8 25 2" xfId="44406" xr:uid="{20E1BF4F-7241-406B-9A07-5113636E48D4}"/>
    <cellStyle name="RISKtlandrEdge 8 26" xfId="25218" xr:uid="{412C844F-F0B9-4A77-9153-ADF0B1D1EA18}"/>
    <cellStyle name="RISKtlandrEdge 8 26 2" xfId="44156" xr:uid="{6FEAB447-7F47-46C5-B80C-F530D72150E1}"/>
    <cellStyle name="RISKtlandrEdge 8 27" xfId="29353" xr:uid="{42FB53D8-9113-4D3A-897D-FF9A759C7C88}"/>
    <cellStyle name="RISKtlandrEdge 8 27 2" xfId="46826" xr:uid="{48BE4B96-ECEF-44DE-A8EA-58A3E9C529DE}"/>
    <cellStyle name="RISKtlandrEdge 8 28" xfId="30023" xr:uid="{65A1B998-8B50-451E-9DA0-783F13D8C763}"/>
    <cellStyle name="RISKtlandrEdge 8 28 2" xfId="47254" xr:uid="{E4DCF9D7-7EE0-4DA6-9AB0-2ADC8717D658}"/>
    <cellStyle name="RISKtlandrEdge 8 29" xfId="30684" xr:uid="{36D6FD73-0E9D-445A-A82F-7AEB5F037EAD}"/>
    <cellStyle name="RISKtlandrEdge 8 29 2" xfId="47630" xr:uid="{D862FF1D-D4C1-4CD8-B6FE-0B9C12807013}"/>
    <cellStyle name="RISKtlandrEdge 8 3" xfId="4061" xr:uid="{3D1E1C39-209C-4C76-8BC3-15F1631D2FA3}"/>
    <cellStyle name="RISKtlandrEdge 8 3 10" xfId="19152" xr:uid="{4A12F01C-F408-4460-B5EF-3C64253DCD49}"/>
    <cellStyle name="RISKtlandrEdge 8 3 10 2" xfId="39961" xr:uid="{902B7EC7-01A7-41C0-B2FD-CC1D20235774}"/>
    <cellStyle name="RISKtlandrEdge 8 3 11" xfId="19903" xr:uid="{8B67B40B-B845-432D-A9AA-2D8BA9A99584}"/>
    <cellStyle name="RISKtlandrEdge 8 3 11 2" xfId="40515" xr:uid="{D15369E4-573A-44B9-87D1-333D418F53AB}"/>
    <cellStyle name="RISKtlandrEdge 8 3 12" xfId="18893" xr:uid="{789181E7-C3BD-4A37-A94E-B40600893A32}"/>
    <cellStyle name="RISKtlandrEdge 8 3 12 2" xfId="39726" xr:uid="{911F1562-CC34-4F9C-9A51-3B7B5EBA2B3A}"/>
    <cellStyle name="RISKtlandrEdge 8 3 13" xfId="19009" xr:uid="{0D941F22-4831-49B6-AF1E-A1BE36D6EBD7}"/>
    <cellStyle name="RISKtlandrEdge 8 3 13 2" xfId="39841" xr:uid="{5A9B53C3-F329-46EF-AE73-727B14E8C01C}"/>
    <cellStyle name="RISKtlandrEdge 8 3 14" xfId="22082" xr:uid="{E85BC311-F347-43B4-958B-929B08FD5BBA}"/>
    <cellStyle name="RISKtlandrEdge 8 3 14 2" xfId="41967" xr:uid="{3C21A759-95F6-4E52-9E81-C5EA1516C942}"/>
    <cellStyle name="RISKtlandrEdge 8 3 15" xfId="23150" xr:uid="{C501B22A-A318-416C-A198-55D3BB504348}"/>
    <cellStyle name="RISKtlandrEdge 8 3 15 2" xfId="42749" xr:uid="{DA55C627-D82F-4D7D-A6D7-1BC811CE8EB4}"/>
    <cellStyle name="RISKtlandrEdge 8 3 16" xfId="23971" xr:uid="{11E99EEF-0115-4EAF-9217-E428B94109BA}"/>
    <cellStyle name="RISKtlandrEdge 8 3 16 2" xfId="43348" xr:uid="{3ADB8267-6719-4E81-B71F-92AD0C92D959}"/>
    <cellStyle name="RISKtlandrEdge 8 3 17" xfId="21743" xr:uid="{39DC7848-52C6-4ADE-9A56-1EBA4164D75D}"/>
    <cellStyle name="RISKtlandrEdge 8 3 17 2" xfId="41765" xr:uid="{7A77A045-DB97-4949-8286-86F2E2CDE419}"/>
    <cellStyle name="RISKtlandrEdge 8 3 18" xfId="24522" xr:uid="{42AC472A-CB90-4896-A741-E7ED611BF378}"/>
    <cellStyle name="RISKtlandrEdge 8 3 18 2" xfId="43705" xr:uid="{D843C546-E59B-4492-B23B-0A8EAB7EF3C4}"/>
    <cellStyle name="RISKtlandrEdge 8 3 19" xfId="22210" xr:uid="{3F8218B0-723A-450F-84B0-A9E2EB59F118}"/>
    <cellStyle name="RISKtlandrEdge 8 3 19 2" xfId="42089" xr:uid="{99BCF523-2B0B-4159-B22D-61AE646B9365}"/>
    <cellStyle name="RISKtlandrEdge 8 3 2" xfId="11756" xr:uid="{8878C138-B4B3-40EF-AD5F-02B4BE6BA1EF}"/>
    <cellStyle name="RISKtlandrEdge 8 3 2 2" xfId="34369" xr:uid="{D41DFA65-485C-45CD-8AF1-11A78D910576}"/>
    <cellStyle name="RISKtlandrEdge 8 3 20" xfId="21855" xr:uid="{0E35BCCE-BA2D-4D6A-BED1-D10B061442F9}"/>
    <cellStyle name="RISKtlandrEdge 8 3 20 2" xfId="41800" xr:uid="{FCA03B8C-33D5-4992-BA4D-623D07D656BE}"/>
    <cellStyle name="RISKtlandrEdge 8 3 21" xfId="26171" xr:uid="{130EED34-2952-4384-83D8-C4DFB7B497E8}"/>
    <cellStyle name="RISKtlandrEdge 8 3 21 2" xfId="44901" xr:uid="{0E8BA192-91E5-431A-AF1D-E46EBDA2D66C}"/>
    <cellStyle name="RISKtlandrEdge 8 3 22" xfId="27801" xr:uid="{BFA46ECC-0EE2-49E0-BB6C-0DB951AA56E9}"/>
    <cellStyle name="RISKtlandrEdge 8 3 22 2" xfId="45888" xr:uid="{4C333B0C-9CF9-449A-8CF8-78A79C740864}"/>
    <cellStyle name="RISKtlandrEdge 8 3 23" xfId="23710" xr:uid="{73B47FA3-2F12-43B7-9FB7-5F4D09C95D96}"/>
    <cellStyle name="RISKtlandrEdge 8 3 23 2" xfId="43128" xr:uid="{4E36558F-AD48-4296-ACCE-847A9F87A3FC}"/>
    <cellStyle name="RISKtlandrEdge 8 3 24" xfId="25885" xr:uid="{62D87387-3E6C-4C49-887C-AE53435CF9F3}"/>
    <cellStyle name="RISKtlandrEdge 8 3 24 2" xfId="44692" xr:uid="{46966D79-22B2-4730-9EBF-483DA0159B06}"/>
    <cellStyle name="RISKtlandrEdge 8 3 25" xfId="27718" xr:uid="{9E1A2C83-3E0F-4E2D-889B-2D73EE488058}"/>
    <cellStyle name="RISKtlandrEdge 8 3 25 2" xfId="45825" xr:uid="{AB6D181E-127E-4E5E-B486-F0BEBDC35799}"/>
    <cellStyle name="RISKtlandrEdge 8 3 26" xfId="27720" xr:uid="{4A2B134B-6020-43A6-AE4B-810417ED0BF2}"/>
    <cellStyle name="RISKtlandrEdge 8 3 26 2" xfId="45827" xr:uid="{6AEE0299-D3F2-487A-9527-814E3CFB3EFC}"/>
    <cellStyle name="RISKtlandrEdge 8 3 27" xfId="30683" xr:uid="{92309A9F-5F18-485B-8C59-94D9189F84FC}"/>
    <cellStyle name="RISKtlandrEdge 8 3 27 2" xfId="47629" xr:uid="{D8D203CF-B84E-4ABC-B65C-28A1AE379DBE}"/>
    <cellStyle name="RISKtlandrEdge 8 3 28" xfId="30172" xr:uid="{A99C86E2-BAD0-4318-9EB1-A8CBC4333BC0}"/>
    <cellStyle name="RISKtlandrEdge 8 3 28 2" xfId="47336" xr:uid="{CD3B1A14-1742-4069-8669-992277C83FEC}"/>
    <cellStyle name="RISKtlandrEdge 8 3 29" xfId="30608" xr:uid="{45CC2643-DE20-430E-B35E-3B758EF03157}"/>
    <cellStyle name="RISKtlandrEdge 8 3 29 2" xfId="47554" xr:uid="{01CECB12-100F-40FB-91EB-0053A05A9A33}"/>
    <cellStyle name="RISKtlandrEdge 8 3 3" xfId="13178" xr:uid="{F09CE98B-73B8-46DF-814C-98F506A3E8DB}"/>
    <cellStyle name="RISKtlandrEdge 8 3 3 2" xfId="35526" xr:uid="{DA710F44-C07E-43AC-B2A9-33BB01470283}"/>
    <cellStyle name="RISKtlandrEdge 8 3 30" xfId="6804" xr:uid="{CEEEF456-9BD7-4E1B-A540-ADBE4AED48A8}"/>
    <cellStyle name="RISKtlandrEdge 8 3 4" xfId="6972" xr:uid="{8360052C-DDC9-48A1-B37C-1219A6674D87}"/>
    <cellStyle name="RISKtlandrEdge 8 3 4 2" xfId="31339" xr:uid="{98A5F328-C0CA-40B1-A79A-F2453EF8E873}"/>
    <cellStyle name="RISKtlandrEdge 8 3 5" xfId="7223" xr:uid="{FFD51322-E8A0-4013-A421-EE7D7D2ECF45}"/>
    <cellStyle name="RISKtlandrEdge 8 3 5 2" xfId="31588" xr:uid="{ABE2B859-299B-455A-A81F-7ED009EC2321}"/>
    <cellStyle name="RISKtlandrEdge 8 3 6" xfId="12755" xr:uid="{949BD160-E636-4300-AB23-45E7EA15F2C8}"/>
    <cellStyle name="RISKtlandrEdge 8 3 6 2" xfId="35164" xr:uid="{4BB0B349-A921-4326-A3D5-C9C712B46301}"/>
    <cellStyle name="RISKtlandrEdge 8 3 7" xfId="16545" xr:uid="{AAC2E12C-DD47-4B00-AA62-F85AB0346D7D}"/>
    <cellStyle name="RISKtlandrEdge 8 3 7 2" xfId="38038" xr:uid="{00C584BB-0CC8-4582-A4A5-596994B4126E}"/>
    <cellStyle name="RISKtlandrEdge 8 3 8" xfId="12694" xr:uid="{8DC99579-CFDA-4303-899A-91E5E80A158D}"/>
    <cellStyle name="RISKtlandrEdge 8 3 8 2" xfId="35108" xr:uid="{6277CE01-9A72-4E1D-850F-306ABE233D48}"/>
    <cellStyle name="RISKtlandrEdge 8 3 9" xfId="13955" xr:uid="{63B10E22-67FC-41F4-890B-430B1E627B76}"/>
    <cellStyle name="RISKtlandrEdge 8 3 9 2" xfId="36061" xr:uid="{2D15CCF2-C4F9-420C-AB40-DAFDA29E157D}"/>
    <cellStyle name="RISKtlandrEdge 8 30" xfId="29815" xr:uid="{E146C91B-5E75-4A9E-A41D-9325CE6E3569}"/>
    <cellStyle name="RISKtlandrEdge 8 30 2" xfId="47132" xr:uid="{091CD7A3-D418-43D6-BC22-66DE29266C47}"/>
    <cellStyle name="RISKtlandrEdge 8 31" xfId="30190" xr:uid="{EBDB3DCF-71F6-452E-8E3B-80A3D10AE5A4}"/>
    <cellStyle name="RISKtlandrEdge 8 31 2" xfId="47351" xr:uid="{FBF2D5B6-79F5-4748-92F3-D924340E78D6}"/>
    <cellStyle name="RISKtlandrEdge 8 32" xfId="6805" xr:uid="{9B9A21C4-514A-4626-AC28-19C2526E996D}"/>
    <cellStyle name="RISKtlandrEdge 8 4" xfId="11757" xr:uid="{666C0EE2-4A2B-4D2B-B414-DCF5A36966B6}"/>
    <cellStyle name="RISKtlandrEdge 8 4 2" xfId="34370" xr:uid="{7BE9731D-153A-4637-92B0-56A32E69D874}"/>
    <cellStyle name="RISKtlandrEdge 8 5" xfId="13179" xr:uid="{EB6DC534-1251-4D70-B03F-BBF0EF9C6CA3}"/>
    <cellStyle name="RISKtlandrEdge 8 5 2" xfId="35527" xr:uid="{C218246F-225B-4168-BA84-E778E4C1D763}"/>
    <cellStyle name="RISKtlandrEdge 8 6" xfId="6973" xr:uid="{640DE62A-0C1B-46AD-9856-722EB9FCF985}"/>
    <cellStyle name="RISKtlandrEdge 8 6 2" xfId="31340" xr:uid="{C0283945-69ED-412D-8264-368F7EF29F65}"/>
    <cellStyle name="RISKtlandrEdge 8 7" xfId="13427" xr:uid="{74B062D5-373A-4C3D-9AE2-5E883036A674}"/>
    <cellStyle name="RISKtlandrEdge 8 7 2" xfId="35721" xr:uid="{8C268742-1548-4431-81E9-98A6FD46C675}"/>
    <cellStyle name="RISKtlandrEdge 8 8" xfId="15509" xr:uid="{3CAF3185-DA9E-4188-9982-9F930B97FAA0}"/>
    <cellStyle name="RISKtlandrEdge 8 8 2" xfId="37174" xr:uid="{A5543E20-A318-4226-AB96-091C2CE2A7D5}"/>
    <cellStyle name="RISKtlandrEdge 8 9" xfId="16546" xr:uid="{CE6046D4-B1DA-46AD-A4EB-ECD8BF05EFB7}"/>
    <cellStyle name="RISKtlandrEdge 8 9 2" xfId="38039" xr:uid="{0198BD8F-F07A-4DDA-AC3B-CB0C58A0C125}"/>
    <cellStyle name="RISKtlandrEdge 9" xfId="4062" xr:uid="{38D87ADC-55FF-4304-B6D3-531AEA059377}"/>
    <cellStyle name="RISKtlandrEdge 9 10" xfId="13902" xr:uid="{1476DD73-C0C9-45B0-B4AC-ADDE18D19D7D}"/>
    <cellStyle name="RISKtlandrEdge 9 10 2" xfId="36017" xr:uid="{826A8A14-B91C-469F-B29E-AD73AD2AFF1F}"/>
    <cellStyle name="RISKtlandrEdge 9 11" xfId="18023" xr:uid="{E7B0F9C8-D136-43FB-8F73-913138514741}"/>
    <cellStyle name="RISKtlandrEdge 9 11 2" xfId="39119" xr:uid="{2E7D23C7-BE0D-4504-9416-B68A551D6B95}"/>
    <cellStyle name="RISKtlandrEdge 9 12" xfId="20639" xr:uid="{1FE1366D-7EFA-4434-8459-23659B8C123C}"/>
    <cellStyle name="RISKtlandrEdge 9 12 2" xfId="40999" xr:uid="{6057B2B4-5C9A-4D7F-8622-F582E024AD2A}"/>
    <cellStyle name="RISKtlandrEdge 9 13" xfId="15339" xr:uid="{8B48B5C1-2C3F-475F-B255-BC9698F99767}"/>
    <cellStyle name="RISKtlandrEdge 9 13 2" xfId="37039" xr:uid="{E3C5006D-A6ED-4BA3-80E5-0711BA83714D}"/>
    <cellStyle name="RISKtlandrEdge 9 14" xfId="21211" xr:uid="{EE13C3EA-C99C-4B6B-A160-4CE2ED42958A}"/>
    <cellStyle name="RISKtlandrEdge 9 14 2" xfId="41404" xr:uid="{AAD55582-347C-4CD4-99D0-85B054871BF2}"/>
    <cellStyle name="RISKtlandrEdge 9 15" xfId="20467" xr:uid="{65CC770B-B152-429B-971F-AF80F0DAEF78}"/>
    <cellStyle name="RISKtlandrEdge 9 15 2" xfId="40860" xr:uid="{1AE935F5-80F4-429E-AD8F-55D910C9C162}"/>
    <cellStyle name="RISKtlandrEdge 9 16" xfId="20327" xr:uid="{6F0B10A7-2340-466A-A323-E2E8BD8FB8BF}"/>
    <cellStyle name="RISKtlandrEdge 9 16 2" xfId="40760" xr:uid="{E2C9E5A3-4B36-48E3-A3D9-3E7494C0AC83}"/>
    <cellStyle name="RISKtlandrEdge 9 17" xfId="20917" xr:uid="{DDDA1857-703C-410F-ACB5-054E29838DB0}"/>
    <cellStyle name="RISKtlandrEdge 9 17 2" xfId="41219" xr:uid="{DD99F5C5-4177-4C17-BDC7-E97C82D5856F}"/>
    <cellStyle name="RISKtlandrEdge 9 18" xfId="25323" xr:uid="{05BB336B-4ADD-4D7F-B100-332E696A0D90}"/>
    <cellStyle name="RISKtlandrEdge 9 18 2" xfId="44239" xr:uid="{F33F9ED4-58B5-416B-9B3D-BB10B307A27C}"/>
    <cellStyle name="RISKtlandrEdge 9 19" xfId="25058" xr:uid="{68358E7C-693A-450E-95DB-41B8F1E86220}"/>
    <cellStyle name="RISKtlandrEdge 9 19 2" xfId="44084" xr:uid="{44AAF203-BEC2-4FC0-B2F2-B8FC6E28C7F5}"/>
    <cellStyle name="RISKtlandrEdge 9 2" xfId="7329" xr:uid="{173D76A6-2A16-407E-BF29-C3C28DDDEE2A}"/>
    <cellStyle name="RISKtlandrEdge 9 2 2" xfId="31692" xr:uid="{83CE85B6-D7C5-4BC6-AC69-B34709DD19B5}"/>
    <cellStyle name="RISKtlandrEdge 9 20" xfId="25166" xr:uid="{993EF286-1295-4216-857B-690853B4BD1D}"/>
    <cellStyle name="RISKtlandrEdge 9 20 2" xfId="44110" xr:uid="{708E5387-CE86-4C08-9CBA-08843EDA0CA1}"/>
    <cellStyle name="RISKtlandrEdge 9 21" xfId="27294" xr:uid="{B67D58A2-27FA-4347-8E25-07D766ACDE37}"/>
    <cellStyle name="RISKtlandrEdge 9 21 2" xfId="45597" xr:uid="{872E85C0-EF42-420D-AA2E-12E360B8F1F9}"/>
    <cellStyle name="RISKtlandrEdge 9 22" xfId="25832" xr:uid="{1A41E957-197C-414F-B18A-FD88A02A0862}"/>
    <cellStyle name="RISKtlandrEdge 9 22 2" xfId="44655" xr:uid="{5BB94BFE-190C-4FDA-BCDB-17DD91A268B6}"/>
    <cellStyle name="RISKtlandrEdge 9 23" xfId="23585" xr:uid="{DAAA2B47-BDFA-4D49-902A-FE7D8C76F7F9}"/>
    <cellStyle name="RISKtlandrEdge 9 23 2" xfId="43020" xr:uid="{E7F59CA3-B182-4189-AD42-83083B10C7DC}"/>
    <cellStyle name="RISKtlandrEdge 9 24" xfId="28286" xr:uid="{FB4146D0-24F1-48A8-9211-2D5424ECB157}"/>
    <cellStyle name="RISKtlandrEdge 9 24 2" xfId="46153" xr:uid="{748808C2-49B6-4C39-858A-2E216CE1D08F}"/>
    <cellStyle name="RISKtlandrEdge 9 25" xfId="25235" xr:uid="{9A080522-419C-40B6-B4E9-241F868E8EE0}"/>
    <cellStyle name="RISKtlandrEdge 9 25 2" xfId="44165" xr:uid="{76A892C2-1491-47D1-AD5C-9EC9D53235EA}"/>
    <cellStyle name="RISKtlandrEdge 9 26" xfId="26017" xr:uid="{3E00A9E5-9737-4923-84F4-27B8F12F6D5B}"/>
    <cellStyle name="RISKtlandrEdge 9 26 2" xfId="44791" xr:uid="{D9DEBB58-997D-490C-BA35-16AEAA4DA879}"/>
    <cellStyle name="RISKtlandrEdge 9 27" xfId="28248" xr:uid="{25E4F3C3-8B3C-4AEB-8DAC-E6CC17A5C30E}"/>
    <cellStyle name="RISKtlandrEdge 9 27 2" xfId="46123" xr:uid="{8CE1FA00-9C5D-43B6-84E0-0A8AF59B57DD}"/>
    <cellStyle name="RISKtlandrEdge 9 28" xfId="29140" xr:uid="{9F72FC5A-0A56-4E30-A5B9-7D984B3A02A9}"/>
    <cellStyle name="RISKtlandrEdge 9 28 2" xfId="46681" xr:uid="{D98896C8-47D1-49C2-B011-1CC74CF348F2}"/>
    <cellStyle name="RISKtlandrEdge 9 29" xfId="30583" xr:uid="{5DB571E7-7B2D-4A8C-9C34-43B0B24A97AB}"/>
    <cellStyle name="RISKtlandrEdge 9 29 2" xfId="47533" xr:uid="{E1DA66FA-0B91-402A-B191-3376ADC3F92F}"/>
    <cellStyle name="RISKtlandrEdge 9 3" xfId="10282" xr:uid="{3C3D021B-2657-4336-BC1D-37E76B392C51}"/>
    <cellStyle name="RISKtlandrEdge 9 3 2" xfId="33917" xr:uid="{1D8888D1-776A-4029-82CF-46319E76FDAC}"/>
    <cellStyle name="RISKtlandrEdge 9 30" xfId="6045" xr:uid="{E3EE1D2D-6BED-413F-8DD0-7F0789769DD8}"/>
    <cellStyle name="RISKtlandrEdge 9 4" xfId="12407" xr:uid="{563EF130-205C-4067-9777-23CA291D0E07}"/>
    <cellStyle name="RISKtlandrEdge 9 4 2" xfId="34888" xr:uid="{86033887-6222-452E-92AB-C4C4AC14D8AB}"/>
    <cellStyle name="RISKtlandrEdge 9 5" xfId="11656" xr:uid="{FCAF81D3-A4DA-4C1F-9A8B-C4B595A8AC05}"/>
    <cellStyle name="RISKtlandrEdge 9 5 2" xfId="34269" xr:uid="{E4483B3A-F62C-478B-BDAA-DF2F389C8BB5}"/>
    <cellStyle name="RISKtlandrEdge 9 6" xfId="12310" xr:uid="{E7192D89-259C-443B-B4B1-A0DFD185B1EF}"/>
    <cellStyle name="RISKtlandrEdge 9 6 2" xfId="34816" xr:uid="{5E6EF11F-6008-40A5-9DDF-26377A892BB0}"/>
    <cellStyle name="RISKtlandrEdge 9 7" xfId="12535" xr:uid="{2297734A-2DD2-4C4A-BBAE-9CE02C67252F}"/>
    <cellStyle name="RISKtlandrEdge 9 7 2" xfId="34979" xr:uid="{8BDA51A3-321D-4D80-A6D3-DB19BB854BF6}"/>
    <cellStyle name="RISKtlandrEdge 9 8" xfId="17419" xr:uid="{784E9C17-6FD0-48CA-B12F-CA9BE7C3D49C}"/>
    <cellStyle name="RISKtlandrEdge 9 8 2" xfId="38666" xr:uid="{51C40231-4B56-43FF-B3D2-02B2933CB0D1}"/>
    <cellStyle name="RISKtlandrEdge 9 9" xfId="18267" xr:uid="{D95E875A-317B-4757-B6E3-312FCF687766}"/>
    <cellStyle name="RISKtlandrEdge 9 9 2" xfId="39298" xr:uid="{299F6481-EE35-43D6-8F5B-C7CF78623987}"/>
    <cellStyle name="RISKtlCorner" xfId="4063" xr:uid="{A6116824-BEA2-4DA1-9E2D-82F036E67C4A}"/>
    <cellStyle name="RISKtlCorner 10" xfId="4064" xr:uid="{A4B8463B-7CD5-42E7-8F6D-B6AB626D99AE}"/>
    <cellStyle name="RISKtlCorner 10 10" xfId="17174" xr:uid="{0BBB4CE5-7ADF-4231-8B42-F51B7602162C}"/>
    <cellStyle name="RISKtlCorner 10 10 2" xfId="38503" xr:uid="{E5431B38-9CAF-40F3-97F7-BC584C046180}"/>
    <cellStyle name="RISKtlCorner 10 11" xfId="12842" xr:uid="{0B3876B7-8FC2-40E2-9163-F94D7EB0B392}"/>
    <cellStyle name="RISKtlCorner 10 11 2" xfId="35223" xr:uid="{0A441FFE-A281-47FA-A1AF-1AF828072953}"/>
    <cellStyle name="RISKtlCorner 10 12" xfId="20638" xr:uid="{936B7140-32E9-4C0D-BC41-E9E94C8AB49D}"/>
    <cellStyle name="RISKtlCorner 10 12 2" xfId="40998" xr:uid="{238CE208-57DF-49BC-9102-F1CA66201037}"/>
    <cellStyle name="RISKtlCorner 10 13" xfId="17106" xr:uid="{755A117E-A8C1-4B3E-BC67-38CCCF9B4AD9}"/>
    <cellStyle name="RISKtlCorner 10 13 2" xfId="38445" xr:uid="{17A4035B-E29E-4B72-8C86-73E9722C3D41}"/>
    <cellStyle name="RISKtlCorner 10 14" xfId="19399" xr:uid="{D2AA57BF-5797-495B-954E-51D510835EF2}"/>
    <cellStyle name="RISKtlCorner 10 14 2" xfId="40120" xr:uid="{BA4E78C0-F609-479B-B43F-1EB0767583EF}"/>
    <cellStyle name="RISKtlCorner 10 15" xfId="18659" xr:uid="{CB67B3E0-6609-4F33-AAC7-8923467F7104}"/>
    <cellStyle name="RISKtlCorner 10 15 2" xfId="39547" xr:uid="{CF186305-30B9-4F58-A7B6-F4C62FA2F332}"/>
    <cellStyle name="RISKtlCorner 10 16" xfId="23395" xr:uid="{65E7F69F-55C4-41EF-A80D-E219D56CB8E0}"/>
    <cellStyle name="RISKtlCorner 10 16 2" xfId="42917" xr:uid="{8D87254D-3F20-49A3-BADC-BD2EB174D10B}"/>
    <cellStyle name="RISKtlCorner 10 17" xfId="18705" xr:uid="{7A27411E-A299-475D-B251-4E5FEB9A83FF}"/>
    <cellStyle name="RISKtlCorner 10 17 2" xfId="39583" xr:uid="{0644646A-1FCC-4974-A4BC-295565A04B23}"/>
    <cellStyle name="RISKtlCorner 10 18" xfId="22729" xr:uid="{A9D0438C-BA2E-4FB5-B15A-7F96124F6C7C}"/>
    <cellStyle name="RISKtlCorner 10 18 2" xfId="42486" xr:uid="{DD52DEA8-E106-4789-A3DA-C7A49937337D}"/>
    <cellStyle name="RISKtlCorner 10 19" xfId="22591" xr:uid="{6250F9C4-4E80-4903-9DC6-737991181A12}"/>
    <cellStyle name="RISKtlCorner 10 19 2" xfId="42377" xr:uid="{39C7DB28-5E61-4B65-8F40-05A0C790A7DE}"/>
    <cellStyle name="RISKtlCorner 10 2" xfId="7328" xr:uid="{547BBF48-5A80-4B65-A972-D8B74D8C3EAF}"/>
    <cellStyle name="RISKtlCorner 10 2 2" xfId="31691" xr:uid="{58D1A707-B813-4C68-ABA9-91595428B9D2}"/>
    <cellStyle name="RISKtlCorner 10 20" xfId="25031" xr:uid="{FA2A106D-AAC1-41E6-95CF-CA94A9D617FC}"/>
    <cellStyle name="RISKtlCorner 10 20 2" xfId="44064" xr:uid="{CE9F8AEC-2DA7-4E35-A238-8E52017F7407}"/>
    <cellStyle name="RISKtlCorner 10 21" xfId="27293" xr:uid="{6AA66005-9B9D-4BA8-8030-DC8B8CC6AE97}"/>
    <cellStyle name="RISKtlCorner 10 21 2" xfId="45596" xr:uid="{C43F2019-036C-4D32-BA31-972B53E12CEA}"/>
    <cellStyle name="RISKtlCorner 10 22" xfId="25566" xr:uid="{D685ABC8-6CB7-4164-8E73-AA4BF6078A52}"/>
    <cellStyle name="RISKtlCorner 10 22 2" xfId="44434" xr:uid="{3363D109-4A44-434C-B394-9AE70B0665CF}"/>
    <cellStyle name="RISKtlCorner 10 23" xfId="25029" xr:uid="{ACFC0020-BA5E-4BDC-A356-FB6BC73339B4}"/>
    <cellStyle name="RISKtlCorner 10 23 2" xfId="44062" xr:uid="{05DC945C-2D66-4D6D-89F5-ECC61C940330}"/>
    <cellStyle name="RISKtlCorner 10 24" xfId="28999" xr:uid="{7FDEDAFA-363A-4505-9EA7-FB75CCE3CCDF}"/>
    <cellStyle name="RISKtlCorner 10 24 2" xfId="46593" xr:uid="{8D3F34AC-8AEA-43FC-9ED0-AF9E1E52A86F}"/>
    <cellStyle name="RISKtlCorner 10 25" xfId="28078" xr:uid="{382E3085-E8E9-4308-A20C-03896D4A48E5}"/>
    <cellStyle name="RISKtlCorner 10 25 2" xfId="46063" xr:uid="{15C5D58E-4B8D-4B8D-9BDA-D4CB68E7B56B}"/>
    <cellStyle name="RISKtlCorner 10 26" xfId="27751" xr:uid="{424BD0A7-EE70-477E-A567-1E88862C7366}"/>
    <cellStyle name="RISKtlCorner 10 26 2" xfId="45852" xr:uid="{597ED9AB-B255-4A10-97F7-8B6F0D5E2648}"/>
    <cellStyle name="RISKtlCorner 10 27" xfId="30228" xr:uid="{DE6775CF-5821-43EC-BC8F-381C7A7085A1}"/>
    <cellStyle name="RISKtlCorner 10 27 2" xfId="47389" xr:uid="{C7C9E633-7F13-421C-A780-BF0B0B1E40AF}"/>
    <cellStyle name="RISKtlCorner 10 28" xfId="29613" xr:uid="{5002A95A-CC00-49C2-A602-D90F80FD6CEA}"/>
    <cellStyle name="RISKtlCorner 10 28 2" xfId="47004" xr:uid="{F357986F-6A6F-4732-9B57-D66E10A275D9}"/>
    <cellStyle name="RISKtlCorner 10 29" xfId="30895" xr:uid="{9313B384-EFDF-4D5A-80A2-1FEDA30A68B2}"/>
    <cellStyle name="RISKtlCorner 10 29 2" xfId="47743" xr:uid="{FFC19637-AB89-4946-A9CD-0F8FE32FF46D}"/>
    <cellStyle name="RISKtlCorner 10 3" xfId="10283" xr:uid="{178CE3CA-61F3-4EF7-95CB-BA5799820760}"/>
    <cellStyle name="RISKtlCorner 10 3 2" xfId="33918" xr:uid="{07BDD05D-7195-4153-A206-C90E23A8597A}"/>
    <cellStyle name="RISKtlCorner 10 30" xfId="6044" xr:uid="{B56A445D-E979-4879-9D35-842695BE6E18}"/>
    <cellStyle name="RISKtlCorner 10 4" xfId="6971" xr:uid="{2A7F2CBA-4951-43F5-85DF-E13526222479}"/>
    <cellStyle name="RISKtlCorner 10 4 2" xfId="31338" xr:uid="{12D36268-3184-46D9-B36A-8D4D680E3187}"/>
    <cellStyle name="RISKtlCorner 10 5" xfId="7222" xr:uid="{9A0D4E66-8589-482C-84D4-54E02B0C8977}"/>
    <cellStyle name="RISKtlCorner 10 5 2" xfId="31587" xr:uid="{8FE98635-CB35-4245-9D9F-91768CA1CAC9}"/>
    <cellStyle name="RISKtlCorner 10 6" xfId="14651" xr:uid="{037D8C50-0D26-4C9B-8B25-C8EB2AEF1A4F}"/>
    <cellStyle name="RISKtlCorner 10 6 2" xfId="36563" xr:uid="{3BFF8FE0-63EE-4960-9B98-F7F858BB4BA0}"/>
    <cellStyle name="RISKtlCorner 10 7" xfId="14029" xr:uid="{8B7061AF-AB19-4575-A56C-4474229712E9}"/>
    <cellStyle name="RISKtlCorner 10 7 2" xfId="36123" xr:uid="{91BFC1CF-1303-48A2-8574-29E455B02FD3}"/>
    <cellStyle name="RISKtlCorner 10 8" xfId="17418" xr:uid="{9B8398E1-D8DF-443B-AD89-2A91685C57E6}"/>
    <cellStyle name="RISKtlCorner 10 8 2" xfId="38665" xr:uid="{8B712BC4-B1E4-4D53-9235-318271EDBA4B}"/>
    <cellStyle name="RISKtlCorner 10 9" xfId="18266" xr:uid="{22EB0EC4-0A6F-46D3-B1B4-2C891D6D07C8}"/>
    <cellStyle name="RISKtlCorner 10 9 2" xfId="39297" xr:uid="{945F622A-0C7F-4ED9-9EDD-39D05EEADD08}"/>
    <cellStyle name="RISKtlCorner 11" xfId="11755" xr:uid="{3D5EDE6E-B5DA-4EAA-AA4E-67A851732C58}"/>
    <cellStyle name="RISKtlCorner 11 2" xfId="34368" xr:uid="{713AB9D3-4DB1-4BB3-AC4B-601C6D0B3D40}"/>
    <cellStyle name="RISKtlCorner 12" xfId="13177" xr:uid="{D2CEB490-8A49-4645-9D7D-B331F6A4874E}"/>
    <cellStyle name="RISKtlCorner 12 2" xfId="35525" xr:uid="{3A484EF9-1CC5-49E1-A0B3-8E28DE7CAE8C}"/>
    <cellStyle name="RISKtlCorner 13" xfId="14193" xr:uid="{05233015-3ADC-4697-911D-3716B62E10CB}"/>
    <cellStyle name="RISKtlCorner 13 2" xfId="36246" xr:uid="{487B737D-D969-4188-A9BC-DA438FF4E1A4}"/>
    <cellStyle name="RISKtlCorner 14" xfId="13425" xr:uid="{F72113C2-F911-4E40-A726-975C742CBBD7}"/>
    <cellStyle name="RISKtlCorner 14 2" xfId="35719" xr:uid="{C488F382-8618-40B9-99E9-F67D65C11CEC}"/>
    <cellStyle name="RISKtlCorner 15" xfId="15510" xr:uid="{0E71DDC0-8F51-40AD-AD9A-667C7E56028B}"/>
    <cellStyle name="RISKtlCorner 15 2" xfId="37175" xr:uid="{EFA602D8-8BAC-47F8-A761-7DA3A37AC1DB}"/>
    <cellStyle name="RISKtlCorner 16" xfId="16544" xr:uid="{CDC096CA-64DB-4C8A-9F83-815967382154}"/>
    <cellStyle name="RISKtlCorner 16 2" xfId="38037" xr:uid="{2A6C329F-ECFB-4BEA-B22B-ADC1B8545212}"/>
    <cellStyle name="RISKtlCorner 17" xfId="16798" xr:uid="{405CC019-2EBC-4392-8900-8EBCA7799399}"/>
    <cellStyle name="RISKtlCorner 17 2" xfId="38231" xr:uid="{A5AF1715-14CC-4ABC-A121-90A444DA3639}"/>
    <cellStyle name="RISKtlCorner 18" xfId="16287" xr:uid="{1B0FD7BE-5C7D-413C-996C-A04323EAEB96}"/>
    <cellStyle name="RISKtlCorner 18 2" xfId="37824" xr:uid="{D878D043-5151-44BE-A05B-FF5468BF5334}"/>
    <cellStyle name="RISKtlCorner 19" xfId="19151" xr:uid="{B8D51603-3173-4B48-AC8C-AC328A18947A}"/>
    <cellStyle name="RISKtlCorner 19 2" xfId="39960" xr:uid="{56F273C3-705B-41E6-8768-9446F0C13DC1}"/>
    <cellStyle name="RISKtlCorner 2" xfId="4065" xr:uid="{DE6A8430-1B1B-47E5-9D6B-83960ABD11D3}"/>
    <cellStyle name="RISKtlCorner 2 10" xfId="16543" xr:uid="{C0A9369E-880A-4B2D-BAFC-CBAC5448B488}"/>
    <cellStyle name="RISKtlCorner 2 10 2" xfId="38036" xr:uid="{1430A270-4CA9-4EDC-AC0A-3BC544763001}"/>
    <cellStyle name="RISKtlCorner 2 11" xfId="14469" xr:uid="{1EDE5E35-4998-498C-926F-C5650C22A260}"/>
    <cellStyle name="RISKtlCorner 2 11 2" xfId="36458" xr:uid="{1CD7176C-6D01-452D-9D9E-309419B4E899}"/>
    <cellStyle name="RISKtlCorner 2 12" xfId="17667" xr:uid="{7E286563-F3CF-45B3-B57B-ED0D07A3B96E}"/>
    <cellStyle name="RISKtlCorner 2 12 2" xfId="38859" xr:uid="{14650EF0-2B9B-432C-B1B3-DAC81ADCD8F6}"/>
    <cellStyle name="RISKtlCorner 2 13" xfId="19150" xr:uid="{EAD5E63C-06D0-489D-BE1D-3AE72CDFA590}"/>
    <cellStyle name="RISKtlCorner 2 13 2" xfId="39959" xr:uid="{0E36DCDA-9E73-4F68-94F8-57C5D823586D}"/>
    <cellStyle name="RISKtlCorner 2 14" xfId="19901" xr:uid="{36E04E46-69A6-491C-8E49-4F68AC80E65C}"/>
    <cellStyle name="RISKtlCorner 2 14 2" xfId="40513" xr:uid="{0ABFCBE4-949E-4D3E-AEF0-2DCE9D4961C5}"/>
    <cellStyle name="RISKtlCorner 2 15" xfId="18892" xr:uid="{3769780F-9E92-4E32-A1CE-3B5B5EC2A63C}"/>
    <cellStyle name="RISKtlCorner 2 15 2" xfId="39725" xr:uid="{146CBAC6-EB16-48EE-8AAA-FFFEE9C8FC78}"/>
    <cellStyle name="RISKtlCorner 2 16" xfId="16088" xr:uid="{ED96136B-25E8-468B-A222-B26B2D27EDC7}"/>
    <cellStyle name="RISKtlCorner 2 16 2" xfId="37658" xr:uid="{F90CF777-7237-40B9-BE8C-265595645990}"/>
    <cellStyle name="RISKtlCorner 2 17" xfId="22083" xr:uid="{C2AA6BC6-FE4E-40E7-B5C6-EAE021EA835C}"/>
    <cellStyle name="RISKtlCorner 2 17 2" xfId="41968" xr:uid="{B0246AE5-1E12-4009-AAD1-6601FFFE5D14}"/>
    <cellStyle name="RISKtlCorner 2 18" xfId="23148" xr:uid="{A2760001-D28F-4988-9DCA-080A3289649C}"/>
    <cellStyle name="RISKtlCorner 2 18 2" xfId="42747" xr:uid="{1A569ED9-F707-4999-BDC4-82C742DC024B}"/>
    <cellStyle name="RISKtlCorner 2 19" xfId="23969" xr:uid="{AAB1BE63-5EA4-44A0-A751-6FBD27175828}"/>
    <cellStyle name="RISKtlCorner 2 19 2" xfId="43346" xr:uid="{4225BC80-F70F-4D57-944B-5ACC7D17B00E}"/>
    <cellStyle name="RISKtlCorner 2 2" xfId="4066" xr:uid="{1DCD00E7-6735-42F3-8826-41402610E881}"/>
    <cellStyle name="RISKtlCorner 2 2 10" xfId="17417" xr:uid="{3E38B76A-E0B5-44D8-899A-7455F89DE37D}"/>
    <cellStyle name="RISKtlCorner 2 2 10 2" xfId="38664" xr:uid="{101F72D8-2EAD-4BB0-A6AA-62CA59BE257C}"/>
    <cellStyle name="RISKtlCorner 2 2 11" xfId="18265" xr:uid="{FCB1B5D3-DB87-4E74-834E-FCD1B657B18E}"/>
    <cellStyle name="RISKtlCorner 2 2 11 2" xfId="39296" xr:uid="{6EE88F35-6DDA-4FA3-A3B1-8C31DE3724F6}"/>
    <cellStyle name="RISKtlCorner 2 2 12" xfId="14544" xr:uid="{37F96706-8BDE-453E-893C-3A99F1F9C58B}"/>
    <cellStyle name="RISKtlCorner 2 2 12 2" xfId="36477" xr:uid="{D31AE4EB-9E83-4E71-B278-7EAB447362F5}"/>
    <cellStyle name="RISKtlCorner 2 2 13" xfId="18022" xr:uid="{B98EF848-74DF-4458-9A5B-592056741E2F}"/>
    <cellStyle name="RISKtlCorner 2 2 13 2" xfId="39118" xr:uid="{C60BB965-FE9D-4A15-B8C7-D06434F46740}"/>
    <cellStyle name="RISKtlCorner 2 2 14" xfId="20637" xr:uid="{22384A07-EC38-4910-B090-0B0C52DAB8DF}"/>
    <cellStyle name="RISKtlCorner 2 2 14 2" xfId="40997" xr:uid="{5C6EAB18-9E9F-4317-B297-3553C4C8967A}"/>
    <cellStyle name="RISKtlCorner 2 2 15" xfId="17105" xr:uid="{EF6072D2-B535-4EE6-B545-FA314DB38CF6}"/>
    <cellStyle name="RISKtlCorner 2 2 15 2" xfId="38444" xr:uid="{89B87826-2F89-4A1D-BDB7-248CD27EFE9C}"/>
    <cellStyle name="RISKtlCorner 2 2 16" xfId="21210" xr:uid="{6C100959-952D-4851-BCD8-987C51CD5ADE}"/>
    <cellStyle name="RISKtlCorner 2 2 16 2" xfId="41403" xr:uid="{DC81E813-E472-413B-8800-E50D9C4B839C}"/>
    <cellStyle name="RISKtlCorner 2 2 17" xfId="16141" xr:uid="{FDAFE3DC-2835-4D10-A245-220D8D5FD162}"/>
    <cellStyle name="RISKtlCorner 2 2 17 2" xfId="37707" xr:uid="{20737024-4BD7-435C-8641-91EA51703A7E}"/>
    <cellStyle name="RISKtlCorner 2 2 18" xfId="18747" xr:uid="{FC105FAB-62CE-4DCE-B5B4-96EB5B83DB0A}"/>
    <cellStyle name="RISKtlCorner 2 2 18 2" xfId="39622" xr:uid="{208802DE-F5A3-4A49-BB9D-01E1C3E88F29}"/>
    <cellStyle name="RISKtlCorner 2 2 19" xfId="20918" xr:uid="{516D80FF-8DC0-4F5F-A34C-F899678D9DD7}"/>
    <cellStyle name="RISKtlCorner 2 2 19 2" xfId="41220" xr:uid="{9D52D7A7-8FC8-4BF3-BB1B-4EF044E54BC9}"/>
    <cellStyle name="RISKtlCorner 2 2 2" xfId="4067" xr:uid="{93F1C0E2-8259-46BD-B359-4A04F7D95830}"/>
    <cellStyle name="RISKtlCorner 2 2 2 10" xfId="19149" xr:uid="{AAC15D40-B0A5-4184-A02B-183E66A22973}"/>
    <cellStyle name="RISKtlCorner 2 2 2 10 2" xfId="39958" xr:uid="{BA5488BF-633E-466E-AACC-B16B56D17B18}"/>
    <cellStyle name="RISKtlCorner 2 2 2 11" xfId="19900" xr:uid="{E198ED09-7FEE-4B79-96FA-3767D21CFBB9}"/>
    <cellStyle name="RISKtlCorner 2 2 2 11 2" xfId="40512" xr:uid="{CE1E03B5-3E72-4B97-A9F2-E3D05206A104}"/>
    <cellStyle name="RISKtlCorner 2 2 2 12" xfId="15370" xr:uid="{B3A86174-DCA2-4424-88D1-0236FF3C9CAB}"/>
    <cellStyle name="RISKtlCorner 2 2 2 12 2" xfId="37070" xr:uid="{28B93C20-28F9-4A81-B140-2F800F30EB35}"/>
    <cellStyle name="RISKtlCorner 2 2 2 13" xfId="19007" xr:uid="{708FFA1E-BF8B-482A-82E9-7FC715ECCCDE}"/>
    <cellStyle name="RISKtlCorner 2 2 2 13 2" xfId="39839" xr:uid="{58FE7884-00FC-48C2-85B7-75AF0928D955}"/>
    <cellStyle name="RISKtlCorner 2 2 2 14" xfId="20165" xr:uid="{C27E9DC5-CCD3-43C5-AD8E-996A7DCC4014}"/>
    <cellStyle name="RISKtlCorner 2 2 2 14 2" xfId="40672" xr:uid="{7E11A29E-A106-42EE-B7EF-468D70BD03FE}"/>
    <cellStyle name="RISKtlCorner 2 2 2 15" xfId="23147" xr:uid="{3DE882A6-0231-414E-9EBA-72E29E3DF067}"/>
    <cellStyle name="RISKtlCorner 2 2 2 15 2" xfId="42746" xr:uid="{CC6BAB25-48F7-4CBB-ADDC-C7F1BF29DB88}"/>
    <cellStyle name="RISKtlCorner 2 2 2 16" xfId="23968" xr:uid="{79C20BA5-4AB7-459D-AD38-90441C2E1BFF}"/>
    <cellStyle name="RISKtlCorner 2 2 2 16 2" xfId="43345" xr:uid="{DB2C4CDD-5494-4B3C-970D-416705BCD473}"/>
    <cellStyle name="RISKtlCorner 2 2 2 17" xfId="22159" xr:uid="{50624A73-633C-4406-AC5D-C37906C1F308}"/>
    <cellStyle name="RISKtlCorner 2 2 2 17 2" xfId="42039" xr:uid="{1F09C5E9-1C30-467A-A579-4E0391A48111}"/>
    <cellStyle name="RISKtlCorner 2 2 2 18" xfId="21072" xr:uid="{E5490D27-ACE3-4A38-805F-8D5D1C29339E}"/>
    <cellStyle name="RISKtlCorner 2 2 2 18 2" xfId="41317" xr:uid="{D9D3320D-DC97-43E7-B520-73BDB8ED2E2F}"/>
    <cellStyle name="RISKtlCorner 2 2 2 19" xfId="23941" xr:uid="{AD3EC4C1-8D2B-4D59-AE1C-94A15842AF9F}"/>
    <cellStyle name="RISKtlCorner 2 2 2 19 2" xfId="43318" xr:uid="{F562D93E-20A8-4866-837F-740E8FFAE97F}"/>
    <cellStyle name="RISKtlCorner 2 2 2 2" xfId="11753" xr:uid="{8C4BD0FD-48A6-413E-9377-17E147E9486C}"/>
    <cellStyle name="RISKtlCorner 2 2 2 2 2" xfId="34366" xr:uid="{B6F16AD1-73AD-4049-8A1F-9B42238DF605}"/>
    <cellStyle name="RISKtlCorner 2 2 2 20" xfId="25443" xr:uid="{88659555-094C-41AF-96FB-A4AA0DE41F30}"/>
    <cellStyle name="RISKtlCorner 2 2 2 20 2" xfId="44329" xr:uid="{C6209C4C-4C81-454D-B6A9-2A3FF1574E24}"/>
    <cellStyle name="RISKtlCorner 2 2 2 21" xfId="23790" xr:uid="{C65B3D52-4497-4CCB-BC21-502D99E68DF8}"/>
    <cellStyle name="RISKtlCorner 2 2 2 21 2" xfId="43189" xr:uid="{8B4B89DE-E912-41F9-B631-C111B7A93D2E}"/>
    <cellStyle name="RISKtlCorner 2 2 2 22" xfId="27798" xr:uid="{AE8BAC83-AD62-49E6-87DB-F030DB4BC965}"/>
    <cellStyle name="RISKtlCorner 2 2 2 22 2" xfId="45885" xr:uid="{08ADB984-5899-4806-85A0-4AF20319C11C}"/>
    <cellStyle name="RISKtlCorner 2 2 2 23" xfId="21947" xr:uid="{A20D2BD0-416A-4DED-B2BF-F168DECAAF0E}"/>
    <cellStyle name="RISKtlCorner 2 2 2 23 2" xfId="41860" xr:uid="{2FCE1D10-C315-4578-A160-2EC14725B79E}"/>
    <cellStyle name="RISKtlCorner 2 2 2 24" xfId="27686" xr:uid="{2D11CA4B-2A03-4771-9136-FC09247704D2}"/>
    <cellStyle name="RISKtlCorner 2 2 2 24 2" xfId="45800" xr:uid="{5B520E37-87FF-4A61-A445-9B5A01DE4F57}"/>
    <cellStyle name="RISKtlCorner 2 2 2 25" xfId="29180" xr:uid="{59BF813C-69E8-4268-8DF7-F6726C2BBD40}"/>
    <cellStyle name="RISKtlCorner 2 2 2 25 2" xfId="46706" xr:uid="{71D6A5D8-6DA7-4ABF-AB22-D3EA6752C5E0}"/>
    <cellStyle name="RISKtlCorner 2 2 2 26" xfId="27705" xr:uid="{C8B8A778-C84C-4632-8094-2D65F98FA0DF}"/>
    <cellStyle name="RISKtlCorner 2 2 2 26 2" xfId="45814" xr:uid="{206D2533-2F34-46B6-BFB9-6433E9198DE0}"/>
    <cellStyle name="RISKtlCorner 2 2 2 27" xfId="30680" xr:uid="{12F86128-33BB-4546-93F9-8C01CF5D2C10}"/>
    <cellStyle name="RISKtlCorner 2 2 2 27 2" xfId="47626" xr:uid="{0138F79E-8C63-4B5B-8966-F72CAD02BF04}"/>
    <cellStyle name="RISKtlCorner 2 2 2 28" xfId="30806" xr:uid="{0203F7C1-66AE-40DA-BDF2-9A0C3CA99692}"/>
    <cellStyle name="RISKtlCorner 2 2 2 28 2" xfId="47730" xr:uid="{BC3212E8-5E3B-4466-B216-BBD603495CE7}"/>
    <cellStyle name="RISKtlCorner 2 2 2 29" xfId="30607" xr:uid="{AC17C447-60A5-41F0-A391-17664E54EAF6}"/>
    <cellStyle name="RISKtlCorner 2 2 2 29 2" xfId="47553" xr:uid="{22CEB5B4-F245-43D8-9190-2330700B18FC}"/>
    <cellStyle name="RISKtlCorner 2 2 2 3" xfId="13175" xr:uid="{136020F1-2F66-47C5-9E4D-7EE9FA8FD249}"/>
    <cellStyle name="RISKtlCorner 2 2 2 3 2" xfId="35523" xr:uid="{51BFDCB7-542B-4452-845B-7F65FA04B7FE}"/>
    <cellStyle name="RISKtlCorner 2 2 2 30" xfId="6801" xr:uid="{FEBE3AAC-F203-4D9B-B0AD-4E1C6733D473}"/>
    <cellStyle name="RISKtlCorner 2 2 2 4" xfId="14191" xr:uid="{11920778-72C8-4B79-8118-A5C2CB572A67}"/>
    <cellStyle name="RISKtlCorner 2 2 2 4 2" xfId="36244" xr:uid="{D7A984C9-0EC3-4A38-AB08-5D19725C70A0}"/>
    <cellStyle name="RISKtlCorner 2 2 2 5" xfId="7221" xr:uid="{07CA385E-49F0-41D9-97F4-E55F075EB83F}"/>
    <cellStyle name="RISKtlCorner 2 2 2 5 2" xfId="31586" xr:uid="{1375A3AD-1802-4C64-8948-C07E908B58FC}"/>
    <cellStyle name="RISKtlCorner 2 2 2 6" xfId="15511" xr:uid="{3B4EB10D-1879-473A-95DA-DB0FF800C52B}"/>
    <cellStyle name="RISKtlCorner 2 2 2 6 2" xfId="37176" xr:uid="{3EB66F36-E5FD-404C-8F4E-DBBAB7528C7F}"/>
    <cellStyle name="RISKtlCorner 2 2 2 7" xfId="16542" xr:uid="{546A49F5-EAB1-4FCB-8979-35AA9379A719}"/>
    <cellStyle name="RISKtlCorner 2 2 2 7 2" xfId="38035" xr:uid="{E7E7C0BA-2B5D-4ADD-83DE-F5614580BE4F}"/>
    <cellStyle name="RISKtlCorner 2 2 2 8" xfId="13875" xr:uid="{B81E71C9-2D81-4299-A0DB-B5AB6A60AF64}"/>
    <cellStyle name="RISKtlCorner 2 2 2 8 2" xfId="35998" xr:uid="{377E8739-E3A6-430D-9AF5-0EA9D4302A14}"/>
    <cellStyle name="RISKtlCorner 2 2 2 9" xfId="15800" xr:uid="{26802F66-6A85-4F2C-A268-37C08EE115B2}"/>
    <cellStyle name="RISKtlCorner 2 2 2 9 2" xfId="37415" xr:uid="{A06DC3DF-8968-406B-AE1E-C03E42A763D9}"/>
    <cellStyle name="RISKtlCorner 2 2 20" xfId="25324" xr:uid="{B4120C31-182B-4B13-BA74-52FB41534924}"/>
    <cellStyle name="RISKtlCorner 2 2 20 2" xfId="44240" xr:uid="{323A084D-709C-48D3-8756-DBE4DBD7D290}"/>
    <cellStyle name="RISKtlCorner 2 2 21" xfId="20330" xr:uid="{EE53BBDB-9EA7-4159-AB92-6537F1B7FEAC}"/>
    <cellStyle name="RISKtlCorner 2 2 21 2" xfId="40763" xr:uid="{942B75C4-00F1-4CF5-91A7-BEDC536CDDD9}"/>
    <cellStyle name="RISKtlCorner 2 2 22" xfId="24440" xr:uid="{A8D51814-F145-40AC-AD3F-A8C0DE8A00DD}"/>
    <cellStyle name="RISKtlCorner 2 2 22 2" xfId="43652" xr:uid="{4C39F8EF-2ADE-4A2B-B041-CAD91B6B0BC7}"/>
    <cellStyle name="RISKtlCorner 2 2 23" xfId="27292" xr:uid="{7568A740-BBED-4CA4-8FC1-4AAB72A232D8}"/>
    <cellStyle name="RISKtlCorner 2 2 23 2" xfId="45595" xr:uid="{9EB9271F-8533-41CC-8616-BADA3FDEB125}"/>
    <cellStyle name="RISKtlCorner 2 2 24" xfId="22658" xr:uid="{53D99745-EDDD-4555-9720-5AA4690BB8BD}"/>
    <cellStyle name="RISKtlCorner 2 2 24 2" xfId="42429" xr:uid="{B9A66C50-8A5B-44E6-B0D1-4765EB050628}"/>
    <cellStyle name="RISKtlCorner 2 2 25" xfId="25534" xr:uid="{D6DAA9DE-2EC2-4001-92A1-E6790F3F2D0B}"/>
    <cellStyle name="RISKtlCorner 2 2 25 2" xfId="44408" xr:uid="{8A755438-07A7-4768-A55E-8BDE0F6C46DB}"/>
    <cellStyle name="RISKtlCorner 2 2 26" xfId="26819" xr:uid="{5D528B77-0106-404F-A9C9-C0FF3C6B72D9}"/>
    <cellStyle name="RISKtlCorner 2 2 26 2" xfId="45290" xr:uid="{6716AEA9-324D-4E4A-A066-8812D66A681A}"/>
    <cellStyle name="RISKtlCorner 2 2 27" xfId="29257" xr:uid="{9C032581-571C-4AE6-9AAA-91BA6F1DADD1}"/>
    <cellStyle name="RISKtlCorner 2 2 27 2" xfId="46773" xr:uid="{2558D707-5C43-4E28-96D6-556713727DEC}"/>
    <cellStyle name="RISKtlCorner 2 2 28" xfId="29402" xr:uid="{050B44D4-D7B7-4919-8D06-CFCA0F8EFB4F}"/>
    <cellStyle name="RISKtlCorner 2 2 28 2" xfId="46868" xr:uid="{AE456A99-AA73-44EA-B70C-847E3840A35F}"/>
    <cellStyle name="RISKtlCorner 2 2 29" xfId="26941" xr:uid="{BBC3DCEB-7CD0-4D93-BD1C-D0FDFC02D375}"/>
    <cellStyle name="RISKtlCorner 2 2 29 2" xfId="45354" xr:uid="{9A4603BC-294F-4B54-8937-FA4A3865A2A6}"/>
    <cellStyle name="RISKtlCorner 2 2 3" xfId="4068" xr:uid="{EE56DBDC-1C3E-4404-ACA2-4F5E1046451A}"/>
    <cellStyle name="RISKtlCorner 2 2 3 10" xfId="17173" xr:uid="{DFE23868-D580-4B4E-A0CC-5D011FE11D0D}"/>
    <cellStyle name="RISKtlCorner 2 2 3 10 2" xfId="38502" xr:uid="{DA614C87-AC97-4C42-9A3A-6D993F64519C}"/>
    <cellStyle name="RISKtlCorner 2 2 3 11" xfId="13927" xr:uid="{CB540DDA-FCFA-4259-B2BA-5F2CE8E37E44}"/>
    <cellStyle name="RISKtlCorner 2 2 3 11 2" xfId="36038" xr:uid="{546B4387-7D20-4ADD-A994-AEEA1DEF3B3C}"/>
    <cellStyle name="RISKtlCorner 2 2 3 12" xfId="20636" xr:uid="{3F2A68EB-A13D-4517-AC22-1C24C07CD48E}"/>
    <cellStyle name="RISKtlCorner 2 2 3 12 2" xfId="40996" xr:uid="{1644DD9C-3DF7-485D-A1A8-E58D3845FB86}"/>
    <cellStyle name="RISKtlCorner 2 2 3 13" xfId="18528" xr:uid="{D25A20C7-0118-4F44-895E-B4EE91C46657}"/>
    <cellStyle name="RISKtlCorner 2 2 3 13 2" xfId="39480" xr:uid="{9BF43785-A3C0-454A-9914-56E220999CBD}"/>
    <cellStyle name="RISKtlCorner 2 2 3 14" xfId="17051" xr:uid="{2A134E72-7FFE-4A01-B685-7A8AFBA53ED2}"/>
    <cellStyle name="RISKtlCorner 2 2 3 14 2" xfId="38393" xr:uid="{EB0FD0D7-537B-4CEA-89DB-A5FD154968BD}"/>
    <cellStyle name="RISKtlCorner 2 2 3 15" xfId="20466" xr:uid="{863630C7-9BCE-4E40-9ED2-F28D3811BDA9}"/>
    <cellStyle name="RISKtlCorner 2 2 3 15 2" xfId="40859" xr:uid="{BEC09518-A381-49D8-8CE5-8F85B1BBCD8B}"/>
    <cellStyle name="RISKtlCorner 2 2 3 16" xfId="22205" xr:uid="{F3281850-BFD5-47BC-A3BA-481422478E69}"/>
    <cellStyle name="RISKtlCorner 2 2 3 16 2" xfId="42084" xr:uid="{9D492C55-2E88-4549-984B-593A201E03BD}"/>
    <cellStyle name="RISKtlCorner 2 2 3 17" xfId="18706" xr:uid="{3CB8D26C-9E58-476A-8FBE-42ADF532DCFB}"/>
    <cellStyle name="RISKtlCorner 2 2 3 17 2" xfId="39584" xr:uid="{33BFCCC4-82DB-4BC1-A5F9-8C1F1E71B702}"/>
    <cellStyle name="RISKtlCorner 2 2 3 18" xfId="22765" xr:uid="{2381D05C-9574-4683-82E3-B015220CCCBB}"/>
    <cellStyle name="RISKtlCorner 2 2 3 18 2" xfId="42522" xr:uid="{8751060A-094C-4B94-B533-289E2A501EDA}"/>
    <cellStyle name="RISKtlCorner 2 2 3 19" xfId="19499" xr:uid="{63910A38-3EF6-4325-BD22-1F77CC6015C9}"/>
    <cellStyle name="RISKtlCorner 2 2 3 19 2" xfId="40176" xr:uid="{AF4BA01C-6989-49A9-90E4-2BCD9DC3D96D}"/>
    <cellStyle name="RISKtlCorner 2 2 3 2" xfId="7326" xr:uid="{53779813-9B8A-4E64-8E4C-93A55888FDA4}"/>
    <cellStyle name="RISKtlCorner 2 2 3 2 2" xfId="31689" xr:uid="{2CE4EC19-D6BE-4247-903A-B250C68D5EB3}"/>
    <cellStyle name="RISKtlCorner 2 2 3 20" xfId="25509" xr:uid="{8F2D5F21-C2E2-4BC9-8F31-548764473D24}"/>
    <cellStyle name="RISKtlCorner 2 2 3 20 2" xfId="44385" xr:uid="{EDEF71D0-E5E0-4977-9A95-1BA8D2DCC857}"/>
    <cellStyle name="RISKtlCorner 2 2 3 21" xfId="27291" xr:uid="{A7F592A7-C0A2-4FB4-94BF-DFF57690CB2E}"/>
    <cellStyle name="RISKtlCorner 2 2 3 21 2" xfId="45594" xr:uid="{1EC710BB-2312-4059-B6C5-B21AB244B452}"/>
    <cellStyle name="RISKtlCorner 2 2 3 22" xfId="25024" xr:uid="{B3075C5B-414E-4B92-AF77-4DD857AFDF6E}"/>
    <cellStyle name="RISKtlCorner 2 2 3 22 2" xfId="44057" xr:uid="{1237522A-B0CA-477B-B3F7-410FDD50A2A3}"/>
    <cellStyle name="RISKtlCorner 2 2 3 23" xfId="27456" xr:uid="{18B7F541-AC07-44CD-AC9C-35F288289120}"/>
    <cellStyle name="RISKtlCorner 2 2 3 23 2" xfId="45688" xr:uid="{0742E44C-1477-429E-8655-1854F6402E13}"/>
    <cellStyle name="RISKtlCorner 2 2 3 24" xfId="26974" xr:uid="{3C4B046A-BF6D-44F9-8173-62C9BB5A46E9}"/>
    <cellStyle name="RISKtlCorner 2 2 3 24 2" xfId="45381" xr:uid="{711B77F7-7596-49F6-8BF0-A5EC99E55556}"/>
    <cellStyle name="RISKtlCorner 2 2 3 25" xfId="29582" xr:uid="{CC02F068-B4D5-4955-AEA4-10DCFB173F38}"/>
    <cellStyle name="RISKtlCorner 2 2 3 25 2" xfId="46977" xr:uid="{814D996E-C528-4013-9AE8-522F365608ED}"/>
    <cellStyle name="RISKtlCorner 2 2 3 26" xfId="29892" xr:uid="{7A8643D1-C095-4B41-9276-DCB087738B66}"/>
    <cellStyle name="RISKtlCorner 2 2 3 26 2" xfId="47180" xr:uid="{9F508206-1893-4540-B079-3AD49EB9FB8A}"/>
    <cellStyle name="RISKtlCorner 2 2 3 27" xfId="30227" xr:uid="{55C14A59-BD4D-411E-B119-5C89308BEA3E}"/>
    <cellStyle name="RISKtlCorner 2 2 3 27 2" xfId="47388" xr:uid="{BF4B62F7-C82D-48E9-A83F-175A77D71E50}"/>
    <cellStyle name="RISKtlCorner 2 2 3 28" xfId="29376" xr:uid="{66122FB8-1BF7-4CF5-B816-27B5ADA1AF29}"/>
    <cellStyle name="RISKtlCorner 2 2 3 28 2" xfId="46845" xr:uid="{95665951-CDF9-4C62-8293-E727BDFCC18C}"/>
    <cellStyle name="RISKtlCorner 2 2 3 29" xfId="30894" xr:uid="{2BF900F4-B962-4E01-B099-AD9A236EE1C2}"/>
    <cellStyle name="RISKtlCorner 2 2 3 29 2" xfId="47742" xr:uid="{DA792D13-01EB-4D3F-A457-58A3A54E888D}"/>
    <cellStyle name="RISKtlCorner 2 2 3 3" xfId="10285" xr:uid="{D172753F-D127-456B-AB97-FD0D5D36DE15}"/>
    <cellStyle name="RISKtlCorner 2 2 3 3 2" xfId="33920" xr:uid="{448252FB-91CD-4974-B241-E46D1B480354}"/>
    <cellStyle name="RISKtlCorner 2 2 3 30" xfId="6042" xr:uid="{25598710-FE91-4405-BFB9-CE38CD720658}"/>
    <cellStyle name="RISKtlCorner 2 2 3 4" xfId="6969" xr:uid="{F22B8EDB-4BC8-43EC-A1F6-86D9FB164826}"/>
    <cellStyle name="RISKtlCorner 2 2 3 4 2" xfId="31336" xr:uid="{729FF9AE-FE93-4955-A789-AD85D30AFF21}"/>
    <cellStyle name="RISKtlCorner 2 2 3 5" xfId="11654" xr:uid="{7B25E147-8323-4F97-B904-D78998842604}"/>
    <cellStyle name="RISKtlCorner 2 2 3 5 2" xfId="34267" xr:uid="{F0C1EB8B-CCA9-4A28-A584-5F938EBFAD9E}"/>
    <cellStyle name="RISKtlCorner 2 2 3 6" xfId="14650" xr:uid="{327630AF-C681-4449-B87A-8604EA6D0ED2}"/>
    <cellStyle name="RISKtlCorner 2 2 3 6 2" xfId="36562" xr:uid="{F72F1E1A-8A3D-4813-AF14-A7F30BA0F9B8}"/>
    <cellStyle name="RISKtlCorner 2 2 3 7" xfId="14028" xr:uid="{4D5A06A1-E977-422A-B66B-79579CB7DDF8}"/>
    <cellStyle name="RISKtlCorner 2 2 3 7 2" xfId="36122" xr:uid="{C80EF1D2-9807-4988-A295-03ECB42FFC70}"/>
    <cellStyle name="RISKtlCorner 2 2 3 8" xfId="17416" xr:uid="{5DA69498-DFC5-4A46-BB13-C1899F849A78}"/>
    <cellStyle name="RISKtlCorner 2 2 3 8 2" xfId="38663" xr:uid="{9CD4F438-3916-45CE-96ED-FE4F8D566823}"/>
    <cellStyle name="RISKtlCorner 2 2 3 9" xfId="18264" xr:uid="{D29F8FA4-0FBD-44D9-BCC5-64D2B902650C}"/>
    <cellStyle name="RISKtlCorner 2 2 3 9 2" xfId="39295" xr:uid="{C6170A08-6A6C-49E6-9EB7-64743965BC88}"/>
    <cellStyle name="RISKtlCorner 2 2 30" xfId="29880" xr:uid="{92D9781C-19DA-47DA-8D9B-8F30CF1856A3}"/>
    <cellStyle name="RISKtlCorner 2 2 30 2" xfId="47168" xr:uid="{94524033-071F-4089-A112-3C32769B944A}"/>
    <cellStyle name="RISKtlCorner 2 2 31" xfId="30582" xr:uid="{3D317666-B1EF-4D43-B3CD-3BB6EF970A97}"/>
    <cellStyle name="RISKtlCorner 2 2 31 2" xfId="47532" xr:uid="{3F6D70F3-DB2D-4AA0-B925-44DDB84BD4DD}"/>
    <cellStyle name="RISKtlCorner 2 2 32" xfId="6043" xr:uid="{6B0FFB34-ABB6-4F96-BCC1-C939127E70F2}"/>
    <cellStyle name="RISKtlCorner 2 2 4" xfId="7327" xr:uid="{02214A47-2BD2-4D8E-9E81-7875FFB22AFB}"/>
    <cellStyle name="RISKtlCorner 2 2 4 2" xfId="31690" xr:uid="{DCCFE08F-A52C-4B13-B2E7-075BD14350E3}"/>
    <cellStyle name="RISKtlCorner 2 2 5" xfId="10284" xr:uid="{A15287FE-C885-4220-BE9E-B219887363BF}"/>
    <cellStyle name="RISKtlCorner 2 2 5 2" xfId="33919" xr:uid="{B69ECCA2-6CC1-4096-B899-037D7FD22412}"/>
    <cellStyle name="RISKtlCorner 2 2 6" xfId="6970" xr:uid="{B5495D2A-A5D4-4EA6-9767-49FCEEE439F6}"/>
    <cellStyle name="RISKtlCorner 2 2 6 2" xfId="31337" xr:uid="{49703BAD-345A-4D9D-B870-C2D7A364D294}"/>
    <cellStyle name="RISKtlCorner 2 2 7" xfId="11655" xr:uid="{0D59F157-5079-4051-BB18-64898ECDB022}"/>
    <cellStyle name="RISKtlCorner 2 2 7 2" xfId="34268" xr:uid="{74EF346B-B3E3-4087-9759-1EC17A956D54}"/>
    <cellStyle name="RISKtlCorner 2 2 8" xfId="12311" xr:uid="{A0C15DEA-FAE7-418F-A93E-5C7592CCCA52}"/>
    <cellStyle name="RISKtlCorner 2 2 8 2" xfId="34817" xr:uid="{AAEFA60E-2D11-49C2-8E59-51196303CA51}"/>
    <cellStyle name="RISKtlCorner 2 2 9" xfId="12536" xr:uid="{86003296-839F-4A4C-A209-EE7B4179E51C}"/>
    <cellStyle name="RISKtlCorner 2 2 9 2" xfId="34980" xr:uid="{20CB6D9F-1BEE-4D58-924D-156BE1F164EE}"/>
    <cellStyle name="RISKtlCorner 2 20" xfId="20307" xr:uid="{01ACB8B0-81DD-4774-901A-C139592CBD50}"/>
    <cellStyle name="RISKtlCorner 2 20 2" xfId="40741" xr:uid="{D1DCC2FD-EDA5-4EFF-893A-B8C949CCD333}"/>
    <cellStyle name="RISKtlCorner 2 21" xfId="24537" xr:uid="{7125F40C-943F-4C8A-B27A-D94FD342535A}"/>
    <cellStyle name="RISKtlCorner 2 21 2" xfId="43720" xr:uid="{3BD54EA9-4908-4723-99BD-38200E39DB75}"/>
    <cellStyle name="RISKtlCorner 2 22" xfId="23942" xr:uid="{BFDB8960-30D9-4A1E-9B82-B9066EE0E54D}"/>
    <cellStyle name="RISKtlCorner 2 22 2" xfId="43319" xr:uid="{709975E5-66EB-4F2C-8E8C-A4CCC6AEE234}"/>
    <cellStyle name="RISKtlCorner 2 23" xfId="24252" xr:uid="{685F581E-03BF-4C8F-A093-AFF0BB706110}"/>
    <cellStyle name="RISKtlCorner 2 23 2" xfId="43566" xr:uid="{7792726E-962C-43D4-AA1D-DD8DEAF37D43}"/>
    <cellStyle name="RISKtlCorner 2 24" xfId="26170" xr:uid="{1B478EC0-857C-43DC-AB34-C186258B50E4}"/>
    <cellStyle name="RISKtlCorner 2 24 2" xfId="44900" xr:uid="{E865EDC6-3509-444B-A969-4567DB03064D}"/>
    <cellStyle name="RISKtlCorner 2 25" xfId="27799" xr:uid="{0D975FD7-EB69-4F67-8188-F2CBEE7039EC}"/>
    <cellStyle name="RISKtlCorner 2 25 2" xfId="45886" xr:uid="{40864C77-5DB2-4223-8D8D-8A3AAB93AB86}"/>
    <cellStyle name="RISKtlCorner 2 26" xfId="23587" xr:uid="{0E2F3B90-1A5F-4EDF-A534-4FFA6E4EAD18}"/>
    <cellStyle name="RISKtlCorner 2 26 2" xfId="43022" xr:uid="{4EF42AEF-FF6E-44CC-AE76-AF7785E4DD80}"/>
    <cellStyle name="RISKtlCorner 2 27" xfId="25597" xr:uid="{FD655ADA-DE23-49AB-A775-2EC8774224BF}"/>
    <cellStyle name="RISKtlCorner 2 27 2" xfId="44459" xr:uid="{5A63D5C9-0F35-4C7F-BD07-69D69EA9236D}"/>
    <cellStyle name="RISKtlCorner 2 28" xfId="22632" xr:uid="{95A34F34-4CAE-4956-9E08-FF1B219572E0}"/>
    <cellStyle name="RISKtlCorner 2 28 2" xfId="42406" xr:uid="{B41A1B35-6AB1-4698-ADED-62C6D0E8A07D}"/>
    <cellStyle name="RISKtlCorner 2 29" xfId="29790" xr:uid="{AFECE3EB-6D97-4C76-B11D-27C256123D93}"/>
    <cellStyle name="RISKtlCorner 2 29 2" xfId="47109" xr:uid="{84910FD5-1B63-475A-A73F-D253025D5878}"/>
    <cellStyle name="RISKtlCorner 2 3" xfId="4069" xr:uid="{1C780C52-5BCB-4467-A9BE-4871B95A4B4E}"/>
    <cellStyle name="RISKtlCorner 2 3 10" xfId="19148" xr:uid="{DDB240FF-0601-4C2C-B3EB-64A4BA1DE108}"/>
    <cellStyle name="RISKtlCorner 2 3 10 2" xfId="39957" xr:uid="{03D2B4B6-6D15-4E90-BA4A-18D40D400C03}"/>
    <cellStyle name="RISKtlCorner 2 3 11" xfId="19899" xr:uid="{2934AC17-AAA8-4D4F-9F28-4543A4EA77D8}"/>
    <cellStyle name="RISKtlCorner 2 3 11 2" xfId="40511" xr:uid="{2B1DFCBC-CCE2-4648-B48D-0EC8B59D0B29}"/>
    <cellStyle name="RISKtlCorner 2 3 12" xfId="18891" xr:uid="{6600BCF1-7314-4212-930C-7E73162A3487}"/>
    <cellStyle name="RISKtlCorner 2 3 12 2" xfId="39724" xr:uid="{29D18F6A-C63B-4C1B-85D2-C6A8410FAEF6}"/>
    <cellStyle name="RISKtlCorner 2 3 13" xfId="19006" xr:uid="{436D1F35-336B-4F43-AB9A-C0A99CB51DA1}"/>
    <cellStyle name="RISKtlCorner 2 3 13 2" xfId="39838" xr:uid="{B8D5ECEB-9BD9-4A25-8AB9-20C0A643ACFC}"/>
    <cellStyle name="RISKtlCorner 2 3 14" xfId="22084" xr:uid="{70053C3C-FC32-44FC-AC75-D28122C4AC55}"/>
    <cellStyle name="RISKtlCorner 2 3 14 2" xfId="41969" xr:uid="{C5E9399F-525C-4702-90AA-0B8A0056DDAD}"/>
    <cellStyle name="RISKtlCorner 2 3 15" xfId="23146" xr:uid="{19C9CB5B-9C4A-4C7A-9599-C7CCC84220E2}"/>
    <cellStyle name="RISKtlCorner 2 3 15 2" xfId="42745" xr:uid="{0392B918-CB9F-4E50-9D4C-5D86426F9640}"/>
    <cellStyle name="RISKtlCorner 2 3 16" xfId="23967" xr:uid="{B994783F-403C-458F-AA3B-C41D9A67CDC1}"/>
    <cellStyle name="RISKtlCorner 2 3 16 2" xfId="43344" xr:uid="{0644670C-0C98-4E61-915B-C18B548AAEA5}"/>
    <cellStyle name="RISKtlCorner 2 3 17" xfId="18721" xr:uid="{39DD93CA-28A5-456D-AF39-607168B6F97B}"/>
    <cellStyle name="RISKtlCorner 2 3 17 2" xfId="39596" xr:uid="{E1AB268B-2FF5-46E5-849C-8D5A6B66C124}"/>
    <cellStyle name="RISKtlCorner 2 3 18" xfId="24536" xr:uid="{6A05E1BB-6B69-42E4-97E7-6229F13EB57C}"/>
    <cellStyle name="RISKtlCorner 2 3 18 2" xfId="43719" xr:uid="{3120F3E0-9B60-486A-B242-403362D6295B}"/>
    <cellStyle name="RISKtlCorner 2 3 19" xfId="23940" xr:uid="{0036F9C5-8F96-4377-9A6A-E664135E34F3}"/>
    <cellStyle name="RISKtlCorner 2 3 19 2" xfId="43317" xr:uid="{29385437-8F64-4D5B-8C82-EDFFC94EE3AC}"/>
    <cellStyle name="RISKtlCorner 2 3 2" xfId="11752" xr:uid="{877A37A1-5331-44DC-A44D-5FAF8BF78263}"/>
    <cellStyle name="RISKtlCorner 2 3 2 2" xfId="34365" xr:uid="{B3FBC4A1-8464-48CE-A77E-829BDC0DB24D}"/>
    <cellStyle name="RISKtlCorner 2 3 20" xfId="20356" xr:uid="{8764F97B-E8FC-4A48-A507-3B4296FB4ABC}"/>
    <cellStyle name="RISKtlCorner 2 3 20 2" xfId="40784" xr:uid="{1912670E-9C81-4F75-948C-9067B9AECACB}"/>
    <cellStyle name="RISKtlCorner 2 3 21" xfId="26169" xr:uid="{E6E88952-99AC-457A-94FC-4ADDD842F5E2}"/>
    <cellStyle name="RISKtlCorner 2 3 21 2" xfId="44899" xr:uid="{9302A182-36FE-49D8-BA91-CF42F81B0C02}"/>
    <cellStyle name="RISKtlCorner 2 3 22" xfId="27797" xr:uid="{62B679E2-78C6-4A43-A7C3-86F8C5084881}"/>
    <cellStyle name="RISKtlCorner 2 3 22 2" xfId="45884" xr:uid="{A569C8E0-0266-4B6F-B3E8-2CAF6C98ACA1}"/>
    <cellStyle name="RISKtlCorner 2 3 23" xfId="21927" xr:uid="{81D5C240-4509-4CDE-910C-E63CBF10320A}"/>
    <cellStyle name="RISKtlCorner 2 3 23 2" xfId="41843" xr:uid="{143BA854-49C7-43D5-9B82-0C8B4E57F886}"/>
    <cellStyle name="RISKtlCorner 2 3 24" xfId="29078" xr:uid="{439ACAB7-A1F8-471E-B935-C9001B7A5C51}"/>
    <cellStyle name="RISKtlCorner 2 3 24 2" xfId="46651" xr:uid="{701FBAC6-347D-4CCD-A3D6-1C669B874669}"/>
    <cellStyle name="RISKtlCorner 2 3 25" xfId="26539" xr:uid="{6335B5F8-10FD-4DFB-8409-25B8E217E959}"/>
    <cellStyle name="RISKtlCorner 2 3 25 2" xfId="45114" xr:uid="{6A426136-D5E2-48A2-81E3-D89CC287CEF5}"/>
    <cellStyle name="RISKtlCorner 2 3 26" xfId="28908" xr:uid="{735EA56C-99EE-400E-9CA6-38C3FEBAE6E0}"/>
    <cellStyle name="RISKtlCorner 2 3 26 2" xfId="46512" xr:uid="{6713C8E2-C34E-4FC6-98DF-CEC3DBE08948}"/>
    <cellStyle name="RISKtlCorner 2 3 27" xfId="30679" xr:uid="{0B3665D7-A3FE-4952-8014-758E7DF36BE1}"/>
    <cellStyle name="RISKtlCorner 2 3 27 2" xfId="47625" xr:uid="{FBF52EA5-B8C1-4F4E-9ACF-8ACD4A1ED37F}"/>
    <cellStyle name="RISKtlCorner 2 3 28" xfId="27729" xr:uid="{C47095AF-7F0B-4AAA-9560-1B797263A31A}"/>
    <cellStyle name="RISKtlCorner 2 3 28 2" xfId="45834" xr:uid="{12B6833A-1360-4822-8006-171F6B08B69A}"/>
    <cellStyle name="RISKtlCorner 2 3 29" xfId="30189" xr:uid="{63FA7808-CA38-4D89-9113-468433664BE7}"/>
    <cellStyle name="RISKtlCorner 2 3 29 2" xfId="47350" xr:uid="{F2A4E218-C4E1-4DA5-B724-CD28933CD1A1}"/>
    <cellStyle name="RISKtlCorner 2 3 3" xfId="13174" xr:uid="{5D20231C-C7B8-47E5-914F-18A2FC4B4268}"/>
    <cellStyle name="RISKtlCorner 2 3 3 2" xfId="35522" xr:uid="{1F607023-7A0A-41B7-8D49-C240A022772D}"/>
    <cellStyle name="RISKtlCorner 2 3 30" xfId="6800" xr:uid="{E0AF2582-FD01-483B-8E45-9DD2269F65F3}"/>
    <cellStyle name="RISKtlCorner 2 3 4" xfId="14190" xr:uid="{D4A59DBD-1BAE-4CA2-83F1-4F7C016C6164}"/>
    <cellStyle name="RISKtlCorner 2 3 4 2" xfId="36243" xr:uid="{3E4BD281-2130-4AE7-B17D-7C5CA5DADC1C}"/>
    <cellStyle name="RISKtlCorner 2 3 5" xfId="7220" xr:uid="{ABB782A4-2CDB-4DA2-9E88-5FEC799ECAA8}"/>
    <cellStyle name="RISKtlCorner 2 3 5 2" xfId="31585" xr:uid="{62270C20-AFF1-4F95-832C-DB566E5B95F7}"/>
    <cellStyle name="RISKtlCorner 2 3 6" xfId="15176" xr:uid="{C5306D8D-E963-4951-A2B1-301C880762FE}"/>
    <cellStyle name="RISKtlCorner 2 3 6 2" xfId="36963" xr:uid="{A92161C6-B47B-469D-858C-ECBB54EDE372}"/>
    <cellStyle name="RISKtlCorner 2 3 7" xfId="16541" xr:uid="{B6771BD7-C4D2-4F3D-B061-CCB833991C78}"/>
    <cellStyle name="RISKtlCorner 2 3 7 2" xfId="38034" xr:uid="{2B0C0861-6896-4EDF-91E2-5C160955CFBE}"/>
    <cellStyle name="RISKtlCorner 2 3 8" xfId="13721" xr:uid="{0E2C1915-1A5A-4700-A2ED-12255F16B9D7}"/>
    <cellStyle name="RISKtlCorner 2 3 8 2" xfId="35877" xr:uid="{1F36905F-B8BD-4980-8687-C1F4160D8E18}"/>
    <cellStyle name="RISKtlCorner 2 3 9" xfId="16286" xr:uid="{355CEC27-0280-47C0-AB30-2DB5F75682A8}"/>
    <cellStyle name="RISKtlCorner 2 3 9 2" xfId="37823" xr:uid="{1BC26267-D24E-4163-941D-A3B47A9CFCA4}"/>
    <cellStyle name="RISKtlCorner 2 30" xfId="30681" xr:uid="{64F72309-DC76-442B-B901-61DF8A416BBD}"/>
    <cellStyle name="RISKtlCorner 2 30 2" xfId="47627" xr:uid="{656B7A95-7528-42BD-8BE8-3DE57B5F2CA3}"/>
    <cellStyle name="RISKtlCorner 2 31" xfId="30173" xr:uid="{0DBC799F-79D9-4529-ABF1-5735C6FC24A6}"/>
    <cellStyle name="RISKtlCorner 2 31 2" xfId="47337" xr:uid="{0615AF48-3098-46F0-BE20-2BC761F6925B}"/>
    <cellStyle name="RISKtlCorner 2 32" xfId="26912" xr:uid="{1778A685-3A41-47EC-B1C0-2237430BB33E}"/>
    <cellStyle name="RISKtlCorner 2 32 2" xfId="45333" xr:uid="{A3847DDC-0701-4E35-9311-29987E4B1373}"/>
    <cellStyle name="RISKtlCorner 2 33" xfId="6802" xr:uid="{58742F20-4A31-4BF6-AD1D-8A17D18AD8EA}"/>
    <cellStyle name="RISKtlCorner 2 4" xfId="4070" xr:uid="{D9E50907-AC12-4A50-A83A-B34D25D84C95}"/>
    <cellStyle name="RISKtlCorner 2 4 10" xfId="16059" xr:uid="{44CB8EDE-7869-42D7-9D62-138C79D3197F}"/>
    <cellStyle name="RISKtlCorner 2 4 10 2" xfId="37635" xr:uid="{CCF7AFCF-6453-4CEE-B108-7F40C924117E}"/>
    <cellStyle name="RISKtlCorner 2 4 11" xfId="18021" xr:uid="{9C669EF2-D18F-4003-8ED2-3CEE8CF06527}"/>
    <cellStyle name="RISKtlCorner 2 4 11 2" xfId="39117" xr:uid="{6D364D66-4F0C-4DC0-B7F5-F3615E9F83D1}"/>
    <cellStyle name="RISKtlCorner 2 4 12" xfId="20635" xr:uid="{0AE37BBD-F32F-4046-B017-BCC2FF15DBB3}"/>
    <cellStyle name="RISKtlCorner 2 4 12 2" xfId="40995" xr:uid="{CA7316DD-E208-471E-AA4B-FB6257AC9959}"/>
    <cellStyle name="RISKtlCorner 2 4 13" xfId="15340" xr:uid="{07D81CE8-5448-4CC2-B102-49A4086A7081}"/>
    <cellStyle name="RISKtlCorner 2 4 13 2" xfId="37040" xr:uid="{4EF6D7B4-6A2F-491F-BB36-B464F2CD1572}"/>
    <cellStyle name="RISKtlCorner 2 4 14" xfId="22573" xr:uid="{66821486-B296-4D6E-B7B3-84852FD07080}"/>
    <cellStyle name="RISKtlCorner 2 4 14 2" xfId="42359" xr:uid="{3A2797CC-3CCA-480A-91AB-8E451EA524AE}"/>
    <cellStyle name="RISKtlCorner 2 4 15" xfId="15399" xr:uid="{E1C3425F-8AA1-4F2E-BC30-2D6DA7551ACF}"/>
    <cellStyle name="RISKtlCorner 2 4 15 2" xfId="37096" xr:uid="{058DBFF0-E9EF-4F87-9F19-6B20078152EE}"/>
    <cellStyle name="RISKtlCorner 2 4 16" xfId="19494" xr:uid="{2B2F4030-A054-4892-89D3-BB001D243123}"/>
    <cellStyle name="RISKtlCorner 2 4 16 2" xfId="40171" xr:uid="{B37F2F3C-FB01-439B-AF8C-9DB310D53946}"/>
    <cellStyle name="RISKtlCorner 2 4 17" xfId="18573" xr:uid="{855C4131-45A2-4AB9-A6DB-43E670FC39A2}"/>
    <cellStyle name="RISKtlCorner 2 4 17 2" xfId="39517" xr:uid="{CBE0A75E-65A3-46D8-910B-AA0F9956A846}"/>
    <cellStyle name="RISKtlCorner 2 4 18" xfId="23462" xr:uid="{028EB52A-27BD-4769-AF2E-FF884B3DDAE2}"/>
    <cellStyle name="RISKtlCorner 2 4 18 2" xfId="42968" xr:uid="{087EF8A1-7AD1-4D92-B91B-B62F99A1D9BE}"/>
    <cellStyle name="RISKtlCorner 2 4 19" xfId="22211" xr:uid="{575D8B8A-4DBF-4FC9-BDAC-8919F9E38819}"/>
    <cellStyle name="RISKtlCorner 2 4 19 2" xfId="42090" xr:uid="{85F37FC0-57C0-45A4-BE7F-C2322A379677}"/>
    <cellStyle name="RISKtlCorner 2 4 2" xfId="7325" xr:uid="{82C3FBA6-6F52-45D5-98B0-39ABEC8C2490}"/>
    <cellStyle name="RISKtlCorner 2 4 2 2" xfId="31688" xr:uid="{2A196AFD-1F68-4FD7-AE1B-E129503CB10F}"/>
    <cellStyle name="RISKtlCorner 2 4 20" xfId="25165" xr:uid="{FA2AE311-B804-489B-8254-4B85510CBF27}"/>
    <cellStyle name="RISKtlCorner 2 4 20 2" xfId="44109" xr:uid="{A4720282-1390-4F6A-965B-AE8E3C7476FA}"/>
    <cellStyle name="RISKtlCorner 2 4 21" xfId="27290" xr:uid="{B956226D-008D-4F15-AD37-FF3582D838A9}"/>
    <cellStyle name="RISKtlCorner 2 4 21 2" xfId="45593" xr:uid="{9E4507CA-6B52-4C89-9B9F-5920AC78988F}"/>
    <cellStyle name="RISKtlCorner 2 4 22" xfId="24334" xr:uid="{26BF088D-B332-434E-AAF8-E04F1E40543B}"/>
    <cellStyle name="RISKtlCorner 2 4 22 2" xfId="43597" xr:uid="{AB2DF598-F4A1-4238-A9B3-FE17F1B96468}"/>
    <cellStyle name="RISKtlCorner 2 4 23" xfId="25819" xr:uid="{52D6ECF5-F2C6-487C-B701-962737B836C8}"/>
    <cellStyle name="RISKtlCorner 2 4 23 2" xfId="44645" xr:uid="{7AA07A88-0E93-4C7E-B0B5-542C9A08B28F}"/>
    <cellStyle name="RISKtlCorner 2 4 24" xfId="28285" xr:uid="{A9617E2A-C38D-4C7E-B8AA-B6223FFBB96E}"/>
    <cellStyle name="RISKtlCorner 2 4 24 2" xfId="46152" xr:uid="{C3234E1D-AFA8-4681-B33B-945E569EB934}"/>
    <cellStyle name="RISKtlCorner 2 4 25" xfId="28984" xr:uid="{58D60FB6-B7F4-4A79-87DA-3F8F64005AED}"/>
    <cellStyle name="RISKtlCorner 2 4 25 2" xfId="46578" xr:uid="{B2E93A09-4C2E-4E45-86EB-5FA16B17FA00}"/>
    <cellStyle name="RISKtlCorner 2 4 26" xfId="26466" xr:uid="{A8A4191C-1C69-4746-B460-4F7D953410DE}"/>
    <cellStyle name="RISKtlCorner 2 4 26 2" xfId="45092" xr:uid="{0E2FE9D5-0274-429C-9D2C-5B9F67AF3404}"/>
    <cellStyle name="RISKtlCorner 2 4 27" xfId="25212" xr:uid="{777D7946-88EE-4425-9C75-D4A8ED5FE08E}"/>
    <cellStyle name="RISKtlCorner 2 4 27 2" xfId="44151" xr:uid="{C90D0747-85E4-44D7-A663-1C6B354B0A85}"/>
    <cellStyle name="RISKtlCorner 2 4 28" xfId="30174" xr:uid="{F5D3B844-8214-4954-A7D0-FD671044AEF4}"/>
    <cellStyle name="RISKtlCorner 2 4 28 2" xfId="47338" xr:uid="{BAF45B99-89B0-4893-963E-711C94F9EB1F}"/>
    <cellStyle name="RISKtlCorner 2 4 29" xfId="30581" xr:uid="{C47D1D23-5DBA-4655-A995-16843F6BCE5D}"/>
    <cellStyle name="RISKtlCorner 2 4 29 2" xfId="47531" xr:uid="{B3E60FB9-EC7D-4546-A6B5-5129F1A62370}"/>
    <cellStyle name="RISKtlCorner 2 4 3" xfId="10286" xr:uid="{813F5DD6-7054-4659-B241-513B9594FA59}"/>
    <cellStyle name="RISKtlCorner 2 4 3 2" xfId="33921" xr:uid="{FF4806E7-695C-4588-8E90-AFEAE65582C1}"/>
    <cellStyle name="RISKtlCorner 2 4 30" xfId="6041" xr:uid="{EEF7AF24-F909-4153-A48C-1FFFF2AD2A5F}"/>
    <cellStyle name="RISKtlCorner 2 4 4" xfId="6968" xr:uid="{1C857A82-AA32-4E3E-975D-9B2863E0BCCC}"/>
    <cellStyle name="RISKtlCorner 2 4 4 2" xfId="31335" xr:uid="{F59B37A2-126F-4747-BD17-9A64F1B55657}"/>
    <cellStyle name="RISKtlCorner 2 4 5" xfId="11653" xr:uid="{1E037270-5D72-49E5-9343-BE0EBA46C44A}"/>
    <cellStyle name="RISKtlCorner 2 4 5 2" xfId="34266" xr:uid="{BDB945CB-DB5D-451D-ADBD-2CA5378C179A}"/>
    <cellStyle name="RISKtlCorner 2 4 6" xfId="16017" xr:uid="{B97F737F-1B3E-48A9-B273-A0B77F4D0632}"/>
    <cellStyle name="RISKtlCorner 2 4 6 2" xfId="37600" xr:uid="{9D938492-220C-41C7-80BA-6D2A460F9547}"/>
    <cellStyle name="RISKtlCorner 2 4 7" xfId="12537" xr:uid="{2A6EC828-D09F-4CA4-966F-B538DE846597}"/>
    <cellStyle name="RISKtlCorner 2 4 7 2" xfId="34981" xr:uid="{04BC17A3-762B-49EB-986F-2DC45D10EA18}"/>
    <cellStyle name="RISKtlCorner 2 4 8" xfId="17415" xr:uid="{F35B5C69-16E0-48F1-816A-32F5E3DDB933}"/>
    <cellStyle name="RISKtlCorner 2 4 8 2" xfId="38662" xr:uid="{EEA5236B-7885-466C-B729-F975C9476355}"/>
    <cellStyle name="RISKtlCorner 2 4 9" xfId="18263" xr:uid="{2DD05214-8991-4D51-BAC7-B357AEA7535D}"/>
    <cellStyle name="RISKtlCorner 2 4 9 2" xfId="39294" xr:uid="{2017D197-1EC9-401C-9BEA-8774CE42BBA2}"/>
    <cellStyle name="RISKtlCorner 2 5" xfId="11754" xr:uid="{309BAE65-4319-42AB-A5C4-229AF1E5E785}"/>
    <cellStyle name="RISKtlCorner 2 5 2" xfId="34367" xr:uid="{CB935E7C-ABAC-4C34-A6F8-FE64BC539036}"/>
    <cellStyle name="RISKtlCorner 2 6" xfId="13176" xr:uid="{0D6AEE35-CD64-4A02-BA2B-D3ED4CBC0EF3}"/>
    <cellStyle name="RISKtlCorner 2 6 2" xfId="35524" xr:uid="{FB2AE43E-E3B7-45C3-BE33-5C00D7BC2547}"/>
    <cellStyle name="RISKtlCorner 2 7" xfId="14192" xr:uid="{D4B4E565-BE5E-43C7-A83F-CED89367325B}"/>
    <cellStyle name="RISKtlCorner 2 7 2" xfId="36245" xr:uid="{A2078590-BF30-4FE5-9505-A86A5C05FC55}"/>
    <cellStyle name="RISKtlCorner 2 8" xfId="13431" xr:uid="{F59F55B0-8B34-4F9B-B91D-44811E5DBA01}"/>
    <cellStyle name="RISKtlCorner 2 8 2" xfId="35724" xr:uid="{E25B2F5D-452A-433E-BBF7-CFED225F087E}"/>
    <cellStyle name="RISKtlCorner 2 9" xfId="13814" xr:uid="{EBA61AB9-02DD-4C49-AB9E-FD164D0626E6}"/>
    <cellStyle name="RISKtlCorner 2 9 2" xfId="35939" xr:uid="{8906B2F5-F249-4D59-9B5E-218C95937C2D}"/>
    <cellStyle name="RISKtlCorner 20" xfId="19902" xr:uid="{91219CA3-9DF6-4465-B783-95F6F3572114}"/>
    <cellStyle name="RISKtlCorner 20 2" xfId="40514" xr:uid="{B139B9A8-A2F9-4AA9-BBF8-338BBCC5EA40}"/>
    <cellStyle name="RISKtlCorner 21" xfId="16843" xr:uid="{AD0C0CA5-F754-48B5-BEB9-D090E63B14EF}"/>
    <cellStyle name="RISKtlCorner 21 2" xfId="38271" xr:uid="{95F8EB66-070C-4FBB-8484-F9AEAC990C8F}"/>
    <cellStyle name="RISKtlCorner 22" xfId="19008" xr:uid="{DE63E8DC-40A2-43F0-87ED-FEC026FA03CC}"/>
    <cellStyle name="RISKtlCorner 22 2" xfId="39840" xr:uid="{8FB1F22D-5378-4989-9610-A880C1BFC7B3}"/>
    <cellStyle name="RISKtlCorner 23" xfId="17869" xr:uid="{52D11D6A-8202-4306-A04A-B43907614270}"/>
    <cellStyle name="RISKtlCorner 23 2" xfId="38985" xr:uid="{FA60F761-4F9C-45CF-9D77-AA47E2E5FCA9}"/>
    <cellStyle name="RISKtlCorner 24" xfId="23149" xr:uid="{C71374D6-E3BC-4935-8A96-C971FDFF7304}"/>
    <cellStyle name="RISKtlCorner 24 2" xfId="42748" xr:uid="{6CB41C05-75C3-4B19-8B94-2EFB791112D2}"/>
    <cellStyle name="RISKtlCorner 25" xfId="23970" xr:uid="{058C59BF-0D27-4607-9AC0-42AD58C55036}"/>
    <cellStyle name="RISKtlCorner 25 2" xfId="43347" xr:uid="{2AFF9A00-1E28-4CAB-8416-28E6E4648121}"/>
    <cellStyle name="RISKtlCorner 26" xfId="22158" xr:uid="{ADB7F608-3C4D-45A1-9DA4-9F9213D080C1}"/>
    <cellStyle name="RISKtlCorner 26 2" xfId="42038" xr:uid="{D6E6045A-8AD8-4C26-A952-D95C82F1E708}"/>
    <cellStyle name="RISKtlCorner 27" xfId="22286" xr:uid="{437A0D84-F79F-4431-B416-ECB5EBD2EADC}"/>
    <cellStyle name="RISKtlCorner 27 2" xfId="42150" xr:uid="{5E4F7810-7A51-4679-A1E5-324CBDC7D209}"/>
    <cellStyle name="RISKtlCorner 28" xfId="23943" xr:uid="{00129940-40A2-4A3F-A5E4-089138DF9070}"/>
    <cellStyle name="RISKtlCorner 28 2" xfId="43320" xr:uid="{ED2A0277-8383-4BB7-8D57-90F26D352030}"/>
    <cellStyle name="RISKtlCorner 29" xfId="22671" xr:uid="{DAB44FA5-B49E-47A0-A60E-8D221C314F25}"/>
    <cellStyle name="RISKtlCorner 29 2" xfId="42441" xr:uid="{AE36E813-E455-4A7D-BF49-C014259F39D5}"/>
    <cellStyle name="RISKtlCorner 3" xfId="4071" xr:uid="{DD0EFFCE-2633-4012-93C0-00086D59B272}"/>
    <cellStyle name="RISKtlCorner 3 10" xfId="15635" xr:uid="{8FD81A93-58D3-4752-95DD-18FFBC3A9EF4}"/>
    <cellStyle name="RISKtlCorner 3 10 2" xfId="37293" xr:uid="{06E20364-15B4-46F8-A25A-779AF98E3CD3}"/>
    <cellStyle name="RISKtlCorner 3 11" xfId="12615" xr:uid="{48A4B085-ECF1-49A3-ACDA-CDF3D289B29B}"/>
    <cellStyle name="RISKtlCorner 3 11 2" xfId="35047" xr:uid="{97A49C30-00CE-43F3-B022-FA0696292E78}"/>
    <cellStyle name="RISKtlCorner 3 12" xfId="19147" xr:uid="{B14FAE43-D22B-440F-A300-250B07EEE8CB}"/>
    <cellStyle name="RISKtlCorner 3 12 2" xfId="39956" xr:uid="{2317B068-AA54-4012-BEB0-80B271D067F8}"/>
    <cellStyle name="RISKtlCorner 3 13" xfId="19898" xr:uid="{4DC44A9F-0DC4-4C14-AE65-1DDB61F53249}"/>
    <cellStyle name="RISKtlCorner 3 13 2" xfId="40510" xr:uid="{585FE055-7974-410E-97B4-E0B00D00915B}"/>
    <cellStyle name="RISKtlCorner 3 14" xfId="16844" xr:uid="{0A4FC31B-3898-4B7A-A310-EA987B2E93C4}"/>
    <cellStyle name="RISKtlCorner 3 14 2" xfId="38272" xr:uid="{2E6338EB-92D0-424E-9838-7D5284BE3E19}"/>
    <cellStyle name="RISKtlCorner 3 15" xfId="19005" xr:uid="{F75034A9-9965-4BDA-A230-B57E07043886}"/>
    <cellStyle name="RISKtlCorner 3 15 2" xfId="39837" xr:uid="{CB8289E0-5DFA-4C0A-A8F4-AF49306B23EB}"/>
    <cellStyle name="RISKtlCorner 3 16" xfId="17868" xr:uid="{CDAC9C81-C4E6-4CD7-9C2D-72D63DA6B399}"/>
    <cellStyle name="RISKtlCorner 3 16 2" xfId="38984" xr:uid="{2D421EE2-16FE-4ED1-B8BA-7A6141848AB8}"/>
    <cellStyle name="RISKtlCorner 3 17" xfId="23145" xr:uid="{743D1622-45CD-42BD-9070-806522F44495}"/>
    <cellStyle name="RISKtlCorner 3 17 2" xfId="42744" xr:uid="{52E09721-E034-471F-B3C3-2699F622753F}"/>
    <cellStyle name="RISKtlCorner 3 18" xfId="23966" xr:uid="{DAC81A30-7A19-4674-A73D-853CE68D03BC}"/>
    <cellStyle name="RISKtlCorner 3 18 2" xfId="43343" xr:uid="{C804B541-2BA4-44F6-B5C6-300F6B93745C}"/>
    <cellStyle name="RISKtlCorner 3 19" xfId="20919" xr:uid="{DF1C00D3-A351-45F6-9675-67BB8E546AB0}"/>
    <cellStyle name="RISKtlCorner 3 19 2" xfId="41221" xr:uid="{0711B468-2BA3-4178-97E4-FCB8BFD06C52}"/>
    <cellStyle name="RISKtlCorner 3 2" xfId="4072" xr:uid="{A04F85B2-952B-4AFA-AFEC-B947FC985B8B}"/>
    <cellStyle name="RISKtlCorner 3 2 10" xfId="17172" xr:uid="{CA62278F-9FA0-4BF2-B03C-934A7129B234}"/>
    <cellStyle name="RISKtlCorner 3 2 10 2" xfId="38501" xr:uid="{5E00EEB7-0C06-49DB-9375-63050A5C45CB}"/>
    <cellStyle name="RISKtlCorner 3 2 11" xfId="15227" xr:uid="{69BA17C4-C7A7-43D0-AE9B-E5866CFDAF5C}"/>
    <cellStyle name="RISKtlCorner 3 2 11 2" xfId="36993" xr:uid="{630FE9DA-B800-4C5D-BBBF-B3B39C89CF99}"/>
    <cellStyle name="RISKtlCorner 3 2 12" xfId="20634" xr:uid="{761A2BCE-5BDF-4F99-B8F9-44104A6C0100}"/>
    <cellStyle name="RISKtlCorner 3 2 12 2" xfId="40994" xr:uid="{14307691-A1E5-4FA1-B436-358F45B32029}"/>
    <cellStyle name="RISKtlCorner 3 2 13" xfId="17104" xr:uid="{DFBA6542-0279-40CB-8E41-45AC17991063}"/>
    <cellStyle name="RISKtlCorner 3 2 13 2" xfId="38443" xr:uid="{B3D44B8C-1BBE-42D0-964A-52589958ED0A}"/>
    <cellStyle name="RISKtlCorner 3 2 14" xfId="21209" xr:uid="{3D07ECC9-8C83-4B99-8620-0630DE4F5479}"/>
    <cellStyle name="RISKtlCorner 3 2 14 2" xfId="41402" xr:uid="{4FD87914-2170-446A-97E1-C933C7C1DA47}"/>
    <cellStyle name="RISKtlCorner 3 2 15" xfId="20465" xr:uid="{7AAE049D-ED47-4BD2-8456-E2E07C589B0E}"/>
    <cellStyle name="RISKtlCorner 3 2 15 2" xfId="40858" xr:uid="{B34B49EB-ED84-4F3E-BC7B-CAAD81091395}"/>
    <cellStyle name="RISKtlCorner 3 2 16" xfId="18564" xr:uid="{205913CC-20BC-4521-90B8-0CB61053F8E5}"/>
    <cellStyle name="RISKtlCorner 3 2 16 2" xfId="39508" xr:uid="{B5587F13-D5EF-44BB-B830-16EAFD193D6E}"/>
    <cellStyle name="RISKtlCorner 3 2 17" xfId="22160" xr:uid="{2098BF2F-3CFD-4714-8B9B-DEB4F80BE695}"/>
    <cellStyle name="RISKtlCorner 3 2 17 2" xfId="42040" xr:uid="{F1A80E0A-AEE2-4AB2-B710-127D9F3AE7E2}"/>
    <cellStyle name="RISKtlCorner 3 2 18" xfId="25325" xr:uid="{11B42BD7-E939-43F8-A74E-12F0D64C0678}"/>
    <cellStyle name="RISKtlCorner 3 2 18 2" xfId="44241" xr:uid="{84214AFF-B0AA-475D-AADB-916085553AD3}"/>
    <cellStyle name="RISKtlCorner 3 2 19" xfId="23528" xr:uid="{A5A69A49-4802-4DF1-B583-BA9D4BB46F51}"/>
    <cellStyle name="RISKtlCorner 3 2 19 2" xfId="42983" xr:uid="{36AA66F8-3080-4B85-A5B0-ADDA6F7E0413}"/>
    <cellStyle name="RISKtlCorner 3 2 2" xfId="7324" xr:uid="{FB6B2462-4541-4D45-BF0D-1D9986F83F19}"/>
    <cellStyle name="RISKtlCorner 3 2 2 2" xfId="31687" xr:uid="{6BBD4F30-CE6F-4274-A711-D80F0769CEDA}"/>
    <cellStyle name="RISKtlCorner 3 2 20" xfId="23698" xr:uid="{6310E586-8858-431D-BE06-6EBD4F18E33C}"/>
    <cellStyle name="RISKtlCorner 3 2 20 2" xfId="43116" xr:uid="{C6A098E3-46DE-4F9A-9DF8-494231432FDD}"/>
    <cellStyle name="RISKtlCorner 3 2 21" xfId="27289" xr:uid="{E24868EB-2AD0-49F7-8F6F-9C05295A112B}"/>
    <cellStyle name="RISKtlCorner 3 2 21 2" xfId="45592" xr:uid="{1803FAF7-B70A-42BA-8492-BDE292916765}"/>
    <cellStyle name="RISKtlCorner 3 2 22" xfId="27498" xr:uid="{73ECD502-845B-4776-B631-D9E8F50193A8}"/>
    <cellStyle name="RISKtlCorner 3 2 22 2" xfId="45696" xr:uid="{C19B7D6D-3011-4FE4-91B8-C557AA7B3F35}"/>
    <cellStyle name="RISKtlCorner 3 2 23" xfId="25462" xr:uid="{DA63A9AE-ECB9-4CCC-84C7-1D349FC40D45}"/>
    <cellStyle name="RISKtlCorner 3 2 23 2" xfId="44346" xr:uid="{B2FBCE5E-5094-46C3-BA7D-096E9F83D350}"/>
    <cellStyle name="RISKtlCorner 3 2 24" xfId="29000" xr:uid="{9CD3A295-AD67-4578-96FA-CC19D4E76694}"/>
    <cellStyle name="RISKtlCorner 3 2 24 2" xfId="46594" xr:uid="{2F54AA68-E390-4C69-B50A-18A00B8B0250}"/>
    <cellStyle name="RISKtlCorner 3 2 25" xfId="28299" xr:uid="{FE20D9C3-7FB9-4E08-8B67-1E47F8937145}"/>
    <cellStyle name="RISKtlCorner 3 2 25 2" xfId="46166" xr:uid="{95A6B0D1-5F3B-4825-9ED6-20781EAEF1E6}"/>
    <cellStyle name="RISKtlCorner 3 2 26" xfId="25589" xr:uid="{70B338F9-C9C6-463F-90D9-DFAAA210FD76}"/>
    <cellStyle name="RISKtlCorner 3 2 26 2" xfId="44453" xr:uid="{7360711C-92E4-4561-957A-AD2C3365A229}"/>
    <cellStyle name="RISKtlCorner 3 2 27" xfId="30226" xr:uid="{6537E366-175D-4144-A46E-179DE19E1D75}"/>
    <cellStyle name="RISKtlCorner 3 2 27 2" xfId="47387" xr:uid="{61003A52-72AE-44EE-99EB-CF2D16ECE7B7}"/>
    <cellStyle name="RISKtlCorner 3 2 28" xfId="30565" xr:uid="{2E8AC704-C402-497D-AD87-D28B1570EFC0}"/>
    <cellStyle name="RISKtlCorner 3 2 28 2" xfId="47520" xr:uid="{DA26AD99-1125-4457-A021-CDA0F6D90ED1}"/>
    <cellStyle name="RISKtlCorner 3 2 29" xfId="30893" xr:uid="{23691E02-FFFF-47E7-9E69-E74EAE206D0E}"/>
    <cellStyle name="RISKtlCorner 3 2 29 2" xfId="47741" xr:uid="{67390C4D-CAFE-407D-91D7-CD744A2B67EC}"/>
    <cellStyle name="RISKtlCorner 3 2 3" xfId="10287" xr:uid="{822DBFC3-690D-4242-9A56-201F5A831A99}"/>
    <cellStyle name="RISKtlCorner 3 2 3 2" xfId="33922" xr:uid="{2D206E03-81EB-4E61-801D-7302FE21A9CD}"/>
    <cellStyle name="RISKtlCorner 3 2 30" xfId="6039" xr:uid="{63035B25-2E9C-4E72-BC4B-F4EA4D6AE86E}"/>
    <cellStyle name="RISKtlCorner 3 2 4" xfId="6967" xr:uid="{6C17E7D3-CAE7-47D5-9111-9A009C6C67FC}"/>
    <cellStyle name="RISKtlCorner 3 2 4 2" xfId="31334" xr:uid="{EB5E389D-3F38-4A10-B76B-28C041492A3A}"/>
    <cellStyle name="RISKtlCorner 3 2 5" xfId="11652" xr:uid="{093EE450-24F2-4590-A167-69E790DCF6FC}"/>
    <cellStyle name="RISKtlCorner 3 2 5 2" xfId="34265" xr:uid="{A50751C1-7908-4BB9-BF2B-5558B55EE51B}"/>
    <cellStyle name="RISKtlCorner 3 2 6" xfId="12312" xr:uid="{01F418CF-9E45-4579-8082-ED6AF2AABECF}"/>
    <cellStyle name="RISKtlCorner 3 2 6 2" xfId="34818" xr:uid="{5FCAA456-C6FB-49DE-8C82-FA8E2D865562}"/>
    <cellStyle name="RISKtlCorner 3 2 7" xfId="12815" xr:uid="{2D08C5C9-A0A5-453D-8EF4-FAE6C1AD5A95}"/>
    <cellStyle name="RISKtlCorner 3 2 7 2" xfId="35204" xr:uid="{DA7CC600-98B7-40DB-B0D4-37CC102036C6}"/>
    <cellStyle name="RISKtlCorner 3 2 8" xfId="17414" xr:uid="{F97C913D-D4D0-4518-8CFB-38D0D8936638}"/>
    <cellStyle name="RISKtlCorner 3 2 8 2" xfId="38661" xr:uid="{4DE3DE9B-595A-4375-8278-0D9337862EC2}"/>
    <cellStyle name="RISKtlCorner 3 2 9" xfId="18262" xr:uid="{2401A508-8AEF-48A9-A4BD-1D1B44120A23}"/>
    <cellStyle name="RISKtlCorner 3 2 9 2" xfId="39293" xr:uid="{AA641F2C-ECBC-4F14-B2AA-837823FFAB75}"/>
    <cellStyle name="RISKtlCorner 3 20" xfId="15416" xr:uid="{D2A5B6A8-69CE-4683-A17A-20A1DA04297D}"/>
    <cellStyle name="RISKtlCorner 3 20 2" xfId="37106" xr:uid="{3BDC8B80-95C8-4110-9C7B-FD9527ABE5D6}"/>
    <cellStyle name="RISKtlCorner 3 21" xfId="23939" xr:uid="{01F12F47-4836-476F-AE74-13E2E9453D70}"/>
    <cellStyle name="RISKtlCorner 3 21 2" xfId="43316" xr:uid="{35FB6AEC-D97B-4C6F-86F7-173170193448}"/>
    <cellStyle name="RISKtlCorner 3 22" xfId="23666" xr:uid="{0ED5276A-7204-4855-A1B0-BB81F5FFCF91}"/>
    <cellStyle name="RISKtlCorner 3 22 2" xfId="43089" xr:uid="{72E7DA1A-98E0-46E2-9563-5768C2854174}"/>
    <cellStyle name="RISKtlCorner 3 23" xfId="22616" xr:uid="{D12F3BAE-4C3F-4F27-813C-330CF8DCE107}"/>
    <cellStyle name="RISKtlCorner 3 23 2" xfId="42394" xr:uid="{8A5A6BF8-E33A-4715-B5BC-91F857B03D23}"/>
    <cellStyle name="RISKtlCorner 3 24" xfId="27796" xr:uid="{F6CAE25E-9589-4043-BE88-C30055BF9AB6}"/>
    <cellStyle name="RISKtlCorner 3 24 2" xfId="45883" xr:uid="{411CC3D3-8F33-4872-8E95-A0E96B4C246A}"/>
    <cellStyle name="RISKtlCorner 3 25" xfId="25535" xr:uid="{28641756-5A21-42DB-AF4E-F3E284206DE8}"/>
    <cellStyle name="RISKtlCorner 3 25 2" xfId="44409" xr:uid="{579FE60D-E6DE-4169-B098-37999A62EBF9}"/>
    <cellStyle name="RISKtlCorner 3 26" xfId="29196" xr:uid="{07697853-98DB-4045-BA52-5046D32BB905}"/>
    <cellStyle name="RISKtlCorner 3 26 2" xfId="46722" xr:uid="{BD9AC11F-F343-4168-BDEC-9B83B0AEF397}"/>
    <cellStyle name="RISKtlCorner 3 27" xfId="25221" xr:uid="{01E6663D-68CB-47FD-BDFA-791358B0CBE5}"/>
    <cellStyle name="RISKtlCorner 3 27 2" xfId="44159" xr:uid="{D5D5F2AF-541D-44B6-9E0F-77F2DDE3D940}"/>
    <cellStyle name="RISKtlCorner 3 28" xfId="22635" xr:uid="{DED716BB-F9CC-4297-A6C5-E04153521738}"/>
    <cellStyle name="RISKtlCorner 3 28 2" xfId="42409" xr:uid="{23CBB5B0-0424-41A1-8F1C-FFB970E5E1E5}"/>
    <cellStyle name="RISKtlCorner 3 29" xfId="30678" xr:uid="{4C151D5B-77BA-4EB3-9FCA-EE83E4214A9E}"/>
    <cellStyle name="RISKtlCorner 3 29 2" xfId="47624" xr:uid="{467A7C57-BAC1-4A25-8E98-81E4B745A922}"/>
    <cellStyle name="RISKtlCorner 3 3" xfId="4073" xr:uid="{41DDBFCA-20E3-41FA-914A-D9B42F364B06}"/>
    <cellStyle name="RISKtlCorner 3 3 10" xfId="19146" xr:uid="{9EFB6A80-8FF7-41DC-A57B-45EFEE069CA0}"/>
    <cellStyle name="RISKtlCorner 3 3 10 2" xfId="39955" xr:uid="{11057D7F-796F-4801-AF41-9299FF8C535A}"/>
    <cellStyle name="RISKtlCorner 3 3 11" xfId="19897" xr:uid="{28F2FAF4-DCDD-4855-935D-5A3C21021FAA}"/>
    <cellStyle name="RISKtlCorner 3 3 11 2" xfId="40509" xr:uid="{963C5FFC-9BC9-4CB1-BC99-F3D56E54F23A}"/>
    <cellStyle name="RISKtlCorner 3 3 12" xfId="18890" xr:uid="{369C858E-B881-4CF1-BD9D-BC8681F9863C}"/>
    <cellStyle name="RISKtlCorner 3 3 12 2" xfId="39723" xr:uid="{46EC327B-B260-4F70-9907-F018700765CE}"/>
    <cellStyle name="RISKtlCorner 3 3 13" xfId="19004" xr:uid="{B4749AC0-5EF9-43C5-B0C2-753DD78F81B0}"/>
    <cellStyle name="RISKtlCorner 3 3 13 2" xfId="39836" xr:uid="{3931EAAA-F08E-4F95-8C17-026D94E8A651}"/>
    <cellStyle name="RISKtlCorner 3 3 14" xfId="22085" xr:uid="{DE705757-2D0F-4A5D-BBF0-C6D65D620AC7}"/>
    <cellStyle name="RISKtlCorner 3 3 14 2" xfId="41970" xr:uid="{A17A60AA-5C9D-4DB1-AAD3-563B097D1298}"/>
    <cellStyle name="RISKtlCorner 3 3 15" xfId="23144" xr:uid="{657BBFC1-A150-45F2-BF98-A26BD0CE7627}"/>
    <cellStyle name="RISKtlCorner 3 3 15 2" xfId="42743" xr:uid="{91855683-D6AB-4605-A3CA-A23B890D830D}"/>
    <cellStyle name="RISKtlCorner 3 3 16" xfId="23965" xr:uid="{5A891138-FA74-46F5-9582-FE019D4932A5}"/>
    <cellStyle name="RISKtlCorner 3 3 16 2" xfId="43342" xr:uid="{4AA3FA75-1522-4E89-94C8-33258EF19DE3}"/>
    <cellStyle name="RISKtlCorner 3 3 17" xfId="18707" xr:uid="{11A0ECC3-7430-4A3D-95A3-A98647C97DC9}"/>
    <cellStyle name="RISKtlCorner 3 3 17 2" xfId="39585" xr:uid="{5FCB8594-DFAC-4CD6-9963-F279DC261F03}"/>
    <cellStyle name="RISKtlCorner 3 3 18" xfId="24535" xr:uid="{5AD94845-B74F-49A6-AF84-1EA6874ABB58}"/>
    <cellStyle name="RISKtlCorner 3 3 18 2" xfId="43718" xr:uid="{1B5E9235-E85B-4F10-B83C-A510E1EB2F10}"/>
    <cellStyle name="RISKtlCorner 3 3 19" xfId="19500" xr:uid="{8C84AB1F-D703-4AB1-99AE-D43BF7855B03}"/>
    <cellStyle name="RISKtlCorner 3 3 19 2" xfId="40177" xr:uid="{B33C9095-7772-4A25-BA93-07C3E70F3CA1}"/>
    <cellStyle name="RISKtlCorner 3 3 2" xfId="11750" xr:uid="{5E7C4170-B2C5-426A-83C5-5E8217D46158}"/>
    <cellStyle name="RISKtlCorner 3 3 2 2" xfId="34363" xr:uid="{71812733-75EE-4B39-9EE6-86A0CB0220E2}"/>
    <cellStyle name="RISKtlCorner 3 3 20" xfId="24253" xr:uid="{F68719D9-53C7-42CB-8A54-E7F45156CAA0}"/>
    <cellStyle name="RISKtlCorner 3 3 20 2" xfId="43567" xr:uid="{0EE938CF-4D95-4DF2-8DB8-EB6505C1BBF6}"/>
    <cellStyle name="RISKtlCorner 3 3 21" xfId="26168" xr:uid="{66FB2A8C-F9FA-42E3-B3B7-CFF9078E1593}"/>
    <cellStyle name="RISKtlCorner 3 3 21 2" xfId="44898" xr:uid="{ABD3DB34-AF4D-4219-BED7-CF23FCF61934}"/>
    <cellStyle name="RISKtlCorner 3 3 22" xfId="27795" xr:uid="{89FDB670-FC48-41D6-BC4F-5CF3F3770374}"/>
    <cellStyle name="RISKtlCorner 3 3 22 2" xfId="45882" xr:uid="{15B0D3A5-DE95-4636-8DA8-E87C00F66C13}"/>
    <cellStyle name="RISKtlCorner 3 3 23" xfId="23711" xr:uid="{5C39366D-755F-45C4-BB25-4A4D2BD23B47}"/>
    <cellStyle name="RISKtlCorner 3 3 23 2" xfId="43129" xr:uid="{F3EE21D8-0557-4FBE-A1D9-28257E5FB521}"/>
    <cellStyle name="RISKtlCorner 3 3 24" xfId="26895" xr:uid="{E7264270-B8B9-46E4-A229-98B78CD6657E}"/>
    <cellStyle name="RISKtlCorner 3 3 24 2" xfId="45318" xr:uid="{4B3AEA51-766C-46DF-BCF1-A0E04DD71429}"/>
    <cellStyle name="RISKtlCorner 3 3 25" xfId="26888" xr:uid="{8F522B37-2150-4B3B-889B-4B86E76B16AE}"/>
    <cellStyle name="RISKtlCorner 3 3 25 2" xfId="45311" xr:uid="{3414A331-C802-4ED4-9218-47626B873C6A}"/>
    <cellStyle name="RISKtlCorner 3 3 26" xfId="29789" xr:uid="{300B8838-319D-45B6-A0A0-C97EEBAF4E10}"/>
    <cellStyle name="RISKtlCorner 3 3 26 2" xfId="47108" xr:uid="{1E2B972C-D76C-4204-B123-8A370DE4E17F}"/>
    <cellStyle name="RISKtlCorner 3 3 27" xfId="30677" xr:uid="{2B9B9C49-0D2F-4AF7-B414-F3E70F9C2327}"/>
    <cellStyle name="RISKtlCorner 3 3 27 2" xfId="47623" xr:uid="{A4AB8D62-3DDA-4D7A-BB39-83EA8FB4EEF4}"/>
    <cellStyle name="RISKtlCorner 3 3 28" xfId="29781" xr:uid="{99AE764B-B4FF-4067-97AD-8AA7F5D21684}"/>
    <cellStyle name="RISKtlCorner 3 3 28 2" xfId="47100" xr:uid="{DF7CE3C2-F0C3-4806-8DE6-224E479DF3F3}"/>
    <cellStyle name="RISKtlCorner 3 3 29" xfId="29034" xr:uid="{F3FD7E31-4DFE-4DFD-97EE-AA6E8332C7B1}"/>
    <cellStyle name="RISKtlCorner 3 3 29 2" xfId="46621" xr:uid="{4C6976D9-2B23-4661-B37F-8F9CF8403B4D}"/>
    <cellStyle name="RISKtlCorner 3 3 3" xfId="13172" xr:uid="{4E8B0F6A-619A-4E40-BD21-DDF272A71573}"/>
    <cellStyle name="RISKtlCorner 3 3 3 2" xfId="35520" xr:uid="{0FBF466D-DC27-49D4-9C7C-B46F58D60942}"/>
    <cellStyle name="RISKtlCorner 3 3 30" xfId="6799" xr:uid="{0A4E345C-A536-4DCD-8082-43F236DBC4EF}"/>
    <cellStyle name="RISKtlCorner 3 3 4" xfId="14188" xr:uid="{898D810D-A88A-4396-B67D-A63E827B77F5}"/>
    <cellStyle name="RISKtlCorner 3 3 4 2" xfId="36241" xr:uid="{776CAA5A-02AC-4060-AF95-0736FA654B14}"/>
    <cellStyle name="RISKtlCorner 3 3 5" xfId="7217" xr:uid="{8A65FBF2-BFB8-4BAF-A48A-66AC8B258ABC}"/>
    <cellStyle name="RISKtlCorner 3 3 5 2" xfId="31583" xr:uid="{35E368F8-B71C-46F8-A4A5-2A7F53DDF55C}"/>
    <cellStyle name="RISKtlCorner 3 3 6" xfId="12754" xr:uid="{F2873640-DBA9-4E37-B183-9A0FF6E14001}"/>
    <cellStyle name="RISKtlCorner 3 3 6 2" xfId="35163" xr:uid="{23F3B4BB-FDDB-4ECE-8A04-45D08B045115}"/>
    <cellStyle name="RISKtlCorner 3 3 7" xfId="16539" xr:uid="{7C62F3CC-056D-4778-9AC7-B7A715B161A8}"/>
    <cellStyle name="RISKtlCorner 3 3 7 2" xfId="38032" xr:uid="{1B66562F-4A11-4AD1-AE9A-0998D54D9D52}"/>
    <cellStyle name="RISKtlCorner 3 3 8" xfId="14470" xr:uid="{18288EC6-24BB-4564-9328-1E0D25D57C78}"/>
    <cellStyle name="RISKtlCorner 3 3 8 2" xfId="36459" xr:uid="{B7AEBC60-BE83-4EAA-8070-88AE5B8DD939}"/>
    <cellStyle name="RISKtlCorner 3 3 9" xfId="16285" xr:uid="{6F381105-C61E-41D1-9EF0-26E48A2858A1}"/>
    <cellStyle name="RISKtlCorner 3 3 9 2" xfId="37822" xr:uid="{CF6C7F35-A0FA-45E4-A6FF-932804D3D6A8}"/>
    <cellStyle name="RISKtlCorner 3 30" xfId="27743" xr:uid="{40CB3C2C-76A0-4DEC-803F-8D4208E680DA}"/>
    <cellStyle name="RISKtlCorner 3 30 2" xfId="45844" xr:uid="{ED494786-DAB6-4B2C-B07B-5F557EE5F2A6}"/>
    <cellStyle name="RISKtlCorner 3 31" xfId="30606" xr:uid="{6789B7E1-E1EA-4806-BB5B-38C433E15733}"/>
    <cellStyle name="RISKtlCorner 3 31 2" xfId="47552" xr:uid="{048CAC90-F99A-47C4-B45F-A3827FAC8F8E}"/>
    <cellStyle name="RISKtlCorner 3 32" xfId="6040" xr:uid="{14C437F6-DD4C-4164-BA63-06CDF45EF9CA}"/>
    <cellStyle name="RISKtlCorner 3 4" xfId="11751" xr:uid="{A65954BB-57F4-428F-A167-F7F4497E637A}"/>
    <cellStyle name="RISKtlCorner 3 4 2" xfId="34364" xr:uid="{7F7799C4-6687-47FB-8DB6-170F03E0D6FA}"/>
    <cellStyle name="RISKtlCorner 3 5" xfId="13173" xr:uid="{4B223C61-2FB2-4F17-AAA8-D0464A3C58BF}"/>
    <cellStyle name="RISKtlCorner 3 5 2" xfId="35521" xr:uid="{949B7C8F-81CD-47DE-9265-8DD0986CFE80}"/>
    <cellStyle name="RISKtlCorner 3 6" xfId="14189" xr:uid="{D75B20C6-C7D8-4F70-AAA3-6DF41A2C8CDB}"/>
    <cellStyle name="RISKtlCorner 3 6 2" xfId="36242" xr:uid="{AB159EE7-CAA1-436F-8068-25A0E56E1743}"/>
    <cellStyle name="RISKtlCorner 3 7" xfId="7218" xr:uid="{17F0A39C-F0BD-46B2-A98B-BF1C16CFB343}"/>
    <cellStyle name="RISKtlCorner 3 7 2" xfId="31584" xr:uid="{4854304C-96EA-4C50-AFB8-DC552E8A83D2}"/>
    <cellStyle name="RISKtlCorner 3 8" xfId="15512" xr:uid="{4584E837-E179-455F-BE68-54E72E23F21D}"/>
    <cellStyle name="RISKtlCorner 3 8 2" xfId="37177" xr:uid="{EC036D9C-2CC6-44BB-9606-767C53F76ECD}"/>
    <cellStyle name="RISKtlCorner 3 9" xfId="16540" xr:uid="{C947F6CB-F081-44B6-B069-08D29762CCA6}"/>
    <cellStyle name="RISKtlCorner 3 9 2" xfId="38033" xr:uid="{7B5FF4AD-386D-4F45-A03F-5E3579CE216B}"/>
    <cellStyle name="RISKtlCorner 30" xfId="21026" xr:uid="{1459C7C9-B07A-49D9-8D1D-86D8F3B6BA0F}"/>
    <cellStyle name="RISKtlCorner 30 2" xfId="41280" xr:uid="{4C5EBB7B-830F-4735-BA11-F3036E481AF5}"/>
    <cellStyle name="RISKtlCorner 31" xfId="27800" xr:uid="{2E5FA607-E435-4144-816D-2A65A1D2608D}"/>
    <cellStyle name="RISKtlCorner 31 2" xfId="45887" xr:uid="{51D409B3-41C9-4DAD-9A2F-D658CF52A4D9}"/>
    <cellStyle name="RISKtlCorner 32" xfId="23586" xr:uid="{A1E93767-B404-42AF-BC37-E0285AEE8A16}"/>
    <cellStyle name="RISKtlCorner 32 2" xfId="43021" xr:uid="{1F252CBB-4396-489D-BFC8-AD5FEBF6B2DC}"/>
    <cellStyle name="RISKtlCorner 33" xfId="29195" xr:uid="{F78B831C-1B22-48C9-BA98-2941647ACD5B}"/>
    <cellStyle name="RISKtlCorner 33 2" xfId="46721" xr:uid="{1139AEAA-FE03-468E-95AD-7DC1C0D5349A}"/>
    <cellStyle name="RISKtlCorner 34" xfId="26985" xr:uid="{4C62B9E0-83DE-4E1A-88CE-7DA116873BE7}"/>
    <cellStyle name="RISKtlCorner 34 2" xfId="45392" xr:uid="{EDFF30C3-5ACF-4FAD-9317-2C61F67CB7E8}"/>
    <cellStyle name="RISKtlCorner 35" xfId="27527" xr:uid="{2EA3B253-AAF3-4325-AF65-7666A32F0F55}"/>
    <cellStyle name="RISKtlCorner 35 2" xfId="45719" xr:uid="{780BDB04-651F-418A-8C6E-F009E261819B}"/>
    <cellStyle name="RISKtlCorner 36" xfId="30682" xr:uid="{26DF8D44-A61C-4430-B9AB-CA6DA5D5BD35}"/>
    <cellStyle name="RISKtlCorner 36 2" xfId="47628" xr:uid="{11EF6898-85A8-4832-AB49-F2E1978F4DAF}"/>
    <cellStyle name="RISKtlCorner 37" xfId="29258" xr:uid="{4A6A00BF-037F-4199-BB15-004AEC2CE265}"/>
    <cellStyle name="RISKtlCorner 37 2" xfId="46774" xr:uid="{1D01E17E-966F-4198-BB80-ACCF5D1A05D5}"/>
    <cellStyle name="RISKtlCorner 38" xfId="31009" xr:uid="{8E067881-9BF7-44F6-83D1-CFFC6E391943}"/>
    <cellStyle name="RISKtlCorner 38 2" xfId="47786" xr:uid="{4888DAEF-6726-4696-B6D2-2240D4607671}"/>
    <cellStyle name="RISKtlCorner 39" xfId="6803" xr:uid="{6D17A53A-8EE6-4AA4-974B-82B94E48B253}"/>
    <cellStyle name="RISKtlCorner 4" xfId="4074" xr:uid="{43DA1410-684C-4F16-AE90-0E5199F30D30}"/>
    <cellStyle name="RISKtlCorner 4 10" xfId="17413" xr:uid="{6032148B-A659-4E3F-BF75-F1B8C233747E}"/>
    <cellStyle name="RISKtlCorner 4 10 2" xfId="38660" xr:uid="{1DDFF45E-DD52-41B2-9F71-1947373B9D61}"/>
    <cellStyle name="RISKtlCorner 4 11" xfId="18261" xr:uid="{74F68E92-093F-4A9A-971F-08EB79FD687E}"/>
    <cellStyle name="RISKtlCorner 4 11 2" xfId="39292" xr:uid="{A4C6294F-A9C5-4CDA-99EC-C461E27B9A7D}"/>
    <cellStyle name="RISKtlCorner 4 12" xfId="13796" xr:uid="{485D64A2-46D7-47D0-A12D-1DE76E303818}"/>
    <cellStyle name="RISKtlCorner 4 12 2" xfId="35927" xr:uid="{E44C79DB-D7EF-4AE6-81AE-503766DFF55C}"/>
    <cellStyle name="RISKtlCorner 4 13" xfId="18020" xr:uid="{CF481C27-4CEE-4FFB-97B5-1600FF178E6A}"/>
    <cellStyle name="RISKtlCorner 4 13 2" xfId="39116" xr:uid="{341BDE46-B0AE-43BA-8BAA-6E00F0504500}"/>
    <cellStyle name="RISKtlCorner 4 14" xfId="20633" xr:uid="{3F66D47A-4F67-4F6B-9775-76AF04292400}"/>
    <cellStyle name="RISKtlCorner 4 14 2" xfId="40993" xr:uid="{54D841B1-908A-4CC3-8AB5-E61FF7320CF0}"/>
    <cellStyle name="RISKtlCorner 4 15" xfId="16089" xr:uid="{3475338A-73AD-4E6D-9E1D-C992EB805BC0}"/>
    <cellStyle name="RISKtlCorner 4 15 2" xfId="37659" xr:uid="{A64D6C3E-C8AB-44E1-958D-752E8B316A81}"/>
    <cellStyle name="RISKtlCorner 4 16" xfId="19400" xr:uid="{3A316306-C839-469C-8D19-2302BA8DA0DA}"/>
    <cellStyle name="RISKtlCorner 4 16 2" xfId="40121" xr:uid="{12E245FE-9F93-44C8-9B24-37149F2B80EF}"/>
    <cellStyle name="RISKtlCorner 4 17" xfId="18812" xr:uid="{AAD6EB18-806B-4EC4-8E75-694D18901EB9}"/>
    <cellStyle name="RISKtlCorner 4 17 2" xfId="39664" xr:uid="{C41E80C6-01F4-452C-A386-5F5DBDADFDD2}"/>
    <cellStyle name="RISKtlCorner 4 18" xfId="18748" xr:uid="{E25BE7EA-EF2F-4D47-8850-733EC8D46007}"/>
    <cellStyle name="RISKtlCorner 4 18 2" xfId="39623" xr:uid="{0B5DA8CF-D205-4FB0-A752-9F0FAD503906}"/>
    <cellStyle name="RISKtlCorner 4 19" xfId="20308" xr:uid="{23028722-1366-4655-8EA8-6C21D93A7EA7}"/>
    <cellStyle name="RISKtlCorner 4 19 2" xfId="40742" xr:uid="{DE8CEAFD-F1FA-49FC-BE96-D665BA9C1365}"/>
    <cellStyle name="RISKtlCorner 4 2" xfId="4075" xr:uid="{64B67047-882B-4F58-BB13-71EF8C132A89}"/>
    <cellStyle name="RISKtlCorner 4 2 10" xfId="19145" xr:uid="{E122B3CB-4766-453C-BA1B-D0D2F77A5651}"/>
    <cellStyle name="RISKtlCorner 4 2 10 2" xfId="39954" xr:uid="{A5268F2F-5541-484C-BDFF-F31C4A6B3BD3}"/>
    <cellStyle name="RISKtlCorner 4 2 11" xfId="19896" xr:uid="{C5E91055-6750-4B57-804F-BDB3BC90A0E2}"/>
    <cellStyle name="RISKtlCorner 4 2 11 2" xfId="40508" xr:uid="{55588BB1-E5B5-4B63-95BC-8F28B1C96BD4}"/>
    <cellStyle name="RISKtlCorner 4 2 12" xfId="16116" xr:uid="{3E99A3C8-5EFF-43A1-9EE2-B8E6563AF2D3}"/>
    <cellStyle name="RISKtlCorner 4 2 12 2" xfId="37686" xr:uid="{34121E37-57C6-41F1-91DA-4D143345DC7E}"/>
    <cellStyle name="RISKtlCorner 4 2 13" xfId="19003" xr:uid="{E49B50D9-8CB0-4502-A1D4-4C4ABD6D0F7B}"/>
    <cellStyle name="RISKtlCorner 4 2 13 2" xfId="39835" xr:uid="{43E818F6-9B45-40F3-A0BD-968760540F21}"/>
    <cellStyle name="RISKtlCorner 4 2 14" xfId="20164" xr:uid="{DE7D4861-AA59-4E9D-B56F-A70FCA16F30D}"/>
    <cellStyle name="RISKtlCorner 4 2 14 2" xfId="40671" xr:uid="{C47F4CCC-C0EE-4BAD-B773-F4647C5A664E}"/>
    <cellStyle name="RISKtlCorner 4 2 15" xfId="23143" xr:uid="{B385CA84-C9AD-4ACA-935E-45774603BAB3}"/>
    <cellStyle name="RISKtlCorner 4 2 15 2" xfId="42742" xr:uid="{724F068E-E586-4A1C-AD82-F540807B424C}"/>
    <cellStyle name="RISKtlCorner 4 2 16" xfId="23964" xr:uid="{248580D0-02C6-4907-928D-46BAB7CA2F5E}"/>
    <cellStyle name="RISKtlCorner 4 2 16 2" xfId="43341" xr:uid="{9A48585E-38CB-438B-A3AE-DD2D822769D2}"/>
    <cellStyle name="RISKtlCorner 4 2 17" xfId="20920" xr:uid="{88C9FF83-E7C0-4A19-82D9-DAFE3133F316}"/>
    <cellStyle name="RISKtlCorner 4 2 17 2" xfId="41222" xr:uid="{D2FC4ED8-2897-4DB8-8D04-E24C3C81C93E}"/>
    <cellStyle name="RISKtlCorner 4 2 18" xfId="24214" xr:uid="{8A50F1B4-6D7C-471C-85D0-DA0A457657D4}"/>
    <cellStyle name="RISKtlCorner 4 2 18 2" xfId="43534" xr:uid="{1443F280-D7EB-40B6-8D63-3A52C41DF052}"/>
    <cellStyle name="RISKtlCorner 4 2 19" xfId="20997" xr:uid="{4C0BA9B0-644C-43BF-B668-809AA6D5596C}"/>
    <cellStyle name="RISKtlCorner 4 2 19 2" xfId="41255" xr:uid="{206FAA78-EDDF-45BF-93DA-F94B3453DA31}"/>
    <cellStyle name="RISKtlCorner 4 2 2" xfId="11749" xr:uid="{3C39AD20-A031-489F-8913-50724170F399}"/>
    <cellStyle name="RISKtlCorner 4 2 2 2" xfId="34362" xr:uid="{8B38A5D7-48DF-4962-9D5D-C28C9EC05C55}"/>
    <cellStyle name="RISKtlCorner 4 2 20" xfId="25444" xr:uid="{D4758116-51FB-4650-B699-A2372F072A24}"/>
    <cellStyle name="RISKtlCorner 4 2 20 2" xfId="44330" xr:uid="{34E37970-53BC-4B86-B9C1-A1268ACB167F}"/>
    <cellStyle name="RISKtlCorner 4 2 21" xfId="23789" xr:uid="{E45B0F66-23DB-4508-BE67-9E5B459760EC}"/>
    <cellStyle name="RISKtlCorner 4 2 21 2" xfId="43188" xr:uid="{4C9518C9-E236-466E-8060-C4400E38A85A}"/>
    <cellStyle name="RISKtlCorner 4 2 22" xfId="27794" xr:uid="{2152473D-14AD-44C0-8CD6-C7394D2B5093}"/>
    <cellStyle name="RISKtlCorner 4 2 22 2" xfId="45881" xr:uid="{EC025288-2B3C-4CEB-A4C2-3F7EBF85487B}"/>
    <cellStyle name="RISKtlCorner 4 2 23" xfId="25536" xr:uid="{A44C0032-9DBC-453B-9A0A-FBD967F0B262}"/>
    <cellStyle name="RISKtlCorner 4 2 23 2" xfId="44410" xr:uid="{026E2608-2488-4834-8B2C-BAC4E7AB5D7C}"/>
    <cellStyle name="RISKtlCorner 4 2 24" xfId="25862" xr:uid="{4B9A68F3-3A18-4E50-B427-BC3CD6D35FB9}"/>
    <cellStyle name="RISKtlCorner 4 2 24 2" xfId="44679" xr:uid="{C6B17D79-E223-4C30-929D-6FDFDA134852}"/>
    <cellStyle name="RISKtlCorner 4 2 25" xfId="29181" xr:uid="{DF647672-2A20-4AED-94DC-DB898E95FE7E}"/>
    <cellStyle name="RISKtlCorner 4 2 25 2" xfId="46707" xr:uid="{A3EA2921-7835-4A46-AF72-35E7B20619A2}"/>
    <cellStyle name="RISKtlCorner 4 2 26" xfId="26913" xr:uid="{1A204CA8-4834-49AE-A5D4-DCB26C95CF97}"/>
    <cellStyle name="RISKtlCorner 4 2 26 2" xfId="45334" xr:uid="{21CA42B9-376E-4D13-BFA8-3EBE8E151535}"/>
    <cellStyle name="RISKtlCorner 4 2 27" xfId="30676" xr:uid="{ED2B32AB-CDE9-4313-9BA1-B50A6E8765AD}"/>
    <cellStyle name="RISKtlCorner 4 2 27 2" xfId="47622" xr:uid="{46090F49-89B5-4E32-BF67-7831563F947F}"/>
    <cellStyle name="RISKtlCorner 4 2 28" xfId="30175" xr:uid="{2842C5E7-E4CC-4B70-8B76-6EB5FBFB1E2D}"/>
    <cellStyle name="RISKtlCorner 4 2 28 2" xfId="47339" xr:uid="{9210C24D-3F47-43D9-8271-203A3E39CFD2}"/>
    <cellStyle name="RISKtlCorner 4 2 29" xfId="30605" xr:uid="{C6ABE1B9-6989-46D1-AB2B-940586B4886F}"/>
    <cellStyle name="RISKtlCorner 4 2 29 2" xfId="47551" xr:uid="{26DDE528-E528-4024-9F64-00EE392A5351}"/>
    <cellStyle name="RISKtlCorner 4 2 3" xfId="13171" xr:uid="{FAFF82B3-E40D-44AB-BE59-28C824D907A6}"/>
    <cellStyle name="RISKtlCorner 4 2 3 2" xfId="35519" xr:uid="{9E2F0C83-90DE-4CDB-98FF-962C87F4D2F3}"/>
    <cellStyle name="RISKtlCorner 4 2 30" xfId="6798" xr:uid="{2890A960-EE82-448F-810C-83C8DC4EDE3A}"/>
    <cellStyle name="RISKtlCorner 4 2 4" xfId="14187" xr:uid="{5D9E76BF-8B26-47E0-9025-D56BFDE293AB}"/>
    <cellStyle name="RISKtlCorner 4 2 4 2" xfId="36240" xr:uid="{572E9664-84D5-4BEB-AE61-2FD1736C9EF6}"/>
    <cellStyle name="RISKtlCorner 4 2 5" xfId="7216" xr:uid="{AB96C8B5-5E9E-42B3-87AB-1CB66268AB80}"/>
    <cellStyle name="RISKtlCorner 4 2 5 2" xfId="31582" xr:uid="{E04C3471-304E-47EE-A472-A73EA4D6B3C9}"/>
    <cellStyle name="RISKtlCorner 4 2 6" xfId="15513" xr:uid="{304695F4-09FB-4AAE-996D-BC692791E041}"/>
    <cellStyle name="RISKtlCorner 4 2 6 2" xfId="37178" xr:uid="{D790100E-D17B-4898-9E78-5B517B411AB2}"/>
    <cellStyle name="RISKtlCorner 4 2 7" xfId="16538" xr:uid="{0494E943-381D-40A1-8FD5-88756A8BB842}"/>
    <cellStyle name="RISKtlCorner 4 2 7 2" xfId="38031" xr:uid="{2CEA5E61-F009-4AA8-B876-DBD780C3649C}"/>
    <cellStyle name="RISKtlCorner 4 2 8" xfId="12693" xr:uid="{2B7A8A5A-E38E-4D73-BE0A-740C7A235948}"/>
    <cellStyle name="RISKtlCorner 4 2 8 2" xfId="35107" xr:uid="{44C899CA-F235-4CB9-A733-5D4EF02BFD1F}"/>
    <cellStyle name="RISKtlCorner 4 2 9" xfId="15799" xr:uid="{A40794AD-DFF2-4457-AA74-9170744A86B6}"/>
    <cellStyle name="RISKtlCorner 4 2 9 2" xfId="37414" xr:uid="{FFBFA23F-1FD5-45D8-8A24-F302B0564154}"/>
    <cellStyle name="RISKtlCorner 4 20" xfId="22727" xr:uid="{29C045A6-45A3-4FC5-9C38-69CB33B896CC}"/>
    <cellStyle name="RISKtlCorner 4 20 2" xfId="42484" xr:uid="{69EE6056-E1FF-4218-860E-8561D8CC1A2B}"/>
    <cellStyle name="RISKtlCorner 4 21" xfId="23938" xr:uid="{39D7CD41-6498-4CC3-A3DF-194A893B69F0}"/>
    <cellStyle name="RISKtlCorner 4 21 2" xfId="43315" xr:uid="{64601DA9-9E65-4CF3-B2D6-DA97C38F52C1}"/>
    <cellStyle name="RISKtlCorner 4 22" xfId="24439" xr:uid="{80456651-501D-4EA0-AAEF-FA5E195E5ECD}"/>
    <cellStyle name="RISKtlCorner 4 22 2" xfId="43651" xr:uid="{7EF53C5D-4236-4ECD-83C1-E663B4F5BE23}"/>
    <cellStyle name="RISKtlCorner 4 23" xfId="27288" xr:uid="{11529A5A-26AB-4D49-BBD2-0437A2DE98F5}"/>
    <cellStyle name="RISKtlCorner 4 23 2" xfId="45591" xr:uid="{909E539E-0161-4A79-AC0F-FF7E7E8D5BBE}"/>
    <cellStyle name="RISKtlCorner 4 24" xfId="25973" xr:uid="{98890739-7789-4EC0-A12C-EB21C2862AD0}"/>
    <cellStyle name="RISKtlCorner 4 24 2" xfId="44761" xr:uid="{DA128EB3-3D0F-4E72-BA3B-B2858D1187B2}"/>
    <cellStyle name="RISKtlCorner 4 25" xfId="23588" xr:uid="{505A181B-DCBE-4027-8A6E-339EBAAA0FD8}"/>
    <cellStyle name="RISKtlCorner 4 25 2" xfId="43023" xr:uid="{519AC801-9CB1-4FC8-8437-6A21ED438FC2}"/>
    <cellStyle name="RISKtlCorner 4 26" xfId="23749" xr:uid="{3BD8C4BD-3D34-4D02-A70D-6C87620DB8D2}"/>
    <cellStyle name="RISKtlCorner 4 26 2" xfId="43161" xr:uid="{CA3AC9BA-3127-4B01-A9EE-50709601680A}"/>
    <cellStyle name="RISKtlCorner 4 27" xfId="27581" xr:uid="{2A13AE5E-4AE1-48C8-8818-24C47F8DE3D8}"/>
    <cellStyle name="RISKtlCorner 4 27 2" xfId="45730" xr:uid="{A1E76014-9569-4E8E-8AEA-9CD9B13B8BA4}"/>
    <cellStyle name="RISKtlCorner 4 28" xfId="29821" xr:uid="{0F9DC2BE-1A52-41C1-850E-2E2CC3057119}"/>
    <cellStyle name="RISKtlCorner 4 28 2" xfId="47138" xr:uid="{D3F8CD2F-C4DA-46BE-BB52-8901FCC2BB7D}"/>
    <cellStyle name="RISKtlCorner 4 29" xfId="26836" xr:uid="{675D40F0-9CEF-4350-8376-FD1A908B5AD1}"/>
    <cellStyle name="RISKtlCorner 4 29 2" xfId="45303" xr:uid="{3091672A-6EF4-40FC-A340-4A65BB3A4F48}"/>
    <cellStyle name="RISKtlCorner 4 3" xfId="4076" xr:uid="{322523D1-6DA6-43FF-8E57-347C73EBD702}"/>
    <cellStyle name="RISKtlCorner 4 3 10" xfId="17171" xr:uid="{1A9998FB-FABD-49D4-97C0-A5FF0D2A46CA}"/>
    <cellStyle name="RISKtlCorner 4 3 10 2" xfId="38500" xr:uid="{4DAA3A24-07F5-4ABE-8CE7-B56067DD0F8B}"/>
    <cellStyle name="RISKtlCorner 4 3 11" xfId="15741" xr:uid="{2C74AA61-01BD-4D23-8779-444DA5C4E468}"/>
    <cellStyle name="RISKtlCorner 4 3 11 2" xfId="37370" xr:uid="{8C492360-026C-43F6-A47F-DDF3A492C669}"/>
    <cellStyle name="RISKtlCorner 4 3 12" xfId="20632" xr:uid="{65678CB7-4C0F-4596-9987-57B3FB28A5C3}"/>
    <cellStyle name="RISKtlCorner 4 3 12 2" xfId="40992" xr:uid="{C076C370-1F66-4436-8836-9CD3B13E407A}"/>
    <cellStyle name="RISKtlCorner 4 3 13" xfId="17103" xr:uid="{59AB6D81-FD1B-4CFD-9890-BCB9CEA0F1AA}"/>
    <cellStyle name="RISKtlCorner 4 3 13 2" xfId="38442" xr:uid="{DC7054E2-A845-4FA9-9926-C62FBD7D9EAB}"/>
    <cellStyle name="RISKtlCorner 4 3 14" xfId="21208" xr:uid="{17291713-17A5-49DC-9F02-4C4CBFD0A6CA}"/>
    <cellStyle name="RISKtlCorner 4 3 14 2" xfId="41401" xr:uid="{508AA3CE-7730-4D5B-8297-C65DA1C85B4A}"/>
    <cellStyle name="RISKtlCorner 4 3 15" xfId="20464" xr:uid="{68BB5B9E-571B-42D6-A51C-A518AC088E3A}"/>
    <cellStyle name="RISKtlCorner 4 3 15 2" xfId="40857" xr:uid="{8DFE2932-DB15-4098-8EA2-F6B471EDEE81}"/>
    <cellStyle name="RISKtlCorner 4 3 16" xfId="22206" xr:uid="{678E7C01-A91B-4FE9-A158-B2503C5313A9}"/>
    <cellStyle name="RISKtlCorner 4 3 16 2" xfId="42085" xr:uid="{710E9167-2C59-457C-87A5-62A4DB34353A}"/>
    <cellStyle name="RISKtlCorner 4 3 17" xfId="18708" xr:uid="{FE5A60EA-81A2-4481-A671-C6B8AE76AFAF}"/>
    <cellStyle name="RISKtlCorner 4 3 17 2" xfId="39586" xr:uid="{4D8C6A1B-8583-4363-A345-B0AAFA96A6FE}"/>
    <cellStyle name="RISKtlCorner 4 3 18" xfId="25326" xr:uid="{FBCD99A5-9BAC-48EA-B07E-8222D7DF5E4A}"/>
    <cellStyle name="RISKtlCorner 4 3 18 2" xfId="44242" xr:uid="{7E75783B-1599-46B5-9CEA-7AD39507006E}"/>
    <cellStyle name="RISKtlCorner 4 3 19" xfId="23937" xr:uid="{4A030F76-9345-4D5F-AA2D-D67988A28223}"/>
    <cellStyle name="RISKtlCorner 4 3 19 2" xfId="43314" xr:uid="{2D12EA13-D578-44A3-B18D-5FDEAE0462F1}"/>
    <cellStyle name="RISKtlCorner 4 3 2" xfId="7322" xr:uid="{F703C6B8-CFCC-4B49-8A55-BACED49DD1EF}"/>
    <cellStyle name="RISKtlCorner 4 3 2 2" xfId="31685" xr:uid="{7F58D212-D6C9-476F-BCFA-412CEDB2B3AB}"/>
    <cellStyle name="RISKtlCorner 4 3 20" xfId="25510" xr:uid="{C0E49870-365E-4C5A-8A9E-822FB5985849}"/>
    <cellStyle name="RISKtlCorner 4 3 20 2" xfId="44386" xr:uid="{27C4C931-E83A-4449-8555-4803A729F5B7}"/>
    <cellStyle name="RISKtlCorner 4 3 21" xfId="27287" xr:uid="{5EB497D3-050A-46A4-B3FF-68599A5D77C5}"/>
    <cellStyle name="RISKtlCorner 4 3 21 2" xfId="45590" xr:uid="{39D63130-24A7-4961-9F48-92C0367DDEAC}"/>
    <cellStyle name="RISKtlCorner 4 3 22" xfId="25501" xr:uid="{777C12D9-36D6-4FC7-AC82-C2E9FE65E402}"/>
    <cellStyle name="RISKtlCorner 4 3 22 2" xfId="44378" xr:uid="{AA60B154-F182-471C-8C48-FCDFBF4C27E1}"/>
    <cellStyle name="RISKtlCorner 4 3 23" xfId="23676" xr:uid="{AEC27371-9581-46B1-A1B2-3694BA3D45E9}"/>
    <cellStyle name="RISKtlCorner 4 3 23 2" xfId="43098" xr:uid="{08546FB7-8254-4775-966B-4F6794796F6F}"/>
    <cellStyle name="RISKtlCorner 4 3 24" xfId="27570" xr:uid="{AB23C483-2DF5-43D2-ACF2-5B91491EB481}"/>
    <cellStyle name="RISKtlCorner 4 3 24 2" xfId="45724" xr:uid="{D98EF9DF-7C42-4B97-8A9F-55E8EF6FA51E}"/>
    <cellStyle name="RISKtlCorner 4 3 25" xfId="27617" xr:uid="{D023F904-A580-4C1C-A72F-C6CDB66CA4E0}"/>
    <cellStyle name="RISKtlCorner 4 3 25 2" xfId="45759" xr:uid="{EFD49152-A094-418E-BFB9-3311D4DA91F1}"/>
    <cellStyle name="RISKtlCorner 4 3 26" xfId="29891" xr:uid="{91E5C5B4-8115-4236-9D35-5034CD89B065}"/>
    <cellStyle name="RISKtlCorner 4 3 26 2" xfId="47179" xr:uid="{B56D1BA7-6261-46B8-9CAA-C8E71497EAEC}"/>
    <cellStyle name="RISKtlCorner 4 3 27" xfId="30225" xr:uid="{39DB867B-9E50-4CA7-9E6B-671E235CBAC1}"/>
    <cellStyle name="RISKtlCorner 4 3 27 2" xfId="47386" xr:uid="{99A03072-ACA5-4337-9451-499404996B5B}"/>
    <cellStyle name="RISKtlCorner 4 3 28" xfId="27742" xr:uid="{67964F8E-E0D0-46A9-9A23-311F285BA655}"/>
    <cellStyle name="RISKtlCorner 4 3 28 2" xfId="45843" xr:uid="{85003EF9-7E3C-4571-82A7-C0C60CD7BDE9}"/>
    <cellStyle name="RISKtlCorner 4 3 29" xfId="30892" xr:uid="{4578CA12-F191-4B62-AD56-CB256E39EE36}"/>
    <cellStyle name="RISKtlCorner 4 3 29 2" xfId="47740" xr:uid="{5FBE8E12-088A-4144-BFE7-9F97D0CC383F}"/>
    <cellStyle name="RISKtlCorner 4 3 3" xfId="10289" xr:uid="{FA09413B-09B4-4A9D-BA2C-575F477ED20C}"/>
    <cellStyle name="RISKtlCorner 4 3 3 2" xfId="33924" xr:uid="{6E0B7D18-D6AF-4BB3-94CA-AF778F9DC344}"/>
    <cellStyle name="RISKtlCorner 4 3 30" xfId="6037" xr:uid="{32C07F39-F5A8-4FBC-9C9E-CB72389A4804}"/>
    <cellStyle name="RISKtlCorner 4 3 4" xfId="6965" xr:uid="{7B57BAA4-B0ED-464A-8104-D063C5653A29}"/>
    <cellStyle name="RISKtlCorner 4 3 4 2" xfId="31332" xr:uid="{2B402F59-1BA7-483B-9A14-5F5D65CF89AA}"/>
    <cellStyle name="RISKtlCorner 4 3 5" xfId="11650" xr:uid="{C68841D8-9D5A-45DD-9715-E1048B430699}"/>
    <cellStyle name="RISKtlCorner 4 3 5 2" xfId="34263" xr:uid="{6168842B-D776-4B13-BFF0-CDF2DF57119D}"/>
    <cellStyle name="RISKtlCorner 4 3 6" xfId="12313" xr:uid="{530CB3E0-22EB-481F-83A5-CFA2887AF597}"/>
    <cellStyle name="RISKtlCorner 4 3 6 2" xfId="34819" xr:uid="{9936D0AA-5331-4F3B-BBCD-EC596A3E71F5}"/>
    <cellStyle name="RISKtlCorner 4 3 7" xfId="13477" xr:uid="{91806C45-14B9-45D3-A59D-5C5F21D43C95}"/>
    <cellStyle name="RISKtlCorner 4 3 7 2" xfId="35733" xr:uid="{AC790AEC-86BB-4CEA-A91F-F3CCE54BC2B9}"/>
    <cellStyle name="RISKtlCorner 4 3 8" xfId="17412" xr:uid="{FDAF82AA-C16C-41CE-88FC-E2C5AF96136C}"/>
    <cellStyle name="RISKtlCorner 4 3 8 2" xfId="38659" xr:uid="{166AA47C-3DF9-4070-BB54-3CB9B39F1393}"/>
    <cellStyle name="RISKtlCorner 4 3 9" xfId="18260" xr:uid="{C4D636CA-0C26-4F97-9DC4-5E8932B9FD4B}"/>
    <cellStyle name="RISKtlCorner 4 3 9 2" xfId="39291" xr:uid="{3EDC60A6-2DC4-4543-AED1-A33E91B4B492}"/>
    <cellStyle name="RISKtlCorner 4 30" xfId="29879" xr:uid="{65997261-FCFF-47F6-8B30-86F179ACD32D}"/>
    <cellStyle name="RISKtlCorner 4 30 2" xfId="47167" xr:uid="{9FEA152D-F48A-4CD7-9C5D-AE8B1863A5CF}"/>
    <cellStyle name="RISKtlCorner 4 31" xfId="30580" xr:uid="{C7290E4C-AADF-42B1-95C4-C0B29B930742}"/>
    <cellStyle name="RISKtlCorner 4 31 2" xfId="47530" xr:uid="{13C1CBB1-9081-4392-AE85-285A03E02DA4}"/>
    <cellStyle name="RISKtlCorner 4 32" xfId="6038" xr:uid="{27CE87F4-EF23-47D2-9252-5365D4B2AA25}"/>
    <cellStyle name="RISKtlCorner 4 4" xfId="7323" xr:uid="{772E94F0-8855-43EF-B875-5BB43A7BF1ED}"/>
    <cellStyle name="RISKtlCorner 4 4 2" xfId="31686" xr:uid="{545AEA23-FE3E-41E9-809E-101A8B12F0A2}"/>
    <cellStyle name="RISKtlCorner 4 5" xfId="10288" xr:uid="{A306CD1E-6EC5-4F45-B52A-91D8E3882F23}"/>
    <cellStyle name="RISKtlCorner 4 5 2" xfId="33923" xr:uid="{117F1792-6F93-4DE4-9854-CF8CFC034F1D}"/>
    <cellStyle name="RISKtlCorner 4 6" xfId="6966" xr:uid="{CCCD44A7-A787-423D-964B-0A02B1290DAC}"/>
    <cellStyle name="RISKtlCorner 4 6 2" xfId="31333" xr:uid="{A7FC4EF8-8781-4A46-899B-2F282B3CEEC2}"/>
    <cellStyle name="RISKtlCorner 4 7" xfId="11651" xr:uid="{CD00C6C0-2740-4133-B155-5F5049E48C68}"/>
    <cellStyle name="RISKtlCorner 4 7 2" xfId="34264" xr:uid="{BD06B196-58A4-4143-BBDB-821CB4B0A2A5}"/>
    <cellStyle name="RISKtlCorner 4 8" xfId="14649" xr:uid="{2074ACF1-022C-4DB5-976E-6CD9AA9CCBC9}"/>
    <cellStyle name="RISKtlCorner 4 8 2" xfId="36561" xr:uid="{9F8F939A-695F-46B8-855B-37B55D81848C}"/>
    <cellStyle name="RISKtlCorner 4 9" xfId="14027" xr:uid="{582763ED-2DFE-42BB-9E4A-A0611C67A589}"/>
    <cellStyle name="RISKtlCorner 4 9 2" xfId="36121" xr:uid="{0FD2824C-3C8A-4978-90AE-889CD9FB4F2B}"/>
    <cellStyle name="RISKtlCorner 5" xfId="4077" xr:uid="{E9A04187-4281-4362-98F2-9BAD6755682C}"/>
    <cellStyle name="RISKtlCorner 5 10" xfId="13723" xr:uid="{5C05FF96-537A-4CEF-8CAF-C6ACD256021B}"/>
    <cellStyle name="RISKtlCorner 5 10 2" xfId="35878" xr:uid="{16F69D80-7078-4A3B-9251-3553536D4194}"/>
    <cellStyle name="RISKtlCorner 5 11" xfId="16284" xr:uid="{F60A1D21-EFE1-4487-B60C-C15145BC11BD}"/>
    <cellStyle name="RISKtlCorner 5 11 2" xfId="37821" xr:uid="{4B18B1F5-B945-4B33-A5C6-EF8BB8EC7FEA}"/>
    <cellStyle name="RISKtlCorner 5 12" xfId="19144" xr:uid="{120FDA02-E18A-4BFC-83F4-160EA91E9132}"/>
    <cellStyle name="RISKtlCorner 5 12 2" xfId="39953" xr:uid="{2E8BDFA6-6511-418B-BD07-04D6E330FA21}"/>
    <cellStyle name="RISKtlCorner 5 13" xfId="19895" xr:uid="{2F9B5F85-B9CE-4570-83EE-1113A02A00E8}"/>
    <cellStyle name="RISKtlCorner 5 13 2" xfId="40507" xr:uid="{BCD46B14-3E9E-4E23-A8B3-516FEEE7ECBF}"/>
    <cellStyle name="RISKtlCorner 5 14" xfId="16845" xr:uid="{0A99E17D-8EE8-44BD-832C-78608C64D10C}"/>
    <cellStyle name="RISKtlCorner 5 14 2" xfId="38273" xr:uid="{36F4CDD2-442F-4F92-8D96-8C7848A3B534}"/>
    <cellStyle name="RISKtlCorner 5 15" xfId="19002" xr:uid="{2A080D56-E838-43D0-9005-9BCE4997B088}"/>
    <cellStyle name="RISKtlCorner 5 15 2" xfId="39834" xr:uid="{E9966534-44ED-4160-ACFF-40C9D3526C0B}"/>
    <cellStyle name="RISKtlCorner 5 16" xfId="22086" xr:uid="{7A71C0A5-F6E4-494E-B9BB-E8B3A1F7CA2D}"/>
    <cellStyle name="RISKtlCorner 5 16 2" xfId="41971" xr:uid="{8BFC97E3-51D3-49C1-BE31-20A2CBD52283}"/>
    <cellStyle name="RISKtlCorner 5 17" xfId="23142" xr:uid="{EE040851-013E-4EA4-B4A3-83DB1EF4EE70}"/>
    <cellStyle name="RISKtlCorner 5 17 2" xfId="42741" xr:uid="{EACC012F-DED0-496A-BECE-06516D0EE696}"/>
    <cellStyle name="RISKtlCorner 5 18" xfId="23963" xr:uid="{299CAED4-44CF-4C23-BE17-30C6C4EACA4F}"/>
    <cellStyle name="RISKtlCorner 5 18 2" xfId="43340" xr:uid="{8C86BFE8-DD01-4D72-BE67-42EB23A67FC5}"/>
    <cellStyle name="RISKtlCorner 5 19" xfId="20921" xr:uid="{616A385A-71C0-4561-9B13-54FBC405D1AB}"/>
    <cellStyle name="RISKtlCorner 5 19 2" xfId="41223" xr:uid="{A9666F3C-42EC-4AC0-B62D-C1CC2EFCEB8B}"/>
    <cellStyle name="RISKtlCorner 5 2" xfId="4078" xr:uid="{D62F6C6D-F15A-44C3-A00D-93D883B761BD}"/>
    <cellStyle name="RISKtlCorner 5 2 10" xfId="15692" xr:uid="{A475E4B1-ADF4-469F-99FC-B62C58DAE086}"/>
    <cellStyle name="RISKtlCorner 5 2 10 2" xfId="37329" xr:uid="{5CF79169-E07B-49F0-89AB-6DE9DD403C9D}"/>
    <cellStyle name="RISKtlCorner 5 2 11" xfId="18019" xr:uid="{3648EB31-9D46-4C0E-991C-3667293767B4}"/>
    <cellStyle name="RISKtlCorner 5 2 11 2" xfId="39115" xr:uid="{54A7A5E4-ADD0-4C13-85E6-1546B5423C7C}"/>
    <cellStyle name="RISKtlCorner 5 2 12" xfId="20631" xr:uid="{781F7773-F21C-4A1D-A5CA-4CEE1BF70461}"/>
    <cellStyle name="RISKtlCorner 5 2 12 2" xfId="40991" xr:uid="{45CA41A9-0399-47DA-9F0D-1DC6051C6C2A}"/>
    <cellStyle name="RISKtlCorner 5 2 13" xfId="16822" xr:uid="{95F1E732-3D12-4A01-B637-C635F8E66EB1}"/>
    <cellStyle name="RISKtlCorner 5 2 13 2" xfId="38250" xr:uid="{D30CB752-FC66-436D-B17E-17DC5421F093}"/>
    <cellStyle name="RISKtlCorner 5 2 14" xfId="17807" xr:uid="{9FE4846A-96CE-4B71-9F69-8BA21A4BB63C}"/>
    <cellStyle name="RISKtlCorner 5 2 14 2" xfId="38932" xr:uid="{3EBC2741-05D6-483B-8A68-F9074AC78D7B}"/>
    <cellStyle name="RISKtlCorner 5 2 15" xfId="16142" xr:uid="{5FB90AB5-AE60-4918-94F0-FB4CDA8DD9C1}"/>
    <cellStyle name="RISKtlCorner 5 2 15 2" xfId="37708" xr:uid="{ED925849-5C15-4765-BABA-AE19E0083A8A}"/>
    <cellStyle name="RISKtlCorner 5 2 16" xfId="19495" xr:uid="{B3BE6EA7-1A6C-4787-8786-06E70C67FE32}"/>
    <cellStyle name="RISKtlCorner 5 2 16 2" xfId="40172" xr:uid="{51AD42BD-6902-4878-ADB3-5CBE953A9343}"/>
    <cellStyle name="RISKtlCorner 5 2 17" xfId="22162" xr:uid="{6BA29DE5-3487-4B53-AF52-4A52DCE8029D}"/>
    <cellStyle name="RISKtlCorner 5 2 17 2" xfId="42042" xr:uid="{F4A343D0-AD0C-4D73-8BCC-E6975BD72D60}"/>
    <cellStyle name="RISKtlCorner 5 2 18" xfId="23461" xr:uid="{544EE942-DF36-4FF6-8334-21B7D8C65BF0}"/>
    <cellStyle name="RISKtlCorner 5 2 18 2" xfId="42967" xr:uid="{EFF60834-B584-4E0D-9A49-C43B2C1A5CC9}"/>
    <cellStyle name="RISKtlCorner 5 2 19" xfId="22212" xr:uid="{47F02AD8-E4F2-476B-AD47-7BC3833E6434}"/>
    <cellStyle name="RISKtlCorner 5 2 19 2" xfId="42091" xr:uid="{22E9F276-9238-4233-9130-031F7229C485}"/>
    <cellStyle name="RISKtlCorner 5 2 2" xfId="7321" xr:uid="{09B0B77A-A939-41DC-BA42-4EB77F4BE713}"/>
    <cellStyle name="RISKtlCorner 5 2 2 2" xfId="31684" xr:uid="{95FA9908-70DB-4CAD-96A9-FFA0D2CFCCCA}"/>
    <cellStyle name="RISKtlCorner 5 2 20" xfId="25164" xr:uid="{F2CA1781-1249-41B6-B206-763DCBCE7A6B}"/>
    <cellStyle name="RISKtlCorner 5 2 20 2" xfId="44108" xr:uid="{80B5F2B8-3963-4BA7-8DFA-187420BEF854}"/>
    <cellStyle name="RISKtlCorner 5 2 21" xfId="27286" xr:uid="{51D51297-7743-4801-B883-C5D6C3F8B924}"/>
    <cellStyle name="RISKtlCorner 5 2 21 2" xfId="45589" xr:uid="{3F103010-1352-40D8-9E5E-3E457C5888FF}"/>
    <cellStyle name="RISKtlCorner 5 2 22" xfId="25582" xr:uid="{FA4F8FB6-C8AD-45E6-ABB9-18D5B0CBF013}"/>
    <cellStyle name="RISKtlCorner 5 2 22 2" xfId="44449" xr:uid="{0C0A2C4C-1D07-4558-9273-2DAE4E987F96}"/>
    <cellStyle name="RISKtlCorner 5 2 23" xfId="23589" xr:uid="{67770CB6-7680-4AF5-AE57-2CFC97290884}"/>
    <cellStyle name="RISKtlCorner 5 2 23 2" xfId="43024" xr:uid="{5BF5E8BB-6F8A-49FC-AD8E-95CE4C5F42B4}"/>
    <cellStyle name="RISKtlCorner 5 2 24" xfId="28284" xr:uid="{821AAC21-935D-497F-93ED-CA56A91C6110}"/>
    <cellStyle name="RISKtlCorner 5 2 24 2" xfId="46151" xr:uid="{2EFF6742-1392-4EDB-85EE-69CA178D0854}"/>
    <cellStyle name="RISKtlCorner 5 2 25" xfId="28985" xr:uid="{F856E3A9-556F-4885-9063-76BBB977B222}"/>
    <cellStyle name="RISKtlCorner 5 2 25 2" xfId="46579" xr:uid="{33AF0366-71CC-4861-B00A-C00DDE26EF0C}"/>
    <cellStyle name="RISKtlCorner 5 2 26" xfId="29615" xr:uid="{047AA43C-5702-4EFE-A329-9BFD6518DA0C}"/>
    <cellStyle name="RISKtlCorner 5 2 26 2" xfId="47006" xr:uid="{34EF6BCD-369F-4C73-AAA5-5402691D73E8}"/>
    <cellStyle name="RISKtlCorner 5 2 27" xfId="27640" xr:uid="{73591023-039A-46ED-B731-3E45254D1439}"/>
    <cellStyle name="RISKtlCorner 5 2 27 2" xfId="45774" xr:uid="{4DAB3B35-BB7C-4F75-9406-A5CEDD3813EA}"/>
    <cellStyle name="RISKtlCorner 5 2 28" xfId="29036" xr:uid="{1EBACC75-4023-4A7A-B374-27791F63CCBE}"/>
    <cellStyle name="RISKtlCorner 5 2 28 2" xfId="46623" xr:uid="{539A6A79-6706-44A5-BE06-AF278A22A299}"/>
    <cellStyle name="RISKtlCorner 5 2 29" xfId="30579" xr:uid="{E3E16580-5070-4A36-B5AE-4A990DB330EE}"/>
    <cellStyle name="RISKtlCorner 5 2 29 2" xfId="47529" xr:uid="{3F07E6AB-9B72-4ADD-83FF-4FFC006AAE8E}"/>
    <cellStyle name="RISKtlCorner 5 2 3" xfId="10290" xr:uid="{E068ED3D-55BB-4568-BCF7-1630E2AECB2C}"/>
    <cellStyle name="RISKtlCorner 5 2 3 2" xfId="33925" xr:uid="{BB0CDBF9-4BDA-4AB9-AF5B-9581162FE6BC}"/>
    <cellStyle name="RISKtlCorner 5 2 30" xfId="6036" xr:uid="{1B922505-D04D-4FEC-9BA5-1D74A3833656}"/>
    <cellStyle name="RISKtlCorner 5 2 4" xfId="12379" xr:uid="{A767DAE0-E58A-4FF3-AC14-E13B4951E6CD}"/>
    <cellStyle name="RISKtlCorner 5 2 4 2" xfId="34866" xr:uid="{BC81D6CC-F5FF-4DED-B7E1-06109176BB48}"/>
    <cellStyle name="RISKtlCorner 5 2 5" xfId="13430" xr:uid="{B3FE5324-1A75-433E-9DED-58A891597483}"/>
    <cellStyle name="RISKtlCorner 5 2 5 2" xfId="35723" xr:uid="{14331610-5951-42FF-8971-7A8F663EE22F}"/>
    <cellStyle name="RISKtlCorner 5 2 6" xfId="14648" xr:uid="{2A96EA79-B400-4C9F-986B-72F89F1C9831}"/>
    <cellStyle name="RISKtlCorner 5 2 6 2" xfId="36560" xr:uid="{F4F567FB-3CE0-40C3-8E1F-213BA08815F5}"/>
    <cellStyle name="RISKtlCorner 5 2 7" xfId="14026" xr:uid="{AFB33463-9786-44E8-80F2-638E931DAA46}"/>
    <cellStyle name="RISKtlCorner 5 2 7 2" xfId="36120" xr:uid="{049A438C-1B7E-4259-87E1-37EC068561AC}"/>
    <cellStyle name="RISKtlCorner 5 2 8" xfId="17411" xr:uid="{F21E8265-3463-439D-BCCF-08E23A64ED4E}"/>
    <cellStyle name="RISKtlCorner 5 2 8 2" xfId="38658" xr:uid="{6C58019B-4DEC-47DD-AFC0-A05E65273474}"/>
    <cellStyle name="RISKtlCorner 5 2 9" xfId="18259" xr:uid="{1D3E529F-DCF6-4D89-8BB4-7ADE41E4AE8A}"/>
    <cellStyle name="RISKtlCorner 5 2 9 2" xfId="39290" xr:uid="{4E91C828-4025-49F4-9D34-AB96FA17CC0A}"/>
    <cellStyle name="RISKtlCorner 5 20" xfId="21073" xr:uid="{D6321FE5-FDC2-4231-B73A-CF65E7172EB8}"/>
    <cellStyle name="RISKtlCorner 5 20 2" xfId="41318" xr:uid="{32639BD5-B9E7-47D6-82E4-BEABBC78435F}"/>
    <cellStyle name="RISKtlCorner 5 21" xfId="25059" xr:uid="{ACBC14AA-F811-418D-8C92-EBBDA20ADFC9}"/>
    <cellStyle name="RISKtlCorner 5 21 2" xfId="44085" xr:uid="{67345645-B9B6-41C9-812B-39A13DEBEB43}"/>
    <cellStyle name="RISKtlCorner 5 22" xfId="22246" xr:uid="{145CC0AE-9A17-4058-8561-919899977434}"/>
    <cellStyle name="RISKtlCorner 5 22 2" xfId="42117" xr:uid="{C6927C93-CEF7-4DD4-B427-CDA241C53B70}"/>
    <cellStyle name="RISKtlCorner 5 23" xfId="26167" xr:uid="{FD993425-CF6A-4DB1-B270-8D5C7147DEF9}"/>
    <cellStyle name="RISKtlCorner 5 23 2" xfId="44897" xr:uid="{EAC9B7CA-F261-4DB3-9DA4-C265B265970A}"/>
    <cellStyle name="RISKtlCorner 5 24" xfId="27793" xr:uid="{404C4DFC-2372-470B-B98C-94447FD85E2D}"/>
    <cellStyle name="RISKtlCorner 5 24 2" xfId="45880" xr:uid="{3A74C587-53B3-455D-B400-47DD6119BF61}"/>
    <cellStyle name="RISKtlCorner 5 25" xfId="23415" xr:uid="{951E7F80-386C-48E3-B322-4D8689F5D2F4}"/>
    <cellStyle name="RISKtlCorner 5 25 2" xfId="42932" xr:uid="{CCFD94FF-F9FE-47BE-9323-F937D185AB4A}"/>
    <cellStyle name="RISKtlCorner 5 26" xfId="26535" xr:uid="{DA2675BE-38A9-44BA-8E40-1560ADBB44EF}"/>
    <cellStyle name="RISKtlCorner 5 26 2" xfId="45110" xr:uid="{31E2E7E2-92BE-462A-B5DF-C60483D11E25}"/>
    <cellStyle name="RISKtlCorner 5 27" xfId="29072" xr:uid="{BA893A86-564E-4EC5-8F54-3EBF1CEC4828}"/>
    <cellStyle name="RISKtlCorner 5 27 2" xfId="46645" xr:uid="{A2C79818-A439-4F6B-9631-4DFA95142713}"/>
    <cellStyle name="RISKtlCorner 5 28" xfId="26461" xr:uid="{EBFBCF1F-AD3F-4134-8DE8-1D473F114410}"/>
    <cellStyle name="RISKtlCorner 5 28 2" xfId="45087" xr:uid="{0048025F-7629-4901-9FDE-AB3B07612534}"/>
    <cellStyle name="RISKtlCorner 5 29" xfId="30675" xr:uid="{19579F91-64AD-4E77-BE1B-E6CEDC663F33}"/>
    <cellStyle name="RISKtlCorner 5 29 2" xfId="47621" xr:uid="{1016CD3D-6FBA-4BCB-80FF-CA548C84AAEC}"/>
    <cellStyle name="RISKtlCorner 5 3" xfId="4079" xr:uid="{8C07F954-B524-48FF-B88D-98BC586EB58C}"/>
    <cellStyle name="RISKtlCorner 5 3 10" xfId="19143" xr:uid="{85BEA761-AF99-4482-8EA9-C44DBAE1C260}"/>
    <cellStyle name="RISKtlCorner 5 3 10 2" xfId="39952" xr:uid="{DB8C3FDB-4A2E-4726-A3F3-3234AC54B052}"/>
    <cellStyle name="RISKtlCorner 5 3 11" xfId="19894" xr:uid="{CF1EE966-265E-4D70-8A86-679A5F9C3F7E}"/>
    <cellStyle name="RISKtlCorner 5 3 11 2" xfId="40506" xr:uid="{707135E9-2C9D-42E8-B704-80C4D24085A8}"/>
    <cellStyle name="RISKtlCorner 5 3 12" xfId="15371" xr:uid="{B29D4395-D0D7-476B-B8AD-470779F0A232}"/>
    <cellStyle name="RISKtlCorner 5 3 12 2" xfId="37071" xr:uid="{6C2E8F53-895A-4F9C-9426-353FF537C331}"/>
    <cellStyle name="RISKtlCorner 5 3 13" xfId="19001" xr:uid="{B1D3F796-93FB-4675-9883-259C16A00220}"/>
    <cellStyle name="RISKtlCorner 5 3 13 2" xfId="39833" xr:uid="{0793AB8E-EB0F-49F2-9CC0-1C799B2BC941}"/>
    <cellStyle name="RISKtlCorner 5 3 14" xfId="17867" xr:uid="{A4DA51AA-C350-47BF-BA91-63AAC64AEE77}"/>
    <cellStyle name="RISKtlCorner 5 3 14 2" xfId="38983" xr:uid="{ADE3BC2E-0C51-4C5F-BB0F-96E355A620B3}"/>
    <cellStyle name="RISKtlCorner 5 3 15" xfId="23141" xr:uid="{080E4A1B-EE8E-47F8-A614-6BC1CBD0B8B5}"/>
    <cellStyle name="RISKtlCorner 5 3 15 2" xfId="42740" xr:uid="{BD65C6EF-D10A-41BF-8548-C04465DB355E}"/>
    <cellStyle name="RISKtlCorner 5 3 16" xfId="23962" xr:uid="{8666AB3F-4ADB-4E3B-9DB7-88B8EEF7B516}"/>
    <cellStyle name="RISKtlCorner 5 3 16 2" xfId="43339" xr:uid="{2EED3EB9-BD96-4802-95B3-4EA45D91A20A}"/>
    <cellStyle name="RISKtlCorner 5 3 17" xfId="22585" xr:uid="{76C8F86A-4816-4B20-A20E-880B0DCCC6A0}"/>
    <cellStyle name="RISKtlCorner 5 3 17 2" xfId="42371" xr:uid="{E3C4EF50-0544-4D53-9F13-6C034CD16212}"/>
    <cellStyle name="RISKtlCorner 5 3 18" xfId="25795" xr:uid="{7CC4ED77-F061-483C-BC64-BC5889169D10}"/>
    <cellStyle name="RISKtlCorner 5 3 18 2" xfId="44623" xr:uid="{3EA006C1-2C42-4A9D-8414-7326A488BB23}"/>
    <cellStyle name="RISKtlCorner 5 3 19" xfId="23936" xr:uid="{24FE0418-B5C3-4D6C-86DE-E72FF531A5F6}"/>
    <cellStyle name="RISKtlCorner 5 3 19 2" xfId="43313" xr:uid="{64E7CACF-0E66-41EA-A7C9-B2B46A057957}"/>
    <cellStyle name="RISKtlCorner 5 3 2" xfId="11747" xr:uid="{55D0F376-3521-4AD7-9AD7-AFFBEACBC323}"/>
    <cellStyle name="RISKtlCorner 5 3 2 2" xfId="34360" xr:uid="{B0621316-6F04-4A0D-A3B6-18FBF8163D99}"/>
    <cellStyle name="RISKtlCorner 5 3 20" xfId="21951" xr:uid="{E65A17C8-1E94-4AE3-82C2-174658BAB6F3}"/>
    <cellStyle name="RISKtlCorner 5 3 20 2" xfId="41864" xr:uid="{AFE41B73-EACF-4C1D-9A43-6027C856F84C}"/>
    <cellStyle name="RISKtlCorner 5 3 21" xfId="22617" xr:uid="{C949FCFC-12CA-48B9-BB71-C73A237DB0ED}"/>
    <cellStyle name="RISKtlCorner 5 3 21 2" xfId="42395" xr:uid="{DC31284B-C214-4147-8777-7205D0AB87F1}"/>
    <cellStyle name="RISKtlCorner 5 3 22" xfId="27792" xr:uid="{1ED00E13-5C83-47CB-870F-E6DF21FC2A4B}"/>
    <cellStyle name="RISKtlCorner 5 3 22 2" xfId="45879" xr:uid="{F66F9458-6BCF-4624-9FCF-A0DA04178B6A}"/>
    <cellStyle name="RISKtlCorner 5 3 23" xfId="25537" xr:uid="{4558EA1D-ABD2-461F-9DAF-05F97F198B8D}"/>
    <cellStyle name="RISKtlCorner 5 3 23 2" xfId="44411" xr:uid="{E8CAE447-C370-4BC8-A733-E7F2DC7D97AA}"/>
    <cellStyle name="RISKtlCorner 5 3 24" xfId="29197" xr:uid="{444F1511-D970-437F-8F33-EBCBB7623F01}"/>
    <cellStyle name="RISKtlCorner 5 3 24 2" xfId="46723" xr:uid="{43FB9ECF-0543-4333-AC56-3FF482C158D3}"/>
    <cellStyle name="RISKtlCorner 5 3 25" xfId="29356" xr:uid="{3CE835C0-2B1C-475A-B6AD-AAA5AE1AD8ED}"/>
    <cellStyle name="RISKtlCorner 5 3 25 2" xfId="46829" xr:uid="{3A0F978A-9402-43D4-840B-E4081198BE6B}"/>
    <cellStyle name="RISKtlCorner 5 3 26" xfId="29037" xr:uid="{601F3AE6-731D-498B-9564-97F3A2A6FA35}"/>
    <cellStyle name="RISKtlCorner 5 3 26 2" xfId="46624" xr:uid="{35A87FA8-14D7-442A-8B90-84588DC700F5}"/>
    <cellStyle name="RISKtlCorner 5 3 27" xfId="30674" xr:uid="{650E8E1D-25D5-471A-A45B-E8A6A61DBE00}"/>
    <cellStyle name="RISKtlCorner 5 3 27 2" xfId="47620" xr:uid="{028FFAF7-CE57-4E4D-A146-7E2D9E11C9DC}"/>
    <cellStyle name="RISKtlCorner 5 3 28" xfId="29814" xr:uid="{B0C45DC3-E3B5-464D-8E0A-9C715E5179E8}"/>
    <cellStyle name="RISKtlCorner 5 3 28 2" xfId="47131" xr:uid="{DACA4102-8CBB-4715-91A8-21103C7A2336}"/>
    <cellStyle name="RISKtlCorner 5 3 29" xfId="30604" xr:uid="{CAAA4BE4-41EA-43D4-8EF9-385704FCBB08}"/>
    <cellStyle name="RISKtlCorner 5 3 29 2" xfId="47550" xr:uid="{92B4DE92-3F82-4304-8049-946BE409CF2C}"/>
    <cellStyle name="RISKtlCorner 5 3 3" xfId="13169" xr:uid="{23D60B1E-B5B4-42BA-B70F-ACE46BAAB14C}"/>
    <cellStyle name="RISKtlCorner 5 3 3 2" xfId="35517" xr:uid="{8BDA54E2-04B4-4F8E-9058-1F18514C1103}"/>
    <cellStyle name="RISKtlCorner 5 3 30" xfId="6796" xr:uid="{28FD6F0C-7051-4676-99F5-1F38FC5F8B64}"/>
    <cellStyle name="RISKtlCorner 5 3 4" xfId="14185" xr:uid="{D15DCFC9-D73D-4FE7-A19F-D82E2B90DCF7}"/>
    <cellStyle name="RISKtlCorner 5 3 4 2" xfId="36238" xr:uid="{1193D32E-170D-41F6-BE13-C7B9C3FFFADE}"/>
    <cellStyle name="RISKtlCorner 5 3 5" xfId="11649" xr:uid="{05D18845-D0E2-4568-8D72-4AE530B16FE0}"/>
    <cellStyle name="RISKtlCorner 5 3 5 2" xfId="34262" xr:uid="{38F2B183-2976-4F87-991D-5E4EEA91D4CE}"/>
    <cellStyle name="RISKtlCorner 5 3 6" xfId="15514" xr:uid="{698404A2-0E4A-4B63-AC57-7C1B893750A6}"/>
    <cellStyle name="RISKtlCorner 5 3 6 2" xfId="37179" xr:uid="{8BD80B78-5482-4349-8C2D-1B3EE4DB1510}"/>
    <cellStyle name="RISKtlCorner 5 3 7" xfId="16536" xr:uid="{E5FCB1D2-91B3-4B71-BA9E-50AB8FD9B13E}"/>
    <cellStyle name="RISKtlCorner 5 3 7 2" xfId="38029" xr:uid="{3F56567E-31B2-4474-A349-63461B9F133F}"/>
    <cellStyle name="RISKtlCorner 5 3 8" xfId="15636" xr:uid="{102F62C9-CD16-4A6F-87AF-C1DBD1B31EAB}"/>
    <cellStyle name="RISKtlCorner 5 3 8 2" xfId="37294" xr:uid="{471A70B4-0251-4C8C-8EAB-9040A720A0EC}"/>
    <cellStyle name="RISKtlCorner 5 3 9" xfId="13954" xr:uid="{5AE77EE3-48B1-48BA-B79D-A5BA827900A2}"/>
    <cellStyle name="RISKtlCorner 5 3 9 2" xfId="36060" xr:uid="{0B774B30-C2A2-42D7-8D53-05A0C32233CC}"/>
    <cellStyle name="RISKtlCorner 5 30" xfId="30805" xr:uid="{D5FA65D1-2A71-4278-9C89-E51CC29ED15B}"/>
    <cellStyle name="RISKtlCorner 5 30 2" xfId="47729" xr:uid="{E7301E1F-96CD-4AE7-8D67-5D0BE0E87D51}"/>
    <cellStyle name="RISKtlCorner 5 31" xfId="30188" xr:uid="{A48E1364-8562-4A89-AB0E-0A888D9573D4}"/>
    <cellStyle name="RISKtlCorner 5 31 2" xfId="47349" xr:uid="{7DEFFEDC-8308-478A-9ED3-1AADDA5FFD84}"/>
    <cellStyle name="RISKtlCorner 5 32" xfId="6797" xr:uid="{7487B064-AB8C-4841-9745-8BAA609C9DF2}"/>
    <cellStyle name="RISKtlCorner 5 4" xfId="11748" xr:uid="{7ECC3BB6-280C-443C-A4A1-D6557DC0D8D2}"/>
    <cellStyle name="RISKtlCorner 5 4 2" xfId="34361" xr:uid="{A36D2D12-9E53-45D2-9F50-37DBE6AD3163}"/>
    <cellStyle name="RISKtlCorner 5 5" xfId="13170" xr:uid="{9F326EBF-3B20-4F4A-B553-7C53E2DBCD13}"/>
    <cellStyle name="RISKtlCorner 5 5 2" xfId="35518" xr:uid="{0A0C491F-719B-4E35-82F3-246FAE59556E}"/>
    <cellStyle name="RISKtlCorner 5 6" xfId="14186" xr:uid="{A2F3F596-A5D5-4DA5-9AC7-EF0BBADC8912}"/>
    <cellStyle name="RISKtlCorner 5 6 2" xfId="36239" xr:uid="{FA29C68B-CDB4-4688-8E9E-E3C1520A0290}"/>
    <cellStyle name="RISKtlCorner 5 7" xfId="7215" xr:uid="{D5F6AB62-22F9-4C10-B7CF-9D6DA48D7EC1}"/>
    <cellStyle name="RISKtlCorner 5 7 2" xfId="31581" xr:uid="{1728B444-CD05-4F64-A2BA-5BCD257A75BF}"/>
    <cellStyle name="RISKtlCorner 5 8" xfId="13815" xr:uid="{83C32851-6263-43AB-81E5-B272E3204138}"/>
    <cellStyle name="RISKtlCorner 5 8 2" xfId="35940" xr:uid="{56547BE3-55B5-4B40-B869-0C13B8818398}"/>
    <cellStyle name="RISKtlCorner 5 9" xfId="16537" xr:uid="{89726F50-734A-40BA-961B-18796AAE5AA6}"/>
    <cellStyle name="RISKtlCorner 5 9 2" xfId="38030" xr:uid="{AE3072BA-1A49-4ED7-8310-07137E585D82}"/>
    <cellStyle name="RISKtlCorner 6" xfId="4080" xr:uid="{A5BB4EEC-F879-4090-A112-9F790DAEDC29}"/>
    <cellStyle name="RISKtlCorner 6 10" xfId="17410" xr:uid="{EC45966B-519D-44EF-B82D-6D9DF58A8AAE}"/>
    <cellStyle name="RISKtlCorner 6 10 2" xfId="38657" xr:uid="{CDEFB2E6-DC7B-42DB-95E3-7C4432B632CE}"/>
    <cellStyle name="RISKtlCorner 6 11" xfId="18258" xr:uid="{77B7CAD0-EEB1-4E41-BFB9-AB68D887BD27}"/>
    <cellStyle name="RISKtlCorner 6 11 2" xfId="39289" xr:uid="{428BA082-46A5-48AE-8B38-C2E3F18C3AD0}"/>
    <cellStyle name="RISKtlCorner 6 12" xfId="17170" xr:uid="{C912E74C-4F0F-4568-A060-2DF79692DA15}"/>
    <cellStyle name="RISKtlCorner 6 12 2" xfId="38499" xr:uid="{A65F8B7B-9312-4A9F-A68A-A67D4D1D9067}"/>
    <cellStyle name="RISKtlCorner 6 13" xfId="12844" xr:uid="{73722660-B471-421B-A583-6E59550E4864}"/>
    <cellStyle name="RISKtlCorner 6 13 2" xfId="35224" xr:uid="{2B8AE5E0-EE5B-456E-B05C-1F4C59640082}"/>
    <cellStyle name="RISKtlCorner 6 14" xfId="20630" xr:uid="{F23896AB-D2F5-47D4-BAA7-90DDF46CA392}"/>
    <cellStyle name="RISKtlCorner 6 14 2" xfId="40990" xr:uid="{2D301EDB-690C-431B-9E52-FDF718356BC9}"/>
    <cellStyle name="RISKtlCorner 6 15" xfId="15360" xr:uid="{1FB6F905-5CC2-498B-B081-DCD5C4D25D65}"/>
    <cellStyle name="RISKtlCorner 6 15 2" xfId="37060" xr:uid="{4D2BE0D1-04F3-4C50-8A09-097CE0604C96}"/>
    <cellStyle name="RISKtlCorner 6 16" xfId="21207" xr:uid="{2B7D157F-0489-4E16-80BD-3BD3C861FD00}"/>
    <cellStyle name="RISKtlCorner 6 16 2" xfId="41400" xr:uid="{F9B5191C-FD0C-4DB7-914C-95EBBB958BB7}"/>
    <cellStyle name="RISKtlCorner 6 17" xfId="20463" xr:uid="{13A0A1B5-0740-4989-9838-C30CD347990F}"/>
    <cellStyle name="RISKtlCorner 6 17 2" xfId="40856" xr:uid="{B81D98E3-21D6-4F62-8CA0-7D3DC52325AF}"/>
    <cellStyle name="RISKtlCorner 6 18" xfId="20328" xr:uid="{5E495897-D253-4287-9BB8-BB5EF50E50D4}"/>
    <cellStyle name="RISKtlCorner 6 18 2" xfId="40761" xr:uid="{8AF54C23-6F43-4E32-B7CE-B443227F2842}"/>
    <cellStyle name="RISKtlCorner 6 19" xfId="20930" xr:uid="{6B6F2413-2EAE-458E-9CE7-F7A565D3F07C}"/>
    <cellStyle name="RISKtlCorner 6 19 2" xfId="41231" xr:uid="{EF05B270-4C47-4C5E-BBCE-2FB588426ABC}"/>
    <cellStyle name="RISKtlCorner 6 2" xfId="4081" xr:uid="{76F31904-3D28-4BEC-ABD9-8C046722F32F}"/>
    <cellStyle name="RISKtlCorner 6 2 10" xfId="19142" xr:uid="{4E017FB9-9893-4321-868B-958404E8524A}"/>
    <cellStyle name="RISKtlCorner 6 2 10 2" xfId="39951" xr:uid="{6F6F841A-C8CC-49BA-BFF9-5D6518B51D2C}"/>
    <cellStyle name="RISKtlCorner 6 2 11" xfId="19893" xr:uid="{049F55D6-AAD7-404A-ACDE-304455476474}"/>
    <cellStyle name="RISKtlCorner 6 2 11 2" xfId="40505" xr:uid="{1F3F522B-E22B-4A38-A753-05E8C2D71C23}"/>
    <cellStyle name="RISKtlCorner 6 2 12" xfId="18889" xr:uid="{0D151A88-6852-46E7-8A2F-D12534143B56}"/>
    <cellStyle name="RISKtlCorner 6 2 12 2" xfId="39722" xr:uid="{514ABCE1-F084-46E2-9E89-DE952D4041B8}"/>
    <cellStyle name="RISKtlCorner 6 2 13" xfId="19000" xr:uid="{CB737489-338E-4C84-9D6E-ECFA7A087CE9}"/>
    <cellStyle name="RISKtlCorner 6 2 13 2" xfId="39832" xr:uid="{93AAF30E-A90B-47B6-B20F-406AFB79B165}"/>
    <cellStyle name="RISKtlCorner 6 2 14" xfId="22087" xr:uid="{0F94EAF2-CE45-4077-9DA3-774F23D0211A}"/>
    <cellStyle name="RISKtlCorner 6 2 14 2" xfId="41972" xr:uid="{E58FCF1F-CB38-4D39-937D-3C3DC03D0AE6}"/>
    <cellStyle name="RISKtlCorner 6 2 15" xfId="23140" xr:uid="{B6364C34-98F7-4AFF-A4AF-632E6DE0F4EC}"/>
    <cellStyle name="RISKtlCorner 6 2 15 2" xfId="42739" xr:uid="{9CF54EFB-C405-4427-BDC3-C811066056F5}"/>
    <cellStyle name="RISKtlCorner 6 2 16" xfId="23961" xr:uid="{56390111-0FBD-4EA4-AC54-A54E9D1C143C}"/>
    <cellStyle name="RISKtlCorner 6 2 16 2" xfId="43338" xr:uid="{B8A09AF1-4F08-4EF8-A063-7C1ACC2EBFBB}"/>
    <cellStyle name="RISKtlCorner 6 2 17" xfId="20309" xr:uid="{7D8BBCF1-27CA-4CC9-94BB-EBC5F752DC54}"/>
    <cellStyle name="RISKtlCorner 6 2 17 2" xfId="40743" xr:uid="{83AAA09B-C893-451D-9220-7C538AD26478}"/>
    <cellStyle name="RISKtlCorner 6 2 18" xfId="20256" xr:uid="{9E201536-47FB-4BD9-9F2E-FA92123FEF98}"/>
    <cellStyle name="RISKtlCorner 6 2 18 2" xfId="40698" xr:uid="{0B7F1811-50B5-4A19-90E0-607BEB3E54E9}"/>
    <cellStyle name="RISKtlCorner 6 2 19" xfId="23935" xr:uid="{C929CAC9-FAFC-4745-BF3A-07BBAA77C00D}"/>
    <cellStyle name="RISKtlCorner 6 2 19 2" xfId="43312" xr:uid="{833AC6F7-509F-4FAC-930A-DFCDA3C5E3B7}"/>
    <cellStyle name="RISKtlCorner 6 2 2" xfId="11746" xr:uid="{20993357-9200-4BB5-9C49-A36F76D30184}"/>
    <cellStyle name="RISKtlCorner 6 2 2 2" xfId="34359" xr:uid="{8109D171-108B-49FC-A454-3028AE4395DF}"/>
    <cellStyle name="RISKtlCorner 6 2 20" xfId="24254" xr:uid="{17AB2C62-9D36-4F01-B02E-0D108CD772F9}"/>
    <cellStyle name="RISKtlCorner 6 2 20 2" xfId="43568" xr:uid="{24D16B40-C41F-4C5B-8831-52A2795ACD57}"/>
    <cellStyle name="RISKtlCorner 6 2 21" xfId="26166" xr:uid="{9799E979-FCEB-42E0-9975-D8EB03FCBF67}"/>
    <cellStyle name="RISKtlCorner 6 2 21 2" xfId="44896" xr:uid="{9D88EBB8-5600-4CEE-B8B6-8A217304EB44}"/>
    <cellStyle name="RISKtlCorner 6 2 22" xfId="27791" xr:uid="{F8D1EEE0-C4A2-442C-AF45-09CA99B426E7}"/>
    <cellStyle name="RISKtlCorner 6 2 22 2" xfId="45878" xr:uid="{0E1FC85D-8899-4C8D-B1E3-1910F2E45FD9}"/>
    <cellStyle name="RISKtlCorner 6 2 23" xfId="23712" xr:uid="{C273DEB7-EF1B-4726-AC22-947F31AA42B0}"/>
    <cellStyle name="RISKtlCorner 6 2 23 2" xfId="43130" xr:uid="{0C5882BB-426D-420F-A2DD-692A8D135B85}"/>
    <cellStyle name="RISKtlCorner 6 2 24" xfId="26820" xr:uid="{BAC524B6-5FE7-4A6C-8EB9-C4A5821B9632}"/>
    <cellStyle name="RISKtlCorner 6 2 24 2" xfId="45291" xr:uid="{A7DD8D48-C43C-4DC7-AAFA-BAD74BDC40C0}"/>
    <cellStyle name="RISKtlCorner 6 2 25" xfId="28861" xr:uid="{4840EF9B-49F3-4446-B680-66D9A1DAA572}"/>
    <cellStyle name="RISKtlCorner 6 2 25 2" xfId="46482" xr:uid="{85638BF2-D55C-4CB1-992E-FA0CC8B1EDB2}"/>
    <cellStyle name="RISKtlCorner 6 2 26" xfId="28205" xr:uid="{26EAFD1A-3CDC-424B-9A33-7B43D312A85F}"/>
    <cellStyle name="RISKtlCorner 6 2 26 2" xfId="46095" xr:uid="{E20D8B84-87A3-4B0C-A281-737D9A184642}"/>
    <cellStyle name="RISKtlCorner 6 2 27" xfId="30673" xr:uid="{9A3E3244-B5BB-4FEF-8BB2-5D58AE2E8CE6}"/>
    <cellStyle name="RISKtlCorner 6 2 27 2" xfId="47619" xr:uid="{CE46E9FA-100F-435D-9546-37F5ED067E7A}"/>
    <cellStyle name="RISKtlCorner 6 2 28" xfId="25590" xr:uid="{8C59DED4-E0B7-457A-B0B1-2B248113DD31}"/>
    <cellStyle name="RISKtlCorner 6 2 28 2" xfId="44454" xr:uid="{2AFCAFBB-847F-4A8C-AEFA-CF55A42047A2}"/>
    <cellStyle name="RISKtlCorner 6 2 29" xfId="30187" xr:uid="{ADDA8DB7-A498-4C55-81A9-E0CF3B775B50}"/>
    <cellStyle name="RISKtlCorner 6 2 29 2" xfId="47348" xr:uid="{5D37BF15-6773-4CFE-9EC3-4401A6B230D9}"/>
    <cellStyle name="RISKtlCorner 6 2 3" xfId="13168" xr:uid="{89DA3269-700A-4EDF-9292-F9F4CD9459AC}"/>
    <cellStyle name="RISKtlCorner 6 2 3 2" xfId="35516" xr:uid="{C2FE8F59-ACD4-4440-8096-871F9CD307E2}"/>
    <cellStyle name="RISKtlCorner 6 2 30" xfId="6795" xr:uid="{EB17E00C-3B2B-4DF7-9340-B18879CA46BB}"/>
    <cellStyle name="RISKtlCorner 6 2 4" xfId="14184" xr:uid="{C8BCEA57-74A5-404B-8B2F-4F98DF00B092}"/>
    <cellStyle name="RISKtlCorner 6 2 4 2" xfId="36237" xr:uid="{22029B3D-3627-4365-BCC7-F11B2FE9A99B}"/>
    <cellStyle name="RISKtlCorner 6 2 5" xfId="11648" xr:uid="{B5B4A981-84F0-4EE5-B074-E603DCBBA4C5}"/>
    <cellStyle name="RISKtlCorner 6 2 5 2" xfId="34261" xr:uid="{00BCE376-0BA1-43E5-9E8E-8F3D5983C64E}"/>
    <cellStyle name="RISKtlCorner 6 2 6" xfId="12753" xr:uid="{9F03B803-EB13-414D-B125-931677527B30}"/>
    <cellStyle name="RISKtlCorner 6 2 6 2" xfId="35162" xr:uid="{6B758134-63B2-48B4-80F9-6F90381DA70D}"/>
    <cellStyle name="RISKtlCorner 6 2 7" xfId="16535" xr:uid="{4B05F6AE-D3E5-45E5-8800-F6E4AB95C33F}"/>
    <cellStyle name="RISKtlCorner 6 2 7 2" xfId="38028" xr:uid="{B152D560-293B-4A2F-A8CA-345673CDDC0C}"/>
    <cellStyle name="RISKtlCorner 6 2 8" xfId="13724" xr:uid="{882983BE-18F3-4576-AF96-45597FAD5EE0}"/>
    <cellStyle name="RISKtlCorner 6 2 8 2" xfId="35879" xr:uid="{786A4E8C-954C-4BC6-A7F2-45628889C8F6}"/>
    <cellStyle name="RISKtlCorner 6 2 9" xfId="16283" xr:uid="{C80A92D5-4DE7-4096-8905-D0E85F652752}"/>
    <cellStyle name="RISKtlCorner 6 2 9 2" xfId="37820" xr:uid="{24153A4A-EA2F-41D7-A9E8-414F3CB7F04B}"/>
    <cellStyle name="RISKtlCorner 6 20" xfId="25327" xr:uid="{C802146B-EE29-4884-9171-2E6DA3B4C18D}"/>
    <cellStyle name="RISKtlCorner 6 20 2" xfId="44243" xr:uid="{0DEBD3B0-FF8A-420E-BACA-05702F02DB10}"/>
    <cellStyle name="RISKtlCorner 6 21" xfId="18754" xr:uid="{E53B2C5C-D340-4918-9B30-CA2A1F9FEFF4}"/>
    <cellStyle name="RISKtlCorner 6 21 2" xfId="39629" xr:uid="{31B66C68-DC84-4E24-97DE-4A064F0982CF}"/>
    <cellStyle name="RISKtlCorner 6 22" xfId="22655" xr:uid="{8A9F288F-10D3-40F6-950C-DE877958497D}"/>
    <cellStyle name="RISKtlCorner 6 22 2" xfId="42426" xr:uid="{3A696371-0852-4744-881C-6C3D222CF4C6}"/>
    <cellStyle name="RISKtlCorner 6 23" xfId="27285" xr:uid="{634248C3-BE19-46D5-B0E3-C63EF70C8707}"/>
    <cellStyle name="RISKtlCorner 6 23 2" xfId="45588" xr:uid="{9C08A9F5-FBCF-4AC0-8249-647FD263355A}"/>
    <cellStyle name="RISKtlCorner 6 24" xfId="25833" xr:uid="{14316C08-7683-4400-BB16-104509F1F608}"/>
    <cellStyle name="RISKtlCorner 6 24 2" xfId="44656" xr:uid="{3C601569-6364-4608-876D-211400B49992}"/>
    <cellStyle name="RISKtlCorner 6 25" xfId="25463" xr:uid="{B6315A5B-057A-4C00-9836-7E61B2A5C78C}"/>
    <cellStyle name="RISKtlCorner 6 25 2" xfId="44347" xr:uid="{F9EB1FFD-EF27-4B1C-93E2-88DB296A6A93}"/>
    <cellStyle name="RISKtlCorner 6 26" xfId="26002" xr:uid="{D4C08560-2CE5-4ABC-8A0B-BEED332D9590}"/>
    <cellStyle name="RISKtlCorner 6 26 2" xfId="44780" xr:uid="{58EBBC3C-D756-4980-AE58-69E27A0F6A8B}"/>
    <cellStyle name="RISKtlCorner 6 27" xfId="26984" xr:uid="{42940417-A584-44DF-9879-FB2EC982CDA2}"/>
    <cellStyle name="RISKtlCorner 6 27 2" xfId="45391" xr:uid="{8E8B4AE2-1E29-4A40-B5A2-6A53549C445F}"/>
    <cellStyle name="RISKtlCorner 6 28" xfId="25198" xr:uid="{C1BEA8F6-067C-465F-88BB-7E11F41C2710}"/>
    <cellStyle name="RISKtlCorner 6 28 2" xfId="44140" xr:uid="{9A7B8E0D-79B3-4FE7-B19A-FB417C7184B6}"/>
    <cellStyle name="RISKtlCorner 6 29" xfId="30224" xr:uid="{642C6955-7F70-44F8-95B8-6B03FE570DBB}"/>
    <cellStyle name="RISKtlCorner 6 29 2" xfId="47385" xr:uid="{68A9F4DC-F365-435B-8EE2-B7FD7A88D91B}"/>
    <cellStyle name="RISKtlCorner 6 3" xfId="4082" xr:uid="{EDB5BC38-091A-4A69-82C3-D02AADD172E6}"/>
    <cellStyle name="RISKtlCorner 6 3 10" xfId="16060" xr:uid="{BB297A62-9AC3-42C2-B39B-C70A45CC0D2B}"/>
    <cellStyle name="RISKtlCorner 6 3 10 2" xfId="37636" xr:uid="{040C2DC1-A751-4395-93AC-862B788E4E85}"/>
    <cellStyle name="RISKtlCorner 6 3 11" xfId="18018" xr:uid="{C00992D2-53B0-417B-9B0B-C6DD950CFDD0}"/>
    <cellStyle name="RISKtlCorner 6 3 11 2" xfId="39114" xr:uid="{0066FFE9-EA22-4FCE-A550-2B810E57C52E}"/>
    <cellStyle name="RISKtlCorner 6 3 12" xfId="20629" xr:uid="{7CC081F1-3AB9-4B5E-887C-A777FC2FF254}"/>
    <cellStyle name="RISKtlCorner 6 3 12 2" xfId="40989" xr:uid="{4332FFDE-D209-4CEB-BC7A-4938A0456A78}"/>
    <cellStyle name="RISKtlCorner 6 3 13" xfId="17102" xr:uid="{F241CABB-183E-4351-8765-D802DF1AA4CC}"/>
    <cellStyle name="RISKtlCorner 6 3 13 2" xfId="38441" xr:uid="{9C6D6DC3-2A8A-4512-8547-E615EE3B8678}"/>
    <cellStyle name="RISKtlCorner 6 3 14" xfId="20909" xr:uid="{6B82B089-E666-43A4-AE0D-5FDBC428EF93}"/>
    <cellStyle name="RISKtlCorner 6 3 14 2" xfId="41212" xr:uid="{719EDC85-BF0D-4B3D-A7DB-8BFCBF58D088}"/>
    <cellStyle name="RISKtlCorner 6 3 15" xfId="18811" xr:uid="{E31CA80C-FD55-4A42-A53F-9FF4C77A9E2C}"/>
    <cellStyle name="RISKtlCorner 6 3 15 2" xfId="39663" xr:uid="{AF58BC72-645D-4280-B1E6-BAF1CF68B95B}"/>
    <cellStyle name="RISKtlCorner 6 3 16" xfId="18749" xr:uid="{EE5E2778-DE39-4BEF-9C19-8830352C9C50}"/>
    <cellStyle name="RISKtlCorner 6 3 16 2" xfId="39624" xr:uid="{1705AA56-8EC1-4693-AF1C-2F69A5AA4DB3}"/>
    <cellStyle name="RISKtlCorner 6 3 17" xfId="18709" xr:uid="{6CA56911-F5B8-4AC5-8261-6412C7C227E5}"/>
    <cellStyle name="RISKtlCorner 6 3 17 2" xfId="39587" xr:uid="{77B5EB0E-6426-4FC5-973B-6833CFBBB02E}"/>
    <cellStyle name="RISKtlCorner 6 3 18" xfId="22726" xr:uid="{B95023AA-6BE9-4B05-819C-BB338521C449}"/>
    <cellStyle name="RISKtlCorner 6 3 18 2" xfId="42483" xr:uid="{7771ADF9-09E6-44A2-8259-2CB55FEA0FA4}"/>
    <cellStyle name="RISKtlCorner 6 3 19" xfId="20331" xr:uid="{07D1E626-2C27-46B0-98DB-29DCE024A7E2}"/>
    <cellStyle name="RISKtlCorner 6 3 19 2" xfId="40764" xr:uid="{D196705E-1B7D-45C9-99E9-2106E9701A1F}"/>
    <cellStyle name="RISKtlCorner 6 3 2" xfId="7319" xr:uid="{31717B45-0C7D-422B-BC4F-B55695AA1AC8}"/>
    <cellStyle name="RISKtlCorner 6 3 2 2" xfId="31682" xr:uid="{CE4B89EF-B4C9-48EB-82DF-938975DAB715}"/>
    <cellStyle name="RISKtlCorner 6 3 20" xfId="24438" xr:uid="{93AD3AF1-E4BC-4635-9ACB-BF7869AD373F}"/>
    <cellStyle name="RISKtlCorner 6 3 20 2" xfId="43650" xr:uid="{2FF4A97E-AC7D-412C-B156-47D429D10655}"/>
    <cellStyle name="RISKtlCorner 6 3 21" xfId="27284" xr:uid="{9FDAB484-0860-4132-9536-E4FA823FE115}"/>
    <cellStyle name="RISKtlCorner 6 3 21 2" xfId="45587" xr:uid="{41F36650-1311-4D74-860E-FD961CBDD403}"/>
    <cellStyle name="RISKtlCorner 6 3 22" xfId="25974" xr:uid="{5B184EC2-FFD4-4752-BECD-53A697CE5BAE}"/>
    <cellStyle name="RISKtlCorner 6 3 22 2" xfId="44762" xr:uid="{5C788F7E-C104-4E4E-8ACE-88B9E5B3E16F}"/>
    <cellStyle name="RISKtlCorner 6 3 23" xfId="23590" xr:uid="{CF9DEBB4-69A6-42CA-983E-CD93C62A6C04}"/>
    <cellStyle name="RISKtlCorner 6 3 23 2" xfId="43025" xr:uid="{D70EE5EF-D8EA-45F6-A2FF-164D7F38876E}"/>
    <cellStyle name="RISKtlCorner 6 3 24" xfId="27687" xr:uid="{C1E417F5-1A79-46FC-B48E-42BDC2CBC147}"/>
    <cellStyle name="RISKtlCorner 6 3 24 2" xfId="45801" xr:uid="{AFDAC789-72C9-497C-A443-3565332563C2}"/>
    <cellStyle name="RISKtlCorner 6 3 25" xfId="29355" xr:uid="{CEA5B623-E84D-4034-B158-F9AAF2E4712A}"/>
    <cellStyle name="RISKtlCorner 6 3 25 2" xfId="46828" xr:uid="{B811091C-004C-482F-A440-6675E9B581C5}"/>
    <cellStyle name="RISKtlCorner 6 3 26" xfId="27731" xr:uid="{211D79A2-F259-4D70-9511-FF19C8D766BC}"/>
    <cellStyle name="RISKtlCorner 6 3 26 2" xfId="45836" xr:uid="{0B364A04-1131-45A3-94AD-AE16CB941ABA}"/>
    <cellStyle name="RISKtlCorner 6 3 27" xfId="29029" xr:uid="{77137B31-6EC9-442B-8154-9E6750234F15}"/>
    <cellStyle name="RISKtlCorner 6 3 27 2" xfId="46617" xr:uid="{33D48EB0-D8A2-4AD4-A80C-4733C2945A6A}"/>
    <cellStyle name="RISKtlCorner 6 3 28" xfId="30808" xr:uid="{8458F39D-3949-4189-B59B-CB14103DCE8E}"/>
    <cellStyle name="RISKtlCorner 6 3 28 2" xfId="47732" xr:uid="{8B068DD2-4B33-46A4-922B-DBB4AFEEEFA9}"/>
    <cellStyle name="RISKtlCorner 6 3 29" xfId="30578" xr:uid="{EF63DA15-5A87-4A4F-986C-DB68774E1C33}"/>
    <cellStyle name="RISKtlCorner 6 3 29 2" xfId="47528" xr:uid="{702F646B-F28F-40CB-87FA-B5EE1E35BEA2}"/>
    <cellStyle name="RISKtlCorner 6 3 3" xfId="10292" xr:uid="{1047B0F7-D487-47A0-B2B2-88850F23A280}"/>
    <cellStyle name="RISKtlCorner 6 3 3 2" xfId="33927" xr:uid="{6F5883EB-0614-4BF5-B64C-CEA4E4BBA338}"/>
    <cellStyle name="RISKtlCorner 6 3 30" xfId="6034" xr:uid="{CD040467-37F3-43CF-A2E3-EBFD7BDA39A4}"/>
    <cellStyle name="RISKtlCorner 6 3 4" xfId="12381" xr:uid="{90F52C85-5395-4A7E-A51B-3B9786AEC206}"/>
    <cellStyle name="RISKtlCorner 6 3 4 2" xfId="34868" xr:uid="{0492FA62-B032-41C2-8812-59CC3375D54D}"/>
    <cellStyle name="RISKtlCorner 6 3 5" xfId="7213" xr:uid="{F56EE82F-CEAC-432A-AB19-7AD90012CEE4}"/>
    <cellStyle name="RISKtlCorner 6 3 5 2" xfId="31579" xr:uid="{C3610DF9-E832-4F27-9CA3-F202853E8E41}"/>
    <cellStyle name="RISKtlCorner 6 3 6" xfId="14647" xr:uid="{F376F629-85F9-4205-8511-F50FD7052946}"/>
    <cellStyle name="RISKtlCorner 6 3 6 2" xfId="36559" xr:uid="{289B0414-59D0-4310-AE87-81388C6F11D0}"/>
    <cellStyle name="RISKtlCorner 6 3 7" xfId="14025" xr:uid="{ECF7D897-3EF5-4032-8BE1-B820F02EF93B}"/>
    <cellStyle name="RISKtlCorner 6 3 7 2" xfId="36119" xr:uid="{7D063B8F-D007-4508-B01A-8F5188744F93}"/>
    <cellStyle name="RISKtlCorner 6 3 8" xfId="17409" xr:uid="{0A100A86-EC5A-48AC-9366-64F0CB13B55C}"/>
    <cellStyle name="RISKtlCorner 6 3 8 2" xfId="38656" xr:uid="{1333ACF9-B4CE-49A2-A7CA-8B12CDCFF9FD}"/>
    <cellStyle name="RISKtlCorner 6 3 9" xfId="18257" xr:uid="{E463B4AE-22B6-4EE1-83B2-905C04CBC7A9}"/>
    <cellStyle name="RISKtlCorner 6 3 9 2" xfId="39288" xr:uid="{5E2F6CBE-F2AC-4473-869D-87972F4948AC}"/>
    <cellStyle name="RISKtlCorner 6 30" xfId="30176" xr:uid="{4E76273F-D74A-409E-AEC6-574A05FCFBB9}"/>
    <cellStyle name="RISKtlCorner 6 30 2" xfId="47340" xr:uid="{B5DE1829-728C-45B2-ADCD-D466D742D168}"/>
    <cellStyle name="RISKtlCorner 6 31" xfId="30891" xr:uid="{7DB84188-68BB-4CBB-8134-A89EAD2820B7}"/>
    <cellStyle name="RISKtlCorner 6 31 2" xfId="47739" xr:uid="{B18D339A-1B7C-4FBD-8B67-803CA2EBDFA1}"/>
    <cellStyle name="RISKtlCorner 6 32" xfId="6035" xr:uid="{454F85A6-6894-489F-89CA-1B4FF7F4FCAD}"/>
    <cellStyle name="RISKtlCorner 6 4" xfId="7320" xr:uid="{987F9389-DF00-42E0-BB2F-4FC3D254D286}"/>
    <cellStyle name="RISKtlCorner 6 4 2" xfId="31683" xr:uid="{BCD50B76-015B-4808-9F4B-7DA89C60E151}"/>
    <cellStyle name="RISKtlCorner 6 5" xfId="10291" xr:uid="{A0643DF9-9E75-4471-B106-91DA00FA6E5F}"/>
    <cellStyle name="RISKtlCorner 6 5 2" xfId="33926" xr:uid="{586E5881-8887-43D4-970F-67115A0363D7}"/>
    <cellStyle name="RISKtlCorner 6 6" xfId="12380" xr:uid="{70D736DD-5A74-47FA-A259-45368B3DB259}"/>
    <cellStyle name="RISKtlCorner 6 6 2" xfId="34867" xr:uid="{35706AAA-42A7-4650-9E93-8B80B76D0627}"/>
    <cellStyle name="RISKtlCorner 6 7" xfId="7214" xr:uid="{A40537AE-D32D-43B3-A671-1A4399CB1442}"/>
    <cellStyle name="RISKtlCorner 6 7 2" xfId="31580" xr:uid="{B472AABA-AD6D-47BC-8864-B331D29A6B8A}"/>
    <cellStyle name="RISKtlCorner 6 8" xfId="12280" xr:uid="{9E71A577-4B11-4B98-A798-D228D3234D06}"/>
    <cellStyle name="RISKtlCorner 6 8 2" xfId="34786" xr:uid="{B06D74A3-ECF6-4229-BB6A-A975A13F6DDC}"/>
    <cellStyle name="RISKtlCorner 6 9" xfId="12538" xr:uid="{65B1D8FC-F489-408A-BFC8-550A92F5EB3D}"/>
    <cellStyle name="RISKtlCorner 6 9 2" xfId="34982" xr:uid="{25D7FAC8-F7D2-41DB-8A61-BC8717153723}"/>
    <cellStyle name="RISKtlCorner 7" xfId="4083" xr:uid="{89AF6090-2B56-4CB2-9C28-4955C4F99BA1}"/>
    <cellStyle name="RISKtlCorner 7 10" xfId="13876" xr:uid="{E315C454-BBCF-4BEE-A4FB-51F14DE3A507}"/>
    <cellStyle name="RISKtlCorner 7 10 2" xfId="35999" xr:uid="{27E9B8F3-C614-423C-8F90-B567D4B5C907}"/>
    <cellStyle name="RISKtlCorner 7 11" xfId="15798" xr:uid="{DB29BBDD-CBB7-46FB-9626-D4A418FB5878}"/>
    <cellStyle name="RISKtlCorner 7 11 2" xfId="37413" xr:uid="{3596D757-92AD-446C-A498-5A6DD42D6621}"/>
    <cellStyle name="RISKtlCorner 7 12" xfId="19141" xr:uid="{AD991326-BD0F-4742-A45D-7131A7ED3E2B}"/>
    <cellStyle name="RISKtlCorner 7 12 2" xfId="39950" xr:uid="{CD70EBAF-C2FE-47A1-848F-AC7563DF78EE}"/>
    <cellStyle name="RISKtlCorner 7 13" xfId="19892" xr:uid="{B58B0BB1-5AFB-4BB4-B785-F9B59675E55B}"/>
    <cellStyle name="RISKtlCorner 7 13 2" xfId="40504" xr:uid="{3CB45826-A0F3-4C55-8A4B-A54397937173}"/>
    <cellStyle name="RISKtlCorner 7 14" xfId="16846" xr:uid="{EC548AB1-28A1-456D-B83C-8B774D500744}"/>
    <cellStyle name="RISKtlCorner 7 14 2" xfId="38274" xr:uid="{82744DFF-F2D4-4937-B323-4B366826F8FA}"/>
    <cellStyle name="RISKtlCorner 7 15" xfId="18999" xr:uid="{00691BD0-3403-4F11-ACC4-B24CF6CCB27F}"/>
    <cellStyle name="RISKtlCorner 7 15 2" xfId="39831" xr:uid="{C39BAA6F-D921-4B76-83E7-FB3869D68D43}"/>
    <cellStyle name="RISKtlCorner 7 16" xfId="20163" xr:uid="{B968173A-9790-4CC2-A537-426271730099}"/>
    <cellStyle name="RISKtlCorner 7 16 2" xfId="40670" xr:uid="{47231F4B-7DDD-4293-8387-B87B0DF2C7C4}"/>
    <cellStyle name="RISKtlCorner 7 17" xfId="23139" xr:uid="{7509192F-C1F5-49FB-A863-FA74870287B0}"/>
    <cellStyle name="RISKtlCorner 7 17 2" xfId="42738" xr:uid="{1C0BF2D5-5A4C-491A-B887-5DB0ED76FA2A}"/>
    <cellStyle name="RISKtlCorner 7 18" xfId="23960" xr:uid="{A61C9E2B-C529-4328-8550-FBCBE70BEC78}"/>
    <cellStyle name="RISKtlCorner 7 18 2" xfId="43337" xr:uid="{DDD9E4C2-750D-48C7-A5EC-5D29ACCDE9F6}"/>
    <cellStyle name="RISKtlCorner 7 19" xfId="20931" xr:uid="{490C1646-DFF7-4942-A7A7-7A5E608DE21A}"/>
    <cellStyle name="RISKtlCorner 7 19 2" xfId="41232" xr:uid="{6A1C1654-AABD-4C24-B709-FBE43EDF6207}"/>
    <cellStyle name="RISKtlCorner 7 2" xfId="4084" xr:uid="{D2DDFD8E-1E15-4788-B713-9BFCD7C65A10}"/>
    <cellStyle name="RISKtlCorner 7 2 10" xfId="17169" xr:uid="{BED11EE5-556A-4BEA-9CBC-D002ED3DD704}"/>
    <cellStyle name="RISKtlCorner 7 2 10 2" xfId="38498" xr:uid="{AB070A05-6249-4013-A69C-DC5D7CD6244B}"/>
    <cellStyle name="RISKtlCorner 7 2 11" xfId="13926" xr:uid="{D8951997-A589-4C3C-91EE-3F7C69B394BE}"/>
    <cellStyle name="RISKtlCorner 7 2 11 2" xfId="36037" xr:uid="{AA146EDF-4D70-460D-A9F4-086FE41A9A6B}"/>
    <cellStyle name="RISKtlCorner 7 2 12" xfId="20628" xr:uid="{E39FF563-7195-435F-9934-9E86806B14C6}"/>
    <cellStyle name="RISKtlCorner 7 2 12 2" xfId="40988" xr:uid="{C353008B-B077-4D3F-A00E-0E640BC4FA2C}"/>
    <cellStyle name="RISKtlCorner 7 2 13" xfId="15342" xr:uid="{62C285B8-AB48-4084-AA31-2EB87EF8A42A}"/>
    <cellStyle name="RISKtlCorner 7 2 13 2" xfId="37042" xr:uid="{D245FEAB-E800-49C7-A47E-E8122DADA01D}"/>
    <cellStyle name="RISKtlCorner 7 2 14" xfId="22574" xr:uid="{8AC66B3B-6730-4205-8F68-97DBDE9E34C8}"/>
    <cellStyle name="RISKtlCorner 7 2 14 2" xfId="42360" xr:uid="{4787E732-6907-4014-9223-4D8ED3780669}"/>
    <cellStyle name="RISKtlCorner 7 2 15" xfId="20462" xr:uid="{C820006D-0E71-4060-BB4A-FDE064FEB39D}"/>
    <cellStyle name="RISKtlCorner 7 2 15 2" xfId="40855" xr:uid="{F2D857FE-8A5D-4791-971F-CDF0003511C8}"/>
    <cellStyle name="RISKtlCorner 7 2 16" xfId="22207" xr:uid="{82642CC4-D4CF-4257-AFD1-951A003978D6}"/>
    <cellStyle name="RISKtlCorner 7 2 16 2" xfId="42086" xr:uid="{33B6AD38-D8D4-4569-A9D9-64B9A62E4559}"/>
    <cellStyle name="RISKtlCorner 7 2 17" xfId="22163" xr:uid="{A40C2F89-D21D-4156-B4D9-5B824479F3B2}"/>
    <cellStyle name="RISKtlCorner 7 2 17 2" xfId="42043" xr:uid="{74029CCE-F43C-48D1-95B7-071D809AD1B4}"/>
    <cellStyle name="RISKtlCorner 7 2 18" xfId="25328" xr:uid="{80D71135-3183-4A98-8EB1-795181D2EBEA}"/>
    <cellStyle name="RISKtlCorner 7 2 18 2" xfId="44244" xr:uid="{4F93B817-ED13-4FEE-850F-2494D57AB42C}"/>
    <cellStyle name="RISKtlCorner 7 2 19" xfId="20998" xr:uid="{1CB6777B-BF7B-4356-909F-227424F7E9D4}"/>
    <cellStyle name="RISKtlCorner 7 2 19 2" xfId="41256" xr:uid="{998BABB3-C078-421D-A322-A944A32E696D}"/>
    <cellStyle name="RISKtlCorner 7 2 2" xfId="7318" xr:uid="{0C279C44-B8D7-4B81-AB80-3BD76D1E9D4A}"/>
    <cellStyle name="RISKtlCorner 7 2 2 2" xfId="31681" xr:uid="{E88BB5E2-EF45-45CF-AE09-141E2532536A}"/>
    <cellStyle name="RISKtlCorner 7 2 20" xfId="25511" xr:uid="{FBACFA06-418E-4AFC-A783-8CE366A895A3}"/>
    <cellStyle name="RISKtlCorner 7 2 20 2" xfId="44387" xr:uid="{ACC171EF-4EFB-4574-8462-AE86BB9E1798}"/>
    <cellStyle name="RISKtlCorner 7 2 21" xfId="27283" xr:uid="{5DE96788-FD24-47FB-BBB0-56AF232EF1B5}"/>
    <cellStyle name="RISKtlCorner 7 2 21 2" xfId="45586" xr:uid="{7BDB8831-91C6-40D7-82C8-ACE1F95A8567}"/>
    <cellStyle name="RISKtlCorner 7 2 22" xfId="25927" xr:uid="{1D8BAEFA-FD89-4609-B29E-4A34140DA8B0}"/>
    <cellStyle name="RISKtlCorner 7 2 22 2" xfId="44725" xr:uid="{09A8590A-5507-40A8-992C-179B33332E72}"/>
    <cellStyle name="RISKtlCorner 7 2 23" xfId="22666" xr:uid="{ADD695D0-2C5D-4810-9F08-2469ED6AB012}"/>
    <cellStyle name="RISKtlCorner 7 2 23 2" xfId="42436" xr:uid="{D2C51611-7E57-4340-8DB3-443E051CE5A8}"/>
    <cellStyle name="RISKtlCorner 7 2 24" xfId="29198" xr:uid="{FFEC488D-5C85-4539-9AD2-7F2875365B0A}"/>
    <cellStyle name="RISKtlCorner 7 2 24 2" xfId="46724" xr:uid="{9C4C109B-1396-4CB6-B4B1-F0095E16FF28}"/>
    <cellStyle name="RISKtlCorner 7 2 25" xfId="28986" xr:uid="{7F04E3AF-EDFD-4BFC-BBFC-20D142E8C6AB}"/>
    <cellStyle name="RISKtlCorner 7 2 25 2" xfId="46580" xr:uid="{372C5A03-609C-4D18-B92A-760C88808CDA}"/>
    <cellStyle name="RISKtlCorner 7 2 26" xfId="29890" xr:uid="{2AF8CD91-5989-4A74-9C8C-0C8467B0C57B}"/>
    <cellStyle name="RISKtlCorner 7 2 26 2" xfId="47178" xr:uid="{8FB14B5F-69F9-4EF3-8295-A9F6FAC31DDD}"/>
    <cellStyle name="RISKtlCorner 7 2 27" xfId="30223" xr:uid="{59FA87F6-AAB9-453E-9D21-A454EC68D31C}"/>
    <cellStyle name="RISKtlCorner 7 2 27 2" xfId="47384" xr:uid="{3373DBE6-2BE8-436E-9D7D-41EB98F9AB4A}"/>
    <cellStyle name="RISKtlCorner 7 2 28" xfId="23738" xr:uid="{34AB183D-3A21-41F2-8919-2199FC586280}"/>
    <cellStyle name="RISKtlCorner 7 2 28 2" xfId="43152" xr:uid="{BF6D1541-B3A8-4DAE-B4EB-7A91DCE0894D}"/>
    <cellStyle name="RISKtlCorner 7 2 29" xfId="30890" xr:uid="{7F083E7C-DA3A-4EC9-ABAE-97230CE02C34}"/>
    <cellStyle name="RISKtlCorner 7 2 29 2" xfId="47738" xr:uid="{C834159D-703A-4424-881B-0E2059049422}"/>
    <cellStyle name="RISKtlCorner 7 2 3" xfId="10293" xr:uid="{CCBB8482-F05F-43F6-BF89-914657A25880}"/>
    <cellStyle name="RISKtlCorner 7 2 3 2" xfId="33928" xr:uid="{B478241E-F7A1-4ED4-BA7C-C27B9C73807D}"/>
    <cellStyle name="RISKtlCorner 7 2 30" xfId="6033" xr:uid="{BBACD122-F853-4DFC-A342-F8CE1BC00B2F}"/>
    <cellStyle name="RISKtlCorner 7 2 4" xfId="12382" xr:uid="{295FDA8F-73EF-4588-90D3-A5A95BA2275C}"/>
    <cellStyle name="RISKtlCorner 7 2 4 2" xfId="34869" xr:uid="{7A1B446F-FB25-486D-B38D-DF24383B41AC}"/>
    <cellStyle name="RISKtlCorner 7 2 5" xfId="7212" xr:uid="{B6D01F8E-3902-49A4-9802-3A434F3BE9C7}"/>
    <cellStyle name="RISKtlCorner 7 2 5 2" xfId="31578" xr:uid="{9462E5EE-BE09-4619-8958-2316F84D24A8}"/>
    <cellStyle name="RISKtlCorner 7 2 6" xfId="12316" xr:uid="{73A0C1BB-102E-46EA-A7CF-4E471AD6B9B6}"/>
    <cellStyle name="RISKtlCorner 7 2 6 2" xfId="34821" xr:uid="{9B86E6C3-EFC4-48C6-ADF7-537B306EE6D4}"/>
    <cellStyle name="RISKtlCorner 7 2 7" xfId="12539" xr:uid="{E2D9F703-0C95-4531-9E5F-E97AB4860CDB}"/>
    <cellStyle name="RISKtlCorner 7 2 7 2" xfId="34983" xr:uid="{08DEB314-3966-4565-A5BD-CF9925D8EAE1}"/>
    <cellStyle name="RISKtlCorner 7 2 8" xfId="17408" xr:uid="{25291E49-1F3E-490B-986A-9733A9E6C55E}"/>
    <cellStyle name="RISKtlCorner 7 2 8 2" xfId="38655" xr:uid="{6F59A6A6-19FE-4212-A5B4-58F7AC89D2E1}"/>
    <cellStyle name="RISKtlCorner 7 2 9" xfId="18256" xr:uid="{52778336-9945-4810-8A5E-7B8AB2A5C68C}"/>
    <cellStyle name="RISKtlCorner 7 2 9 2" xfId="39287" xr:uid="{CA0F7DA7-5439-4DE6-820B-18DC77FD10A5}"/>
    <cellStyle name="RISKtlCorner 7 20" xfId="24534" xr:uid="{297F8CA0-81BF-4610-A694-7630B4B272BC}"/>
    <cellStyle name="RISKtlCorner 7 20 2" xfId="43717" xr:uid="{797BFD3B-DCF3-405A-BB85-532D334E4F84}"/>
    <cellStyle name="RISKtlCorner 7 21" xfId="23934" xr:uid="{6CD6EDA6-B276-40D7-9CED-1E23DDFB0D6A}"/>
    <cellStyle name="RISKtlCorner 7 21 2" xfId="43311" xr:uid="{FFF503BE-B4AB-421C-8069-10D13E430C80}"/>
    <cellStyle name="RISKtlCorner 7 22" xfId="25445" xr:uid="{39694600-BD6A-4F28-B2AD-1B2B88310CCE}"/>
    <cellStyle name="RISKtlCorner 7 22 2" xfId="44331" xr:uid="{274AB04B-2E99-4BCB-9D28-BD050CC8A712}"/>
    <cellStyle name="RISKtlCorner 7 23" xfId="23788" xr:uid="{3972C038-64E2-48BA-B126-5E8FE63304E0}"/>
    <cellStyle name="RISKtlCorner 7 23 2" xfId="43187" xr:uid="{CCFDAAD8-E92A-49E6-BA20-0E39B77C58EB}"/>
    <cellStyle name="RISKtlCorner 7 24" xfId="27790" xr:uid="{9B2ECA55-75DE-4AFC-91DA-0687A2E188A1}"/>
    <cellStyle name="RISKtlCorner 7 24 2" xfId="45877" xr:uid="{FCAA3521-EC83-41A6-9B1B-4304603BA44B}"/>
    <cellStyle name="RISKtlCorner 7 25" xfId="25538" xr:uid="{86BB1336-9E60-49AF-BFD6-6275E81BA21B}"/>
    <cellStyle name="RISKtlCorner 7 25 2" xfId="44412" xr:uid="{164C58D7-634B-4DA1-9ECE-A9DA38DEE69C}"/>
    <cellStyle name="RISKtlCorner 7 26" xfId="26973" xr:uid="{398553E2-23E4-489C-B8CC-56764FD7CC34}"/>
    <cellStyle name="RISKtlCorner 7 26 2" xfId="45380" xr:uid="{018A0294-A69F-4841-8C36-0838C72B9BEE}"/>
    <cellStyle name="RISKtlCorner 7 27" xfId="28079" xr:uid="{700A6681-CBAC-44E5-9161-B1FEB5D50602}"/>
    <cellStyle name="RISKtlCorner 7 27 2" xfId="46064" xr:uid="{01E50446-80DF-4950-BBC0-21376801175A}"/>
    <cellStyle name="RISKtlCorner 7 28" xfId="30022" xr:uid="{CA0BA604-942E-47B4-ABC9-90B4E0DB9A0F}"/>
    <cellStyle name="RISKtlCorner 7 28 2" xfId="47253" xr:uid="{79AF7CD1-DD3C-4DE0-AF01-EFC44951DC9A}"/>
    <cellStyle name="RISKtlCorner 7 29" xfId="30672" xr:uid="{05F0A93D-448F-49D8-B484-02F2F184A2B1}"/>
    <cellStyle name="RISKtlCorner 7 29 2" xfId="47618" xr:uid="{4B87189F-66C3-48FD-B740-C732DAE0CC06}"/>
    <cellStyle name="RISKtlCorner 7 3" xfId="4085" xr:uid="{570F2F95-FA6B-47A1-83EE-80AB9B858899}"/>
    <cellStyle name="RISKtlCorner 7 3 10" xfId="19140" xr:uid="{0C357AAF-2803-40F1-8BE7-C36A43D22051}"/>
    <cellStyle name="RISKtlCorner 7 3 10 2" xfId="39949" xr:uid="{E2884356-0515-420D-9697-07D686E0EACC}"/>
    <cellStyle name="RISKtlCorner 7 3 11" xfId="19891" xr:uid="{642E72B7-8F67-4791-8EA8-7CDCC2B0B362}"/>
    <cellStyle name="RISKtlCorner 7 3 11 2" xfId="40503" xr:uid="{0F53D96C-45AC-4688-9D2E-FFB4A4E40595}"/>
    <cellStyle name="RISKtlCorner 7 3 12" xfId="18888" xr:uid="{867904BB-C7A7-49BA-97EB-86C9FFDEC90D}"/>
    <cellStyle name="RISKtlCorner 7 3 12 2" xfId="39721" xr:uid="{91831B81-9EAA-4B42-907C-D8F9564BEBBA}"/>
    <cellStyle name="RISKtlCorner 7 3 13" xfId="18998" xr:uid="{5393A5B5-9388-4842-8E89-1CFCF3212117}"/>
    <cellStyle name="RISKtlCorner 7 3 13 2" xfId="39830" xr:uid="{DFE6E26D-B79C-4A2D-A803-BD114B49C4C5}"/>
    <cellStyle name="RISKtlCorner 7 3 14" xfId="22088" xr:uid="{C037340E-84F8-4862-B5DC-2668EEEEA322}"/>
    <cellStyle name="RISKtlCorner 7 3 14 2" xfId="41973" xr:uid="{0EAF1EF3-0F7A-446F-96C7-829C1373EF88}"/>
    <cellStyle name="RISKtlCorner 7 3 15" xfId="23138" xr:uid="{EECBD996-593F-4B11-8A73-9A21B323AFBB}"/>
    <cellStyle name="RISKtlCorner 7 3 15 2" xfId="42737" xr:uid="{EECDA470-51FE-4916-9440-90B020557069}"/>
    <cellStyle name="RISKtlCorner 7 3 16" xfId="23959" xr:uid="{E61CB305-E37D-42C6-900D-2288C856A534}"/>
    <cellStyle name="RISKtlCorner 7 3 16 2" xfId="43336" xr:uid="{DDBBD167-2C78-43DA-A4AB-23A0536AD6AA}"/>
    <cellStyle name="RISKtlCorner 7 3 17" xfId="20922" xr:uid="{0FCD2F44-C275-45C0-8951-AE47E95108E2}"/>
    <cellStyle name="RISKtlCorner 7 3 17 2" xfId="41224" xr:uid="{1FBA0C22-6074-4943-9C65-4EA36A3AAA26}"/>
    <cellStyle name="RISKtlCorner 7 3 18" xfId="22302" xr:uid="{3C88D47B-CE53-4138-B052-B6D1E1418E22}"/>
    <cellStyle name="RISKtlCorner 7 3 18 2" xfId="42166" xr:uid="{C9D55430-3D80-4681-9F05-88F041E34F68}"/>
    <cellStyle name="RISKtlCorner 7 3 19" xfId="19505" xr:uid="{B89E0DB0-495C-4C31-AA38-A4134492E050}"/>
    <cellStyle name="RISKtlCorner 7 3 19 2" xfId="40182" xr:uid="{F66D37E4-4285-4407-AB7E-9E1A684D6F3E}"/>
    <cellStyle name="RISKtlCorner 7 3 2" xfId="11744" xr:uid="{CE47CE45-DDCD-44A8-A56E-9DA9BC541CE3}"/>
    <cellStyle name="RISKtlCorner 7 3 2 2" xfId="34357" xr:uid="{0BBB7171-CE34-42B0-AD13-123AB3F90A29}"/>
    <cellStyle name="RISKtlCorner 7 3 20" xfId="26436" xr:uid="{31A6B2DB-12CB-4E2C-95C4-4256FD2588EB}"/>
    <cellStyle name="RISKtlCorner 7 3 20 2" xfId="45067" xr:uid="{2DAF627A-10FB-4601-9F20-A41C691679BF}"/>
    <cellStyle name="RISKtlCorner 7 3 21" xfId="26165" xr:uid="{8FCD8774-5D52-447B-9792-1031BBAD1109}"/>
    <cellStyle name="RISKtlCorner 7 3 21 2" xfId="44895" xr:uid="{934CF3D3-140A-4EAC-B90C-B36516E3EA3E}"/>
    <cellStyle name="RISKtlCorner 7 3 22" xfId="27789" xr:uid="{2E5B3DB0-7DF6-4122-8DF2-A99B019F4038}"/>
    <cellStyle name="RISKtlCorner 7 3 22 2" xfId="45876" xr:uid="{9FED63B9-0C5C-4BAC-A79D-886A7B45F2C3}"/>
    <cellStyle name="RISKtlCorner 7 3 23" xfId="22648" xr:uid="{161D9B57-15EF-48D6-A017-4C3F7356C82B}"/>
    <cellStyle name="RISKtlCorner 7 3 23 2" xfId="42419" xr:uid="{51783A4B-DD72-4BB7-A195-F6D76FC1E0C9}"/>
    <cellStyle name="RISKtlCorner 7 3 24" xfId="28283" xr:uid="{35C63686-7EEF-4699-8CBE-EE2F6327C7A1}"/>
    <cellStyle name="RISKtlCorner 7 3 24 2" xfId="46150" xr:uid="{4503FEB2-6543-4AA4-A9AA-E4552708C526}"/>
    <cellStyle name="RISKtlCorner 7 3 25" xfId="27680" xr:uid="{F232226F-AE00-4212-8C30-F8F0363A7899}"/>
    <cellStyle name="RISKtlCorner 7 3 25 2" xfId="45794" xr:uid="{675C98A5-049C-44DA-A453-E67960A31232}"/>
    <cellStyle name="RISKtlCorner 7 3 26" xfId="30440" xr:uid="{2A1D8442-D7FC-4064-BAA3-6B6D4B1DB7C8}"/>
    <cellStyle name="RISKtlCorner 7 3 26 2" xfId="47490" xr:uid="{354B5E0C-A719-43FC-8B20-BF0E55A14111}"/>
    <cellStyle name="RISKtlCorner 7 3 27" xfId="30671" xr:uid="{CB58D01D-8EDB-46CD-A582-A890D30F9DF7}"/>
    <cellStyle name="RISKtlCorner 7 3 27 2" xfId="47617" xr:uid="{19C7918F-D267-4186-8B7F-77C9EEF4C745}"/>
    <cellStyle name="RISKtlCorner 7 3 28" xfId="29611" xr:uid="{D00D5EB3-507D-44AD-AFEC-0F6135D22ED7}"/>
    <cellStyle name="RISKtlCorner 7 3 28 2" xfId="47002" xr:uid="{1CFED8D8-9452-4A39-ADE0-D35F4D274FCC}"/>
    <cellStyle name="RISKtlCorner 7 3 29" xfId="26470" xr:uid="{7EDD2990-F042-470D-9F1E-111EA79E0F32}"/>
    <cellStyle name="RISKtlCorner 7 3 29 2" xfId="45095" xr:uid="{5651A1E3-DEE6-4252-8112-9DF1EEA14DCE}"/>
    <cellStyle name="RISKtlCorner 7 3 3" xfId="13166" xr:uid="{CF0A1D37-A880-4669-969C-605D7FC1CB65}"/>
    <cellStyle name="RISKtlCorner 7 3 3 2" xfId="35514" xr:uid="{D7974EFA-1542-4B60-90A9-05E748664EC2}"/>
    <cellStyle name="RISKtlCorner 7 3 30" xfId="6793" xr:uid="{85F5057F-62A0-4D8C-B0A7-5807DF95B3DD}"/>
    <cellStyle name="RISKtlCorner 7 3 4" xfId="14182" xr:uid="{70FA1588-B354-4EBE-B219-D82667CD45A4}"/>
    <cellStyle name="RISKtlCorner 7 3 4 2" xfId="36235" xr:uid="{3C521762-6AC0-4136-AE81-D43B248A076C}"/>
    <cellStyle name="RISKtlCorner 7 3 5" xfId="11646" xr:uid="{EF6025E4-1495-4BA1-AF1E-9CC745132F33}"/>
    <cellStyle name="RISKtlCorner 7 3 5 2" xfId="34259" xr:uid="{30C9B0F9-70D7-43C8-9489-294FF6B9834E}"/>
    <cellStyle name="RISKtlCorner 7 3 6" xfId="13816" xr:uid="{7A209992-0805-480C-B5A1-BACE4BB14869}"/>
    <cellStyle name="RISKtlCorner 7 3 6 2" xfId="35941" xr:uid="{821D04C0-A05D-4396-B299-F9F4A3FA37B5}"/>
    <cellStyle name="RISKtlCorner 7 3 7" xfId="16533" xr:uid="{55AB67A5-182F-4288-B873-47F26AED5969}"/>
    <cellStyle name="RISKtlCorner 7 3 7 2" xfId="38026" xr:uid="{5DA982D9-9672-4A97-AB0E-F78878335F78}"/>
    <cellStyle name="RISKtlCorner 7 3 8" xfId="13725" xr:uid="{BD07C1B8-F90D-4156-A5F2-79174746E39B}"/>
    <cellStyle name="RISKtlCorner 7 3 8 2" xfId="35880" xr:uid="{FF9B618D-C49B-43AA-A9A4-E8098E6E5771}"/>
    <cellStyle name="RISKtlCorner 7 3 9" xfId="16282" xr:uid="{95673C11-A9A9-4F84-A5CB-02BFEAC9921F}"/>
    <cellStyle name="RISKtlCorner 7 3 9 2" xfId="37819" xr:uid="{53007009-042F-4E85-9F0A-C0EA066D06AC}"/>
    <cellStyle name="RISKtlCorner 7 30" xfId="29393" xr:uid="{1D642E67-ACC8-4061-9DE0-A31D28AADFC9}"/>
    <cellStyle name="RISKtlCorner 7 30 2" xfId="46860" xr:uid="{933CAFD0-2088-489C-8529-12F443D94427}"/>
    <cellStyle name="RISKtlCorner 7 31" xfId="30603" xr:uid="{F9FD107C-94A2-4DC6-905B-486D668B6AB8}"/>
    <cellStyle name="RISKtlCorner 7 31 2" xfId="47549" xr:uid="{4CDC1B20-210B-4076-B929-25502FBAB947}"/>
    <cellStyle name="RISKtlCorner 7 32" xfId="6794" xr:uid="{7BA22C54-330C-41ED-8DA3-D8A11644886A}"/>
    <cellStyle name="RISKtlCorner 7 4" xfId="11745" xr:uid="{7633F2DB-2701-4700-83FF-37A44BCC707E}"/>
    <cellStyle name="RISKtlCorner 7 4 2" xfId="34358" xr:uid="{2A3BE82A-0DB6-4718-BEA8-FAA4AE458ECA}"/>
    <cellStyle name="RISKtlCorner 7 5" xfId="13167" xr:uid="{FF50F731-AE03-426F-A897-2FEADEFCE268}"/>
    <cellStyle name="RISKtlCorner 7 5 2" xfId="35515" xr:uid="{532D6F51-1320-4E2E-ADB6-977874DE38FD}"/>
    <cellStyle name="RISKtlCorner 7 6" xfId="14183" xr:uid="{CDF73467-392B-4F14-A583-6275F6838006}"/>
    <cellStyle name="RISKtlCorner 7 6 2" xfId="36236" xr:uid="{F282A27E-26DA-4ABF-91B6-7AE1323BEA14}"/>
    <cellStyle name="RISKtlCorner 7 7" xfId="11647" xr:uid="{7547ED85-BCE6-4075-B7F6-84FDC92DF289}"/>
    <cellStyle name="RISKtlCorner 7 7 2" xfId="34260" xr:uid="{F2371FD4-233E-4545-A7B9-E2310495E292}"/>
    <cellStyle name="RISKtlCorner 7 8" xfId="15515" xr:uid="{5317FD44-83D5-42C9-A7F1-2542AC80ABFA}"/>
    <cellStyle name="RISKtlCorner 7 8 2" xfId="37180" xr:uid="{5EDC07B3-756C-4E26-9F7E-6E34CD0FF9A8}"/>
    <cellStyle name="RISKtlCorner 7 9" xfId="16534" xr:uid="{0D1BCC4B-26BC-4E33-9A99-40443348EFFB}"/>
    <cellStyle name="RISKtlCorner 7 9 2" xfId="38027" xr:uid="{1C67CDD0-F705-48CD-A49D-C2F2C3FFBA7C}"/>
    <cellStyle name="RISKtlCorner 8" xfId="4086" xr:uid="{24577724-938B-42E5-9738-C02E54B209FF}"/>
    <cellStyle name="RISKtlCorner 8 10" xfId="17407" xr:uid="{D3336855-87FB-4663-83ED-27351D6AC24A}"/>
    <cellStyle name="RISKtlCorner 8 10 2" xfId="38654" xr:uid="{AA475A6B-FB85-4CFE-8683-BD9CFD06D246}"/>
    <cellStyle name="RISKtlCorner 8 11" xfId="18255" xr:uid="{802CD834-44D2-4778-A80C-393F4F07234C}"/>
    <cellStyle name="RISKtlCorner 8 11 2" xfId="39286" xr:uid="{A66396B4-FDB8-44DD-AF2C-62693DCD8CCC}"/>
    <cellStyle name="RISKtlCorner 8 12" xfId="12666" xr:uid="{17671E84-0DBD-4FD4-A4E6-9B7DAAC8C5FC}"/>
    <cellStyle name="RISKtlCorner 8 12 2" xfId="35090" xr:uid="{50D6B370-D447-455D-8F52-DD5561BCE4AF}"/>
    <cellStyle name="RISKtlCorner 8 13" xfId="18017" xr:uid="{2BB4F95D-F646-476F-988F-F0941223ECFF}"/>
    <cellStyle name="RISKtlCorner 8 13 2" xfId="39113" xr:uid="{A3CCBDEA-D318-4763-969A-5752DB8C0553}"/>
    <cellStyle name="RISKtlCorner 8 14" xfId="20627" xr:uid="{C53D07BC-32CA-4732-B2E9-0155ED491271}"/>
    <cellStyle name="RISKtlCorner 8 14 2" xfId="40987" xr:uid="{6E8C5574-EAC9-4C2F-8983-395F31FD8417}"/>
    <cellStyle name="RISKtlCorner 8 15" xfId="17101" xr:uid="{C58F6028-C04D-4FD5-A8CE-8DBB753F3680}"/>
    <cellStyle name="RISKtlCorner 8 15 2" xfId="38440" xr:uid="{2578BD1F-CC30-47CB-9C52-4797532963CB}"/>
    <cellStyle name="RISKtlCorner 8 16" xfId="21206" xr:uid="{DD49A68B-AE6E-49E9-94D8-3FFC0D7DAB8F}"/>
    <cellStyle name="RISKtlCorner 8 16 2" xfId="41399" xr:uid="{87FFC051-A26E-4060-AEBB-75EBA0C0D39E}"/>
    <cellStyle name="RISKtlCorner 8 17" xfId="15400" xr:uid="{ACFE862B-3346-444C-B1C0-6A32342185C8}"/>
    <cellStyle name="RISKtlCorner 8 17 2" xfId="37097" xr:uid="{0E41D2AB-1EC9-4A75-8C49-3DF284D13DF3}"/>
    <cellStyle name="RISKtlCorner 8 18" xfId="19496" xr:uid="{08A19067-DC70-4330-BFDE-73068FAA4561}"/>
    <cellStyle name="RISKtlCorner 8 18 2" xfId="40173" xr:uid="{EDB63B36-407B-4332-B46E-D2646D37FBA2}"/>
    <cellStyle name="RISKtlCorner 8 19" xfId="18572" xr:uid="{690143E0-1B50-4CDC-8C56-D42EE470EAD1}"/>
    <cellStyle name="RISKtlCorner 8 19 2" xfId="39516" xr:uid="{E6C44200-B12C-4E75-B139-3610EE0FCE6A}"/>
    <cellStyle name="RISKtlCorner 8 2" xfId="4087" xr:uid="{70763988-5EE4-4CB2-9CE8-22B05884FEEE}"/>
    <cellStyle name="RISKtlCorner 8 2 10" xfId="19139" xr:uid="{2461D220-C79D-46A4-A1B1-EF2225515AB5}"/>
    <cellStyle name="RISKtlCorner 8 2 10 2" xfId="39948" xr:uid="{EC1DD666-968F-43D9-9713-2B0B06EBF2DC}"/>
    <cellStyle name="RISKtlCorner 8 2 11" xfId="19890" xr:uid="{7EAD8DCF-7E2F-4D40-B998-F27474A97995}"/>
    <cellStyle name="RISKtlCorner 8 2 11 2" xfId="40502" xr:uid="{CCFEBFBA-084F-433C-BEF1-0592F6678E73}"/>
    <cellStyle name="RISKtlCorner 8 2 12" xfId="20116" xr:uid="{15C3E58B-296C-4F25-A384-4C2979E759DB}"/>
    <cellStyle name="RISKtlCorner 8 2 12 2" xfId="40629" xr:uid="{EA3557E8-7C9E-4DCD-A5AD-9A0068282858}"/>
    <cellStyle name="RISKtlCorner 8 2 13" xfId="19525" xr:uid="{84C21EA8-3625-4148-B4B9-466BE8490324}"/>
    <cellStyle name="RISKtlCorner 8 2 13 2" xfId="40195" xr:uid="{9EE29479-B174-45C8-9C27-C86A89E848E9}"/>
    <cellStyle name="RISKtlCorner 8 2 14" xfId="17866" xr:uid="{2D157724-62DA-4036-8D96-4B6AB6EE860D}"/>
    <cellStyle name="RISKtlCorner 8 2 14 2" xfId="38982" xr:uid="{86FB1CA9-ED66-40A5-9A74-49F40420AAC1}"/>
    <cellStyle name="RISKtlCorner 8 2 15" xfId="23137" xr:uid="{D10A5E85-3F13-40EE-9E28-70CC4C419724}"/>
    <cellStyle name="RISKtlCorner 8 2 15 2" xfId="42736" xr:uid="{D4D8CB64-EB7D-408C-82CB-121809274C5C}"/>
    <cellStyle name="RISKtlCorner 8 2 16" xfId="23958" xr:uid="{C15E24FF-9CC3-4142-901E-EBB4C3DE42C9}"/>
    <cellStyle name="RISKtlCorner 8 2 16 2" xfId="43335" xr:uid="{6EBE4345-90D8-4E7C-BF6D-A604DA802C23}"/>
    <cellStyle name="RISKtlCorner 8 2 17" xfId="18710" xr:uid="{A6A2356B-5FFD-4D9C-901E-83855DBC6ADD}"/>
    <cellStyle name="RISKtlCorner 8 2 17 2" xfId="39588" xr:uid="{0D61C0D4-932F-439B-AAE1-EB6F8DD73106}"/>
    <cellStyle name="RISKtlCorner 8 2 18" xfId="24533" xr:uid="{3650D087-BA7E-4F7E-AB2C-1AD48D75B479}"/>
    <cellStyle name="RISKtlCorner 8 2 18 2" xfId="43716" xr:uid="{28256812-C71D-42F7-9249-8F92D083DA74}"/>
    <cellStyle name="RISKtlCorner 8 2 19" xfId="22797" xr:uid="{B0B46955-933F-431C-B492-F4231EF8BB8E}"/>
    <cellStyle name="RISKtlCorner 8 2 19 2" xfId="42544" xr:uid="{F54F8C21-56E4-4FC5-BFF4-FCF400EF9107}"/>
    <cellStyle name="RISKtlCorner 8 2 2" xfId="11743" xr:uid="{D407FF33-166B-4480-81E4-0C671F3089C3}"/>
    <cellStyle name="RISKtlCorner 8 2 2 2" xfId="34356" xr:uid="{18E07A8B-BDF3-4A2A-A524-9ED4620F25B1}"/>
    <cellStyle name="RISKtlCorner 8 2 20" xfId="21873" xr:uid="{9264FE59-123E-4C3C-B9A1-A4FEFD021813}"/>
    <cellStyle name="RISKtlCorner 8 2 20 2" xfId="41811" xr:uid="{32231980-BA4D-4A7A-A9EA-5910351B5AD3}"/>
    <cellStyle name="RISKtlCorner 8 2 21" xfId="21027" xr:uid="{EBF9B310-0577-4D49-A586-ACDF9EB94FE6}"/>
    <cellStyle name="RISKtlCorner 8 2 21 2" xfId="41281" xr:uid="{1FCD2C81-0EBD-4AEE-89D5-24539EF08D89}"/>
    <cellStyle name="RISKtlCorner 8 2 22" xfId="27788" xr:uid="{94E430F5-A30E-43A4-AEBD-5B419955780A}"/>
    <cellStyle name="RISKtlCorner 8 2 22 2" xfId="45875" xr:uid="{870D2C7D-C0ED-4498-8B5E-CDA075B837C1}"/>
    <cellStyle name="RISKtlCorner 8 2 23" xfId="25539" xr:uid="{4CB9C900-9DD7-44E8-BAD4-BF8691109BBB}"/>
    <cellStyle name="RISKtlCorner 8 2 23 2" xfId="44413" xr:uid="{2BF689A0-1F45-4298-9847-5B3DE77FD765}"/>
    <cellStyle name="RISKtlCorner 8 2 24" xfId="25217" xr:uid="{3A8C8CC3-1F52-4827-BE1B-F96B8F2CE074}"/>
    <cellStyle name="RISKtlCorner 8 2 24 2" xfId="44155" xr:uid="{4C0667D8-B26B-45F6-B952-9E0C16A2BF7B}"/>
    <cellStyle name="RISKtlCorner 8 2 25" xfId="25240" xr:uid="{73AC0541-4199-428C-9017-2F73BF300CB4}"/>
    <cellStyle name="RISKtlCorner 8 2 25 2" xfId="44170" xr:uid="{C5302845-DC38-4149-842A-801720FB4E93}"/>
    <cellStyle name="RISKtlCorner 8 2 26" xfId="26839" xr:uid="{14AC172B-BF30-4A11-8059-F3A65A4C3B85}"/>
    <cellStyle name="RISKtlCorner 8 2 26 2" xfId="45306" xr:uid="{208A51DB-676A-424A-82B6-16AB695B8DE8}"/>
    <cellStyle name="RISKtlCorner 8 2 27" xfId="30670" xr:uid="{288AD019-00B5-4587-AF41-09F95FA154FD}"/>
    <cellStyle name="RISKtlCorner 8 2 27 2" xfId="47616" xr:uid="{2B703BC1-8386-44D8-997B-841EC68EB140}"/>
    <cellStyle name="RISKtlCorner 8 2 28" xfId="29878" xr:uid="{95FCCA43-96B8-405A-AA60-D1CD8A306B52}"/>
    <cellStyle name="RISKtlCorner 8 2 28 2" xfId="47166" xr:uid="{9073282E-B8CC-4F88-A7C0-24D7CA09FA26}"/>
    <cellStyle name="RISKtlCorner 8 2 29" xfId="30602" xr:uid="{0E26CF86-B7E5-4BE4-A0BF-C1311AF01AE4}"/>
    <cellStyle name="RISKtlCorner 8 2 29 2" xfId="47548" xr:uid="{B50A13AF-307D-43CD-A463-03F89D6EF88E}"/>
    <cellStyle name="RISKtlCorner 8 2 3" xfId="13165" xr:uid="{C6F0C775-8E51-46CA-A6FD-ED6255516020}"/>
    <cellStyle name="RISKtlCorner 8 2 3 2" xfId="35513" xr:uid="{E26583ED-F502-47AB-A7FF-61D3F0195A08}"/>
    <cellStyle name="RISKtlCorner 8 2 30" xfId="6792" xr:uid="{71BB0410-EC16-4B2D-A127-CAC8D086F176}"/>
    <cellStyle name="RISKtlCorner 8 2 4" xfId="14181" xr:uid="{9EDA30F8-D330-481F-A56A-F0E8856DEF19}"/>
    <cellStyle name="RISKtlCorner 8 2 4 2" xfId="36234" xr:uid="{4C47DB52-2513-47C5-B57D-23E632FFC60B}"/>
    <cellStyle name="RISKtlCorner 8 2 5" xfId="11645" xr:uid="{54DE8857-FE2C-45D2-BBA8-67966F366712}"/>
    <cellStyle name="RISKtlCorner 8 2 5 2" xfId="34258" xr:uid="{4919EFD9-4613-40CB-A7CA-EE6EBECF758C}"/>
    <cellStyle name="RISKtlCorner 8 2 6" xfId="15516" xr:uid="{C3E7779E-4DF7-4668-AC4A-2EB6D1D592FE}"/>
    <cellStyle name="RISKtlCorner 8 2 6 2" xfId="37181" xr:uid="{35DB7D94-965A-4EE3-9283-CBFC6535AE7A}"/>
    <cellStyle name="RISKtlCorner 8 2 7" xfId="16532" xr:uid="{562C77BF-A091-4657-B03E-15EC11D0B2EF}"/>
    <cellStyle name="RISKtlCorner 8 2 7 2" xfId="38025" xr:uid="{17D0E730-C723-4710-85BD-20F23A67AD08}"/>
    <cellStyle name="RISKtlCorner 8 2 8" xfId="15637" xr:uid="{C818A954-FBC2-451A-B969-221835AF1012}"/>
    <cellStyle name="RISKtlCorner 8 2 8 2" xfId="37295" xr:uid="{0CA3B0F8-EE0D-4E60-AE4B-DB67301C3543}"/>
    <cellStyle name="RISKtlCorner 8 2 9" xfId="12616" xr:uid="{706EF20D-50DF-435B-A65B-543E5DB12928}"/>
    <cellStyle name="RISKtlCorner 8 2 9 2" xfId="35048" xr:uid="{42095293-079E-4E51-9BC2-517D45D4CFD9}"/>
    <cellStyle name="RISKtlCorner 8 20" xfId="23460" xr:uid="{75C67045-1C8B-4A34-8E44-CE661D68E7FF}"/>
    <cellStyle name="RISKtlCorner 8 20 2" xfId="42966" xr:uid="{2F7A74D4-6953-4AA3-BC13-1BBEF8240334}"/>
    <cellStyle name="RISKtlCorner 8 21" xfId="23933" xr:uid="{D0CA3802-B816-433C-93EC-FE169E3CF948}"/>
    <cellStyle name="RISKtlCorner 8 21 2" xfId="43310" xr:uid="{61D085E1-CFD4-40A1-96FE-E2E45767C5AF}"/>
    <cellStyle name="RISKtlCorner 8 22" xfId="25163" xr:uid="{869644F5-4367-478A-8DA8-825517A91EED}"/>
    <cellStyle name="RISKtlCorner 8 22 2" xfId="44107" xr:uid="{5583B971-D03B-42A8-A853-18990F000861}"/>
    <cellStyle name="RISKtlCorner 8 23" xfId="27282" xr:uid="{EB46E05B-E78A-4483-A55F-F28D25A4C108}"/>
    <cellStyle name="RISKtlCorner 8 23 2" xfId="45585" xr:uid="{42524815-DF58-45CF-A1F0-2D4E2FEB11F8}"/>
    <cellStyle name="RISKtlCorner 8 24" xfId="23734" xr:uid="{740B3731-A771-4A1D-99D7-75CD0901BA53}"/>
    <cellStyle name="RISKtlCorner 8 24 2" xfId="43149" xr:uid="{5F49E83D-0D1E-4354-BE52-8625EC4FFA37}"/>
    <cellStyle name="RISKtlCorner 8 25" xfId="23591" xr:uid="{72A9671E-EDF4-4C97-8B07-5C2723215367}"/>
    <cellStyle name="RISKtlCorner 8 25 2" xfId="43026" xr:uid="{0550D8F4-8251-4650-85DA-253882797C17}"/>
    <cellStyle name="RISKtlCorner 8 26" xfId="29359" xr:uid="{13F15438-DB7A-4EA8-9BFC-541807B17AB7}"/>
    <cellStyle name="RISKtlCorner 8 26 2" xfId="46832" xr:uid="{1C231954-F956-4A08-9064-5479C03A31A5}"/>
    <cellStyle name="RISKtlCorner 8 27" xfId="29583" xr:uid="{7884764E-6B9B-4E2E-BD11-A01C74616292}"/>
    <cellStyle name="RISKtlCorner 8 27 2" xfId="46978" xr:uid="{1A83639F-0B78-41F5-BAE4-7FA7C5BE7DF6}"/>
    <cellStyle name="RISKtlCorner 8 28" xfId="30380" xr:uid="{5D375A57-79F5-4A97-85D7-6CE6F4DF5341}"/>
    <cellStyle name="RISKtlCorner 8 28 2" xfId="47478" xr:uid="{2892F457-D876-44AA-8E5E-CBC80DC184A0}"/>
    <cellStyle name="RISKtlCorner 8 29" xfId="30503" xr:uid="{BDA13D66-4112-4BFD-8D8D-7FAAA701EA28}"/>
    <cellStyle name="RISKtlCorner 8 29 2" xfId="47506" xr:uid="{DF6A8571-4342-4F59-BF86-6D7C670BB46C}"/>
    <cellStyle name="RISKtlCorner 8 3" xfId="4088" xr:uid="{94AA4423-7226-40B2-88CB-F702A201AADF}"/>
    <cellStyle name="RISKtlCorner 8 3 10" xfId="17168" xr:uid="{281DA321-798A-4539-B928-01997E6EA5DB}"/>
    <cellStyle name="RISKtlCorner 8 3 10 2" xfId="38497" xr:uid="{4A013475-3070-4E85-BB8A-35A224295CF7}"/>
    <cellStyle name="RISKtlCorner 8 3 11" xfId="12845" xr:uid="{A831605D-39CC-42CD-B78D-E66C7326D485}"/>
    <cellStyle name="RISKtlCorner 8 3 11 2" xfId="35225" xr:uid="{68BFDA4D-1EF5-44FF-B845-73CEAC7E8839}"/>
    <cellStyle name="RISKtlCorner 8 3 12" xfId="20626" xr:uid="{10AAEBD3-23EE-455D-8D3F-778F186128DC}"/>
    <cellStyle name="RISKtlCorner 8 3 12 2" xfId="40986" xr:uid="{D19DFFCB-3853-4946-95D1-4388315139A6}"/>
    <cellStyle name="RISKtlCorner 8 3 13" xfId="18997" xr:uid="{8C6E6F7B-40B7-4153-AD72-5F3665A57486}"/>
    <cellStyle name="RISKtlCorner 8 3 13 2" xfId="39829" xr:uid="{1D9DDE12-A882-4269-B51A-66CC5263A534}"/>
    <cellStyle name="RISKtlCorner 8 3 14" xfId="19401" xr:uid="{BE33DC0C-B692-45C7-8756-F737D8C093B0}"/>
    <cellStyle name="RISKtlCorner 8 3 14 2" xfId="40122" xr:uid="{072AB556-0E5A-4372-BB9B-E720D8145528}"/>
    <cellStyle name="RISKtlCorner 8 3 15" xfId="18810" xr:uid="{46D767F0-4B29-4461-B976-33C75D67B427}"/>
    <cellStyle name="RISKtlCorner 8 3 15 2" xfId="39662" xr:uid="{F7AE763A-B2A3-46D0-B021-8DA855379316}"/>
    <cellStyle name="RISKtlCorner 8 3 16" xfId="16946" xr:uid="{1B0AE19B-DC89-4534-86E5-C68EBB6D5964}"/>
    <cellStyle name="RISKtlCorner 8 3 16 2" xfId="38316" xr:uid="{546CB59D-A330-4458-AD20-A1DDA13E23C5}"/>
    <cellStyle name="RISKtlCorner 8 3 17" xfId="22164" xr:uid="{95BFA508-6415-4916-A40B-B3C999184456}"/>
    <cellStyle name="RISKtlCorner 8 3 17 2" xfId="42044" xr:uid="{52E29841-CF4A-4672-BEC7-CD1D8DC90278}"/>
    <cellStyle name="RISKtlCorner 8 3 18" xfId="25329" xr:uid="{541E3AF4-AFB0-4F83-B82C-EE6A700347D2}"/>
    <cellStyle name="RISKtlCorner 8 3 18 2" xfId="44245" xr:uid="{5F77634E-C57A-445C-9855-76C0B9D055EA}"/>
    <cellStyle name="RISKtlCorner 8 3 19" xfId="22213" xr:uid="{B9C15E75-697C-4935-92B4-8584F84C73D7}"/>
    <cellStyle name="RISKtlCorner 8 3 19 2" xfId="42092" xr:uid="{F4D6ACC7-E165-42FC-8F17-57B11FF82C0F}"/>
    <cellStyle name="RISKtlCorner 8 3 2" xfId="7316" xr:uid="{976F5A60-552E-4C99-8BDA-283381831041}"/>
    <cellStyle name="RISKtlCorner 8 3 2 2" xfId="31679" xr:uid="{A19111C6-04BD-4A7C-8722-9196EA6C2696}"/>
    <cellStyle name="RISKtlCorner 8 3 20" xfId="23699" xr:uid="{68DB88B9-7B5A-4204-A61C-253C6F73CAAE}"/>
    <cellStyle name="RISKtlCorner 8 3 20 2" xfId="43117" xr:uid="{B3ED75AD-5837-4FA5-8DD0-BB8AE891DBAF}"/>
    <cellStyle name="RISKtlCorner 8 3 21" xfId="27281" xr:uid="{1F533160-5324-4919-8195-44AD086E8E96}"/>
    <cellStyle name="RISKtlCorner 8 3 21 2" xfId="45584" xr:uid="{B7FEE9D9-E66C-48E4-9D81-9DEC95A7DE75}"/>
    <cellStyle name="RISKtlCorner 8 3 22" xfId="24335" xr:uid="{E6365049-C9B1-4EC0-94E1-AF363442893A}"/>
    <cellStyle name="RISKtlCorner 8 3 22 2" xfId="43598" xr:uid="{B5D5C0D0-C938-4781-992D-3049766EC66E}"/>
    <cellStyle name="RISKtlCorner 8 3 23" xfId="25464" xr:uid="{F8BD2552-011A-4BA4-9708-04E6B5C19A6F}"/>
    <cellStyle name="RISKtlCorner 8 3 23 2" xfId="44348" xr:uid="{ED4D34C3-5790-40A0-9C69-F62D59586764}"/>
    <cellStyle name="RISKtlCorner 8 3 24" xfId="29592" xr:uid="{1FB4001F-7FB0-4F8D-A2ED-C9854FD4FC75}"/>
    <cellStyle name="RISKtlCorner 8 3 24 2" xfId="46987" xr:uid="{9DB6C04F-C587-43E3-AD34-C3BDEB4B6402}"/>
    <cellStyle name="RISKtlCorner 8 3 25" xfId="28298" xr:uid="{77228C5D-9D51-45A6-9B7F-10AE6D4B472F}"/>
    <cellStyle name="RISKtlCorner 8 3 25 2" xfId="46165" xr:uid="{CFBF7E65-72C8-4E51-9DC7-EC64BE85286B}"/>
    <cellStyle name="RISKtlCorner 8 3 26" xfId="28133" xr:uid="{70A6B27C-EF75-4519-83EC-5EA7CF17CC39}"/>
    <cellStyle name="RISKtlCorner 8 3 26 2" xfId="46073" xr:uid="{664D40A7-DE4D-4D60-A4C6-FC167E767CE7}"/>
    <cellStyle name="RISKtlCorner 8 3 27" xfId="29227" xr:uid="{74853331-488C-4FA3-A559-BC07CE736CEF}"/>
    <cellStyle name="RISKtlCorner 8 3 27 2" xfId="46746" xr:uid="{6C6FC5AD-A3B7-4CAF-933B-9107571CF8AC}"/>
    <cellStyle name="RISKtlCorner 8 3 28" xfId="27707" xr:uid="{53D37AC9-B173-4657-A9EB-7AD831ED702C}"/>
    <cellStyle name="RISKtlCorner 8 3 28 2" xfId="45816" xr:uid="{0AE05574-71E6-4AA4-9B2F-1737DFD7A3FD}"/>
    <cellStyle name="RISKtlCorner 8 3 29" xfId="30889" xr:uid="{3C3FFDD7-DA9F-4973-A5CC-710D6B0D1C57}"/>
    <cellStyle name="RISKtlCorner 8 3 29 2" xfId="47737" xr:uid="{BC856BD7-311A-49A4-B93F-2A51A0087098}"/>
    <cellStyle name="RISKtlCorner 8 3 3" xfId="10295" xr:uid="{0BC8B834-871D-42A1-9B6E-2A80D0A87602}"/>
    <cellStyle name="RISKtlCorner 8 3 3 2" xfId="33930" xr:uid="{9C855564-E146-42FE-906C-3B05957F4B55}"/>
    <cellStyle name="RISKtlCorner 8 3 30" xfId="6031" xr:uid="{9CEB3E31-9CAC-4C11-81F1-996CFB1DAB6A}"/>
    <cellStyle name="RISKtlCorner 8 3 4" xfId="12384" xr:uid="{CA440E52-1388-4EBD-8461-93895B7C8354}"/>
    <cellStyle name="RISKtlCorner 8 3 4 2" xfId="34871" xr:uid="{2F7ACF37-0E23-478B-B796-1CDCF3C8DE4D}"/>
    <cellStyle name="RISKtlCorner 8 3 5" xfId="13429" xr:uid="{C4E99DA5-9CFB-444F-B4B5-8EB73F7C853B}"/>
    <cellStyle name="RISKtlCorner 8 3 5 2" xfId="35722" xr:uid="{FAF67188-868D-4F7B-A57F-A78CE007A432}"/>
    <cellStyle name="RISKtlCorner 8 3 6" xfId="12317" xr:uid="{F2724451-064A-47CB-8D6D-57F5FD0FA5E9}"/>
    <cellStyle name="RISKtlCorner 8 3 6 2" xfId="34822" xr:uid="{D4511520-B364-44CE-910A-8436E191F61B}"/>
    <cellStyle name="RISKtlCorner 8 3 7" xfId="12540" xr:uid="{134681AF-3514-4662-8521-2BCEA9A03657}"/>
    <cellStyle name="RISKtlCorner 8 3 7 2" xfId="34984" xr:uid="{9F2E7E23-ABDB-4284-9ED7-90AF21F33967}"/>
    <cellStyle name="RISKtlCorner 8 3 8" xfId="17406" xr:uid="{480C06B3-1836-4F1F-B611-6C1E4111C25B}"/>
    <cellStyle name="RISKtlCorner 8 3 8 2" xfId="38653" xr:uid="{3ED90F8C-02F0-4C21-A02B-336CFB401AF0}"/>
    <cellStyle name="RISKtlCorner 8 3 9" xfId="18254" xr:uid="{78AE49A7-3F7B-49C2-AAE7-06A532E7FCA9}"/>
    <cellStyle name="RISKtlCorner 8 3 9 2" xfId="39285" xr:uid="{5C6E54BE-7029-415B-8CC1-EB65A9997636}"/>
    <cellStyle name="RISKtlCorner 8 30" xfId="30177" xr:uid="{AD777EFD-DA16-4DCA-A03B-B5A1EBEBF91B}"/>
    <cellStyle name="RISKtlCorner 8 30 2" xfId="47341" xr:uid="{2336B550-84DF-4D81-A27F-3068C6B09453}"/>
    <cellStyle name="RISKtlCorner 8 31" xfId="30577" xr:uid="{4EF937B1-65D5-4954-A698-611D2CC8EB5C}"/>
    <cellStyle name="RISKtlCorner 8 31 2" xfId="47527" xr:uid="{358FBF26-9CD3-4C09-B1FC-CE11CD183BA1}"/>
    <cellStyle name="RISKtlCorner 8 32" xfId="6032" xr:uid="{BEDF59E5-3179-49B7-8FBC-C5A859075F6F}"/>
    <cellStyle name="RISKtlCorner 8 4" xfId="7317" xr:uid="{A7692B93-869D-4C9E-BDA2-CC9A6AE2348B}"/>
    <cellStyle name="RISKtlCorner 8 4 2" xfId="31680" xr:uid="{9B81054C-F4E1-4944-BF22-0BEED417F9ED}"/>
    <cellStyle name="RISKtlCorner 8 5" xfId="10294" xr:uid="{C0EC1CF5-C9D2-40E6-A9DB-5677D3F94D5F}"/>
    <cellStyle name="RISKtlCorner 8 5 2" xfId="33929" xr:uid="{CDDEC6D6-4252-4A3C-9AAB-EC283985FBDB}"/>
    <cellStyle name="RISKtlCorner 8 6" xfId="12383" xr:uid="{5B88DB59-87EB-4300-88EF-7726CE15019E}"/>
    <cellStyle name="RISKtlCorner 8 6 2" xfId="34870" xr:uid="{1B2A759B-E401-4E3C-8903-905D5B3865B1}"/>
    <cellStyle name="RISKtlCorner 8 7" xfId="7211" xr:uid="{90FA13C8-4640-43F8-A573-609BE404B2FF}"/>
    <cellStyle name="RISKtlCorner 8 7 2" xfId="31577" xr:uid="{E15E0527-C9A8-4857-88CD-581761268B2E}"/>
    <cellStyle name="RISKtlCorner 8 8" xfId="14646" xr:uid="{85185AE9-DCFD-439B-A967-6A8063BDDBE2}"/>
    <cellStyle name="RISKtlCorner 8 8 2" xfId="36558" xr:uid="{ACC14920-1099-4AFC-A7AE-9395A30991D7}"/>
    <cellStyle name="RISKtlCorner 8 9" xfId="14024" xr:uid="{E57B5B8B-F3C2-483B-A930-18BD099387F9}"/>
    <cellStyle name="RISKtlCorner 8 9 2" xfId="36118" xr:uid="{CB4F44FC-E13E-429A-884D-DE2294F14974}"/>
    <cellStyle name="RISKtlCorner 9" xfId="4089" xr:uid="{ECE996EE-BDBD-4FA7-98A4-9563B684CC33}"/>
    <cellStyle name="RISKtlCorner 9 10" xfId="19138" xr:uid="{B0E091B5-9C9B-4B57-B96C-46074FC0EF3A}"/>
    <cellStyle name="RISKtlCorner 9 10 2" xfId="39947" xr:uid="{AD9685C6-1B2F-4B9D-98CF-2F980FFCDAD0}"/>
    <cellStyle name="RISKtlCorner 9 11" xfId="19889" xr:uid="{3FFE8383-687E-47B6-9A34-92939CBE75D1}"/>
    <cellStyle name="RISKtlCorner 9 11 2" xfId="40501" xr:uid="{E25ED74E-7530-413D-81A1-57885BC0C331}"/>
    <cellStyle name="RISKtlCorner 9 12" xfId="16117" xr:uid="{8F9C6200-F76E-47BE-9DF2-8DB7EE637B83}"/>
    <cellStyle name="RISKtlCorner 9 12 2" xfId="37687" xr:uid="{500DCDCF-56D2-43BD-8914-27A29CBB39FA}"/>
    <cellStyle name="RISKtlCorner 9 13" xfId="17100" xr:uid="{8EE01B74-923D-4282-9EC6-B113450F53E1}"/>
    <cellStyle name="RISKtlCorner 9 13 2" xfId="38439" xr:uid="{A12D3EFC-070E-48AF-9AAF-3190BDF13B80}"/>
    <cellStyle name="RISKtlCorner 9 14" xfId="22089" xr:uid="{8F974E29-80C4-439D-9A8F-D2ABB74F24D5}"/>
    <cellStyle name="RISKtlCorner 9 14 2" xfId="41974" xr:uid="{C015FF85-CC2E-4E35-9FD6-DE0606371F74}"/>
    <cellStyle name="RISKtlCorner 9 15" xfId="23136" xr:uid="{59A3CA1F-95F8-4CC6-A438-B95DDC1CF101}"/>
    <cellStyle name="RISKtlCorner 9 15 2" xfId="42735" xr:uid="{B9F37BFD-5079-4291-AA45-D0B8E8481C7B}"/>
    <cellStyle name="RISKtlCorner 9 16" xfId="23957" xr:uid="{E0E51D34-0421-4808-9B10-0EF57AA3F31D}"/>
    <cellStyle name="RISKtlCorner 9 16 2" xfId="43334" xr:uid="{68185951-10D5-4FFD-AF00-0389519BFC64}"/>
    <cellStyle name="RISKtlCorner 9 17" xfId="20923" xr:uid="{B09A9FDE-1BED-4815-9DF0-44E26FB0D3E3}"/>
    <cellStyle name="RISKtlCorner 9 17 2" xfId="41225" xr:uid="{2D3EC517-23B6-476E-8C0C-4DC16FC16103}"/>
    <cellStyle name="RISKtlCorner 9 18" xfId="22285" xr:uid="{F7EEC90B-A808-4216-9528-365F490E2297}"/>
    <cellStyle name="RISKtlCorner 9 18 2" xfId="42149" xr:uid="{D3C12327-F5D4-4B46-89EB-87E46C1C66AE}"/>
    <cellStyle name="RISKtlCorner 9 19" xfId="23932" xr:uid="{95806753-C21E-48AE-ACCE-8E27098CDFAA}"/>
    <cellStyle name="RISKtlCorner 9 19 2" xfId="43309" xr:uid="{D4046226-5BF8-4245-B2D2-2AD964868DB4}"/>
    <cellStyle name="RISKtlCorner 9 2" xfId="11742" xr:uid="{9ABCE172-CA4B-4647-AF76-562925157F95}"/>
    <cellStyle name="RISKtlCorner 9 2 2" xfId="34355" xr:uid="{C1630905-1F7C-4EA0-B917-13E1E19DA5FC}"/>
    <cellStyle name="RISKtlCorner 9 20" xfId="23667" xr:uid="{CA1287F9-3608-46AB-9820-F8FD123ED389}"/>
    <cellStyle name="RISKtlCorner 9 20 2" xfId="43090" xr:uid="{A12A2BB8-4B9D-498B-A97B-F43FEE5B0DCA}"/>
    <cellStyle name="RISKtlCorner 9 21" xfId="26793" xr:uid="{8A09E847-A710-4293-9A26-CB935E560D27}"/>
    <cellStyle name="RISKtlCorner 9 21 2" xfId="45272" xr:uid="{6C00F967-82A0-4D68-92E5-8F01777C3B02}"/>
    <cellStyle name="RISKtlCorner 9 22" xfId="27787" xr:uid="{F6880BC9-41B7-4C80-8A11-582DA7EC8A2E}"/>
    <cellStyle name="RISKtlCorner 9 22 2" xfId="45874" xr:uid="{D3F9DF01-525F-47CD-97CB-315C0E999F89}"/>
    <cellStyle name="RISKtlCorner 9 23" xfId="23713" xr:uid="{D15F45B6-5343-4145-97F3-6E24B33D3593}"/>
    <cellStyle name="RISKtlCorner 9 23 2" xfId="43131" xr:uid="{5ACD324F-8042-4BEF-91E9-B880C2F2956F}"/>
    <cellStyle name="RISKtlCorner 9 24" xfId="29079" xr:uid="{0D3A4D27-C394-4D54-982A-A3E4B87E53E8}"/>
    <cellStyle name="RISKtlCorner 9 24 2" xfId="46652" xr:uid="{49AAF214-7D15-4458-802A-68600424F716}"/>
    <cellStyle name="RISKtlCorner 9 25" xfId="29182" xr:uid="{FF2D1FB9-2815-4592-B2D0-7D54BC361BBD}"/>
    <cellStyle name="RISKtlCorner 9 25 2" xfId="46708" xr:uid="{5D517CFF-B098-49FC-AF33-761AA6ED36A8}"/>
    <cellStyle name="RISKtlCorner 9 26" xfId="30152" xr:uid="{DDEA14FF-3ABD-47DB-B315-D7F0B3236E6A}"/>
    <cellStyle name="RISKtlCorner 9 26 2" xfId="47316" xr:uid="{E237A21D-93AC-4E31-BDDA-30D1BA3E33B3}"/>
    <cellStyle name="RISKtlCorner 9 27" xfId="30669" xr:uid="{710C0EFB-8BC8-4901-885C-86A1487FF7A8}"/>
    <cellStyle name="RISKtlCorner 9 27 2" xfId="47615" xr:uid="{B7D5435C-2F8D-48AF-90A3-67CC233E617C}"/>
    <cellStyle name="RISKtlCorner 9 28" xfId="28220" xr:uid="{10569465-67E7-4C1A-AD29-98F4FCDE34DB}"/>
    <cellStyle name="RISKtlCorner 9 28 2" xfId="46103" xr:uid="{2438F028-87D3-426F-85A9-3987F9AA0C54}"/>
    <cellStyle name="RISKtlCorner 9 29" xfId="30186" xr:uid="{AC1DE959-6006-4083-B33D-157568946F76}"/>
    <cellStyle name="RISKtlCorner 9 29 2" xfId="47347" xr:uid="{E9214D0F-BE8B-4299-9A0C-1AB02031D7AC}"/>
    <cellStyle name="RISKtlCorner 9 3" xfId="13164" xr:uid="{210106CA-2FCD-4C17-B59C-6E8EA128BDB5}"/>
    <cellStyle name="RISKtlCorner 9 3 2" xfId="35512" xr:uid="{2BF4C9E4-24E8-4292-8608-3761B6C2DDE1}"/>
    <cellStyle name="RISKtlCorner 9 30" xfId="6791" xr:uid="{F138328F-89E0-4594-8950-57230DA6E5CB}"/>
    <cellStyle name="RISKtlCorner 9 4" xfId="14180" xr:uid="{1FE75791-498C-4381-B011-3E2DB712BAB0}"/>
    <cellStyle name="RISKtlCorner 9 4 2" xfId="36233" xr:uid="{227D4CE4-6CBA-444B-BAE9-0F6F265852DA}"/>
    <cellStyle name="RISKtlCorner 9 5" xfId="7210" xr:uid="{5FA018D8-8070-4CD2-BD0F-F3858746662D}"/>
    <cellStyle name="RISKtlCorner 9 5 2" xfId="31576" xr:uid="{0F4EC56A-83EE-48C3-ACE6-81E66A6F0BC3}"/>
    <cellStyle name="RISKtlCorner 9 6" xfId="12752" xr:uid="{6EC053F0-D6AE-4A3F-8143-5D8FA5F8F9A7}"/>
    <cellStyle name="RISKtlCorner 9 6 2" xfId="35161" xr:uid="{0ACBE9BB-9746-48BD-AE01-BE92C9CA39D2}"/>
    <cellStyle name="RISKtlCorner 9 7" xfId="16531" xr:uid="{AAFFF66F-40AA-4945-AC38-660FB035F3A5}"/>
    <cellStyle name="RISKtlCorner 9 7 2" xfId="38024" xr:uid="{7E7F372D-4A7C-40F2-BA31-F6771B4F2CB8}"/>
    <cellStyle name="RISKtlCorner 9 8" xfId="13726" xr:uid="{483DB5F8-94B2-4F9F-9111-79D1F69AB47C}"/>
    <cellStyle name="RISKtlCorner 9 8 2" xfId="35881" xr:uid="{D0F0D7D1-3259-41DB-915B-4F463FB7F3EC}"/>
    <cellStyle name="RISKtlCorner 9 9" xfId="16281" xr:uid="{D5B90C29-FDE3-4C50-82BC-C6CDF92D54B8}"/>
    <cellStyle name="RISKtlCorner 9 9 2" xfId="37818" xr:uid="{1683EC85-0BD7-43DD-8A2F-5C2436ECA74E}"/>
    <cellStyle name="RISKtopEdge" xfId="4090" xr:uid="{04762141-9133-4E7F-819D-C40556EB8FEA}"/>
    <cellStyle name="RISKtopEdge 10" xfId="4091" xr:uid="{2CE46D05-0BC4-4B74-9086-C2EEA2F39294}"/>
    <cellStyle name="RISKtopEdge 10 10" xfId="19137" xr:uid="{22A01644-2822-43D0-9ECB-2A8E3396DCAA}"/>
    <cellStyle name="RISKtopEdge 10 10 2" xfId="39946" xr:uid="{A1A8047D-6372-4D49-9F0C-AE059B0EB99C}"/>
    <cellStyle name="RISKtopEdge 10 11" xfId="19888" xr:uid="{958F580E-BB67-477A-B7D8-9B0B766EA6F4}"/>
    <cellStyle name="RISKtopEdge 10 11 2" xfId="40500" xr:uid="{655AA44E-5D59-4AE1-B85C-5B3225766158}"/>
    <cellStyle name="RISKtopEdge 10 12" xfId="18887" xr:uid="{EE7AD549-F6A6-4B1D-9DA5-E72A29D6A59C}"/>
    <cellStyle name="RISKtopEdge 10 12 2" xfId="39720" xr:uid="{23FFCE90-7145-4532-9602-FB3FF12DB65E}"/>
    <cellStyle name="RISKtopEdge 10 13" xfId="18995" xr:uid="{FB41CAD3-9FC4-4542-B2E2-A1DB42C3A3A8}"/>
    <cellStyle name="RISKtopEdge 10 13 2" xfId="39827" xr:uid="{EC5811C2-9AAA-40AB-B0F4-688A2BE92E83}"/>
    <cellStyle name="RISKtopEdge 10 14" xfId="20162" xr:uid="{76B6D9B7-B946-42FD-ADFE-0A4B3498B63F}"/>
    <cellStyle name="RISKtopEdge 10 14 2" xfId="40669" xr:uid="{B6FB61AB-A5B8-4937-8D28-4D49B5F41BD7}"/>
    <cellStyle name="RISKtopEdge 10 15" xfId="23135" xr:uid="{96327DFA-6463-43A4-A8D7-09756A24CA47}"/>
    <cellStyle name="RISKtopEdge 10 15 2" xfId="42734" xr:uid="{67D67DB2-0F38-44B2-A823-58EE177C8ACC}"/>
    <cellStyle name="RISKtopEdge 10 16" xfId="23956" xr:uid="{3C713CE5-957C-455D-AE39-190FF2C5349E}"/>
    <cellStyle name="RISKtopEdge 10 16 2" xfId="43333" xr:uid="{554C0B7F-E33B-4BF7-9278-ABF0F7952027}"/>
    <cellStyle name="RISKtopEdge 10 17" xfId="18711" xr:uid="{4D85B5B4-5F49-4AC1-A903-9C130E2F10D1}"/>
    <cellStyle name="RISKtopEdge 10 17 2" xfId="39589" xr:uid="{77CEAC5C-872C-4AD1-B2FF-E0DB9C35FBF9}"/>
    <cellStyle name="RISKtopEdge 10 18" xfId="24532" xr:uid="{992D2DA0-AD5D-4A1F-9414-5D9C4E06CBD2}"/>
    <cellStyle name="RISKtopEdge 10 18 2" xfId="43715" xr:uid="{8496A6AF-CA47-4467-9517-C12ACD4D6CD1}"/>
    <cellStyle name="RISKtopEdge 10 19" xfId="23931" xr:uid="{2A1552D7-32E5-4E56-8306-7193F4DC9324}"/>
    <cellStyle name="RISKtopEdge 10 19 2" xfId="43308" xr:uid="{67992BA4-6629-4E4D-B2B8-D39C65AAAD8E}"/>
    <cellStyle name="RISKtopEdge 10 2" xfId="7314" xr:uid="{9A403E9A-976E-4572-9AFF-2F70F159819F}"/>
    <cellStyle name="RISKtopEdge 10 2 2" xfId="31677" xr:uid="{11BEEC71-BA66-4159-AF28-A63EA38C0DA9}"/>
    <cellStyle name="RISKtopEdge 10 20" xfId="26437" xr:uid="{3B994C4F-3FB9-4219-A0DE-6DD03F4FF3DF}"/>
    <cellStyle name="RISKtopEdge 10 20 2" xfId="45068" xr:uid="{DE7788E9-1226-4323-B9D1-95E43C8C8298}"/>
    <cellStyle name="RISKtopEdge 10 21" xfId="26792" xr:uid="{CCAA3049-7DC3-4904-B4E2-9BFBD9E8CC79}"/>
    <cellStyle name="RISKtopEdge 10 21 2" xfId="45271" xr:uid="{62558141-0D7E-4BA6-8446-9DF9A86622AE}"/>
    <cellStyle name="RISKtopEdge 10 22" xfId="27786" xr:uid="{BF68C30C-85F5-43EC-BD8C-FFB3FA3CCE56}"/>
    <cellStyle name="RISKtopEdge 10 22 2" xfId="45873" xr:uid="{11686CB3-C73F-42E8-A24D-7A5C1A64EDAE}"/>
    <cellStyle name="RISKtopEdge 10 23" xfId="25540" xr:uid="{0945A0A5-4CE4-4C15-8B09-9564C76C2CB9}"/>
    <cellStyle name="RISKtopEdge 10 23 2" xfId="44414" xr:uid="{6F6ED9C2-EBE7-4380-A3FF-A67568E720D5}"/>
    <cellStyle name="RISKtopEdge 10 24" xfId="29199" xr:uid="{D3E4295E-8145-459E-A9D1-FD6667249ED9}"/>
    <cellStyle name="RISKtopEdge 10 24 2" xfId="46725" xr:uid="{00371487-B185-4678-B6F1-6B8EB8F624AF}"/>
    <cellStyle name="RISKtopEdge 10 25" xfId="26005" xr:uid="{C57A35AB-00E4-4615-A4FA-6654AD8968B3}"/>
    <cellStyle name="RISKtopEdge 10 25 2" xfId="44783" xr:uid="{35F2A80E-4D20-4C8A-A228-E05ABEF439B3}"/>
    <cellStyle name="RISKtopEdge 10 26" xfId="29394" xr:uid="{FED8347A-68EA-4BE8-9733-F15E923871B0}"/>
    <cellStyle name="RISKtopEdge 10 26 2" xfId="46861" xr:uid="{CB81533A-7F85-4FFC-9CBB-93C51C3E1780}"/>
    <cellStyle name="RISKtopEdge 10 27" xfId="30668" xr:uid="{8CCD2BCC-83D3-479E-A5C2-F6CFA28B16AC}"/>
    <cellStyle name="RISKtopEdge 10 27 2" xfId="47614" xr:uid="{D243ECA5-2826-4244-9938-27CC1113F39A}"/>
    <cellStyle name="RISKtopEdge 10 28" xfId="28870" xr:uid="{BA333667-6986-42F9-9555-36B61A2E4E51}"/>
    <cellStyle name="RISKtopEdge 10 28 2" xfId="46485" xr:uid="{B191F921-73F2-4038-8395-4D37FA82EFFB}"/>
    <cellStyle name="RISKtopEdge 10 29" xfId="31010" xr:uid="{A0172366-9BE7-481F-866F-A0C84968E768}"/>
    <cellStyle name="RISKtopEdge 10 29 2" xfId="47787" xr:uid="{06ABEC49-26FA-4C51-82B5-2735A8EAD8C0}"/>
    <cellStyle name="RISKtopEdge 10 3" xfId="13163" xr:uid="{CAE7DA42-3C8A-42FD-A025-1F58A14FA338}"/>
    <cellStyle name="RISKtopEdge 10 3 2" xfId="35511" xr:uid="{0B545A22-2B20-4472-8DCC-BB938530D7AD}"/>
    <cellStyle name="RISKtopEdge 10 30" xfId="6790" xr:uid="{BB0E6490-375C-4EDA-98B2-ACD3ECEDD97D}"/>
    <cellStyle name="RISKtopEdge 10 4" xfId="14179" xr:uid="{73DE43C8-F1C0-44F8-BFF2-CA29B19FEB0F}"/>
    <cellStyle name="RISKtopEdge 10 4 2" xfId="36232" xr:uid="{49872B5F-4255-4825-8E0D-094ED262C4B2}"/>
    <cellStyle name="RISKtopEdge 10 5" xfId="7209" xr:uid="{EA2AA2B9-3C44-4DD5-AD2D-04E1838B5372}"/>
    <cellStyle name="RISKtopEdge 10 5 2" xfId="31575" xr:uid="{8B6FC485-771A-499B-BE9E-1017D7B7B881}"/>
    <cellStyle name="RISKtopEdge 10 6" xfId="15517" xr:uid="{8D7F0FBD-DF0B-4618-88B4-AEAB82519B3E}"/>
    <cellStyle name="RISKtopEdge 10 6 2" xfId="37182" xr:uid="{EB278605-9E7E-44C5-BD80-052670B40310}"/>
    <cellStyle name="RISKtopEdge 10 7" xfId="16530" xr:uid="{B7FE5610-468A-40D2-8DF6-0A215AEB841D}"/>
    <cellStyle name="RISKtopEdge 10 7 2" xfId="38023" xr:uid="{7EFF3061-D40F-498D-A074-5B183F1734EF}"/>
    <cellStyle name="RISKtopEdge 10 8" xfId="16799" xr:uid="{3DA42B81-0EF2-4630-B3AB-61F6DD169C87}"/>
    <cellStyle name="RISKtopEdge 10 8 2" xfId="38232" xr:uid="{B63A15D8-887C-45BD-8C9C-F3899E8A6FCE}"/>
    <cellStyle name="RISKtopEdge 10 9" xfId="15797" xr:uid="{0AE3F0A0-DAB3-48E1-8A33-77407EA367D2}"/>
    <cellStyle name="RISKtopEdge 10 9 2" xfId="37412" xr:uid="{8326C036-61E9-4144-90B5-4DDD2CCB961F}"/>
    <cellStyle name="RISKtopEdge 11" xfId="7315" xr:uid="{4F51C4CF-6592-4AF0-AD64-06B250B01FA6}"/>
    <cellStyle name="RISKtopEdge 11 2" xfId="31678" xr:uid="{EC5C21B3-18DB-4465-BEF0-903B62E32407}"/>
    <cellStyle name="RISKtopEdge 12" xfId="10296" xr:uid="{21D461A3-7AAD-417A-925D-1A30CFF99413}"/>
    <cellStyle name="RISKtopEdge 12 2" xfId="33931" xr:uid="{B2F0481D-409F-4668-9FA9-E2A7548EE2E5}"/>
    <cellStyle name="RISKtopEdge 13" xfId="12385" xr:uid="{BC1302CD-3F2E-4F74-AAC8-5C5F0B43E574}"/>
    <cellStyle name="RISKtopEdge 13 2" xfId="34872" xr:uid="{88C021EA-AFFA-4F87-B776-648D998DBDC9}"/>
    <cellStyle name="RISKtopEdge 14" xfId="11644" xr:uid="{1BEFEC1F-3947-4B08-87A5-64673416A79B}"/>
    <cellStyle name="RISKtopEdge 14 2" xfId="34257" xr:uid="{2B3E29B7-B4BF-4F33-B218-31CE766AC8AA}"/>
    <cellStyle name="RISKtopEdge 15" xfId="14645" xr:uid="{8D837B95-D902-49E2-A677-EAAAB333A519}"/>
    <cellStyle name="RISKtopEdge 15 2" xfId="36557" xr:uid="{EE0E4B5A-4B09-4282-9EAF-23FD4FD583E8}"/>
    <cellStyle name="RISKtopEdge 16" xfId="14023" xr:uid="{DB9ECD2F-09A8-4A69-A19F-A2A79380D301}"/>
    <cellStyle name="RISKtopEdge 16 2" xfId="36117" xr:uid="{07E3E352-E1B4-4A82-9201-40F15D3677D8}"/>
    <cellStyle name="RISKtopEdge 17" xfId="17405" xr:uid="{04B6C2D3-9A4B-4582-B4B3-1B26A10B5000}"/>
    <cellStyle name="RISKtopEdge 17 2" xfId="38652" xr:uid="{0A40D0D2-90BA-435E-A360-C65E969D6B01}"/>
    <cellStyle name="RISKtopEdge 18" xfId="18253" xr:uid="{8E2F8F48-E0E0-4794-9649-EFF5FFC46A2F}"/>
    <cellStyle name="RISKtopEdge 18 2" xfId="39284" xr:uid="{F6711F86-CC3A-4E4B-A7BC-5B0EDA29C51D}"/>
    <cellStyle name="RISKtopEdge 19" xfId="14545" xr:uid="{AD634F37-E677-41F6-A998-7BBC34CF3C49}"/>
    <cellStyle name="RISKtopEdge 19 2" xfId="36478" xr:uid="{01A1D45A-C6CE-43BC-ACA7-50C5C48124B7}"/>
    <cellStyle name="RISKtopEdge 2" xfId="4092" xr:uid="{4D50D7DF-4187-49AE-A5D3-3712959DAC69}"/>
    <cellStyle name="RISKtopEdge 2 10" xfId="12541" xr:uid="{FC0F41F5-BF23-4B93-B8D5-DD8A14AACEEA}"/>
    <cellStyle name="RISKtopEdge 2 10 2" xfId="34985" xr:uid="{AC731603-1F58-4B9C-BAF7-181E606FF901}"/>
    <cellStyle name="RISKtopEdge 2 11" xfId="17404" xr:uid="{BE103B8D-5389-448B-951E-C296F70A2B03}"/>
    <cellStyle name="RISKtopEdge 2 11 2" xfId="38651" xr:uid="{7C9E306E-FAFD-4B77-AADE-163881C59C76}"/>
    <cellStyle name="RISKtopEdge 2 12" xfId="18252" xr:uid="{39A0FB0D-D47F-4B1D-ADDB-AAC826283A9F}"/>
    <cellStyle name="RISKtopEdge 2 12 2" xfId="39283" xr:uid="{FF23CF0E-B0A7-4EC3-B8A1-627610B69A92}"/>
    <cellStyle name="RISKtopEdge 2 13" xfId="17167" xr:uid="{1E17346A-150D-4925-A162-E52FCA112F99}"/>
    <cellStyle name="RISKtopEdge 2 13 2" xfId="38496" xr:uid="{26B94853-6670-48DD-BAC0-2860FDFB6BEE}"/>
    <cellStyle name="RISKtopEdge 2 14" xfId="19359" xr:uid="{99386AB5-8F5A-4BBF-A49A-1F5F659B3DF0}"/>
    <cellStyle name="RISKtopEdge 2 14 2" xfId="40086" xr:uid="{E14CE4EB-8200-4B31-9963-729722AAE8E0}"/>
    <cellStyle name="RISKtopEdge 2 15" xfId="20624" xr:uid="{CC8C75C8-0D2F-4EDF-9931-BF909301FCD0}"/>
    <cellStyle name="RISKtopEdge 2 15 2" xfId="40984" xr:uid="{7C7E312E-34C0-4619-A07D-CED78A0FE0DF}"/>
    <cellStyle name="RISKtopEdge 2 16" xfId="17099" xr:uid="{892D59AB-29F7-4023-833B-85FF81555BDD}"/>
    <cellStyle name="RISKtopEdge 2 16 2" xfId="38438" xr:uid="{6649F2B2-4798-4DDC-AA11-F2E0B0BD1C19}"/>
    <cellStyle name="RISKtopEdge 2 17" xfId="17052" xr:uid="{D42DF116-67AB-40D9-9261-E06A7149A6AB}"/>
    <cellStyle name="RISKtopEdge 2 17 2" xfId="38394" xr:uid="{923AAF13-20A0-48E6-B2E8-8F1509F86954}"/>
    <cellStyle name="RISKtopEdge 2 18" xfId="21777" xr:uid="{D1B7B52D-F07F-43D7-B034-1E5CDED142FC}"/>
    <cellStyle name="RISKtopEdge 2 18 2" xfId="41778" xr:uid="{D1A62739-2B60-4AA6-8F80-FC485473CE6C}"/>
    <cellStyle name="RISKtopEdge 2 19" xfId="23396" xr:uid="{E5119727-070B-4653-ABDE-A87E5FA4A1E0}"/>
    <cellStyle name="RISKtopEdge 2 19 2" xfId="42918" xr:uid="{E54D4D07-5DB4-4909-B705-DB30CFF08D06}"/>
    <cellStyle name="RISKtopEdge 2 2" xfId="4093" xr:uid="{C5EF8762-F5C8-47F9-94C6-2A7AF77CE9E8}"/>
    <cellStyle name="RISKtopEdge 2 2 10" xfId="12692" xr:uid="{ABD1A3ED-8587-491B-A56B-2175CDDFF261}"/>
    <cellStyle name="RISKtopEdge 2 2 10 2" xfId="35106" xr:uid="{83F30478-98CE-4BBD-BD13-3CA2CEDCE17A}"/>
    <cellStyle name="RISKtopEdge 2 2 11" xfId="17668" xr:uid="{104ACFD1-0294-4311-87C0-939F1C9272B9}"/>
    <cellStyle name="RISKtopEdge 2 2 11 2" xfId="38860" xr:uid="{DF78FA5A-1FB0-4F4F-AC7F-4DD232EB97E7}"/>
    <cellStyle name="RISKtopEdge 2 2 12" xfId="19136" xr:uid="{58135830-FB16-421E-894F-FF0479A4245E}"/>
    <cellStyle name="RISKtopEdge 2 2 12 2" xfId="39945" xr:uid="{19F3DE5E-F339-4024-AFE7-4FFF3C5F4B74}"/>
    <cellStyle name="RISKtopEdge 2 2 13" xfId="19887" xr:uid="{4711D5A8-ECC9-48F1-A7DC-3E806A752A5C}"/>
    <cellStyle name="RISKtopEdge 2 2 13 2" xfId="40499" xr:uid="{FF3EA217-EC45-41CA-BAF0-208ADDED508D}"/>
    <cellStyle name="RISKtopEdge 2 2 14" xfId="16847" xr:uid="{ACF684F0-3A9F-453D-99E8-41E52EEFDDD1}"/>
    <cellStyle name="RISKtopEdge 2 2 14 2" xfId="38275" xr:uid="{8C9DCC81-6D18-4E4E-8DDB-4ADA5AD5CA6C}"/>
    <cellStyle name="RISKtopEdge 2 2 15" xfId="18994" xr:uid="{758FB7CD-5524-4594-A59A-6FF2695414B4}"/>
    <cellStyle name="RISKtopEdge 2 2 15 2" xfId="39826" xr:uid="{5DD00149-0302-4111-9A7C-32986EA7CDAE}"/>
    <cellStyle name="RISKtopEdge 2 2 16" xfId="22090" xr:uid="{0CC4BBC5-CA2E-4DE6-96FB-924283E04B8C}"/>
    <cellStyle name="RISKtopEdge 2 2 16 2" xfId="41975" xr:uid="{4A9CC156-201F-4054-B0DE-EC73D7C3AD78}"/>
    <cellStyle name="RISKtopEdge 2 2 17" xfId="23134" xr:uid="{25DC8279-54D0-43CC-A742-A4C4C24A428A}"/>
    <cellStyle name="RISKtopEdge 2 2 17 2" xfId="42733" xr:uid="{B1FB7D00-8BA7-44B3-9DD3-0802B0CF0EE3}"/>
    <cellStyle name="RISKtopEdge 2 2 18" xfId="23955" xr:uid="{CE294A57-92B5-40BB-9207-438AA24D71E3}"/>
    <cellStyle name="RISKtopEdge 2 2 18 2" xfId="43332" xr:uid="{498A2937-CB16-4B6E-8D9F-5FF363679133}"/>
    <cellStyle name="RISKtopEdge 2 2 19" xfId="20924" xr:uid="{DD3A8DCA-F62A-4B07-828C-3FF07925BD92}"/>
    <cellStyle name="RISKtopEdge 2 2 19 2" xfId="41226" xr:uid="{0ABFED5F-EF03-4CEA-BFDE-F2AB2A1E885E}"/>
    <cellStyle name="RISKtopEdge 2 2 2" xfId="4094" xr:uid="{44708249-B01C-4B19-9817-AB9018835AAA}"/>
    <cellStyle name="RISKtopEdge 2 2 2 10" xfId="15693" xr:uid="{D3BD506D-F579-4D3F-BFC5-180F2B838226}"/>
    <cellStyle name="RISKtopEdge 2 2 2 10 2" xfId="37330" xr:uid="{7B842855-00B9-4BBD-A434-4CB90696767C}"/>
    <cellStyle name="RISKtopEdge 2 2 2 11" xfId="19358" xr:uid="{800C15BE-F2A0-44B6-A0AD-26DECB4F5BCE}"/>
    <cellStyle name="RISKtopEdge 2 2 2 11 2" xfId="40085" xr:uid="{18B955E5-0B44-4CD2-BA01-63654A951BE8}"/>
    <cellStyle name="RISKtopEdge 2 2 2 12" xfId="20623" xr:uid="{41009CBC-AD77-4D76-8B43-2C7203BA06B7}"/>
    <cellStyle name="RISKtopEdge 2 2 2 12 2" xfId="40983" xr:uid="{09CCABBA-F272-44C1-85CF-BD84D77D8B93}"/>
    <cellStyle name="RISKtopEdge 2 2 2 13" xfId="18993" xr:uid="{842C17F1-AB4C-4CA2-B82A-9F10713F8BEF}"/>
    <cellStyle name="RISKtopEdge 2 2 2 13 2" xfId="39825" xr:uid="{85FD9B7F-F850-4377-B7E5-1C0FD92FE7F7}"/>
    <cellStyle name="RISKtopEdge 2 2 2 14" xfId="21204" xr:uid="{F1F82110-58EB-4CE7-8374-7CA525E2BB7A}"/>
    <cellStyle name="RISKtopEdge 2 2 2 14 2" xfId="41397" xr:uid="{D3D4CB60-6199-4EF3-A3C7-6CE8C3FF5C41}"/>
    <cellStyle name="RISKtopEdge 2 2 2 15" xfId="16143" xr:uid="{F2B1FD3E-691F-4595-A41A-A614EF5E3346}"/>
    <cellStyle name="RISKtopEdge 2 2 2 15 2" xfId="37709" xr:uid="{107AF5FA-7C71-49BA-BFF6-6AC5DBF15A0A}"/>
    <cellStyle name="RISKtopEdge 2 2 2 16" xfId="22208" xr:uid="{1B7E482D-04F2-4FF9-ABBC-5BB005B6EB7E}"/>
    <cellStyle name="RISKtopEdge 2 2 2 16 2" xfId="42087" xr:uid="{9EA520C3-8ABE-4D87-8EFF-6AE83631F39E}"/>
    <cellStyle name="RISKtopEdge 2 2 2 17" xfId="16950" xr:uid="{E5E95D6F-D7C1-46DA-A21C-CBC5DEC33F15}"/>
    <cellStyle name="RISKtopEdge 2 2 2 17 2" xfId="38320" xr:uid="{B59571A0-A0FD-44A5-87EB-24C7DF2307AE}"/>
    <cellStyle name="RISKtopEdge 2 2 2 18" xfId="22724" xr:uid="{2718014C-7FDB-4840-BB58-90D77B41D13A}"/>
    <cellStyle name="RISKtopEdge 2 2 2 18 2" xfId="42481" xr:uid="{54FED9DC-1E75-499A-9F56-748DF398F0F7}"/>
    <cellStyle name="RISKtopEdge 2 2 2 19" xfId="23929" xr:uid="{B30702C1-3AAF-45A3-BB69-BEFA413061ED}"/>
    <cellStyle name="RISKtopEdge 2 2 2 19 2" xfId="43306" xr:uid="{8F33BBFE-281C-48C6-9BB1-30C4E633D076}"/>
    <cellStyle name="RISKtopEdge 2 2 2 2" xfId="7312" xr:uid="{A61D8EB6-6FF1-429F-AAC4-2405D012FFBD}"/>
    <cellStyle name="RISKtopEdge 2 2 2 2 2" xfId="31675" xr:uid="{EDC643F0-7E10-42EA-8F73-1A7ADB181D4A}"/>
    <cellStyle name="RISKtopEdge 2 2 2 20" xfId="25162" xr:uid="{115F1FF5-ECD5-47DF-A469-18719ECCC026}"/>
    <cellStyle name="RISKtopEdge 2 2 2 20 2" xfId="44106" xr:uid="{55322CB3-DC03-4FE0-8FBB-F548576103D4}"/>
    <cellStyle name="RISKtopEdge 2 2 2 21" xfId="27278" xr:uid="{EFD97F50-33BE-47DF-BF8D-AB4FA843198A}"/>
    <cellStyle name="RISKtopEdge 2 2 2 21 2" xfId="45581" xr:uid="{9C8AF4AE-8D9A-4941-8519-4FBE89F06CE2}"/>
    <cellStyle name="RISKtopEdge 2 2 2 22" xfId="25583" xr:uid="{CDF203E2-4EDB-4A40-AD2C-7050C177DF07}"/>
    <cellStyle name="RISKtopEdge 2 2 2 22 2" xfId="44450" xr:uid="{AF281775-0DCD-422B-95FB-D683B926D743}"/>
    <cellStyle name="RISKtopEdge 2 2 2 23" xfId="23599" xr:uid="{46B1FC88-AFE9-48E2-B4A0-43DCE8112649}"/>
    <cellStyle name="RISKtopEdge 2 2 2 23 2" xfId="43034" xr:uid="{BA4A638C-9664-426C-A5FC-D997D5A863AC}"/>
    <cellStyle name="RISKtopEdge 2 2 2 24" xfId="29593" xr:uid="{9152E208-1F4F-4235-9D21-D5A93FC7745A}"/>
    <cellStyle name="RISKtopEdge 2 2 2 24 2" xfId="46988" xr:uid="{08C0E848-6BF6-471C-8B02-5F6BC9B4C7AC}"/>
    <cellStyle name="RISKtopEdge 2 2 2 25" xfId="28987" xr:uid="{E658E69B-66E8-45CE-91ED-C7E2E8C9E41B}"/>
    <cellStyle name="RISKtopEdge 2 2 2 25 2" xfId="46581" xr:uid="{A187214D-1108-4959-871E-BAA70D5A66CF}"/>
    <cellStyle name="RISKtopEdge 2 2 2 26" xfId="29820" xr:uid="{2D037962-E7DF-4917-BC62-DAEFD04748C3}"/>
    <cellStyle name="RISKtopEdge 2 2 2 26 2" xfId="47137" xr:uid="{C667443F-09BB-4BA1-A20F-7E8F082E2905}"/>
    <cellStyle name="RISKtopEdge 2 2 2 27" xfId="28129" xr:uid="{A6C5E1EF-26FA-4AFD-B2AB-1DF38BE88223}"/>
    <cellStyle name="RISKtopEdge 2 2 2 27 2" xfId="46069" xr:uid="{B03608C4-DE3F-486A-A339-D5FB6C9DAD10}"/>
    <cellStyle name="RISKtopEdge 2 2 2 28" xfId="29239" xr:uid="{9836FB20-8DCD-4F4E-A111-E43F436918BA}"/>
    <cellStyle name="RISKtopEdge 2 2 2 28 2" xfId="46757" xr:uid="{22BB0ADA-A904-4038-9CF7-0DEBDE065F3A}"/>
    <cellStyle name="RISKtopEdge 2 2 2 29" xfId="30575" xr:uid="{5BA595B3-E4CF-4BA3-B7FA-D0ADC463CF24}"/>
    <cellStyle name="RISKtopEdge 2 2 2 29 2" xfId="47525" xr:uid="{F935FA02-C2A0-4A82-86C9-6335CF575CC6}"/>
    <cellStyle name="RISKtopEdge 2 2 2 3" xfId="10298" xr:uid="{8C66FDD1-84E0-4714-9D4C-36D24907356A}"/>
    <cellStyle name="RISKtopEdge 2 2 2 3 2" xfId="33933" xr:uid="{59054872-83BE-4CAB-AF0C-F40A93A01D07}"/>
    <cellStyle name="RISKtopEdge 2 2 2 30" xfId="6789" xr:uid="{CCF5B097-7032-456B-9AE4-916E5E3C0D60}"/>
    <cellStyle name="RISKtopEdge 2 2 2 4" xfId="12387" xr:uid="{0AC7396C-8D6E-4753-9FD4-8D60F60DBE1A}"/>
    <cellStyle name="RISKtopEdge 2 2 2 4 2" xfId="34874" xr:uid="{83AA4F3B-8FA1-4475-8153-23AD960A293B}"/>
    <cellStyle name="RISKtopEdge 2 2 2 5" xfId="11642" xr:uid="{C8717D2A-E3D4-425E-A60E-96ADD739DD73}"/>
    <cellStyle name="RISKtopEdge 2 2 2 5 2" xfId="34255" xr:uid="{29D10B04-7F04-4972-AEDA-9D947A4EE05E}"/>
    <cellStyle name="RISKtopEdge 2 2 2 6" xfId="14644" xr:uid="{2EB1E778-EB47-4C41-AF9C-067A3E715440}"/>
    <cellStyle name="RISKtopEdge 2 2 2 6 2" xfId="36556" xr:uid="{10DE700F-FFA1-4362-9DD6-1FBF96992A26}"/>
    <cellStyle name="RISKtopEdge 2 2 2 7" xfId="14022" xr:uid="{1B0E8555-4D14-4724-9A4C-A0E1C3CEC26D}"/>
    <cellStyle name="RISKtopEdge 2 2 2 7 2" xfId="36116" xr:uid="{5C5C6BA2-D890-49F3-AE2C-D551A311DF8E}"/>
    <cellStyle name="RISKtopEdge 2 2 2 8" xfId="17403" xr:uid="{CDD53E5E-59E2-47FA-B933-EB079831712B}"/>
    <cellStyle name="RISKtopEdge 2 2 2 8 2" xfId="38650" xr:uid="{94BD7A0B-1BE2-4030-9410-3BA57FCD36F2}"/>
    <cellStyle name="RISKtopEdge 2 2 2 9" xfId="18251" xr:uid="{C79E62D0-3295-4698-9E25-C8E45DF7DC96}"/>
    <cellStyle name="RISKtopEdge 2 2 2 9 2" xfId="39282" xr:uid="{02D0273F-A993-46D1-BDB1-609643866E4D}"/>
    <cellStyle name="RISKtopEdge 2 2 20" xfId="21074" xr:uid="{A2EB6FC4-69EC-432D-9027-F69E0EA3A9FE}"/>
    <cellStyle name="RISKtopEdge 2 2 20 2" xfId="41319" xr:uid="{B2BF242B-CE91-4853-8BA4-F6245947B1BB}"/>
    <cellStyle name="RISKtopEdge 2 2 21" xfId="20999" xr:uid="{62A40A61-D2A5-416F-B3CB-2686830AE3D0}"/>
    <cellStyle name="RISKtopEdge 2 2 21 2" xfId="41257" xr:uid="{1A18CE14-BC2F-4706-A9FC-B2D4F0D54176}"/>
    <cellStyle name="RISKtopEdge 2 2 22" xfId="24255" xr:uid="{7E502795-670C-453B-B113-9634F8BA0646}"/>
    <cellStyle name="RISKtopEdge 2 2 22 2" xfId="43569" xr:uid="{EC5F57D4-FF81-4D96-9406-1868FEA973AD}"/>
    <cellStyle name="RISKtopEdge 2 2 23" xfId="26164" xr:uid="{C7F05BA7-6743-4749-BA40-A718767F4969}"/>
    <cellStyle name="RISKtopEdge 2 2 23 2" xfId="44894" xr:uid="{D9D699FE-C5DC-4F0B-BE05-F46C50781C3E}"/>
    <cellStyle name="RISKtopEdge 2 2 24" xfId="27785" xr:uid="{D3ECD614-48D9-451E-8128-2931DA862CE3}"/>
    <cellStyle name="RISKtopEdge 2 2 24 2" xfId="45872" xr:uid="{3E33FE0A-A52C-4131-A5A6-6D50C2F57049}"/>
    <cellStyle name="RISKtopEdge 2 2 25" xfId="29268" xr:uid="{31C12C3A-1D71-4517-B1F6-3507633A1101}"/>
    <cellStyle name="RISKtopEdge 2 2 25 2" xfId="46783" xr:uid="{59481C64-5FBA-4A3D-8357-70FF0C48B4D6}"/>
    <cellStyle name="RISKtopEdge 2 2 26" xfId="29372" xr:uid="{2DA0E3E7-6DC3-41AF-9528-352AA6057C47}"/>
    <cellStyle name="RISKtopEdge 2 2 26 2" xfId="46841" xr:uid="{2602C3AD-14A7-405A-9E05-6DA208A8DCC1}"/>
    <cellStyle name="RISKtopEdge 2 2 27" xfId="25865" xr:uid="{38A1726B-3DD6-4B31-B0DC-0F0D0F5B48E0}"/>
    <cellStyle name="RISKtopEdge 2 2 27 2" xfId="44682" xr:uid="{E4507A42-BD91-4812-95E2-2283A927F227}"/>
    <cellStyle name="RISKtopEdge 2 2 28" xfId="30153" xr:uid="{E0D4482B-BE5E-4E6F-860F-B6BE1E751A83}"/>
    <cellStyle name="RISKtopEdge 2 2 28 2" xfId="47317" xr:uid="{46A9F892-45C8-4004-BA30-088EC120AEFB}"/>
    <cellStyle name="RISKtopEdge 2 2 29" xfId="30667" xr:uid="{FCC006F4-5D28-41DB-90EF-D6C20C159D02}"/>
    <cellStyle name="RISKtopEdge 2 2 29 2" xfId="47613" xr:uid="{C67DF228-A995-4DE2-B3E3-B96CED530C71}"/>
    <cellStyle name="RISKtopEdge 2 2 3" xfId="4095" xr:uid="{13D1BA17-B007-49DB-946B-38CBE4965AB1}"/>
    <cellStyle name="RISKtopEdge 2 2 3 10" xfId="19135" xr:uid="{E3C80C59-AFAB-40CD-A581-F2C8834C2F10}"/>
    <cellStyle name="RISKtopEdge 2 2 3 10 2" xfId="39944" xr:uid="{F74C3FBD-D353-4883-8DD6-3B4907B1EA6A}"/>
    <cellStyle name="RISKtopEdge 2 2 3 11" xfId="15740" xr:uid="{1C0784C6-011C-4C2C-A8C2-EF858F38CF53}"/>
    <cellStyle name="RISKtopEdge 2 2 3 11 2" xfId="37369" xr:uid="{3D25DC9A-4E4F-472B-83D1-ACB69ED94CF1}"/>
    <cellStyle name="RISKtopEdge 2 2 3 12" xfId="18886" xr:uid="{0DC1D494-84CE-4671-B576-B33FF325B7D4}"/>
    <cellStyle name="RISKtopEdge 2 2 3 12 2" xfId="39719" xr:uid="{3A035E12-55B4-4165-846E-F583C770E02D}"/>
    <cellStyle name="RISKtopEdge 2 2 3 13" xfId="17090" xr:uid="{49E1A60D-DE75-42C6-91C4-EF0702BC5228}"/>
    <cellStyle name="RISKtopEdge 2 2 3 13 2" xfId="38429" xr:uid="{3AEDFEC6-A0FD-4663-8FD1-66786918CFFF}"/>
    <cellStyle name="RISKtopEdge 2 2 3 14" xfId="17865" xr:uid="{82D65F06-135B-4FC7-8B6B-DBE640661E2C}"/>
    <cellStyle name="RISKtopEdge 2 2 3 14 2" xfId="38981" xr:uid="{FFAE2ECC-BD93-47D0-8801-2DE114305381}"/>
    <cellStyle name="RISKtopEdge 2 2 3 15" xfId="23133" xr:uid="{BBCBBADA-FDE3-4413-8BD7-CD4F542FD1BB}"/>
    <cellStyle name="RISKtopEdge 2 2 3 15 2" xfId="42732" xr:uid="{BB7B281E-2114-4596-BA8D-4B28E7C8A125}"/>
    <cellStyle name="RISKtopEdge 2 2 3 16" xfId="23954" xr:uid="{F6ED1C3D-659E-4E01-BD5F-78CBF621D758}"/>
    <cellStyle name="RISKtopEdge 2 2 3 16 2" xfId="43331" xr:uid="{EBDD8EA8-1550-4509-B61E-107540002B03}"/>
    <cellStyle name="RISKtopEdge 2 2 3 17" xfId="22586" xr:uid="{0E764490-0400-4EC5-A00F-D74FF1A3BA70}"/>
    <cellStyle name="RISKtopEdge 2 2 3 17 2" xfId="42372" xr:uid="{EBF6171E-D3AC-438E-8826-622262E7D202}"/>
    <cellStyle name="RISKtopEdge 2 2 3 18" xfId="24531" xr:uid="{317D29A0-3EEA-4391-B5C6-EFCD0D752EAA}"/>
    <cellStyle name="RISKtopEdge 2 2 3 18 2" xfId="43714" xr:uid="{B415D17F-F1FA-4905-A5A1-D9A26CC45100}"/>
    <cellStyle name="RISKtopEdge 2 2 3 19" xfId="22214" xr:uid="{03167D41-9EFC-498A-8117-FF469E83EE53}"/>
    <cellStyle name="RISKtopEdge 2 2 3 19 2" xfId="42093" xr:uid="{1693F478-EDF4-42A2-8736-F577943E2634}"/>
    <cellStyle name="RISKtopEdge 2 2 3 2" xfId="11740" xr:uid="{B5547EC3-B934-4C0F-93CE-AFF08C5B729A}"/>
    <cellStyle name="RISKtopEdge 2 2 3 2 2" xfId="34353" xr:uid="{10907AE8-E833-4F8D-A80F-124AF646540D}"/>
    <cellStyle name="RISKtopEdge 2 2 3 20" xfId="25446" xr:uid="{577A8A64-33CB-4A59-A120-5E531C9734A5}"/>
    <cellStyle name="RISKtopEdge 2 2 3 20 2" xfId="44332" xr:uid="{CA8648C6-42E8-4E0C-A9F3-4E7A05C832FC}"/>
    <cellStyle name="RISKtopEdge 2 2 3 21" xfId="23787" xr:uid="{2E086B26-F6A5-4BB3-B2E4-38BD503D7E70}"/>
    <cellStyle name="RISKtopEdge 2 2 3 21 2" xfId="43186" xr:uid="{E6A9C4C0-8E2D-4B87-AA4B-93F33A2751D2}"/>
    <cellStyle name="RISKtopEdge 2 2 3 22" xfId="27784" xr:uid="{172BDE59-4324-492C-86BD-574A2B393D8D}"/>
    <cellStyle name="RISKtopEdge 2 2 3 22 2" xfId="45871" xr:uid="{3F7D8452-81C2-4432-BD58-8A4CFA63B532}"/>
    <cellStyle name="RISKtopEdge 2 2 3 23" xfId="29267" xr:uid="{6D64F1F7-2FEF-4D2B-9C31-B18FAC6FB6A9}"/>
    <cellStyle name="RISKtopEdge 2 2 3 23 2" xfId="46782" xr:uid="{D712E136-0964-459D-8AE3-B591F0BC0DBE}"/>
    <cellStyle name="RISKtopEdge 2 2 3 24" xfId="27688" xr:uid="{9793F729-3E94-4165-A8E0-2C4E4568E8F2}"/>
    <cellStyle name="RISKtopEdge 2 2 3 24 2" xfId="45802" xr:uid="{0F0AFE1D-89F5-43F8-BB68-B2C511ADBBC1}"/>
    <cellStyle name="RISKtopEdge 2 2 3 25" xfId="29073" xr:uid="{7219E889-73EA-4956-8D3B-DEDF85FEAA16}"/>
    <cellStyle name="RISKtopEdge 2 2 3 25 2" xfId="46646" xr:uid="{F80789B6-3B83-48B8-ABA1-BA3F5D85E2EB}"/>
    <cellStyle name="RISKtopEdge 2 2 3 26" xfId="29099" xr:uid="{4F73B0F8-9673-4AEC-9978-A33B61EBA22C}"/>
    <cellStyle name="RISKtopEdge 2 2 3 26 2" xfId="46668" xr:uid="{B6166D51-49DC-470F-9429-A9B051D4AB1E}"/>
    <cellStyle name="RISKtopEdge 2 2 3 27" xfId="30666" xr:uid="{6FD60775-C594-409E-A3C4-81BEF4506553}"/>
    <cellStyle name="RISKtopEdge 2 2 3 27 2" xfId="47612" xr:uid="{31A2251D-621E-4F3F-A84A-95AB385CF327}"/>
    <cellStyle name="RISKtopEdge 2 2 3 28" xfId="30178" xr:uid="{4BEF8CE4-3DC8-46D1-9CB5-25BA21C3C16F}"/>
    <cellStyle name="RISKtopEdge 2 2 3 28 2" xfId="47342" xr:uid="{59F590AC-EC48-41BE-A3C1-6B049AD6945E}"/>
    <cellStyle name="RISKtopEdge 2 2 3 29" xfId="30021" xr:uid="{E26D1A74-7FC9-453F-8888-D791BE9DB18E}"/>
    <cellStyle name="RISKtopEdge 2 2 3 29 2" xfId="47252" xr:uid="{BCFCCEA2-CD6B-4968-B545-D2624818C4BA}"/>
    <cellStyle name="RISKtopEdge 2 2 3 3" xfId="13161" xr:uid="{EA9BE8DC-6DED-4562-B005-6BBFF0313C92}"/>
    <cellStyle name="RISKtopEdge 2 2 3 3 2" xfId="35509" xr:uid="{09A81490-D270-4E6E-A16F-5F7EB0F469A8}"/>
    <cellStyle name="RISKtopEdge 2 2 3 30" xfId="6027" xr:uid="{09FDA44E-2720-49DE-822E-6F108914715F}"/>
    <cellStyle name="RISKtopEdge 2 2 3 4" xfId="14177" xr:uid="{8D349E4E-1201-42F3-BCE3-728509EA146B}"/>
    <cellStyle name="RISKtopEdge 2 2 3 4 2" xfId="36230" xr:uid="{6DAB3C0F-0099-4197-B0F9-0FAAAA5FB830}"/>
    <cellStyle name="RISKtopEdge 2 2 3 5" xfId="7207" xr:uid="{C23F6ABD-6676-411A-A99A-4BF96D31E15F}"/>
    <cellStyle name="RISKtopEdge 2 2 3 5 2" xfId="31573" xr:uid="{608BA2AF-4B68-430E-8E76-4152018221EC}"/>
    <cellStyle name="RISKtopEdge 2 2 3 6" xfId="15175" xr:uid="{200C14D5-5F8E-4B86-8C39-F02609EC17BE}"/>
    <cellStyle name="RISKtopEdge 2 2 3 6 2" xfId="36962" xr:uid="{C2D9207C-0D78-4D4B-BD6F-471736E5ED05}"/>
    <cellStyle name="RISKtopEdge 2 2 3 7" xfId="16528" xr:uid="{BC3FC98F-F599-478A-A078-30FE7747CAE6}"/>
    <cellStyle name="RISKtopEdge 2 2 3 7 2" xfId="38021" xr:uid="{41B7799B-E540-4C0B-BCC9-1DD3A0FC0B09}"/>
    <cellStyle name="RISKtopEdge 2 2 3 8" xfId="13727" xr:uid="{3AB97C26-2713-4254-AD45-7A3BC681B238}"/>
    <cellStyle name="RISKtopEdge 2 2 3 8 2" xfId="35882" xr:uid="{E64FC29C-F048-4CF1-A180-A1F91D62BCC0}"/>
    <cellStyle name="RISKtopEdge 2 2 3 9" xfId="16280" xr:uid="{69EC9FB1-E8BF-4CE8-9F75-B062000C92BA}"/>
    <cellStyle name="RISKtopEdge 2 2 3 9 2" xfId="37817" xr:uid="{63DA405E-AB4E-4053-9939-630BCCF54F64}"/>
    <cellStyle name="RISKtopEdge 2 2 30" xfId="29780" xr:uid="{6EAC1A2C-D89B-4DC6-AB76-2CE897DF824C}"/>
    <cellStyle name="RISKtopEdge 2 2 30 2" xfId="47099" xr:uid="{22E748D6-B9FE-413B-A835-2D291B844602}"/>
    <cellStyle name="RISKtopEdge 2 2 31" xfId="30601" xr:uid="{CE9E7546-58EE-4E59-851B-33CA5860C0C5}"/>
    <cellStyle name="RISKtopEdge 2 2 31 2" xfId="47547" xr:uid="{7C2DCE81-1E9D-4ACA-B238-17AE57983727}"/>
    <cellStyle name="RISKtopEdge 2 2 32" xfId="6028" xr:uid="{3D987AF2-7895-46E0-9AF6-FAEB98644BBD}"/>
    <cellStyle name="RISKtopEdge 2 2 4" xfId="11741" xr:uid="{7BCA2B11-92A2-4C56-9A05-FF9FAA89943A}"/>
    <cellStyle name="RISKtopEdge 2 2 4 2" xfId="34354" xr:uid="{275E01BD-BC68-4091-9F93-2864A2A2865A}"/>
    <cellStyle name="RISKtopEdge 2 2 5" xfId="13162" xr:uid="{F6C823DF-DF37-44EF-9828-5943B2D91051}"/>
    <cellStyle name="RISKtopEdge 2 2 5 2" xfId="35510" xr:uid="{35A2A772-7E39-42CC-93B5-E6D67B454E9A}"/>
    <cellStyle name="RISKtopEdge 2 2 6" xfId="14178" xr:uid="{7578819E-432E-4159-B4F0-8CD572660360}"/>
    <cellStyle name="RISKtopEdge 2 2 6 2" xfId="36231" xr:uid="{BE001DC0-CDDA-479D-B155-DC5FD0341366}"/>
    <cellStyle name="RISKtopEdge 2 2 7" xfId="13432" xr:uid="{3E255388-5ADA-485C-96D9-5F16A9019FC7}"/>
    <cellStyle name="RISKtopEdge 2 2 7 2" xfId="35725" xr:uid="{0DE6F1C5-BB5C-4E0A-A368-7797F8F59AA9}"/>
    <cellStyle name="RISKtopEdge 2 2 8" xfId="13817" xr:uid="{3137B2F6-DA27-4395-BEF9-93985D5CFB87}"/>
    <cellStyle name="RISKtopEdge 2 2 8 2" xfId="35942" xr:uid="{5EFE3D0E-34A1-4A28-BF58-D59829F8E54A}"/>
    <cellStyle name="RISKtopEdge 2 2 9" xfId="16529" xr:uid="{62F6D1AB-51BD-479E-9AA8-C35CA2AA75AC}"/>
    <cellStyle name="RISKtopEdge 2 2 9 2" xfId="38022" xr:uid="{DBB14086-77E3-4CD5-B44B-C00C752B3138}"/>
    <cellStyle name="RISKtopEdge 2 20" xfId="22165" xr:uid="{2D86BDBD-48B3-4614-AC53-D9AF5723CC62}"/>
    <cellStyle name="RISKtopEdge 2 20 2" xfId="42045" xr:uid="{9BB1331A-8620-48B1-ACE1-58A83D5EFBAD}"/>
    <cellStyle name="RISKtopEdge 2 21" xfId="25330" xr:uid="{C26053B1-A0BB-445B-9B0B-DF66A860C4F2}"/>
    <cellStyle name="RISKtopEdge 2 21 2" xfId="44246" xr:uid="{FFFD66EB-699F-44E8-9505-61DF4A43858A}"/>
    <cellStyle name="RISKtopEdge 2 22" xfId="23930" xr:uid="{6F2CA7A6-2865-42E7-B93E-7B4561E5C51B}"/>
    <cellStyle name="RISKtopEdge 2 22 2" xfId="43307" xr:uid="{34038CD6-FD76-486A-97EF-E96A1CFBA1AA}"/>
    <cellStyle name="RISKtopEdge 2 23" xfId="25512" xr:uid="{3280E619-DD2C-4DA7-89E6-B21A20146D67}"/>
    <cellStyle name="RISKtopEdge 2 23 2" xfId="44388" xr:uid="{B954672D-DDF4-499E-B4BD-948BAD8B6E74}"/>
    <cellStyle name="RISKtopEdge 2 24" xfId="27279" xr:uid="{44AE7326-F4D5-4847-8AD7-87A9B41C4E88}"/>
    <cellStyle name="RISKtopEdge 2 24 2" xfId="45582" xr:uid="{93115CDF-CC83-413B-88A3-7612A9E74D84}"/>
    <cellStyle name="RISKtopEdge 2 25" xfId="25835" xr:uid="{0889F11E-5F30-4A4A-980A-7E1FEB3B205C}"/>
    <cellStyle name="RISKtopEdge 2 25 2" xfId="44658" xr:uid="{0507055B-5467-42E9-BA21-B2638280070B}"/>
    <cellStyle name="RISKtopEdge 2 26" xfId="25467" xr:uid="{9DBACDC6-8800-4CC0-AD1F-749203E68588}"/>
    <cellStyle name="RISKtopEdge 2 26 2" xfId="44351" xr:uid="{6724390A-ACD3-4903-A3F5-CF79681CE7E9}"/>
    <cellStyle name="RISKtopEdge 2 27" xfId="26821" xr:uid="{62ED703E-0C36-4DF5-A4CD-CE46F5CD30FF}"/>
    <cellStyle name="RISKtopEdge 2 27 2" xfId="45292" xr:uid="{83E1E4BA-05B3-4F18-949B-102D096241EE}"/>
    <cellStyle name="RISKtopEdge 2 28" xfId="25613" xr:uid="{22ACC827-DFCC-401B-AB3A-DBBC765ED95F}"/>
    <cellStyle name="RISKtopEdge 2 28 2" xfId="44472" xr:uid="{D3862B8F-6213-4AA2-992A-A0048DDF2D8B}"/>
    <cellStyle name="RISKtopEdge 2 29" xfId="30381" xr:uid="{BCA796F1-F84A-4FEB-AD87-060A27A122CE}"/>
    <cellStyle name="RISKtopEdge 2 29 2" xfId="47479" xr:uid="{51225FD6-B731-4547-8678-7A9F9718F19D}"/>
    <cellStyle name="RISKtopEdge 2 3" xfId="4096" xr:uid="{D73AED35-05A2-4CB9-A24E-09C29B0AFAE0}"/>
    <cellStyle name="RISKtopEdge 2 3 10" xfId="17166" xr:uid="{96A5646B-BA59-4E98-8962-C1090AE76546}"/>
    <cellStyle name="RISKtopEdge 2 3 10 2" xfId="38495" xr:uid="{17A308B2-580F-482D-9D85-62E9F286E4F4}"/>
    <cellStyle name="RISKtopEdge 2 3 11" xfId="18015" xr:uid="{1ABF9B4A-2E93-4F85-B645-546C7D0B3C82}"/>
    <cellStyle name="RISKtopEdge 2 3 11 2" xfId="39111" xr:uid="{96337EAD-88A3-48D0-BDE7-C38B3BB62ACE}"/>
    <cellStyle name="RISKtopEdge 2 3 12" xfId="20622" xr:uid="{227D5AFC-34FE-4699-9C38-14C830F11D88}"/>
    <cellStyle name="RISKtopEdge 2 3 12 2" xfId="40982" xr:uid="{3FB4AD60-29F4-4A09-83B8-188545D3E958}"/>
    <cellStyle name="RISKtopEdge 2 3 13" xfId="17098" xr:uid="{EF6EB890-657D-4052-B9DE-3F894C7A3905}"/>
    <cellStyle name="RISKtopEdge 2 3 13 2" xfId="38437" xr:uid="{45C91A05-D0F2-4F45-A3E4-75CBA86BDECA}"/>
    <cellStyle name="RISKtopEdge 2 3 14" xfId="19402" xr:uid="{27FF2103-ACED-4FBB-813F-E1E5FEE488A3}"/>
    <cellStyle name="RISKtopEdge 2 3 14 2" xfId="40123" xr:uid="{DCB0E4BE-DCE0-415E-8BA6-720D4EF86F4C}"/>
    <cellStyle name="RISKtopEdge 2 3 15" xfId="20459" xr:uid="{801A6FB2-5625-42A8-B9AA-AD704F57048D}"/>
    <cellStyle name="RISKtopEdge 2 3 15 2" xfId="40853" xr:uid="{6FC1526A-2A52-4AC9-A371-D3BADE855B2A}"/>
    <cellStyle name="RISKtopEdge 2 3 16" xfId="19477" xr:uid="{B072928E-9BB0-47FF-9855-79C50FBF943A}"/>
    <cellStyle name="RISKtopEdge 2 3 16 2" xfId="40154" xr:uid="{DC5E41BF-098E-48E7-B37B-48437757C9B5}"/>
    <cellStyle name="RISKtopEdge 2 3 17" xfId="22166" xr:uid="{60D701B7-1915-48E7-8C17-3EDD75B35086}"/>
    <cellStyle name="RISKtopEdge 2 3 17 2" xfId="42046" xr:uid="{73747B85-B9C0-4969-B831-1C0F7872AA48}"/>
    <cellStyle name="RISKtopEdge 2 3 18" xfId="25331" xr:uid="{D190A5C2-1215-4ACA-80FC-D55762316CDC}"/>
    <cellStyle name="RISKtopEdge 2 3 18 2" xfId="44247" xr:uid="{CDDB8180-D5B2-4C9B-BFD5-97536342EC6B}"/>
    <cellStyle name="RISKtopEdge 2 3 19" xfId="23928" xr:uid="{61C7F6D9-DD1C-4602-9136-217FE25C376D}"/>
    <cellStyle name="RISKtopEdge 2 3 19 2" xfId="43305" xr:uid="{1EEF13E6-9A06-4478-AFAB-6F117CCB3A5D}"/>
    <cellStyle name="RISKtopEdge 2 3 2" xfId="7311" xr:uid="{72365844-626A-450C-9D71-C81503DE5EB2}"/>
    <cellStyle name="RISKtopEdge 2 3 2 2" xfId="31674" xr:uid="{DF58960E-F1B2-4F3B-B5D4-C812C46F7878}"/>
    <cellStyle name="RISKtopEdge 2 3 20" xfId="23416" xr:uid="{7CF47075-CC1D-44A6-BF65-D16A0A7A2BAC}"/>
    <cellStyle name="RISKtopEdge 2 3 20 2" xfId="42933" xr:uid="{66E9DBC4-7C94-4D46-BC58-40019CE7C098}"/>
    <cellStyle name="RISKtopEdge 2 3 21" xfId="27277" xr:uid="{3B0FB302-EB4A-4439-8326-22A2292D3D10}"/>
    <cellStyle name="RISKtopEdge 2 3 21 2" xfId="45580" xr:uid="{4D6605B2-EEDC-4CCD-ABE6-8F38AC4D975C}"/>
    <cellStyle name="RISKtopEdge 2 3 22" xfId="23640" xr:uid="{FDFE4C3F-92E2-4404-9E1C-E8849B9A6D75}"/>
    <cellStyle name="RISKtopEdge 2 3 22 2" xfId="43070" xr:uid="{B46D6E43-AB54-48B4-84FE-0DBB2F63D61A}"/>
    <cellStyle name="RISKtopEdge 2 3 23" xfId="23715" xr:uid="{AB46EE48-116C-4252-8F51-4240B1E82C14}"/>
    <cellStyle name="RISKtopEdge 2 3 23 2" xfId="43133" xr:uid="{D160D2AE-49B1-41E7-9941-3542E9356690}"/>
    <cellStyle name="RISKtopEdge 2 3 24" xfId="26972" xr:uid="{2EFBAAD3-E225-4795-BB85-A732BD9B8FFE}"/>
    <cellStyle name="RISKtopEdge 2 3 24 2" xfId="45379" xr:uid="{05AFCEA0-01DC-478A-9CC7-4936045BB7F0}"/>
    <cellStyle name="RISKtopEdge 2 3 25" xfId="28297" xr:uid="{ACD70BB8-00D5-4AB1-A89C-6E793384F209}"/>
    <cellStyle name="RISKtopEdge 2 3 25 2" xfId="46164" xr:uid="{2F738133-67E6-4759-A602-9776E3C58424}"/>
    <cellStyle name="RISKtopEdge 2 3 26" xfId="29889" xr:uid="{90CAC790-D2D7-4A76-A258-3A5BDACC6F96}"/>
    <cellStyle name="RISKtopEdge 2 3 26 2" xfId="47177" xr:uid="{DD621F1B-96C3-417D-A636-649476201255}"/>
    <cellStyle name="RISKtopEdge 2 3 27" xfId="30221" xr:uid="{6B59D7F3-2053-4A1C-85E6-CB2CFEB6DF6B}"/>
    <cellStyle name="RISKtopEdge 2 3 27 2" xfId="47382" xr:uid="{7CB397AF-7AD5-4B90-82CE-4A9F48F573E9}"/>
    <cellStyle name="RISKtopEdge 2 3 28" xfId="29877" xr:uid="{5FE9C94B-3A16-4AFD-828F-C16073C0424E}"/>
    <cellStyle name="RISKtopEdge 2 3 28 2" xfId="47165" xr:uid="{E77AEF27-79E1-42CF-B5D9-F90F7667D76A}"/>
    <cellStyle name="RISKtopEdge 2 3 29" xfId="30887" xr:uid="{CBAF12E7-EB13-48E4-AE59-FA6289244A87}"/>
    <cellStyle name="RISKtopEdge 2 3 29 2" xfId="47735" xr:uid="{7FB88CF4-0511-4451-9A74-EC277BF1E6D3}"/>
    <cellStyle name="RISKtopEdge 2 3 3" xfId="10299" xr:uid="{EB1A779D-6808-47B7-8223-20FECBD81A7B}"/>
    <cellStyle name="RISKtopEdge 2 3 3 2" xfId="33934" xr:uid="{4DCDA213-2F6E-4CB0-AE50-E283F3348326}"/>
    <cellStyle name="RISKtopEdge 2 3 30" xfId="6788" xr:uid="{C8199845-B025-4AAB-9D7D-013A5E91D9FD}"/>
    <cellStyle name="RISKtopEdge 2 3 4" xfId="12388" xr:uid="{0529DF7D-7332-48E4-9B5A-83016209500B}"/>
    <cellStyle name="RISKtopEdge 2 3 4 2" xfId="34875" xr:uid="{F8AC15DC-25F6-43CA-9157-CABA2DBFBB9B}"/>
    <cellStyle name="RISKtopEdge 2 3 5" xfId="11641" xr:uid="{4294A58C-9A50-43B0-8BFC-15BA404BEF3A}"/>
    <cellStyle name="RISKtopEdge 2 3 5 2" xfId="34254" xr:uid="{DF00B4BE-7726-48B7-B4EC-881457204399}"/>
    <cellStyle name="RISKtopEdge 2 3 6" xfId="12319" xr:uid="{B174EA66-AD53-4736-8BAD-461577FAC68A}"/>
    <cellStyle name="RISKtopEdge 2 3 6 2" xfId="34824" xr:uid="{1FD3169C-0431-4134-93C3-78EA1D02809A}"/>
    <cellStyle name="RISKtopEdge 2 3 7" xfId="14021" xr:uid="{57F93AD5-B7CF-4D68-9A18-9C5C72745C65}"/>
    <cellStyle name="RISKtopEdge 2 3 7 2" xfId="36115" xr:uid="{C41608E9-32E7-4EC3-ABD4-B6D5F87CB73B}"/>
    <cellStyle name="RISKtopEdge 2 3 8" xfId="17402" xr:uid="{2ED32CD6-847D-41B5-B05E-5E338E07AAD1}"/>
    <cellStyle name="RISKtopEdge 2 3 8 2" xfId="38649" xr:uid="{05645231-C2D3-4417-BFCC-3F6B148F45F2}"/>
    <cellStyle name="RISKtopEdge 2 3 9" xfId="18250" xr:uid="{17097A5F-4F8F-4584-9413-76013A9D637C}"/>
    <cellStyle name="RISKtopEdge 2 3 9 2" xfId="39281" xr:uid="{352B21F2-DE17-43D0-80A5-EFFC61C2CA20}"/>
    <cellStyle name="RISKtopEdge 2 30" xfId="30504" xr:uid="{BE09EAEE-BC3D-47EF-8D65-961DF277BF3F}"/>
    <cellStyle name="RISKtopEdge 2 30 2" xfId="47507" xr:uid="{185DC348-860B-4945-82F7-7EC2D53DBC81}"/>
    <cellStyle name="RISKtopEdge 2 31" xfId="30807" xr:uid="{874CB3B9-9635-4322-A0DA-2AAC8BBFF477}"/>
    <cellStyle name="RISKtopEdge 2 31 2" xfId="47731" xr:uid="{7D0AE011-CE1B-4572-8D57-B34259DAA8AB}"/>
    <cellStyle name="RISKtopEdge 2 32" xfId="30888" xr:uid="{0AFEF81E-88F1-4E35-B9C8-7C0EFDD09640}"/>
    <cellStyle name="RISKtopEdge 2 32 2" xfId="47736" xr:uid="{C1D717A6-A3CC-40DB-9E73-C5B7BF686D23}"/>
    <cellStyle name="RISKtopEdge 2 33" xfId="6029" xr:uid="{E7FB603C-B4E2-44AD-B6A4-13262617F1DD}"/>
    <cellStyle name="RISKtopEdge 2 4" xfId="4097" xr:uid="{8305608D-B7FD-473C-9478-D0843EE8C165}"/>
    <cellStyle name="RISKtopEdge 2 4 10" xfId="19134" xr:uid="{54CFBE3C-BCC4-4235-9B05-2F446168C76E}"/>
    <cellStyle name="RISKtopEdge 2 4 10 2" xfId="39943" xr:uid="{A2766C86-1AF4-4488-AFFF-790B699639EC}"/>
    <cellStyle name="RISKtopEdge 2 4 11" xfId="19886" xr:uid="{DBCFE239-8CA2-4C24-8498-35DA5EB36738}"/>
    <cellStyle name="RISKtopEdge 2 4 11 2" xfId="40498" xr:uid="{AE29FF8A-2BF2-4190-8DBB-4083212807F5}"/>
    <cellStyle name="RISKtopEdge 2 4 12" xfId="15372" xr:uid="{09A9145B-5C15-4C3D-97B5-154FD544DAA0}"/>
    <cellStyle name="RISKtopEdge 2 4 12 2" xfId="37072" xr:uid="{31B33AD8-94BA-4C32-B022-D1B119F7184E}"/>
    <cellStyle name="RISKtopEdge 2 4 13" xfId="17080" xr:uid="{C871C450-836A-48C8-93D2-45030C3AB20C}"/>
    <cellStyle name="RISKtopEdge 2 4 13 2" xfId="38419" xr:uid="{8CF9F8BA-47CB-4E4E-924F-41B1F102F000}"/>
    <cellStyle name="RISKtopEdge 2 4 14" xfId="22091" xr:uid="{BB335CD8-FACB-4363-92BC-B18B8F373EA4}"/>
    <cellStyle name="RISKtopEdge 2 4 14 2" xfId="41976" xr:uid="{4F89C912-2CFB-4666-8BD9-3A490C64CAE6}"/>
    <cellStyle name="RISKtopEdge 2 4 15" xfId="23132" xr:uid="{A4DE1A60-E740-4BEE-9F19-A1BBAA3DC34B}"/>
    <cellStyle name="RISKtopEdge 2 4 15 2" xfId="42731" xr:uid="{F62F8103-FB2E-4674-9B5F-EF3524489E31}"/>
    <cellStyle name="RISKtopEdge 2 4 16" xfId="23953" xr:uid="{BA43FD90-2572-40F8-8CEE-5EE835F84449}"/>
    <cellStyle name="RISKtopEdge 2 4 16 2" xfId="43330" xr:uid="{E91B267D-2B06-4CAA-A186-9ADEC97A70CF}"/>
    <cellStyle name="RISKtopEdge 2 4 17" xfId="18712" xr:uid="{826CCFFF-4781-4DA9-99E8-45046EADBC05}"/>
    <cellStyle name="RISKtopEdge 2 4 17 2" xfId="39590" xr:uid="{6C2BC572-2DE0-49C0-9FDC-A4CEC54BEDBF}"/>
    <cellStyle name="RISKtopEdge 2 4 18" xfId="20367" xr:uid="{278B4EBF-8C28-487F-83FE-89A67CB8000F}"/>
    <cellStyle name="RISKtopEdge 2 4 18 2" xfId="40794" xr:uid="{9A928A92-5D00-41E1-847A-2FE8752E403A}"/>
    <cellStyle name="RISKtopEdge 2 4 19" xfId="24969" xr:uid="{07327C0E-0A7B-46DD-96AA-BC2FCE849F1D}"/>
    <cellStyle name="RISKtopEdge 2 4 19 2" xfId="44047" xr:uid="{68CAF527-E3D5-437E-B767-7ABE182F2DB4}"/>
    <cellStyle name="RISKtopEdge 2 4 2" xfId="11739" xr:uid="{6DD37626-064B-4935-9FA3-256A98AEDAB5}"/>
    <cellStyle name="RISKtopEdge 2 4 2 2" xfId="34352" xr:uid="{736153A4-C9E2-4EEF-96BE-1145E5EF7CA2}"/>
    <cellStyle name="RISKtopEdge 2 4 20" xfId="25816" xr:uid="{BFBEA4A0-81A2-4BAE-8BBE-F86311B50614}"/>
    <cellStyle name="RISKtopEdge 2 4 20 2" xfId="44642" xr:uid="{C80B1412-CA68-4B74-A7D2-C2E29F742011}"/>
    <cellStyle name="RISKtopEdge 2 4 21" xfId="26163" xr:uid="{C5456D6B-D6D5-42CE-8863-848ABACF11B1}"/>
    <cellStyle name="RISKtopEdge 2 4 21 2" xfId="44893" xr:uid="{BE7411E9-304A-4D19-9A1C-C3A33DEB7D01}"/>
    <cellStyle name="RISKtopEdge 2 4 22" xfId="27783" xr:uid="{A40A1345-6D0F-4B17-A6E4-6CC579C34643}"/>
    <cellStyle name="RISKtopEdge 2 4 22 2" xfId="45870" xr:uid="{085567F1-D6CD-4FFF-91E1-BCAAE52FC3C6}"/>
    <cellStyle name="RISKtopEdge 2 4 23" xfId="23678" xr:uid="{0B7F7EFB-9A69-49FD-92AC-17F0D3DFE265}"/>
    <cellStyle name="RISKtopEdge 2 4 23 2" xfId="43100" xr:uid="{3B1EB0A9-6EDC-4988-8717-25216A3BF10A}"/>
    <cellStyle name="RISKtopEdge 2 4 24" xfId="25238" xr:uid="{EEDD9B5B-9740-492F-9F3F-77462932C54B}"/>
    <cellStyle name="RISKtopEdge 2 4 24 2" xfId="44168" xr:uid="{74819EDD-702C-4065-BAC2-7DF45F03EB0B}"/>
    <cellStyle name="RISKtopEdge 2 4 25" xfId="29183" xr:uid="{23B31E2B-4725-4B28-817E-E540A8C27C39}"/>
    <cellStyle name="RISKtopEdge 2 4 25 2" xfId="46709" xr:uid="{45AA3BE9-7E17-47F6-B050-4E44076C543E}"/>
    <cellStyle name="RISKtopEdge 2 4 26" xfId="30154" xr:uid="{E4C3406A-395A-4FC1-B94C-B5690A798813}"/>
    <cellStyle name="RISKtopEdge 2 4 26 2" xfId="47318" xr:uid="{C02E3E8A-2F72-455D-9655-449EB1EDCDDD}"/>
    <cellStyle name="RISKtopEdge 2 4 27" xfId="30665" xr:uid="{FBB45F9F-39FF-4AA3-80B2-70CE5D08A166}"/>
    <cellStyle name="RISKtopEdge 2 4 27 2" xfId="47611" xr:uid="{66A6E243-052D-4FD5-8FB1-A375E463CA9D}"/>
    <cellStyle name="RISKtopEdge 2 4 28" xfId="27528" xr:uid="{29B8A97D-48AC-408F-A696-2B1377BD2D4E}"/>
    <cellStyle name="RISKtopEdge 2 4 28 2" xfId="45720" xr:uid="{7C470A6D-F5AE-425D-9D58-A03E5406F42D}"/>
    <cellStyle name="RISKtopEdge 2 4 29" xfId="31011" xr:uid="{BFA5CC04-80A7-4796-BE9F-F386F9840FCE}"/>
    <cellStyle name="RISKtopEdge 2 4 29 2" xfId="47788" xr:uid="{EAAC632F-1988-428F-B6FA-FE09C83646A0}"/>
    <cellStyle name="RISKtopEdge 2 4 3" xfId="13160" xr:uid="{281CA8F7-541F-4C4E-B83B-5DBE8F2F5226}"/>
    <cellStyle name="RISKtopEdge 2 4 3 2" xfId="35508" xr:uid="{33D351F9-AD09-48F7-B5DC-71C2288B395A}"/>
    <cellStyle name="RISKtopEdge 2 4 30" xfId="6026" xr:uid="{62689A9A-3FE7-4804-826B-D84E2E8C3C1E}"/>
    <cellStyle name="RISKtopEdge 2 4 4" xfId="14176" xr:uid="{120020C0-CA3E-4952-A192-199E8F4625EA}"/>
    <cellStyle name="RISKtopEdge 2 4 4 2" xfId="36229" xr:uid="{D9F2197B-4E8E-4CA7-8CB5-C2A0639A5586}"/>
    <cellStyle name="RISKtopEdge 2 4 5" xfId="7206" xr:uid="{36291679-35D8-4B31-8B5A-4A085048C8DF}"/>
    <cellStyle name="RISKtopEdge 2 4 5 2" xfId="31572" xr:uid="{28676E90-0D9C-459C-B42F-605E0C2CBBD7}"/>
    <cellStyle name="RISKtopEdge 2 4 6" xfId="12751" xr:uid="{ED10017F-B3F5-4051-8CC1-70D3CA351F84}"/>
    <cellStyle name="RISKtopEdge 2 4 6 2" xfId="35160" xr:uid="{F3062384-C7DB-46DB-A1D5-1E48A1A72AFC}"/>
    <cellStyle name="RISKtopEdge 2 4 7" xfId="16527" xr:uid="{2277B6DB-6DC2-4001-9411-85BB1E3C99FC}"/>
    <cellStyle name="RISKtopEdge 2 4 7 2" xfId="38020" xr:uid="{A519AF7F-611F-4EA8-8A7A-05FF76023A4D}"/>
    <cellStyle name="RISKtopEdge 2 4 8" xfId="16800" xr:uid="{40412ECE-67DA-47C9-9381-DF0268C28D04}"/>
    <cellStyle name="RISKtopEdge 2 4 8 2" xfId="38233" xr:uid="{8A8233DA-7494-4F55-B561-CA75FC74FB1C}"/>
    <cellStyle name="RISKtopEdge 2 4 9" xfId="15796" xr:uid="{DE5F2E36-760A-498B-B6B8-CC339A6C537E}"/>
    <cellStyle name="RISKtopEdge 2 4 9 2" xfId="37411" xr:uid="{4B1AC3D9-6B0F-4B6F-A8C6-086ADF180E80}"/>
    <cellStyle name="RISKtopEdge 2 5" xfId="7313" xr:uid="{A6DE4199-62C0-4807-8C6A-21453B09CD2C}"/>
    <cellStyle name="RISKtopEdge 2 5 2" xfId="31676" xr:uid="{14D528ED-B46C-4B2F-97D0-021B3B3AC80D}"/>
    <cellStyle name="RISKtopEdge 2 6" xfId="10297" xr:uid="{C4F34FB9-31EC-48C7-8C8E-DE1F78EEB992}"/>
    <cellStyle name="RISKtopEdge 2 6 2" xfId="33932" xr:uid="{2F23CAE7-EC45-4ADB-BDEC-34554B0F0111}"/>
    <cellStyle name="RISKtopEdge 2 7" xfId="12386" xr:uid="{D2BE3341-FDA0-44C3-A9CB-29FC0CE5E1C9}"/>
    <cellStyle name="RISKtopEdge 2 7 2" xfId="34873" xr:uid="{EB175787-9630-45E6-8161-F4CE67E9008D}"/>
    <cellStyle name="RISKtopEdge 2 8" xfId="11643" xr:uid="{72C96E8F-F632-4910-9166-E9AEC373492A}"/>
    <cellStyle name="RISKtopEdge 2 8 2" xfId="34256" xr:uid="{B85C4DAE-33DC-4F4A-9B7E-39432D4C1ABC}"/>
    <cellStyle name="RISKtopEdge 2 9" xfId="12318" xr:uid="{3D228E20-E4F4-41B2-9CD5-4B921C2107AA}"/>
    <cellStyle name="RISKtopEdge 2 9 2" xfId="34823" xr:uid="{0C6FCE82-22C6-45E4-8243-264F060F7DD0}"/>
    <cellStyle name="RISKtopEdge 20" xfId="18016" xr:uid="{B078C121-CDF7-4428-9B5A-078B2B282472}"/>
    <cellStyle name="RISKtopEdge 20 2" xfId="39112" xr:uid="{E30D9417-3CEE-4A9E-A617-1638E62E843A}"/>
    <cellStyle name="RISKtopEdge 21" xfId="20625" xr:uid="{CF698F5E-D948-4BB0-8E14-0E5902E2CF87}"/>
    <cellStyle name="RISKtopEdge 21 2" xfId="40985" xr:uid="{AB3AA89D-0848-4DF8-8133-A4F231F58421}"/>
    <cellStyle name="RISKtopEdge 22" xfId="18996" xr:uid="{DD08AC29-7152-4E92-8982-F9341CDF0B49}"/>
    <cellStyle name="RISKtopEdge 22 2" xfId="39828" xr:uid="{8437751D-7045-47DB-80FF-7A93B8568CE9}"/>
    <cellStyle name="RISKtopEdge 23" xfId="21205" xr:uid="{CBC68063-FDD9-4D13-A4BF-B2317C977DDB}"/>
    <cellStyle name="RISKtopEdge 23 2" xfId="41398" xr:uid="{A30658D0-13C4-40A9-A13A-B5D6DDB59242}"/>
    <cellStyle name="RISKtopEdge 24" xfId="20460" xr:uid="{EAB8B5F0-2B51-48C3-B593-BB71B3740278}"/>
    <cellStyle name="RISKtopEdge 24 2" xfId="40854" xr:uid="{CD0617A6-D726-4A39-803B-7A6544C9AC71}"/>
    <cellStyle name="RISKtopEdge 25" xfId="18750" xr:uid="{EF326A90-BFBA-45A6-8E08-71972E5ED6BC}"/>
    <cellStyle name="RISKtopEdge 25 2" xfId="39625" xr:uid="{FBF28121-E453-4195-89F3-C888000F3615}"/>
    <cellStyle name="RISKtopEdge 26" xfId="20310" xr:uid="{B3CF7AE1-BA15-4E83-90EB-6785EDCB440F}"/>
    <cellStyle name="RISKtopEdge 26 2" xfId="40744" xr:uid="{A17272D4-CD5B-4D71-824B-6F028D10D2B1}"/>
    <cellStyle name="RISKtopEdge 27" xfId="23459" xr:uid="{F86CBD8B-F9A5-4E07-ADA3-4E940687616B}"/>
    <cellStyle name="RISKtopEdge 27 2" xfId="42965" xr:uid="{E622E891-336C-48A9-9D16-E8126FCBE793}"/>
    <cellStyle name="RISKtopEdge 28" xfId="19501" xr:uid="{DA91461D-8EE9-4A6A-AF28-54CC758A8084}"/>
    <cellStyle name="RISKtopEdge 28 2" xfId="40178" xr:uid="{292839F6-E25E-4AD8-BFB6-DAF1E7BD3CC0}"/>
    <cellStyle name="RISKtopEdge 29" xfId="24437" xr:uid="{9A6C9247-FAD5-4C67-BA99-3D667FBE1086}"/>
    <cellStyle name="RISKtopEdge 29 2" xfId="43649" xr:uid="{CE299810-17AE-403E-B74D-96430D8CBFDB}"/>
    <cellStyle name="RISKtopEdge 3" xfId="4098" xr:uid="{44BEE13C-BADB-4691-B8A5-15288FD8D5AD}"/>
    <cellStyle name="RISKtopEdge 3 10" xfId="17401" xr:uid="{804EB226-8206-44D7-8AC4-7D6DA43C5518}"/>
    <cellStyle name="RISKtopEdge 3 10 2" xfId="38648" xr:uid="{4935A10A-5076-4B53-A311-6BF0E0D0DB79}"/>
    <cellStyle name="RISKtopEdge 3 11" xfId="18249" xr:uid="{C2B4BF93-C28F-4EE8-9DBF-CFEAF6DAC118}"/>
    <cellStyle name="RISKtopEdge 3 11 2" xfId="39280" xr:uid="{676FBEA8-0B0D-4E78-8978-550F036099D1}"/>
    <cellStyle name="RISKtopEdge 3 12" xfId="16061" xr:uid="{16DD7944-A66B-4D2B-B45C-BA06BA776645}"/>
    <cellStyle name="RISKtopEdge 3 12 2" xfId="37637" xr:uid="{8BC12131-8C96-4F24-AA77-C40EF6BF331E}"/>
    <cellStyle name="RISKtopEdge 3 13" xfId="17686" xr:uid="{459E2D61-2344-472E-9904-9DE03108F2A1}"/>
    <cellStyle name="RISKtopEdge 3 13 2" xfId="38871" xr:uid="{DA750838-6593-465A-8F44-7A280254C059}"/>
    <cellStyle name="RISKtopEdge 3 14" xfId="20621" xr:uid="{13C27F6B-5402-4DC6-8BB3-6E038A265002}"/>
    <cellStyle name="RISKtopEdge 3 14 2" xfId="40981" xr:uid="{5240CBE2-E023-47F0-9F35-67114CC2FFF4}"/>
    <cellStyle name="RISKtopEdge 3 15" xfId="18992" xr:uid="{67563A47-694C-489F-AB02-8883A50C2850}"/>
    <cellStyle name="RISKtopEdge 3 15 2" xfId="39824" xr:uid="{79169951-F8D8-4672-B5C1-B7F4215EC577}"/>
    <cellStyle name="RISKtopEdge 3 16" xfId="21203" xr:uid="{FA3DBA98-68C5-4DF1-A70C-127B4E36681D}"/>
    <cellStyle name="RISKtopEdge 3 16 2" xfId="41396" xr:uid="{C7D9FCC2-BCE5-4FE5-9306-6BB961B451ED}"/>
    <cellStyle name="RISKtopEdge 3 17" xfId="20249" xr:uid="{AC3821E0-37F1-4955-AA06-B50C6A2B9DF3}"/>
    <cellStyle name="RISKtopEdge 3 17 2" xfId="40694" xr:uid="{FED69852-E25C-403D-BD93-2AE9A5DC03D3}"/>
    <cellStyle name="RISKtopEdge 3 18" xfId="23397" xr:uid="{886A4755-4AEC-4974-9D99-953AE11F05BF}"/>
    <cellStyle name="RISKtopEdge 3 18 2" xfId="42919" xr:uid="{FE157B09-243B-4072-8623-E3AED856B828}"/>
    <cellStyle name="RISKtopEdge 3 19" xfId="20311" xr:uid="{924187CD-CFAD-407A-9A90-BB6757BBDDDE}"/>
    <cellStyle name="RISKtopEdge 3 19 2" xfId="40745" xr:uid="{F1E66FBE-7599-4754-AA8F-2A312E6945AB}"/>
    <cellStyle name="RISKtopEdge 3 2" xfId="4099" xr:uid="{95E849C4-4778-42E4-9236-E4CDB3BEDF6C}"/>
    <cellStyle name="RISKtopEdge 3 2 10" xfId="19133" xr:uid="{73308845-28B9-46C9-9819-1614C42E9E21}"/>
    <cellStyle name="RISKtopEdge 3 2 10 2" xfId="39942" xr:uid="{2211DCEF-B123-4621-B7D8-DF28E1DF51DC}"/>
    <cellStyle name="RISKtopEdge 3 2 11" xfId="19885" xr:uid="{4550CE30-E14F-4C65-BA95-5012064646C2}"/>
    <cellStyle name="RISKtopEdge 3 2 11 2" xfId="40497" xr:uid="{E699119A-464B-4B3D-8AD3-A0F8BDD43316}"/>
    <cellStyle name="RISKtopEdge 3 2 12" xfId="18885" xr:uid="{6AC294C2-2E92-40B3-BD72-9186F0D75D4E}"/>
    <cellStyle name="RISKtopEdge 3 2 12 2" xfId="39718" xr:uid="{66259796-E775-47B0-A93D-86826F294F78}"/>
    <cellStyle name="RISKtopEdge 3 2 13" xfId="15344" xr:uid="{88E2649B-A136-4966-8F5C-18A9F8DA6D0C}"/>
    <cellStyle name="RISKtopEdge 3 2 13 2" xfId="37044" xr:uid="{503A64CF-BD75-4C53-95BF-577CCB5507FB}"/>
    <cellStyle name="RISKtopEdge 3 2 14" xfId="20161" xr:uid="{1AC1561B-F411-4FB0-BC6F-2477FE971788}"/>
    <cellStyle name="RISKtopEdge 3 2 14 2" xfId="40668" xr:uid="{85D348BF-8264-4227-ACB8-1F0069265CFD}"/>
    <cellStyle name="RISKtopEdge 3 2 15" xfId="23131" xr:uid="{5D26860B-8AC3-45C4-8B44-F4E09F61177A}"/>
    <cellStyle name="RISKtopEdge 3 2 15 2" xfId="42730" xr:uid="{125BD3A6-6350-4400-9170-F6E7C9DFBA7D}"/>
    <cellStyle name="RISKtopEdge 3 2 16" xfId="23952" xr:uid="{D0DD0EAA-EA3E-487B-91A9-84AEEFEB5802}"/>
    <cellStyle name="RISKtopEdge 3 2 16 2" xfId="43329" xr:uid="{FB1A6B8A-CFF2-4DAF-90A5-04A39C286278}"/>
    <cellStyle name="RISKtopEdge 3 2 17" xfId="20925" xr:uid="{17A346A5-965A-47F0-8BAD-5225C749687D}"/>
    <cellStyle name="RISKtopEdge 3 2 17 2" xfId="41227" xr:uid="{9788746F-253D-42C6-95A4-07727C91174E}"/>
    <cellStyle name="RISKtopEdge 3 2 18" xfId="24530" xr:uid="{C5A79A6E-AF4F-4234-B9C6-3B2CEC485021}"/>
    <cellStyle name="RISKtopEdge 3 2 18 2" xfId="43713" xr:uid="{0CF6BD02-B66B-4042-BBB7-787A2027D6B6}"/>
    <cellStyle name="RISKtopEdge 3 2 19" xfId="23927" xr:uid="{B7E8EF61-3E14-430D-B439-A5F14680C91E}"/>
    <cellStyle name="RISKtopEdge 3 2 19 2" xfId="43304" xr:uid="{6A8E90E2-0909-4D66-8582-6926C7662061}"/>
    <cellStyle name="RISKtopEdge 3 2 2" xfId="11738" xr:uid="{7C05AA16-0075-4397-AC67-1C4446888AAF}"/>
    <cellStyle name="RISKtopEdge 3 2 2 2" xfId="34351" xr:uid="{8CFCC841-6887-4864-A07B-A6E0A505D191}"/>
    <cellStyle name="RISKtopEdge 3 2 20" xfId="22670" xr:uid="{F1214356-A260-4D5E-A095-EAE10470D7D7}"/>
    <cellStyle name="RISKtopEdge 3 2 20 2" xfId="42440" xr:uid="{06CA288D-437D-4D82-8DE5-0D82124DE4B0}"/>
    <cellStyle name="RISKtopEdge 3 2 21" xfId="23786" xr:uid="{0FD1041D-0068-48B0-8EC3-D06E342636DF}"/>
    <cellStyle name="RISKtopEdge 3 2 21 2" xfId="43185" xr:uid="{2F148ED9-CC6A-4D47-9FDB-E166E25DCCB4}"/>
    <cellStyle name="RISKtopEdge 3 2 22" xfId="27782" xr:uid="{C5ED9C1A-C431-4769-805E-C2C3E6715821}"/>
    <cellStyle name="RISKtopEdge 3 2 22 2" xfId="45869" xr:uid="{4D7FC40B-533A-4220-9615-3FCA9FAEAFE3}"/>
    <cellStyle name="RISKtopEdge 3 2 23" xfId="24395" xr:uid="{938AA104-E935-428E-B2F5-D70A31311974}"/>
    <cellStyle name="RISKtopEdge 3 2 23 2" xfId="43636" xr:uid="{7DA13AE0-16E6-486C-8893-70532BCA4F5A}"/>
    <cellStyle name="RISKtopEdge 3 2 24" xfId="29200" xr:uid="{502EA0AA-D77E-438A-803A-60A0105DD32C}"/>
    <cellStyle name="RISKtopEdge 3 2 24 2" xfId="46726" xr:uid="{16428E1A-E17E-464B-B539-1DDE050548FF}"/>
    <cellStyle name="RISKtopEdge 3 2 25" xfId="28080" xr:uid="{D3763298-56F5-4E98-ABE4-CEB2C4AD32F3}"/>
    <cellStyle name="RISKtopEdge 3 2 25 2" xfId="46065" xr:uid="{539416D9-8AA9-44D2-ACA8-1CE38BBED0F8}"/>
    <cellStyle name="RISKtopEdge 3 2 26" xfId="29787" xr:uid="{3D0F60F1-7BD8-478C-B037-5FB034612AD1}"/>
    <cellStyle name="RISKtopEdge 3 2 26 2" xfId="47106" xr:uid="{CDB4DF9A-ACE8-43A6-9E17-4EB09630B7BD}"/>
    <cellStyle name="RISKtopEdge 3 2 27" xfId="30664" xr:uid="{1ACE58CE-D34D-4D88-BD20-3265A3AD2974}"/>
    <cellStyle name="RISKtopEdge 3 2 27 2" xfId="47610" xr:uid="{60184175-F16C-4D75-B29B-B004F35CBAB0}"/>
    <cellStyle name="RISKtopEdge 3 2 28" xfId="29612" xr:uid="{755DBA16-98CD-470D-8081-E8E900F9B4CD}"/>
    <cellStyle name="RISKtopEdge 3 2 28 2" xfId="47003" xr:uid="{E8549247-FB33-4713-8E96-1EF80A62E80C}"/>
    <cellStyle name="RISKtopEdge 3 2 29" xfId="30600" xr:uid="{66A27C14-9C16-411C-B4C5-D06CA550DD31}"/>
    <cellStyle name="RISKtopEdge 3 2 29 2" xfId="47546" xr:uid="{51DEAA28-50AF-49AA-AD8C-0CE998B1C3D4}"/>
    <cellStyle name="RISKtopEdge 3 2 3" xfId="13159" xr:uid="{E17C2453-5EEC-422E-AE58-E453CF3DDFA1}"/>
    <cellStyle name="RISKtopEdge 3 2 3 2" xfId="35507" xr:uid="{DE5C18F6-EEBB-414E-B13F-9998F3B18A66}"/>
    <cellStyle name="RISKtopEdge 3 2 30" xfId="6025" xr:uid="{A45B02CB-3949-417B-9EB4-B78FF1763C59}"/>
    <cellStyle name="RISKtopEdge 3 2 4" xfId="14175" xr:uid="{68075C13-C077-4650-B558-027EC1406E24}"/>
    <cellStyle name="RISKtopEdge 3 2 4 2" xfId="36228" xr:uid="{7E03E414-E9E7-4C6F-A8D1-78FFE9CE2367}"/>
    <cellStyle name="RISKtopEdge 3 2 5" xfId="7205" xr:uid="{0418318F-3322-4E22-AEED-C740E890100B}"/>
    <cellStyle name="RISKtopEdge 3 2 5 2" xfId="31571" xr:uid="{57C278B4-22D1-43D3-A119-E434321D41BF}"/>
    <cellStyle name="RISKtopEdge 3 2 6" xfId="15518" xr:uid="{AF649545-740E-4581-AC57-26FF8A212C90}"/>
    <cellStyle name="RISKtopEdge 3 2 6 2" xfId="37183" xr:uid="{6E326DE8-F1AD-4E52-B203-7A2E14B14AC6}"/>
    <cellStyle name="RISKtopEdge 3 2 7" xfId="16526" xr:uid="{B42DAB54-4818-420E-94C2-126878B8520E}"/>
    <cellStyle name="RISKtopEdge 3 2 7 2" xfId="38019" xr:uid="{B4B464C9-B686-42E5-8159-564F009FAEED}"/>
    <cellStyle name="RISKtopEdge 3 2 8" xfId="15638" xr:uid="{2AD1198C-1F66-4B79-AFAB-868E94627DEA}"/>
    <cellStyle name="RISKtopEdge 3 2 8 2" xfId="37296" xr:uid="{2F30E5F3-7867-4A48-A27B-7EC0BDFC5905}"/>
    <cellStyle name="RISKtopEdge 3 2 9" xfId="17669" xr:uid="{3AAE8657-0EE2-4B55-9321-C11EF0E4F0E1}"/>
    <cellStyle name="RISKtopEdge 3 2 9 2" xfId="38861" xr:uid="{E017B483-A42E-49D9-BCB9-32F8114736EF}"/>
    <cellStyle name="RISKtopEdge 3 20" xfId="23458" xr:uid="{4CA78410-FBFC-492F-920D-151FAF219416}"/>
    <cellStyle name="RISKtopEdge 3 20 2" xfId="42964" xr:uid="{A5244075-AB4E-4E8C-946A-84AB2CADC6FB}"/>
    <cellStyle name="RISKtopEdge 3 21" xfId="18755" xr:uid="{C5AEE4A8-6490-43C3-A75E-63C5E661E15D}"/>
    <cellStyle name="RISKtopEdge 3 21 2" xfId="39630" xr:uid="{6D15054F-B088-4751-BC59-1F8CAD5343E5}"/>
    <cellStyle name="RISKtopEdge 3 22" xfId="24436" xr:uid="{99643FCA-F404-433B-BE5F-AEE3CC8BFE6F}"/>
    <cellStyle name="RISKtopEdge 3 22 2" xfId="43648" xr:uid="{60B5CCD7-05CD-46AF-8A13-0B1CD3308934}"/>
    <cellStyle name="RISKtopEdge 3 23" xfId="26791" xr:uid="{065D38D4-C049-4217-A73C-4514FBFA72A4}"/>
    <cellStyle name="RISKtopEdge 3 23 2" xfId="45270" xr:uid="{D81D63FC-00FB-4EB8-BB1E-0DB9D1DB40FD}"/>
    <cellStyle name="RISKtopEdge 3 24" xfId="25976" xr:uid="{8027A7FB-3983-4016-85E7-504F1AB1598C}"/>
    <cellStyle name="RISKtopEdge 3 24 2" xfId="44764" xr:uid="{0E3A1C23-8234-461D-AF7A-E0CC5BC2006F}"/>
    <cellStyle name="RISKtopEdge 3 25" xfId="29445" xr:uid="{2219849A-F36A-4D55-90A3-4BBA7352018F}"/>
    <cellStyle name="RISKtopEdge 3 25 2" xfId="46903" xr:uid="{6AA3EEDD-3D65-486D-9DE3-979C146659A5}"/>
    <cellStyle name="RISKtopEdge 3 26" xfId="28282" xr:uid="{87F4E173-1F14-43B3-BAA3-B4245908A126}"/>
    <cellStyle name="RISKtopEdge 3 26 2" xfId="46149" xr:uid="{77DBB99A-5C58-437C-960A-67E9005248B0}"/>
    <cellStyle name="RISKtopEdge 3 27" xfId="26983" xr:uid="{E0A0C08E-EBAF-406E-A15C-B485C8210EF7}"/>
    <cellStyle name="RISKtopEdge 3 27 2" xfId="45390" xr:uid="{92CD2D41-D236-4731-85AE-95E5D771B54D}"/>
    <cellStyle name="RISKtopEdge 3 28" xfId="28051" xr:uid="{5825E6F5-E2C0-432C-B868-517F4136E045}"/>
    <cellStyle name="RISKtopEdge 3 28 2" xfId="46046" xr:uid="{B1E56073-D33A-4807-AB20-1FDD354829B5}"/>
    <cellStyle name="RISKtopEdge 3 29" xfId="27530" xr:uid="{EB7C1972-B875-4F67-B6C9-0F476BB2AA3E}"/>
    <cellStyle name="RISKtopEdge 3 29 2" xfId="45722" xr:uid="{0B02EB90-22F1-4ED5-8485-BF60BBAEBF60}"/>
    <cellStyle name="RISKtopEdge 3 3" xfId="4100" xr:uid="{D0F531D2-98BB-4092-8F03-5CAB47B6FB84}"/>
    <cellStyle name="RISKtopEdge 3 3 10" xfId="17165" xr:uid="{6A4EAD7A-F52C-4DAB-9C8C-7E520E10B4D6}"/>
    <cellStyle name="RISKtopEdge 3 3 10 2" xfId="38494" xr:uid="{82C95883-5FFB-4177-8914-3E99687A35BF}"/>
    <cellStyle name="RISKtopEdge 3 3 11" xfId="19357" xr:uid="{8C4AFDD4-830C-4D9D-9BF6-C78AABED2341}"/>
    <cellStyle name="RISKtopEdge 3 3 11 2" xfId="40084" xr:uid="{B2B05B7A-2C44-496C-889F-F242FE8694A3}"/>
    <cellStyle name="RISKtopEdge 3 3 12" xfId="20620" xr:uid="{21FD59E9-01A0-492D-85F3-5C1D2D7E5D81}"/>
    <cellStyle name="RISKtopEdge 3 3 12 2" xfId="40980" xr:uid="{71D46861-392F-4F8C-92B9-1D8666118B60}"/>
    <cellStyle name="RISKtopEdge 3 3 13" xfId="18975" xr:uid="{55726B41-5258-409B-AFF5-E042FB395F9D}"/>
    <cellStyle name="RISKtopEdge 3 3 13 2" xfId="39807" xr:uid="{1B3FAF50-1976-430F-8561-CDD418D028C0}"/>
    <cellStyle name="RISKtopEdge 3 3 14" xfId="17808" xr:uid="{1F00A748-C2CC-44B3-82EC-E8A86CFCFF7C}"/>
    <cellStyle name="RISKtopEdge 3 3 14 2" xfId="38933" xr:uid="{4EA55E8F-50AF-43D9-8F25-42985F766B50}"/>
    <cellStyle name="RISKtopEdge 3 3 15" xfId="18809" xr:uid="{D613B66D-0303-4052-B90D-6E26A39A4EFE}"/>
    <cellStyle name="RISKtopEdge 3 3 15 2" xfId="39661" xr:uid="{F91A883D-C543-4613-9E96-F997C95D6284}"/>
    <cellStyle name="RISKtopEdge 3 3 16" xfId="20329" xr:uid="{FEB37CC2-1C90-414B-83AA-AB7DB09BA7CE}"/>
    <cellStyle name="RISKtopEdge 3 3 16 2" xfId="40762" xr:uid="{FC418684-F6EE-4B54-8D81-041E678B9563}"/>
    <cellStyle name="RISKtopEdge 3 3 17" xfId="22167" xr:uid="{5E958E41-7210-4314-8891-771EF2B3BE3E}"/>
    <cellStyle name="RISKtopEdge 3 3 17 2" xfId="42047" xr:uid="{98133C9B-86F2-4D3D-98B6-C7AA4C155555}"/>
    <cellStyle name="RISKtopEdge 3 3 18" xfId="25332" xr:uid="{79DDF379-AD3B-4E8A-A61D-104C72DCDFB4}"/>
    <cellStyle name="RISKtopEdge 3 3 18 2" xfId="44248" xr:uid="{F561592A-D7A3-483C-8E27-D4BF86E886F6}"/>
    <cellStyle name="RISKtopEdge 3 3 19" xfId="23399" xr:uid="{15821829-BE1C-4F27-B81F-609559D6F06E}"/>
    <cellStyle name="RISKtopEdge 3 3 19 2" xfId="42921" xr:uid="{69F30199-A40D-4A87-A980-4461D884C88A}"/>
    <cellStyle name="RISKtopEdge 3 3 2" xfId="7309" xr:uid="{3633CA7A-3AF0-437C-9F78-84B74DD81B45}"/>
    <cellStyle name="RISKtopEdge 3 3 2 2" xfId="31672" xr:uid="{25724449-6C4C-4A18-AF3E-FB683C4F1E6C}"/>
    <cellStyle name="RISKtopEdge 3 3 20" xfId="18553" xr:uid="{D16FF6AB-BEBA-4CF7-AA6F-24FC0BA957BB}"/>
    <cellStyle name="RISKtopEdge 3 3 20 2" xfId="39497" xr:uid="{EBABB0E5-98AE-41B7-B9F0-C09939EFD098}"/>
    <cellStyle name="RISKtopEdge 3 3 21" xfId="27276" xr:uid="{BA7417A5-4642-41B7-889D-467C41D15CE7}"/>
    <cellStyle name="RISKtopEdge 3 3 21 2" xfId="45579" xr:uid="{7818C9B6-D857-47ED-A86F-469130F965CD}"/>
    <cellStyle name="RISKtopEdge 3 3 22" xfId="27499" xr:uid="{0A9CAF4F-7127-4A28-93A5-124EF9DAB005}"/>
    <cellStyle name="RISKtopEdge 3 3 22 2" xfId="45697" xr:uid="{56FD73CD-5BE2-4503-BDEE-99D50C7FDC2D}"/>
    <cellStyle name="RISKtopEdge 3 3 23" xfId="23604" xr:uid="{A6A06E93-AB97-4AE5-A244-D3BF8630CA9C}"/>
    <cellStyle name="RISKtopEdge 3 3 23 2" xfId="43039" xr:uid="{032912DB-547D-4F32-A8A9-D2542036DC31}"/>
    <cellStyle name="RISKtopEdge 3 3 24" xfId="29003" xr:uid="{430CFF2B-AF87-4CD5-9538-9C58DBB6A2B0}"/>
    <cellStyle name="RISKtopEdge 3 3 24 2" xfId="46597" xr:uid="{6B0D4121-5264-432C-9415-6919709490AF}"/>
    <cellStyle name="RISKtopEdge 3 3 25" xfId="29354" xr:uid="{F80F4A0E-ADCF-4C91-9BBB-31365DF2BD15}"/>
    <cellStyle name="RISKtopEdge 3 3 25 2" xfId="46827" xr:uid="{F23807C9-D1AF-4095-9C3B-369E85D32226}"/>
    <cellStyle name="RISKtopEdge 3 3 26" xfId="27748" xr:uid="{1350B60F-456E-466F-8E5D-D6E1404FB8BE}"/>
    <cellStyle name="RISKtopEdge 3 3 26 2" xfId="45849" xr:uid="{9BADC74E-27A6-4B85-917E-DEE3CFBF7ACC}"/>
    <cellStyle name="RISKtopEdge 3 3 27" xfId="30220" xr:uid="{00CC0E91-9534-435C-B0A8-5E90B0952F9D}"/>
    <cellStyle name="RISKtopEdge 3 3 27 2" xfId="47381" xr:uid="{65589618-D63F-4403-83FD-B287F40C7398}"/>
    <cellStyle name="RISKtopEdge 3 3 28" xfId="28906" xr:uid="{161EA44B-E7D9-4BB8-A027-948AED610AF2}"/>
    <cellStyle name="RISKtopEdge 3 3 28 2" xfId="46510" xr:uid="{DB453D07-EBB7-4648-99C8-8CF8FC24E3C4}"/>
    <cellStyle name="RISKtopEdge 3 3 29" xfId="30886" xr:uid="{BFFAAAD0-A2E7-4BA5-875A-EEF0119BEE62}"/>
    <cellStyle name="RISKtopEdge 3 3 29 2" xfId="47734" xr:uid="{B9F9FC81-A81F-401D-87EF-E452D5EDEBDA}"/>
    <cellStyle name="RISKtopEdge 3 3 3" xfId="10301" xr:uid="{988DB103-714F-4C59-A354-6293A14B54D0}"/>
    <cellStyle name="RISKtopEdge 3 3 3 2" xfId="33936" xr:uid="{D1ABA48B-128B-439A-BB31-1DA40EBC866A}"/>
    <cellStyle name="RISKtopEdge 3 3 30" xfId="6786" xr:uid="{0535671B-E54E-4323-B7F2-5004324A4DB1}"/>
    <cellStyle name="RISKtopEdge 3 3 4" xfId="12390" xr:uid="{5815F909-E625-49A7-BE63-EA3CC994AEAD}"/>
    <cellStyle name="RISKtopEdge 3 3 4 2" xfId="34877" xr:uid="{FB1624D2-03EB-4311-9F08-FEB25317DD22}"/>
    <cellStyle name="RISKtopEdge 3 3 5" xfId="11623" xr:uid="{C5E0F47C-09D7-4EBF-9CC4-76AC4FCBAE5D}"/>
    <cellStyle name="RISKtopEdge 3 3 5 2" xfId="34236" xr:uid="{FE6F91AA-8F21-4C88-9F75-094EF0187E47}"/>
    <cellStyle name="RISKtopEdge 3 3 6" xfId="14643" xr:uid="{B0A75257-176C-4393-B28A-72D6F740A072}"/>
    <cellStyle name="RISKtopEdge 3 3 6 2" xfId="36555" xr:uid="{17DA4DC0-B619-49DC-A5F2-3626493BBB2E}"/>
    <cellStyle name="RISKtopEdge 3 3 7" xfId="15199" xr:uid="{478DD460-AA9D-4055-A806-6DFBA6091BF1}"/>
    <cellStyle name="RISKtopEdge 3 3 7 2" xfId="36970" xr:uid="{C32CE1C5-7CFC-4150-8B4F-2150F2410F5E}"/>
    <cellStyle name="RISKtopEdge 3 3 8" xfId="17400" xr:uid="{1362C096-0964-4979-9DA7-55847F9399D9}"/>
    <cellStyle name="RISKtopEdge 3 3 8 2" xfId="38647" xr:uid="{E54298C2-6AA3-4A03-AED5-22FD4EC8FBC5}"/>
    <cellStyle name="RISKtopEdge 3 3 9" xfId="18248" xr:uid="{CE15D0E0-C642-46D3-A5CA-C23DF0CD9486}"/>
    <cellStyle name="RISKtopEdge 3 3 9 2" xfId="39279" xr:uid="{59B8D867-B763-4126-9CF0-9B3E1E5ABB79}"/>
    <cellStyle name="RISKtopEdge 3 30" xfId="30179" xr:uid="{0BC588D7-876B-4380-BBE2-F340E097D663}"/>
    <cellStyle name="RISKtopEdge 3 30 2" xfId="47343" xr:uid="{E22F7FDA-2808-4F0E-9A4A-138A74089916}"/>
    <cellStyle name="RISKtopEdge 3 31" xfId="30574" xr:uid="{710D2333-600C-4BD6-8229-D4E318F2E23C}"/>
    <cellStyle name="RISKtopEdge 3 31 2" xfId="47524" xr:uid="{11F62A41-2A33-4D0C-99AA-5BC6070BE1A0}"/>
    <cellStyle name="RISKtopEdge 3 32" xfId="6787" xr:uid="{6B6E8EE8-9F81-4834-A82F-0FCAC57C93BE}"/>
    <cellStyle name="RISKtopEdge 3 4" xfId="7310" xr:uid="{908BE0FB-8630-4CA4-917F-3230C027A49C}"/>
    <cellStyle name="RISKtopEdge 3 4 2" xfId="31673" xr:uid="{07CFA1BD-C0BC-4168-A4A0-A4116C816670}"/>
    <cellStyle name="RISKtopEdge 3 5" xfId="10300" xr:uid="{32395853-B67A-4A7E-935C-F963D6E27280}"/>
    <cellStyle name="RISKtopEdge 3 5 2" xfId="33935" xr:uid="{B22A35B9-4A43-404E-9BFB-FA556B51AF6C}"/>
    <cellStyle name="RISKtopEdge 3 6" xfId="12389" xr:uid="{431191D2-F401-4CB5-9688-F866DA7E6B2D}"/>
    <cellStyle name="RISKtopEdge 3 6 2" xfId="34876" xr:uid="{FBA53B8F-8787-43DA-B18C-95CB58E5936E}"/>
    <cellStyle name="RISKtopEdge 3 7" xfId="11640" xr:uid="{26C92292-C2AD-4622-825E-A357F758D92A}"/>
    <cellStyle name="RISKtopEdge 3 7 2" xfId="34253" xr:uid="{3CDFB048-56D4-4DD6-B42C-4C06CE5D8C0B}"/>
    <cellStyle name="RISKtopEdge 3 8" xfId="16018" xr:uid="{33263798-E190-434C-9B39-B523BF2A7A18}"/>
    <cellStyle name="RISKtopEdge 3 8 2" xfId="37601" xr:uid="{D2A691AF-C4FF-4931-8C23-813DF644CA0C}"/>
    <cellStyle name="RISKtopEdge 3 9" xfId="12543" xr:uid="{AEFF8007-C266-4C3D-93F5-B9B9B558926D}"/>
    <cellStyle name="RISKtopEdge 3 9 2" xfId="34987" xr:uid="{093F9C15-5180-4443-9959-6356818A359D}"/>
    <cellStyle name="RISKtopEdge 30" xfId="27280" xr:uid="{496C399F-805D-4633-8BE5-FDCD3078B32C}"/>
    <cellStyle name="RISKtopEdge 30 2" xfId="45583" xr:uid="{D6417414-6558-4F0B-A304-96231C836378}"/>
    <cellStyle name="RISKtopEdge 31" xfId="25975" xr:uid="{5E45790D-87EA-4B6E-B692-5D4A86C23BF0}"/>
    <cellStyle name="RISKtopEdge 31 2" xfId="44763" xr:uid="{CBC77AD0-3967-4496-B5A9-245B7EDFCF24}"/>
    <cellStyle name="RISKtopEdge 32" xfId="26442" xr:uid="{3652D58E-47CC-479D-BA5F-BA19EDD352F9}"/>
    <cellStyle name="RISKtopEdge 32 2" xfId="45073" xr:uid="{FA7C1A48-B876-456F-9652-7C215564CE90}"/>
    <cellStyle name="RISKtopEdge 33" xfId="29002" xr:uid="{8E7ABD3D-1069-4E9C-AEE7-341AB3482BFA}"/>
    <cellStyle name="RISKtopEdge 33 2" xfId="46596" xr:uid="{0C5934C4-D423-4CB8-8BE6-5E050B1F0A70}"/>
    <cellStyle name="RISKtopEdge 34" xfId="27580" xr:uid="{ED9C00F5-85EE-486D-9C8F-0CCA1A565F37}"/>
    <cellStyle name="RISKtopEdge 34 2" xfId="45729" xr:uid="{8AE05E67-3572-417F-943B-414D38279C40}"/>
    <cellStyle name="RISKtopEdge 35" xfId="27749" xr:uid="{B277B84C-237D-47BF-8E49-0709598F2489}"/>
    <cellStyle name="RISKtopEdge 35 2" xfId="45850" xr:uid="{07DF2A65-58FD-411C-A056-06C3F864B384}"/>
    <cellStyle name="RISKtopEdge 36" xfId="30222" xr:uid="{1F661CA4-20C2-4FD8-8009-7637A84C3A51}"/>
    <cellStyle name="RISKtopEdge 36 2" xfId="47383" xr:uid="{A580AD7C-CC62-4698-B8ED-F12124955EBB}"/>
    <cellStyle name="RISKtopEdge 37" xfId="23746" xr:uid="{17BD22DF-29EB-47C5-A06A-298ED1D907B5}"/>
    <cellStyle name="RISKtopEdge 37 2" xfId="43158" xr:uid="{E4E6DB0E-F520-4E10-8BAE-DDA6084395DD}"/>
    <cellStyle name="RISKtopEdge 38" xfId="30576" xr:uid="{C1986A3E-40F7-41F4-AAF7-FE67123C6376}"/>
    <cellStyle name="RISKtopEdge 38 2" xfId="47526" xr:uid="{E5111EFF-5E4E-46BC-91D3-73276FA5C00F}"/>
    <cellStyle name="RISKtopEdge 39" xfId="6030" xr:uid="{A05174BD-F5CD-4D09-88AA-8F6EAA21B4DC}"/>
    <cellStyle name="RISKtopEdge 4" xfId="4101" xr:uid="{5329DB0A-C8A0-44A3-9C0C-2728C57CEB40}"/>
    <cellStyle name="RISKtopEdge 4 10" xfId="13728" xr:uid="{2DD1E955-4603-443C-87B9-E263FE997940}"/>
    <cellStyle name="RISKtopEdge 4 10 2" xfId="35883" xr:uid="{5EFA1760-B91B-48D3-905B-37BCD5DFE6E8}"/>
    <cellStyle name="RISKtopEdge 4 11" xfId="16279" xr:uid="{7E015349-ED4C-496E-917B-344AA208E986}"/>
    <cellStyle name="RISKtopEdge 4 11 2" xfId="37816" xr:uid="{5DC2EA54-22C9-472B-86D6-29BD4533E9C4}"/>
    <cellStyle name="RISKtopEdge 4 12" xfId="19132" xr:uid="{E70CFECA-8952-499C-9328-67C8C69F210C}"/>
    <cellStyle name="RISKtopEdge 4 12 2" xfId="39941" xr:uid="{31822CD7-E069-4F4B-9F6F-08C3EDB47874}"/>
    <cellStyle name="RISKtopEdge 4 13" xfId="19884" xr:uid="{484F36C4-2A0E-4417-AB1A-6BC2E6432519}"/>
    <cellStyle name="RISKtopEdge 4 13 2" xfId="40496" xr:uid="{B88F1550-20D6-4900-9377-63DBF328C55C}"/>
    <cellStyle name="RISKtopEdge 4 14" xfId="16848" xr:uid="{AB085EF7-E602-40F5-A0C9-2A3444CB381B}"/>
    <cellStyle name="RISKtopEdge 4 14 2" xfId="38276" xr:uid="{C9248B8E-6FE9-4122-A9A9-8318278967C0}"/>
    <cellStyle name="RISKtopEdge 4 15" xfId="18991" xr:uid="{AABCBD2F-6D30-4110-BE32-C1AB4127B903}"/>
    <cellStyle name="RISKtopEdge 4 15 2" xfId="39823" xr:uid="{FC0A7130-248F-4C0D-8DA1-79AFA4E6BC4A}"/>
    <cellStyle name="RISKtopEdge 4 16" xfId="22092" xr:uid="{862F0FA8-CC10-4C23-B98D-49DF655E19FA}"/>
    <cellStyle name="RISKtopEdge 4 16 2" xfId="41977" xr:uid="{955E5797-D9FF-4C5E-A605-3C2AA28E1459}"/>
    <cellStyle name="RISKtopEdge 4 17" xfId="23130" xr:uid="{2920405B-81A3-4BE1-B643-8B39FC7E1906}"/>
    <cellStyle name="RISKtopEdge 4 17 2" xfId="42729" xr:uid="{6CAFB7AD-93B3-4079-8812-BCC825B19214}"/>
    <cellStyle name="RISKtopEdge 4 18" xfId="23951" xr:uid="{40F3FC26-EDE0-4C99-8824-72D655E62746}"/>
    <cellStyle name="RISKtopEdge 4 18 2" xfId="43328" xr:uid="{8F9073CC-E9F9-4CB8-A115-66EBA1BF64D5}"/>
    <cellStyle name="RISKtopEdge 4 19" xfId="18713" xr:uid="{CB43B559-E3C6-484F-BB1B-6CB5D882EE61}"/>
    <cellStyle name="RISKtopEdge 4 19 2" xfId="39591" xr:uid="{BC7B687A-F960-4AC6-8A17-4B17E7F8B64A}"/>
    <cellStyle name="RISKtopEdge 4 2" xfId="4102" xr:uid="{B95CAFE9-E505-43CC-B790-2AC643E68DE4}"/>
    <cellStyle name="RISKtopEdge 4 2 10" xfId="18517" xr:uid="{31FA2184-2794-4902-80A1-FF0C5273517E}"/>
    <cellStyle name="RISKtopEdge 4 2 10 2" xfId="39473" xr:uid="{EEBF02B7-80A1-48B3-9395-A92D8D7E9C28}"/>
    <cellStyle name="RISKtopEdge 4 2 11" xfId="18014" xr:uid="{76FD2BF5-5C68-4168-9979-F9D09AD2F799}"/>
    <cellStyle name="RISKtopEdge 4 2 11 2" xfId="39110" xr:uid="{8889080B-FE15-45A6-9D76-60D94837C212}"/>
    <cellStyle name="RISKtopEdge 4 2 12" xfId="20619" xr:uid="{A1B0B2AE-E1D2-4A72-AE4F-A7EA06B5AEE5}"/>
    <cellStyle name="RISKtopEdge 4 2 12 2" xfId="40979" xr:uid="{BE5E1231-A023-4FAF-B257-F305C63396B8}"/>
    <cellStyle name="RISKtopEdge 4 2 13" xfId="17097" xr:uid="{58EFC205-6B3D-4934-930A-FF688FB23E86}"/>
    <cellStyle name="RISKtopEdge 4 2 13 2" xfId="38436" xr:uid="{03C116D2-389D-4DBF-AA84-36E9FF92EC67}"/>
    <cellStyle name="RISKtopEdge 4 2 14" xfId="21202" xr:uid="{873AB3ED-CD0E-40B7-AEDB-404CB1CAC2BC}"/>
    <cellStyle name="RISKtopEdge 4 2 14 2" xfId="41395" xr:uid="{6460B57C-7FE4-4CFE-AF5D-D88F8F5B9658}"/>
    <cellStyle name="RISKtopEdge 4 2 15" xfId="20445" xr:uid="{03E782CC-98A8-4B68-AAA2-CFE6944A7743}"/>
    <cellStyle name="RISKtopEdge 4 2 15 2" xfId="40842" xr:uid="{1551D51D-1568-4EC8-94B5-FC1322830333}"/>
    <cellStyle name="RISKtopEdge 4 2 16" xfId="19497" xr:uid="{A4FF4D54-B1AC-47AB-9A1F-EADE35E10564}"/>
    <cellStyle name="RISKtopEdge 4 2 16 2" xfId="40174" xr:uid="{CC40EBD8-A8E6-4862-BA56-1BECB069148A}"/>
    <cellStyle name="RISKtopEdge 4 2 17" xfId="18571" xr:uid="{B15192C2-FD20-4BA4-B04A-0906732E8B39}"/>
    <cellStyle name="RISKtopEdge 4 2 17 2" xfId="39515" xr:uid="{6C36D1C2-A957-4DBE-8FCA-5CAE6CC3374D}"/>
    <cellStyle name="RISKtopEdge 4 2 18" xfId="22723" xr:uid="{1AA78787-8CED-4F70-96F0-62219207B315}"/>
    <cellStyle name="RISKtopEdge 4 2 18 2" xfId="42480" xr:uid="{F423A790-3170-4BC2-AE1F-B31F8E5E34BE}"/>
    <cellStyle name="RISKtopEdge 4 2 19" xfId="18757" xr:uid="{FDA95504-1003-45C7-BF51-48BDF64F09D2}"/>
    <cellStyle name="RISKtopEdge 4 2 19 2" xfId="39632" xr:uid="{96E68216-3DFA-4870-8D0A-2AC207F9F420}"/>
    <cellStyle name="RISKtopEdge 4 2 2" xfId="7308" xr:uid="{DFA996AB-ACB4-4B58-AE00-3CF8F1C42548}"/>
    <cellStyle name="RISKtopEdge 4 2 2 2" xfId="31671" xr:uid="{030ED28F-BD6A-4845-BD39-93928CFB850A}"/>
    <cellStyle name="RISKtopEdge 4 2 20" xfId="21933" xr:uid="{7AA834E9-621B-4C95-8F0C-C9D0CB0A8FDE}"/>
    <cellStyle name="RISKtopEdge 4 2 20 2" xfId="41848" xr:uid="{1289BEDC-071B-45C4-9FD0-4C030969C21F}"/>
    <cellStyle name="RISKtopEdge 4 2 21" xfId="27275" xr:uid="{A96CF21E-08A6-4E3C-9494-323727D45CBA}"/>
    <cellStyle name="RISKtopEdge 4 2 21 2" xfId="45578" xr:uid="{D20B0879-FC01-4854-9BD2-894524B66184}"/>
    <cellStyle name="RISKtopEdge 4 2 22" xfId="22640" xr:uid="{EA67DBE6-F2B8-43F9-9996-397E806E115D}"/>
    <cellStyle name="RISKtopEdge 4 2 22 2" xfId="42413" xr:uid="{CFC553B5-8605-467B-85D8-66CD14BACA0E}"/>
    <cellStyle name="RISKtopEdge 4 2 23" xfId="27459" xr:uid="{F20762D6-A6A8-48E3-B533-0037ADA32601}"/>
    <cellStyle name="RISKtopEdge 4 2 23 2" xfId="45690" xr:uid="{E6116B34-5F37-40A6-A9CD-DB876829C532}"/>
    <cellStyle name="RISKtopEdge 4 2 24" xfId="26971" xr:uid="{212B5B3F-250C-4E50-AFB5-D8F8F453D10F}"/>
    <cellStyle name="RISKtopEdge 4 2 24 2" xfId="45378" xr:uid="{663B615E-1A5C-463D-939B-DA222115B743}"/>
    <cellStyle name="RISKtopEdge 4 2 25" xfId="27681" xr:uid="{183BA583-5806-48E1-AB44-C8C270591B1E}"/>
    <cellStyle name="RISKtopEdge 4 2 25 2" xfId="45795" xr:uid="{604D5E8E-349A-4DE7-A9DE-CA154CBCBC6A}"/>
    <cellStyle name="RISKtopEdge 4 2 26" xfId="25845" xr:uid="{09DFB5D6-0EA3-4AFD-B3AD-8A3188DC77C9}"/>
    <cellStyle name="RISKtopEdge 4 2 26 2" xfId="44664" xr:uid="{AF7FFD5A-65D7-4DFA-9B4A-923F65000882}"/>
    <cellStyle name="RISKtopEdge 4 2 27" xfId="30219" xr:uid="{7C40AE1E-4C33-4439-ACC3-A360F8BDD953}"/>
    <cellStyle name="RISKtopEdge 4 2 27 2" xfId="47380" xr:uid="{8A9990C7-863A-49C4-BF2A-C9CDA45A54EE}"/>
    <cellStyle name="RISKtopEdge 4 2 28" xfId="30180" xr:uid="{42C44144-02CC-4F60-925B-7E6AA32836D3}"/>
    <cellStyle name="RISKtopEdge 4 2 28 2" xfId="47344" xr:uid="{1B89398A-2186-432F-8BFF-F4D51C59DB2E}"/>
    <cellStyle name="RISKtopEdge 4 2 29" xfId="30573" xr:uid="{231B55BB-7926-45CA-BF7F-C77E4DE32788}"/>
    <cellStyle name="RISKtopEdge 4 2 29 2" xfId="47523" xr:uid="{289FD877-4E6E-412F-8D03-D4616F0FAFB7}"/>
    <cellStyle name="RISKtopEdge 4 2 3" xfId="10302" xr:uid="{57867357-BA24-4993-8473-4646D12DE4CE}"/>
    <cellStyle name="RISKtopEdge 4 2 3 2" xfId="33937" xr:uid="{E26350DF-CD2F-4FEF-870C-2AE10E7BDFFF}"/>
    <cellStyle name="RISKtopEdge 4 2 30" xfId="6785" xr:uid="{E5EF401C-762C-4909-A876-2F43F7BA96A1}"/>
    <cellStyle name="RISKtopEdge 4 2 4" xfId="12391" xr:uid="{41F98CDE-2F33-48DC-B4FE-60EB3975EDF7}"/>
    <cellStyle name="RISKtopEdge 4 2 4 2" xfId="34878" xr:uid="{09852A08-D0F6-4043-8505-357572038308}"/>
    <cellStyle name="RISKtopEdge 4 2 5" xfId="7204" xr:uid="{03BBC08D-1E70-43B5-AFED-E9EA3295198D}"/>
    <cellStyle name="RISKtopEdge 4 2 5 2" xfId="31570" xr:uid="{7C332E7D-5F62-499C-A43B-D5566B0F3DDD}"/>
    <cellStyle name="RISKtopEdge 4 2 6" xfId="12321" xr:uid="{6066FBD9-F686-4507-A6DD-934F0F5B5BA5}"/>
    <cellStyle name="RISKtopEdge 4 2 6 2" xfId="34825" xr:uid="{912296B9-21B6-420D-B44A-B60955A635EC}"/>
    <cellStyle name="RISKtopEdge 4 2 7" xfId="14020" xr:uid="{6A326E49-7EC3-4B33-8579-0F9D5E186BDC}"/>
    <cellStyle name="RISKtopEdge 4 2 7 2" xfId="36114" xr:uid="{0DCD60E4-91DB-4EB8-A547-9199A3CE06B1}"/>
    <cellStyle name="RISKtopEdge 4 2 8" xfId="17399" xr:uid="{84E06150-BC14-4FDC-BB37-D4DD07614DF1}"/>
    <cellStyle name="RISKtopEdge 4 2 8 2" xfId="38646" xr:uid="{22598AC0-DD54-4F61-86BE-9F1A49BD62A3}"/>
    <cellStyle name="RISKtopEdge 4 2 9" xfId="18247" xr:uid="{C4BEF3F2-9BC8-45FE-8A7D-3C74111EB2BF}"/>
    <cellStyle name="RISKtopEdge 4 2 9 2" xfId="39278" xr:uid="{F7D7C9C1-3E4E-4955-9701-DB90B9E0F26F}"/>
    <cellStyle name="RISKtopEdge 4 20" xfId="21075" xr:uid="{DAF81037-7557-4FDC-8DB7-F93DADEF2F6F}"/>
    <cellStyle name="RISKtopEdge 4 20 2" xfId="41320" xr:uid="{5263AF28-9187-479D-BD2E-95C23E54ABC5}"/>
    <cellStyle name="RISKtopEdge 4 21" xfId="23926" xr:uid="{655EA4FF-81FE-481C-99E6-55FFBF675DDA}"/>
    <cellStyle name="RISKtopEdge 4 21 2" xfId="43303" xr:uid="{0CB9C058-821C-4F0F-92A8-95D050211F6C}"/>
    <cellStyle name="RISKtopEdge 4 22" xfId="25447" xr:uid="{157B2A68-AED3-4896-982C-DDDF3ED04AB2}"/>
    <cellStyle name="RISKtopEdge 4 22 2" xfId="44333" xr:uid="{3A4497DA-76A3-4ABA-B27C-B01FAABFB8F5}"/>
    <cellStyle name="RISKtopEdge 4 23" xfId="26162" xr:uid="{A1BEB60E-74CB-4F39-9A17-2B95281670A9}"/>
    <cellStyle name="RISKtopEdge 4 23 2" xfId="44892" xr:uid="{488D99C4-E63F-4FE3-BCE3-2CFEBEBEFC32}"/>
    <cellStyle name="RISKtopEdge 4 24" xfId="25836" xr:uid="{FDF243C5-F962-47F4-B04B-DD854F250CB8}"/>
    <cellStyle name="RISKtopEdge 4 24 2" xfId="44659" xr:uid="{1D9F8572-EE52-435B-AD4F-2CD8E0E23A0D}"/>
    <cellStyle name="RISKtopEdge 4 25" xfId="29266" xr:uid="{B86665C2-576C-469C-ACDF-763BD63DB261}"/>
    <cellStyle name="RISKtopEdge 4 25 2" xfId="46781" xr:uid="{ABCEBA19-A5D1-4237-9EBF-E5B7BD9BC53D}"/>
    <cellStyle name="RISKtopEdge 4 26" xfId="23737" xr:uid="{2ECE74A3-4400-4D71-9420-D3FDC9D31E2E}"/>
    <cellStyle name="RISKtopEdge 4 26 2" xfId="43151" xr:uid="{1DFF2E95-E62D-4020-AD08-0315AA915630}"/>
    <cellStyle name="RISKtopEdge 4 27" xfId="29774" xr:uid="{47431115-1912-42E9-AFBA-5AE423EBEB4C}"/>
    <cellStyle name="RISKtopEdge 4 27 2" xfId="47093" xr:uid="{1EF6AF40-32A1-43F6-BA2F-9677A026F945}"/>
    <cellStyle name="RISKtopEdge 4 28" xfId="28915" xr:uid="{3015EB5F-7539-4BB0-8D91-0968B434FD0A}"/>
    <cellStyle name="RISKtopEdge 4 28 2" xfId="46519" xr:uid="{AEA29998-D20C-4F23-8118-24FD80125642}"/>
    <cellStyle name="RISKtopEdge 4 29" xfId="27704" xr:uid="{DD0C4278-D881-48E1-81EE-9CB32F376E57}"/>
    <cellStyle name="RISKtopEdge 4 29 2" xfId="45813" xr:uid="{23C8C144-272A-4C98-8899-E09CE3189BF1}"/>
    <cellStyle name="RISKtopEdge 4 3" xfId="4103" xr:uid="{EAAB4FC4-6CE3-4D9C-A68C-397F28AFC911}"/>
    <cellStyle name="RISKtopEdge 4 3 10" xfId="19131" xr:uid="{9F490BFF-7118-4CFA-A179-DC9577B8ABD5}"/>
    <cellStyle name="RISKtopEdge 4 3 10 2" xfId="39940" xr:uid="{6EDB9479-854F-4644-99D1-8B1DD2D3D45F}"/>
    <cellStyle name="RISKtopEdge 4 3 11" xfId="19883" xr:uid="{85BE27B2-01D4-4168-A9A3-86C292CE6AEF}"/>
    <cellStyle name="RISKtopEdge 4 3 11 2" xfId="40495" xr:uid="{273B0E09-B656-4953-A899-E50F6AA2FE8E}"/>
    <cellStyle name="RISKtopEdge 4 3 12" xfId="18884" xr:uid="{5E068E8E-C69E-4B16-91CF-AF4E99D44160}"/>
    <cellStyle name="RISKtopEdge 4 3 12 2" xfId="39717" xr:uid="{8ABEF5E6-256F-4A4D-A96B-EFF925B78294}"/>
    <cellStyle name="RISKtopEdge 4 3 13" xfId="18990" xr:uid="{5F2BF8EF-2104-4376-AF1E-30462E983A1D}"/>
    <cellStyle name="RISKtopEdge 4 3 13 2" xfId="39822" xr:uid="{4F712CA6-EA10-4E8B-B9A5-51967415D45B}"/>
    <cellStyle name="RISKtopEdge 4 3 14" xfId="17864" xr:uid="{23CFD6F9-6D5D-4E14-8150-DC6E3CA50EF3}"/>
    <cellStyle name="RISKtopEdge 4 3 14 2" xfId="38980" xr:uid="{23F4F475-34BB-4F9D-AE6B-C6445C369BAF}"/>
    <cellStyle name="RISKtopEdge 4 3 15" xfId="23129" xr:uid="{BE0A83FA-766A-43C3-8BAD-AB138145F11D}"/>
    <cellStyle name="RISKtopEdge 4 3 15 2" xfId="42728" xr:uid="{9F140347-F33A-4A41-81D4-1491FF43134F}"/>
    <cellStyle name="RISKtopEdge 4 3 16" xfId="23950" xr:uid="{4BFB1444-FD70-4176-9D37-1419D4397FC7}"/>
    <cellStyle name="RISKtopEdge 4 3 16 2" xfId="43327" xr:uid="{777A5657-6C16-49EF-816E-26D89E08CCF9}"/>
    <cellStyle name="RISKtopEdge 4 3 17" xfId="20926" xr:uid="{5DFCC0C6-69B2-4E7E-B3D0-62880AD50195}"/>
    <cellStyle name="RISKtopEdge 4 3 17 2" xfId="41228" xr:uid="{0D08F2D6-9B05-4643-88D2-4FB55E4B3BD8}"/>
    <cellStyle name="RISKtopEdge 4 3 18" xfId="24529" xr:uid="{2B675E40-64FD-44E2-BB24-50031EEFD8C6}"/>
    <cellStyle name="RISKtopEdge 4 3 18 2" xfId="43712" xr:uid="{9F0ECEC0-9AB8-4610-98D8-9BF708398996}"/>
    <cellStyle name="RISKtopEdge 4 3 19" xfId="22710" xr:uid="{7AB155C3-B70C-4E1F-8517-C82A36C89EEC}"/>
    <cellStyle name="RISKtopEdge 4 3 19 2" xfId="42469" xr:uid="{6F5115DB-EDF1-4623-8B5B-DCE5F4520C1D}"/>
    <cellStyle name="RISKtopEdge 4 3 2" xfId="11736" xr:uid="{C201326C-9B25-485E-987B-23192FB1645C}"/>
    <cellStyle name="RISKtopEdge 4 3 2 2" xfId="34349" xr:uid="{97ED64AF-F74E-4C65-875A-8E1FCE200DDA}"/>
    <cellStyle name="RISKtopEdge 4 3 20" xfId="26438" xr:uid="{175D21A2-2628-44E6-BF74-737E64B9B519}"/>
    <cellStyle name="RISKtopEdge 4 3 20 2" xfId="45069" xr:uid="{DB46FBB7-D7E9-4F7C-BB7D-6B8D57A9705D}"/>
    <cellStyle name="RISKtopEdge 4 3 21" xfId="20294" xr:uid="{ECC6B55B-67B4-4DC0-8009-6876B1A89A26}"/>
    <cellStyle name="RISKtopEdge 4 3 21 2" xfId="40731" xr:uid="{6BACD716-A2A2-4110-A9BD-3EC21ABF2532}"/>
    <cellStyle name="RISKtopEdge 4 3 22" xfId="27781" xr:uid="{DE445DEC-97DE-43FB-8875-BF2D5C8F7CF8}"/>
    <cellStyle name="RISKtopEdge 4 3 22 2" xfId="45868" xr:uid="{FB7B8DBA-C67A-4D51-A134-59CA24BF4D41}"/>
    <cellStyle name="RISKtopEdge 4 3 23" xfId="23600" xr:uid="{18D0FB9E-A56D-4A90-8A1F-CA2F1672ED1B}"/>
    <cellStyle name="RISKtopEdge 4 3 23 2" xfId="43035" xr:uid="{B6DC6F12-C91C-4DE8-B7B3-CA057B3E15D9}"/>
    <cellStyle name="RISKtopEdge 4 3 24" xfId="26896" xr:uid="{50B50BA5-AEC5-4033-BC12-CBBCBFA65D38}"/>
    <cellStyle name="RISKtopEdge 4 3 24 2" xfId="45319" xr:uid="{22769FB1-2089-4352-BE0A-8DE66B0D47B6}"/>
    <cellStyle name="RISKtopEdge 4 3 25" xfId="28296" xr:uid="{9489194A-B2E3-4861-B23D-C110F51814CC}"/>
    <cellStyle name="RISKtopEdge 4 3 25 2" xfId="46163" xr:uid="{5FD85DFE-5A0B-489F-B91E-C75B9AB44530}"/>
    <cellStyle name="RISKtopEdge 4 3 26" xfId="30155" xr:uid="{13210B79-8865-4151-9C6F-DBDE3F572AAE}"/>
    <cellStyle name="RISKtopEdge 4 3 26 2" xfId="47319" xr:uid="{F8D78908-6064-450D-99A7-ABC1CE18A2AF}"/>
    <cellStyle name="RISKtopEdge 4 3 27" xfId="30663" xr:uid="{3AA73316-F675-49EB-9A44-6B98A9F259F4}"/>
    <cellStyle name="RISKtopEdge 4 3 27 2" xfId="47609" xr:uid="{4A2E15AB-120C-4B95-B67F-2F4AC3C1A3DA}"/>
    <cellStyle name="RISKtopEdge 4 3 28" xfId="30181" xr:uid="{8802B729-AD8A-4DC9-A8FA-BB24CF41FC2A}"/>
    <cellStyle name="RISKtopEdge 4 3 28 2" xfId="47345" xr:uid="{1268C901-8BFA-4147-862D-552955270B81}"/>
    <cellStyle name="RISKtopEdge 4 3 29" xfId="29035" xr:uid="{44F5EABC-E99C-489B-AEF2-0F205558CC51}"/>
    <cellStyle name="RISKtopEdge 4 3 29 2" xfId="46622" xr:uid="{FBE32B2D-230E-48A7-8FA8-BB3FA5701B9E}"/>
    <cellStyle name="RISKtopEdge 4 3 3" xfId="13157" xr:uid="{6C0CADEB-F38F-4B6E-B2A9-258DC4436F10}"/>
    <cellStyle name="RISKtopEdge 4 3 3 2" xfId="35505" xr:uid="{D4AF794D-D5F9-4D92-B58A-0D9D6B5961CA}"/>
    <cellStyle name="RISKtopEdge 4 3 30" xfId="6023" xr:uid="{1FD8B39D-0BB7-4116-9A45-6A03A22E9AF6}"/>
    <cellStyle name="RISKtopEdge 4 3 4" xfId="14173" xr:uid="{7D82B4FA-0B28-4FD9-955B-41AAFE9155EA}"/>
    <cellStyle name="RISKtopEdge 4 3 4 2" xfId="36226" xr:uid="{084272FC-D4DA-4C76-B4DF-EB75A99844A2}"/>
    <cellStyle name="RISKtopEdge 4 3 5" xfId="11638" xr:uid="{A2172104-D028-4CC1-B6FE-AE7AD752E765}"/>
    <cellStyle name="RISKtopEdge 4 3 5 2" xfId="34251" xr:uid="{52D01FB7-89F7-4920-9D2D-9AD8DE1463FB}"/>
    <cellStyle name="RISKtopEdge 4 3 6" xfId="15519" xr:uid="{856E73EF-645F-474B-9900-8F7D266EEFB2}"/>
    <cellStyle name="RISKtopEdge 4 3 6 2" xfId="37184" xr:uid="{1F9D26A5-E305-491B-A4FF-FC345A70ECB0}"/>
    <cellStyle name="RISKtopEdge 4 3 7" xfId="16524" xr:uid="{7F3D671C-C725-4912-AC31-ED3E78AE2184}"/>
    <cellStyle name="RISKtopEdge 4 3 7 2" xfId="38017" xr:uid="{2059627F-D650-423B-A4DA-65D5B9C2E495}"/>
    <cellStyle name="RISKtopEdge 4 3 8" xfId="13877" xr:uid="{BCF99507-EA73-4020-B7BA-7046244E7095}"/>
    <cellStyle name="RISKtopEdge 4 3 8 2" xfId="36000" xr:uid="{C3E4A5F9-3A57-47D0-856D-12EDA14B25D3}"/>
    <cellStyle name="RISKtopEdge 4 3 9" xfId="12617" xr:uid="{B1A317DC-3D96-40AE-BCAC-7DA3919D1F5D}"/>
    <cellStyle name="RISKtopEdge 4 3 9 2" xfId="35049" xr:uid="{D4BD0BE2-3327-407A-9E27-AD5DD5597285}"/>
    <cellStyle name="RISKtopEdge 4 30" xfId="29245" xr:uid="{0FEF0893-D7E6-4006-BA91-051BCAEAE616}"/>
    <cellStyle name="RISKtopEdge 4 30 2" xfId="46763" xr:uid="{6DE5833E-FA2A-4A6D-AA62-B3063150B97A}"/>
    <cellStyle name="RISKtopEdge 4 31" xfId="30185" xr:uid="{FA9D2FCA-1510-4AF9-A995-DDDB1EE8AC3B}"/>
    <cellStyle name="RISKtopEdge 4 31 2" xfId="47346" xr:uid="{27324807-E82A-4487-9842-C4AA69378F2D}"/>
    <cellStyle name="RISKtopEdge 4 32" xfId="6024" xr:uid="{D23F7193-4603-497B-A19D-A4F5C1FAA2F2}"/>
    <cellStyle name="RISKtopEdge 4 4" xfId="11737" xr:uid="{2F927CF0-9CA4-4342-BF7F-262761BB3D13}"/>
    <cellStyle name="RISKtopEdge 4 4 2" xfId="34350" xr:uid="{D2A5DB4B-2B1F-43C3-89EC-CED8D6CDF9B7}"/>
    <cellStyle name="RISKtopEdge 4 5" xfId="13158" xr:uid="{98B39D43-2FEC-40FE-8335-3C9623BAF409}"/>
    <cellStyle name="RISKtopEdge 4 5 2" xfId="35506" xr:uid="{4D516225-8E62-4E3A-8E11-CDE8D1610B8A}"/>
    <cellStyle name="RISKtopEdge 4 6" xfId="14174" xr:uid="{FFA0021B-29C4-4939-AEE2-85AA5CBA6C3B}"/>
    <cellStyle name="RISKtopEdge 4 6 2" xfId="36227" xr:uid="{F5CC06E5-8635-415D-84EB-D4FEFE2374B4}"/>
    <cellStyle name="RISKtopEdge 4 7" xfId="11639" xr:uid="{ADFCBC19-1806-436C-82B2-13AC026EEA8D}"/>
    <cellStyle name="RISKtopEdge 4 7 2" xfId="34252" xr:uid="{7E9D70C7-830E-41D3-826F-B1E567EF2DAD}"/>
    <cellStyle name="RISKtopEdge 4 8" xfId="13818" xr:uid="{50C1520D-F3AF-4B15-AF04-CD831915CF55}"/>
    <cellStyle name="RISKtopEdge 4 8 2" xfId="35943" xr:uid="{B4183DCC-8FE9-4993-A232-F9EB0384B527}"/>
    <cellStyle name="RISKtopEdge 4 9" xfId="16525" xr:uid="{CE097DA0-9B33-47DB-BE3D-55614DE7FB2A}"/>
    <cellStyle name="RISKtopEdge 4 9 2" xfId="38018" xr:uid="{FA2BB3F0-BA49-4B46-B1D9-CCCFF3DDBFA6}"/>
    <cellStyle name="RISKtopEdge 5" xfId="4104" xr:uid="{D451D5AB-9010-4469-9ED1-CB469446F993}"/>
    <cellStyle name="RISKtopEdge 5 2" xfId="4105" xr:uid="{9188FD84-9A12-4C3F-9ADC-3EC925EFA3AA}"/>
    <cellStyle name="RISKtopEdge 5 2 2" xfId="10603" xr:uid="{CB3ED15A-EAD6-4BC4-9313-53C23655E717}"/>
    <cellStyle name="RISKtopEdge 5 3" xfId="4106" xr:uid="{7081CE73-C822-4C10-9C26-B70A765DE3CF}"/>
    <cellStyle name="RISKtopEdge 5 3 2" xfId="10604" xr:uid="{E6B9BFBF-BC69-4617-93DB-CFE52AAA9040}"/>
    <cellStyle name="RISKtopEdge 5 4" xfId="10602" xr:uid="{C99137A7-BAA0-413B-8662-E7A6F612232F}"/>
    <cellStyle name="RISKtopEdge 6" xfId="4107" xr:uid="{6CD35813-A737-4F02-82ED-5BB0881D2354}"/>
    <cellStyle name="RISKtopEdge 6 2" xfId="4108" xr:uid="{95B80A1F-AFBB-4ACE-89ED-9823469F8EA1}"/>
    <cellStyle name="RISKtopEdge 6 2 2" xfId="10606" xr:uid="{986B5E75-A34A-4F88-983B-F78ACED6CF0B}"/>
    <cellStyle name="RISKtopEdge 6 3" xfId="4109" xr:uid="{84571BBC-D915-4242-9E81-0E7389CA4DA9}"/>
    <cellStyle name="RISKtopEdge 6 3 2" xfId="10607" xr:uid="{DB28EF2D-C891-4901-8BA7-AC74FC662A4D}"/>
    <cellStyle name="RISKtopEdge 6 4" xfId="10605" xr:uid="{2F2D6227-B671-4022-9126-57FD5F89F6C8}"/>
    <cellStyle name="RISKtopEdge 7" xfId="4110" xr:uid="{2677E695-7564-4A88-B9F2-8C42D7CFCF3E}"/>
    <cellStyle name="RISKtopEdge 7 2" xfId="4111" xr:uid="{33DA0BE1-37D8-4B66-89D8-BC2610239EDB}"/>
    <cellStyle name="RISKtopEdge 7 2 2" xfId="10609" xr:uid="{641E4A67-99CD-4E2A-88C2-57D2359C9199}"/>
    <cellStyle name="RISKtopEdge 7 3" xfId="4112" xr:uid="{D2B52D35-1B55-4139-BAF6-E64B9251467F}"/>
    <cellStyle name="RISKtopEdge 7 3 2" xfId="10610" xr:uid="{4822EA06-1348-488B-8695-0EB4C3B766D3}"/>
    <cellStyle name="RISKtopEdge 7 4" xfId="10608" xr:uid="{59E04B1A-701F-415A-A39E-B5D2BB0DCB21}"/>
    <cellStyle name="RISKtopEdge 8" xfId="4113" xr:uid="{172BA0A0-4918-400E-BFBA-1879B5FCE0C2}"/>
    <cellStyle name="RISKtopEdge 8 2" xfId="4114" xr:uid="{E52B161C-D3C2-45DA-91DE-185CD08F38FF}"/>
    <cellStyle name="RISKtopEdge 8 2 2" xfId="10612" xr:uid="{D124B7CA-239B-45B0-9E4E-E92E3FC4C328}"/>
    <cellStyle name="RISKtopEdge 8 3" xfId="4115" xr:uid="{D5F08709-B1D8-402F-A8EB-06E415FF9FCD}"/>
    <cellStyle name="RISKtopEdge 8 3 2" xfId="10613" xr:uid="{7721CA40-B34C-4649-A5BE-A60EF9F941EF}"/>
    <cellStyle name="RISKtopEdge 8 4" xfId="10611" xr:uid="{756B426A-3F5B-42EB-9E0C-B7483A3E2B42}"/>
    <cellStyle name="RISKtopEdge 9" xfId="4116" xr:uid="{39C3335A-7756-4440-9577-E7A856D49991}"/>
    <cellStyle name="RISKtopEdge 9 2" xfId="10614" xr:uid="{17238913-B7EE-4A8F-9168-FA9C122E3D9A}"/>
    <cellStyle name="RISKtrCorner" xfId="4117" xr:uid="{BEEBA442-867C-490F-B96B-F81765A3BDA2}"/>
    <cellStyle name="RISKtrCorner 10" xfId="4118" xr:uid="{8B94674F-C033-4EF2-A7B3-3108F61C6921}"/>
    <cellStyle name="RISKtrCorner 10 2" xfId="10616" xr:uid="{6CACD848-740F-4518-B2B0-A80EE5011594}"/>
    <cellStyle name="RISKtrCorner 11" xfId="5680" xr:uid="{039CC562-7DA3-48B1-95D5-645E00C66368}"/>
    <cellStyle name="RISKtrCorner 11 10" xfId="20054" xr:uid="{B01C863C-E5C7-4D22-9F49-D2EDC5BF5F86}"/>
    <cellStyle name="RISKtrCorner 11 10 2" xfId="40614" xr:uid="{865792F5-6F73-4D44-9D99-7148258FE5B8}"/>
    <cellStyle name="RISKtrCorner 11 11" xfId="20823" xr:uid="{66C00516-AF33-4EB6-8B5A-0C6869636845}"/>
    <cellStyle name="RISKtrCorner 11 11 2" xfId="41179" xr:uid="{766BD12D-A5C9-4503-BB96-470440947D57}"/>
    <cellStyle name="RISKtrCorner 11 12" xfId="21669" xr:uid="{75BB3885-DF12-4F71-9680-D15ECCC10AC1}"/>
    <cellStyle name="RISKtrCorner 11 12 2" xfId="41739" xr:uid="{484062DC-6A08-418C-A5BA-6C9A69B96AEC}"/>
    <cellStyle name="RISKtrCorner 11 13" xfId="21755" xr:uid="{98EFF75D-F694-4681-9300-7BA028B8AD6B}"/>
    <cellStyle name="RISKtrCorner 11 13 2" xfId="41775" xr:uid="{EB90FB99-BE3C-4846-A677-5BFECC997AC6}"/>
    <cellStyle name="RISKtrCorner 11 14" xfId="23333" xr:uid="{85780361-95F4-4DDF-80B0-025023873064}"/>
    <cellStyle name="RISKtrCorner 11 14 2" xfId="42902" xr:uid="{F65F1661-4EC4-4326-B48D-2C53E152F1BF}"/>
    <cellStyle name="RISKtrCorner 11 15" xfId="24136" xr:uid="{5E74B4A1-1755-4306-8177-3CB83B778BB6}"/>
    <cellStyle name="RISKtrCorner 11 15 2" xfId="43509" xr:uid="{0533F9F2-D773-4E05-BD0D-71F583AA0647}"/>
    <cellStyle name="RISKtrCorner 11 16" xfId="24962" xr:uid="{7C2C2E8E-BF72-4C3D-A3F4-3E808F98099A}"/>
    <cellStyle name="RISKtrCorner 11 16 2" xfId="44044" xr:uid="{2520E588-0543-4393-8C34-0526FF51656C}"/>
    <cellStyle name="RISKtrCorner 11 17" xfId="25252" xr:uid="{49BF7E0C-210A-4E04-BD97-0029DFBB26FF}"/>
    <cellStyle name="RISKtrCorner 11 17 2" xfId="44175" xr:uid="{39773F40-0DAE-4B2D-8301-715012D45115}"/>
    <cellStyle name="RISKtrCorner 11 18" xfId="26372" xr:uid="{B6DE9204-C7E6-438A-816D-35511664B0BB}"/>
    <cellStyle name="RISKtrCorner 11 18 2" xfId="45051" xr:uid="{8783CA4F-A3F3-4C29-A8AD-8A6EDEFB7B36}"/>
    <cellStyle name="RISKtrCorner 11 19" xfId="26733" xr:uid="{DDDED50C-721C-4816-BAE1-AB6943C6838B}"/>
    <cellStyle name="RISKtrCorner 11 19 2" xfId="45261" xr:uid="{9654AC1F-2EF2-4CAA-8253-00CD0674FB00}"/>
    <cellStyle name="RISKtrCorner 11 2" xfId="13406" xr:uid="{27FB9A98-A875-4801-813E-99D2A21E39CD}"/>
    <cellStyle name="RISKtrCorner 11 2 2" xfId="35713" xr:uid="{64A36CEA-CB92-4B64-B91C-1FD16C479DC5}"/>
    <cellStyle name="RISKtrCorner 11 20" xfId="27435" xr:uid="{B56B1FA8-C993-489E-930B-3D3EA92AF321}"/>
    <cellStyle name="RISKtrCorner 11 20 2" xfId="45680" xr:uid="{39C0112B-217B-4588-8308-9237C2187872}"/>
    <cellStyle name="RISKtrCorner 11 21" xfId="27976" xr:uid="{9BB3E399-6E3B-4C1C-AADF-7767BC470E44}"/>
    <cellStyle name="RISKtrCorner 11 21 2" xfId="46032" xr:uid="{C5D464D6-4B9F-48EF-8592-4F5360BB9915}"/>
    <cellStyle name="RISKtrCorner 11 22" xfId="28702" xr:uid="{5D149069-ABF5-4B5A-A294-26FAF99B56D2}"/>
    <cellStyle name="RISKtrCorner 11 22 2" xfId="46432" xr:uid="{5A96E94F-9770-4392-B963-CD0637244C3D}"/>
    <cellStyle name="RISKtrCorner 11 23" xfId="28763" xr:uid="{33A34090-DE81-4149-B211-8BB44793FAD9}"/>
    <cellStyle name="RISKtrCorner 11 23 2" xfId="46443" xr:uid="{5913FC47-444A-4B82-923F-972CAD988EBB}"/>
    <cellStyle name="RISKtrCorner 11 24" xfId="25888" xr:uid="{D19ACF6F-FF33-4104-AAF5-04DBF89543EF}"/>
    <cellStyle name="RISKtrCorner 11 24 2" xfId="44695" xr:uid="{8A3AB73F-4D3D-4CC3-95ED-6512D1D580AF}"/>
    <cellStyle name="RISKtrCorner 11 25" xfId="28913" xr:uid="{2D630962-BD50-4232-8521-FC9CD748922A}"/>
    <cellStyle name="RISKtrCorner 11 25 2" xfId="46517" xr:uid="{A498D4AF-420A-4222-B949-6A37FD107135}"/>
    <cellStyle name="RISKtrCorner 11 26" xfId="30783" xr:uid="{1A17B613-B001-45AC-939F-A671FD33742F}"/>
    <cellStyle name="RISKtrCorner 11 26 2" xfId="47721" xr:uid="{8C9448D7-8DAE-4BF0-AE2B-3B630367BDB9}"/>
    <cellStyle name="RISKtrCorner 11 27" xfId="30952" xr:uid="{169763C7-135F-4331-B6BE-48086B585024}"/>
    <cellStyle name="RISKtrCorner 11 27 2" xfId="47776" xr:uid="{BD696E98-A111-4758-B01F-A7D00B5F892C}"/>
    <cellStyle name="RISKtrCorner 11 28" xfId="31119" xr:uid="{6B0049A6-796B-4EA5-933E-FB201F6CA30F}"/>
    <cellStyle name="RISKtrCorner 11 28 2" xfId="47845" xr:uid="{2157DC5D-2B38-4D3E-86B6-A52002825A8F}"/>
    <cellStyle name="RISKtrCorner 11 29" xfId="31225" xr:uid="{E53093EC-BA0E-4CDD-941B-50FDD863850D}"/>
    <cellStyle name="RISKtrCorner 11 29 2" xfId="47854" xr:uid="{75255864-62E3-48E1-9DC6-D88CEC08F930}"/>
    <cellStyle name="RISKtrCorner 11 3" xfId="14336" xr:uid="{4F9E4E0B-6C04-46C1-B816-55EAAF7ED04D}"/>
    <cellStyle name="RISKtrCorner 11 3 2" xfId="36376" xr:uid="{E989E6B5-C181-4AF8-89B1-C542210E3763}"/>
    <cellStyle name="RISKtrCorner 11 30" xfId="6833" xr:uid="{2878A984-15C5-4947-97FF-4FAF798C874C}"/>
    <cellStyle name="RISKtrCorner 11 31" xfId="31322" xr:uid="{34AFEE80-B011-4CD8-BC31-C3D2CE2AEE54}"/>
    <cellStyle name="RISKtrCorner 11 4" xfId="15092" xr:uid="{6D64E134-527B-456A-AB0A-13A23E219722}"/>
    <cellStyle name="RISKtrCorner 11 4 2" xfId="36934" xr:uid="{25C3010F-B297-47E0-978B-001A17030631}"/>
    <cellStyle name="RISKtrCorner 11 5" xfId="13522" xr:uid="{A210E8EA-A4EA-448B-8BE3-8AB62A1FA45E}"/>
    <cellStyle name="RISKtrCorner 11 5 2" xfId="35768" xr:uid="{A1F8DEA9-03C3-472E-A3AB-12610A746C95}"/>
    <cellStyle name="RISKtrCorner 11 6" xfId="16736" xr:uid="{7BCF3DB5-A5CC-4E14-918C-20864B9CF7F7}"/>
    <cellStyle name="RISKtrCorner 11 6 2" xfId="38220" xr:uid="{F0336FB7-16F5-434E-81B7-6FCD98DEDD2D}"/>
    <cellStyle name="RISKtrCorner 11 7" xfId="17605" xr:uid="{A9EF7632-5E6F-4C1E-8D10-A3A831E2A2CA}"/>
    <cellStyle name="RISKtrCorner 11 7 2" xfId="38847" xr:uid="{36A713A6-742B-453D-B159-051D4A5C1798}"/>
    <cellStyle name="RISKtrCorner 11 8" xfId="18456" xr:uid="{930760E1-BD6A-4E96-B8ED-D53FA0B58B35}"/>
    <cellStyle name="RISKtrCorner 11 8 2" xfId="39464" xr:uid="{5610A1E1-CC0E-467D-9C5B-8FB564E9E019}"/>
    <cellStyle name="RISKtrCorner 11 9" xfId="19298" xr:uid="{8CEFF823-59E4-456F-A47E-21603D44ABA7}"/>
    <cellStyle name="RISKtrCorner 11 9 2" xfId="40075" xr:uid="{ACE1A3E4-045F-47F6-B8CB-B35B90892B7F}"/>
    <cellStyle name="RISKtrCorner 12" xfId="10615" xr:uid="{572F7FD8-E4E1-40DC-8B4A-916DABCE02C2}"/>
    <cellStyle name="RISKtrCorner 2" xfId="4119" xr:uid="{8183DDF2-B057-418C-A164-15D852D49135}"/>
    <cellStyle name="RISKtrCorner 2 2" xfId="4120" xr:uid="{F6489B5A-9E95-4A10-BC39-AA1D97483228}"/>
    <cellStyle name="RISKtrCorner 2 2 2" xfId="4121" xr:uid="{54DEB6CB-F328-403C-95AF-BCF4026E6F0C}"/>
    <cellStyle name="RISKtrCorner 2 2 2 2" xfId="10619" xr:uid="{F497DA54-BD6F-46B5-AE32-2239DB6225D1}"/>
    <cellStyle name="RISKtrCorner 2 2 3" xfId="4122" xr:uid="{A8F51361-695C-4832-AEBD-336CAE8E1D44}"/>
    <cellStyle name="RISKtrCorner 2 2 3 2" xfId="10620" xr:uid="{CFDCB059-3A40-4A5D-81F7-51764D757E6A}"/>
    <cellStyle name="RISKtrCorner 2 2 4" xfId="10618" xr:uid="{96EF67BD-66DA-4563-AD64-407578104AEA}"/>
    <cellStyle name="RISKtrCorner 2 3" xfId="4123" xr:uid="{05364D10-AF23-40F3-A907-3FD8CD68BEE7}"/>
    <cellStyle name="RISKtrCorner 2 3 2" xfId="10621" xr:uid="{C218B210-8502-420B-9E21-1C7830562BEC}"/>
    <cellStyle name="RISKtrCorner 2 4" xfId="4124" xr:uid="{869A0B20-6F3A-45B6-91F8-76DC08F35780}"/>
    <cellStyle name="RISKtrCorner 2 4 2" xfId="10622" xr:uid="{8DFF3E04-DC96-46E2-8160-8825574454CF}"/>
    <cellStyle name="RISKtrCorner 2 5" xfId="5681" xr:uid="{FDC3D1C4-885B-4592-9887-C57959F26E41}"/>
    <cellStyle name="RISKtrCorner 2 5 10" xfId="20055" xr:uid="{D3C6FB10-D041-43DD-AAD5-37A783F55E4D}"/>
    <cellStyle name="RISKtrCorner 2 5 10 2" xfId="40615" xr:uid="{4B7499A1-DB95-43E0-9B1E-8D87B3CC3DD9}"/>
    <cellStyle name="RISKtrCorner 2 5 11" xfId="20824" xr:uid="{723E7AFA-BAE6-4CC2-A1E5-5317332AB52B}"/>
    <cellStyle name="RISKtrCorner 2 5 11 2" xfId="41180" xr:uid="{D6DF775A-C036-4E38-96D4-32CC43F94DA3}"/>
    <cellStyle name="RISKtrCorner 2 5 12" xfId="21670" xr:uid="{585033E8-FAF9-4651-BE43-0A6F2869D0B5}"/>
    <cellStyle name="RISKtrCorner 2 5 12 2" xfId="41740" xr:uid="{B444EA12-1880-4B59-8FD0-F4CB62547E6B}"/>
    <cellStyle name="RISKtrCorner 2 5 13" xfId="21992" xr:uid="{271890A0-16A0-4356-9426-FE89F848B148}"/>
    <cellStyle name="RISKtrCorner 2 5 13 2" xfId="41891" xr:uid="{42AF0234-F0A0-4CE5-8D1C-0582F5390A5A}"/>
    <cellStyle name="RISKtrCorner 2 5 14" xfId="23334" xr:uid="{CD6FDF15-691A-4AA1-990A-9E17B679146F}"/>
    <cellStyle name="RISKtrCorner 2 5 14 2" xfId="42903" xr:uid="{5BF18802-CD05-43C3-BA5D-C6B8FF3F5863}"/>
    <cellStyle name="RISKtrCorner 2 5 15" xfId="24137" xr:uid="{7BD07F83-F930-45A2-AC0B-FC7703DBFAD9}"/>
    <cellStyle name="RISKtrCorner 2 5 15 2" xfId="43510" xr:uid="{FB192AC6-D24F-4F73-A5FA-5B510F70AF9B}"/>
    <cellStyle name="RISKtrCorner 2 5 16" xfId="24963" xr:uid="{944CF563-E2D2-455C-B6A4-D7C3254CBFBB}"/>
    <cellStyle name="RISKtrCorner 2 5 16 2" xfId="44045" xr:uid="{521F6F33-647B-4204-9B8F-83E1F02F6F35}"/>
    <cellStyle name="RISKtrCorner 2 5 17" xfId="23520" xr:uid="{4F5B00D1-054A-45F4-9535-C9DE21873E40}"/>
    <cellStyle name="RISKtrCorner 2 5 17 2" xfId="42979" xr:uid="{7728E788-0E7F-475B-BE89-D906454FE334}"/>
    <cellStyle name="RISKtrCorner 2 5 18" xfId="26373" xr:uid="{09A7ADD8-1291-4769-AB77-C7E07A73875D}"/>
    <cellStyle name="RISKtrCorner 2 5 18 2" xfId="45052" xr:uid="{60BCF235-E6BB-452B-B325-B3A7779767BB}"/>
    <cellStyle name="RISKtrCorner 2 5 19" xfId="26734" xr:uid="{7AEF2924-5181-4D26-B3B8-14C0E9FA5B16}"/>
    <cellStyle name="RISKtrCorner 2 5 19 2" xfId="45262" xr:uid="{4DF6985C-682F-489F-BD3E-14A772B170F1}"/>
    <cellStyle name="RISKtrCorner 2 5 2" xfId="13407" xr:uid="{3E25FCF3-07B8-41A3-865D-E233A790DD10}"/>
    <cellStyle name="RISKtrCorner 2 5 2 2" xfId="35714" xr:uid="{37F1C07F-4E6E-44B2-8A26-B072CA90A002}"/>
    <cellStyle name="RISKtrCorner 2 5 20" xfId="27436" xr:uid="{9710DCA3-E35B-4973-A52C-EBD0A6E345AF}"/>
    <cellStyle name="RISKtrCorner 2 5 20 2" xfId="45681" xr:uid="{C96BD266-3E10-4DF1-9CEE-59E2E3A24005}"/>
    <cellStyle name="RISKtrCorner 2 5 21" xfId="27977" xr:uid="{260F953F-84C6-4C60-99DD-21B16D6B8025}"/>
    <cellStyle name="RISKtrCorner 2 5 21 2" xfId="46033" xr:uid="{7B11E969-9E85-446A-AD40-A2DCF13365F0}"/>
    <cellStyle name="RISKtrCorner 2 5 22" xfId="28703" xr:uid="{BC7D9FC9-DADF-4D9D-8F39-136B8CB5190C}"/>
    <cellStyle name="RISKtrCorner 2 5 22 2" xfId="46433" xr:uid="{4571BA2E-E45C-4873-A93C-57AC9B3290B1}"/>
    <cellStyle name="RISKtrCorner 2 5 23" xfId="27518" xr:uid="{4DBAF47A-CF7A-4050-9996-A2909EF2B68F}"/>
    <cellStyle name="RISKtrCorner 2 5 23 2" xfId="45712" xr:uid="{262A353F-FA51-476C-B5CC-92215877D129}"/>
    <cellStyle name="RISKtrCorner 2 5 24" xfId="29872" xr:uid="{ED8AD41C-6947-4F80-999B-83DEDB25800E}"/>
    <cellStyle name="RISKtrCorner 2 5 24 2" xfId="47163" xr:uid="{14B13F37-F01E-45A6-8ACB-5583CBA78DC2}"/>
    <cellStyle name="RISKtrCorner 2 5 25" xfId="29042" xr:uid="{314C3B7B-687F-44B0-A359-608679CFAB85}"/>
    <cellStyle name="RISKtrCorner 2 5 25 2" xfId="46629" xr:uid="{2C2A2650-1C61-41C2-B94D-812944487A9A}"/>
    <cellStyle name="RISKtrCorner 2 5 26" xfId="30784" xr:uid="{072C8609-69F1-4C27-AD4D-6BA2E80B7918}"/>
    <cellStyle name="RISKtrCorner 2 5 26 2" xfId="47722" xr:uid="{7D4FF035-4B06-456C-99AD-0D39949291F8}"/>
    <cellStyle name="RISKtrCorner 2 5 27" xfId="30953" xr:uid="{DD53A5CA-CE5A-4F69-8A8D-8B00EAC3AD35}"/>
    <cellStyle name="RISKtrCorner 2 5 27 2" xfId="47777" xr:uid="{5E09B0DD-B0A9-4BB2-B99A-162E3622EAFB}"/>
    <cellStyle name="RISKtrCorner 2 5 28" xfId="31120" xr:uid="{CDA18805-8F19-4FE6-9608-856B26627576}"/>
    <cellStyle name="RISKtrCorner 2 5 28 2" xfId="47846" xr:uid="{FB2B0E39-7E3B-452E-A9A9-B5D401CC5C23}"/>
    <cellStyle name="RISKtrCorner 2 5 29" xfId="31226" xr:uid="{8B7555BA-95AD-4BF8-B51F-53FCCF11626F}"/>
    <cellStyle name="RISKtrCorner 2 5 29 2" xfId="47855" xr:uid="{1346A227-76C9-455E-958D-84180FEAD35E}"/>
    <cellStyle name="RISKtrCorner 2 5 3" xfId="14337" xr:uid="{536544BA-85E5-487F-BE0D-57FE39519299}"/>
    <cellStyle name="RISKtrCorner 2 5 3 2" xfId="36377" xr:uid="{B11A30FC-B097-4936-A77A-1C2D86E5CF3B}"/>
    <cellStyle name="RISKtrCorner 2 5 30" xfId="6834" xr:uid="{30DAD65C-65E3-4281-BFCA-DC55312BA3F6}"/>
    <cellStyle name="RISKtrCorner 2 5 31" xfId="31323" xr:uid="{0F40B9AB-39DB-4638-949F-28D55B3F9216}"/>
    <cellStyle name="RISKtrCorner 2 5 4" xfId="15093" xr:uid="{4DFA617E-7B29-41DC-A4F5-2661B10E46BE}"/>
    <cellStyle name="RISKtrCorner 2 5 4 2" xfId="36935" xr:uid="{A0A1D69E-3EFF-4193-816D-C34057406DCE}"/>
    <cellStyle name="RISKtrCorner 2 5 5" xfId="15438" xr:uid="{DF505D72-DF55-4F8A-93F4-BF9DF70EF372}"/>
    <cellStyle name="RISKtrCorner 2 5 5 2" xfId="37118" xr:uid="{1B332A60-B18C-4C38-B2CC-5CEC9E7884BD}"/>
    <cellStyle name="RISKtrCorner 2 5 6" xfId="16737" xr:uid="{98BED3C1-E68D-4A9F-AFC8-920CF69C9AF2}"/>
    <cellStyle name="RISKtrCorner 2 5 6 2" xfId="38221" xr:uid="{9735287D-0F76-4C52-8171-EB5C6177BB6A}"/>
    <cellStyle name="RISKtrCorner 2 5 7" xfId="17606" xr:uid="{BE8CD632-4519-4005-8E0C-242694E67B29}"/>
    <cellStyle name="RISKtrCorner 2 5 7 2" xfId="38848" xr:uid="{ABE074C5-D4E1-44A0-9D01-149677C85F3C}"/>
    <cellStyle name="RISKtrCorner 2 5 8" xfId="18457" xr:uid="{84D006ED-5FC8-41B4-A589-A244C6968F57}"/>
    <cellStyle name="RISKtrCorner 2 5 8 2" xfId="39465" xr:uid="{24881CA4-0B91-4527-BE5C-BE1C6BB27592}"/>
    <cellStyle name="RISKtrCorner 2 5 9" xfId="19299" xr:uid="{E9B07374-95EC-4FDD-AA5A-56016285CC7D}"/>
    <cellStyle name="RISKtrCorner 2 5 9 2" xfId="40076" xr:uid="{F6A3F575-CADB-48FD-A46D-06F0B218AF43}"/>
    <cellStyle name="RISKtrCorner 2 6" xfId="10617" xr:uid="{823E03BF-F9E7-487A-BC5C-DA39EB3637A6}"/>
    <cellStyle name="RISKtrCorner 3" xfId="4125" xr:uid="{21CAFB19-80A6-42D8-B3C7-E253B727F0BA}"/>
    <cellStyle name="RISKtrCorner 3 2" xfId="4126" xr:uid="{4078244A-2109-403F-9C44-70CC649AEFEA}"/>
    <cellStyle name="RISKtrCorner 3 2 2" xfId="10624" xr:uid="{AD0E0844-1714-4276-8BD3-522BF5BC1C9F}"/>
    <cellStyle name="RISKtrCorner 3 3" xfId="4127" xr:uid="{1CBD08F8-BF8D-4BF3-B6D1-A2DFD7ED726B}"/>
    <cellStyle name="RISKtrCorner 3 3 2" xfId="10625" xr:uid="{9BA75A6A-ADD3-47E0-8EAA-ECA2EA51F22A}"/>
    <cellStyle name="RISKtrCorner 3 4" xfId="10623" xr:uid="{DAACB36A-A616-48E8-9257-07026BD4BF68}"/>
    <cellStyle name="RISKtrCorner 4" xfId="4128" xr:uid="{3477CF5F-6883-49BA-A009-3FD292371A63}"/>
    <cellStyle name="RISKtrCorner 4 2" xfId="4129" xr:uid="{E4E1E0B1-A718-42E8-BBBC-725D1BE86F1C}"/>
    <cellStyle name="RISKtrCorner 4 2 2" xfId="10627" xr:uid="{3EECB5F4-D825-488B-9C49-4224535381B6}"/>
    <cellStyle name="RISKtrCorner 4 3" xfId="4130" xr:uid="{F53D3609-7F24-4878-87E4-F383AED02A02}"/>
    <cellStyle name="RISKtrCorner 4 3 2" xfId="10628" xr:uid="{4BDEAA1D-07C1-48A5-B303-1F0E906A139A}"/>
    <cellStyle name="RISKtrCorner 4 4" xfId="10626" xr:uid="{607772FB-BFAA-4551-9F99-BD2A8F8E6C4A}"/>
    <cellStyle name="RISKtrCorner 5" xfId="4131" xr:uid="{FC377343-46D6-41D1-A1BD-AB765A88B7FC}"/>
    <cellStyle name="RISKtrCorner 5 2" xfId="4132" xr:uid="{4AD14D1C-CB94-483A-848D-8B1F184D69C4}"/>
    <cellStyle name="RISKtrCorner 5 2 2" xfId="10630" xr:uid="{E8CCA45F-739E-488A-9369-EDE1432F7E18}"/>
    <cellStyle name="RISKtrCorner 5 3" xfId="4133" xr:uid="{BE9AAB24-9E32-410F-AF04-CEDD2AE1BB1D}"/>
    <cellStyle name="RISKtrCorner 5 3 2" xfId="10631" xr:uid="{1F640DFF-B05A-446C-BF5F-F6B039152069}"/>
    <cellStyle name="RISKtrCorner 5 4" xfId="10629" xr:uid="{48324E79-A0FD-4501-B4A2-B9D12379ECB1}"/>
    <cellStyle name="RISKtrCorner 6" xfId="4134" xr:uid="{263F7D9C-8BEA-4EB8-BDE3-9AEB17888C92}"/>
    <cellStyle name="RISKtrCorner 6 2" xfId="4135" xr:uid="{67D7AAD6-3246-417B-A9B0-09741EE245CB}"/>
    <cellStyle name="RISKtrCorner 6 2 2" xfId="10633" xr:uid="{6880C36F-ECAA-4C59-BFBF-1C9F904E0B1B}"/>
    <cellStyle name="RISKtrCorner 6 3" xfId="4136" xr:uid="{5E59DDFD-56F2-4EDB-9FD7-715D8D113EA4}"/>
    <cellStyle name="RISKtrCorner 6 3 2" xfId="10634" xr:uid="{6DEA3724-417C-4FAF-B3A8-E52A94A21505}"/>
    <cellStyle name="RISKtrCorner 6 4" xfId="10632" xr:uid="{026725DD-476F-4F79-A70E-7D433138DF2E}"/>
    <cellStyle name="RISKtrCorner 7" xfId="4137" xr:uid="{955C3CB0-6178-432C-B46F-D18D2542E0D1}"/>
    <cellStyle name="RISKtrCorner 7 2" xfId="4138" xr:uid="{4AF7348D-2A48-4B91-9A63-099FDA53AE37}"/>
    <cellStyle name="RISKtrCorner 7 2 2" xfId="10636" xr:uid="{E5D76D9B-930D-461C-994C-8B56F09DC76D}"/>
    <cellStyle name="RISKtrCorner 7 3" xfId="4139" xr:uid="{13662CAC-B6B7-4FE1-92D3-040DA88DD203}"/>
    <cellStyle name="RISKtrCorner 7 3 2" xfId="10637" xr:uid="{56906F15-678D-41FD-B51F-E08FF3F1D5C0}"/>
    <cellStyle name="RISKtrCorner 7 4" xfId="10635" xr:uid="{2CB29535-9157-4B09-99D5-AC465A7E1708}"/>
    <cellStyle name="RISKtrCorner 8" xfId="4140" xr:uid="{CD55B0BB-3AF1-40B8-8A98-807DCEB138DC}"/>
    <cellStyle name="RISKtrCorner 8 2" xfId="4141" xr:uid="{0C002E47-A05A-43DA-ABF2-7248E717D6B1}"/>
    <cellStyle name="RISKtrCorner 8 2 2" xfId="10639" xr:uid="{8D5DBF07-AE06-40E5-B8D4-103E8BC0FAAB}"/>
    <cellStyle name="RISKtrCorner 8 3" xfId="4142" xr:uid="{9D0EFB05-71D5-42C5-BC15-477AC667A174}"/>
    <cellStyle name="RISKtrCorner 8 3 2" xfId="10640" xr:uid="{8CC4C933-68AD-4C1A-BECF-06B6BA14451C}"/>
    <cellStyle name="RISKtrCorner 8 4" xfId="10638" xr:uid="{5D760DEC-26E3-4ADC-AB62-D86CBA113700}"/>
    <cellStyle name="RISKtrCorner 9" xfId="4143" xr:uid="{23A85CB2-A354-48CD-9C97-7849BC726F00}"/>
    <cellStyle name="RISKtrCorner 9 2" xfId="10641" xr:uid="{147B8D4C-831D-45D5-8F8C-9002A9C9236E}"/>
    <cellStyle name="Row Heading" xfId="4144" xr:uid="{4B3C7CD8-179A-40D5-97E4-F6FB0E80F138}"/>
    <cellStyle name="Row Heading 2" xfId="4145" xr:uid="{CDBFB9E8-3BEA-44C7-9D9F-3718182EC524}"/>
    <cellStyle name="Row Heading 2 2" xfId="4146" xr:uid="{C200A531-3B02-4C09-A652-2672210E8098}"/>
    <cellStyle name="Row Heading 2 2 2" xfId="10644" xr:uid="{3D0C8492-93E2-4A87-8A58-8A13E86F7FF6}"/>
    <cellStyle name="Row Heading 2 3" xfId="10643" xr:uid="{BA6FCB97-D9D5-4D12-B0F3-F0F0C15290A5}"/>
    <cellStyle name="Row Heading 3" xfId="4147" xr:uid="{08C80F29-6736-4DD4-A0CE-EDCF9A92A95E}"/>
    <cellStyle name="Row Heading 3 2" xfId="10645" xr:uid="{A4FBB3B9-1EE7-416F-982C-E25FB541C953}"/>
    <cellStyle name="Row Heading 4" xfId="4148" xr:uid="{D45AC402-2FE4-4C90-AEE1-9BF29DAC4DE8}"/>
    <cellStyle name="Row Heading 4 2" xfId="10646" xr:uid="{820E943B-0598-4739-8496-6AB33A748ED9}"/>
    <cellStyle name="Row Heading 5" xfId="4149" xr:uid="{2F95688D-B7D6-4377-BCEC-71286F6AE5F6}"/>
    <cellStyle name="Row Heading 5 2" xfId="10647" xr:uid="{2806B6A4-4288-4DC3-9D88-3EDD34641BC8}"/>
    <cellStyle name="Row Heading 6" xfId="5682" xr:uid="{B1155194-70E7-405D-BB90-BBA647E61CAE}"/>
    <cellStyle name="Row Heading 7" xfId="10642" xr:uid="{0346BD5C-B569-4B7B-AD54-14F55C8CD7A9}"/>
    <cellStyle name="SAPBEXaggData" xfId="4150" xr:uid="{2ACBFD0D-FB29-4D17-8776-B98150325CBC}"/>
    <cellStyle name="SAPBEXaggData 2" xfId="4151" xr:uid="{3B7E9056-B231-4E6D-A925-785DD05F7EE0}"/>
    <cellStyle name="SAPBEXaggData 2 2" xfId="4152" xr:uid="{EF157404-4C93-4515-8BC4-9243F093F7BC}"/>
    <cellStyle name="SAPBEXaggData 2 2 2" xfId="10650" xr:uid="{8B92BE67-C973-443B-B9A3-25D7ED3E7E29}"/>
    <cellStyle name="SAPBEXaggData 2 3" xfId="10649" xr:uid="{98DEE804-9139-4227-9FFD-8E5E4B81CE45}"/>
    <cellStyle name="SAPBEXaggData 3" xfId="4153" xr:uid="{D9381153-BD0F-4493-B9E0-C96AC1D030D6}"/>
    <cellStyle name="SAPBEXaggData 3 2" xfId="4154" xr:uid="{EECCF530-61D4-40E7-BFD9-14575AC2806B}"/>
    <cellStyle name="SAPBEXaggData 3 2 2" xfId="10652" xr:uid="{182A44C0-AF52-4EB3-B751-6D45EA2F6465}"/>
    <cellStyle name="SAPBEXaggData 3 3" xfId="10651" xr:uid="{925A9484-B8CD-43EC-92A1-7FFC4A2E9A5A}"/>
    <cellStyle name="SAPBEXaggData 4" xfId="4155" xr:uid="{EDD8E1C8-9FFC-4BAC-84FC-34B352A1036D}"/>
    <cellStyle name="SAPBEXaggData 4 2" xfId="4156" xr:uid="{2A711075-6DA4-459E-8F6A-F40317EBC460}"/>
    <cellStyle name="SAPBEXaggData 4 2 2" xfId="10654" xr:uid="{147FFEE4-86A2-4456-B88B-CF57B9689AF7}"/>
    <cellStyle name="SAPBEXaggData 4 3" xfId="10653" xr:uid="{39FC0BA0-018B-4B1A-81D7-9F746D07B206}"/>
    <cellStyle name="SAPBEXaggData 5" xfId="4157" xr:uid="{F6437D92-E9C9-4084-AE78-199D56BFE110}"/>
    <cellStyle name="SAPBEXaggData 5 2" xfId="4158" xr:uid="{81A61208-25DE-41A8-B05F-CCD481C28B7A}"/>
    <cellStyle name="SAPBEXaggData 5 2 2" xfId="10656" xr:uid="{97C5F829-09A8-4D73-9951-0F54A0DB804F}"/>
    <cellStyle name="SAPBEXaggData 5 3" xfId="10655" xr:uid="{79864B27-2C4B-4F01-9E2D-A0360762CA70}"/>
    <cellStyle name="SAPBEXaggData 6" xfId="5683" xr:uid="{10145E6E-186C-4C0C-8464-59200FCAE49F}"/>
    <cellStyle name="SAPBEXaggData 6 10" xfId="20057" xr:uid="{A8281804-06B6-4B7B-9A9E-A03DF9ABEC10}"/>
    <cellStyle name="SAPBEXaggData 6 11" xfId="20826" xr:uid="{31CD5B38-D140-495A-B297-FF0FD1E51C8F}"/>
    <cellStyle name="SAPBEXaggData 6 12" xfId="21672" xr:uid="{F1C41923-9E3C-49E4-9FB8-2FE7D44F2515}"/>
    <cellStyle name="SAPBEXaggData 6 13" xfId="21991" xr:uid="{2A6A5BFE-0BBF-4EFF-9B91-CAC5DD1478A0}"/>
    <cellStyle name="SAPBEXaggData 6 14" xfId="23336" xr:uid="{59C5C5AF-5020-4A46-83FE-AA108973DEB0}"/>
    <cellStyle name="SAPBEXaggData 6 15" xfId="24138" xr:uid="{A5E232AB-7B0B-4F8C-8411-1895C0274CCB}"/>
    <cellStyle name="SAPBEXaggData 6 16" xfId="24965" xr:uid="{4FFF9EB0-EAB3-45D7-8D44-32E761DED6D9}"/>
    <cellStyle name="SAPBEXaggData 6 17" xfId="25052" xr:uid="{C1BEE86C-4E40-4AED-9BF2-8187304CAAEF}"/>
    <cellStyle name="SAPBEXaggData 6 18" xfId="26375" xr:uid="{9974E4E0-6A7B-43D4-81F0-8B7ACE34F031}"/>
    <cellStyle name="SAPBEXaggData 6 19" xfId="26736" xr:uid="{A2F409D7-34CA-40DC-9065-C7552BBD4CA2}"/>
    <cellStyle name="SAPBEXaggData 6 2" xfId="13409" xr:uid="{73C31C7F-F4D0-44E9-BD36-6453C2F0B62B}"/>
    <cellStyle name="SAPBEXaggData 6 20" xfId="27438" xr:uid="{A1B81C5C-450D-4D76-9FD5-DCEE8430034B}"/>
    <cellStyle name="SAPBEXaggData 6 21" xfId="27978" xr:uid="{45048A38-7177-46BF-9E94-E2752CB498C5}"/>
    <cellStyle name="SAPBEXaggData 6 22" xfId="28704" xr:uid="{B567445C-43A9-405A-9BEC-059F700056B2}"/>
    <cellStyle name="SAPBEXaggData 6 23" xfId="28804" xr:uid="{C057251E-7146-42BA-A7B7-EF316D8FD561}"/>
    <cellStyle name="SAPBEXaggData 6 24" xfId="21915" xr:uid="{DB565080-2EEF-4EB6-9073-6580D7AD6FBE}"/>
    <cellStyle name="SAPBEXaggData 6 25" xfId="28929" xr:uid="{2FE49E3F-55F5-4267-BD29-0605886A8AB8}"/>
    <cellStyle name="SAPBEXaggData 6 26" xfId="30325" xr:uid="{26B3314F-2CF5-46F6-82D3-2F291FD4B6EB}"/>
    <cellStyle name="SAPBEXaggData 6 27" xfId="29238" xr:uid="{5D340D48-A707-47CE-9F78-9AAC550EBAB4}"/>
    <cellStyle name="SAPBEXaggData 6 28" xfId="30785" xr:uid="{D8FEB8DB-4E82-4BCD-A8F0-1A5FB1A6B4C8}"/>
    <cellStyle name="SAPBEXaggData 6 29" xfId="30954" xr:uid="{ACAFE702-35C4-45F0-B245-49CB08B02B10}"/>
    <cellStyle name="SAPBEXaggData 6 3" xfId="14339" xr:uid="{02587A61-A428-49E9-B0AB-E0820712802E}"/>
    <cellStyle name="SAPBEXaggData 6 30" xfId="31121" xr:uid="{71EA9A5D-C78B-4309-8547-9892A5608621}"/>
    <cellStyle name="SAPBEXaggData 6 31" xfId="31227" xr:uid="{F37CB632-6DD7-4835-9074-E87D7A40B0AD}"/>
    <cellStyle name="SAPBEXaggData 6 32" xfId="6835" xr:uid="{803A0FC0-4A6F-43C5-9B8C-D57FD03E674A}"/>
    <cellStyle name="SAPBEXaggData 6 4" xfId="15095" xr:uid="{04A2D1B5-CD47-4BE6-9C60-E02059E3753B}"/>
    <cellStyle name="SAPBEXaggData 6 5" xfId="15437" xr:uid="{51AAD448-CB6D-4417-88E1-BCFB9FAF8E20}"/>
    <cellStyle name="SAPBEXaggData 6 6" xfId="16738" xr:uid="{A07357A7-5B5A-4CEF-ADFC-B9821CAF7791}"/>
    <cellStyle name="SAPBEXaggData 6 7" xfId="17607" xr:uid="{3E84FF14-5FA2-4E91-8169-8D3E942602BC}"/>
    <cellStyle name="SAPBEXaggData 6 8" xfId="18459" xr:uid="{218CC4AD-B914-4A56-BCEF-4745AAC275A6}"/>
    <cellStyle name="SAPBEXaggData 6 9" xfId="19301" xr:uid="{56523F12-42CF-451C-9B23-0606CD8502C0}"/>
    <cellStyle name="SAPBEXaggData 7" xfId="10648" xr:uid="{3B0B2ABE-9D6A-4A6E-B18C-66C12A2FC4C1}"/>
    <cellStyle name="SAPBEXaggDataEmph" xfId="4159" xr:uid="{1B4AFE28-963D-4229-9805-E996A6FADBAF}"/>
    <cellStyle name="SAPBEXaggDataEmph 2" xfId="4160" xr:uid="{4B7B97BC-7DC8-4C54-AB4E-A458920D61CB}"/>
    <cellStyle name="SAPBEXaggDataEmph 2 2" xfId="4161" xr:uid="{AD8E5CB1-7B77-4915-AB97-D38E1DC4E80E}"/>
    <cellStyle name="SAPBEXaggDataEmph 2 2 2" xfId="10659" xr:uid="{F90BBD67-0FCD-4140-B9C9-CC1172A1D94E}"/>
    <cellStyle name="SAPBEXaggDataEmph 2 3" xfId="10658" xr:uid="{51B99836-B45C-4C12-900F-C3F451BA0F95}"/>
    <cellStyle name="SAPBEXaggDataEmph 3" xfId="4162" xr:uid="{2F93E3B8-7A75-42CC-8182-227663ACBF28}"/>
    <cellStyle name="SAPBEXaggDataEmph 3 2" xfId="4163" xr:uid="{5CA1B8E1-71B4-48E2-8654-EE1CA19F005B}"/>
    <cellStyle name="SAPBEXaggDataEmph 3 2 2" xfId="10661" xr:uid="{91AC6DA3-26DD-4226-AD20-B99D8F7632FC}"/>
    <cellStyle name="SAPBEXaggDataEmph 3 3" xfId="10660" xr:uid="{799448F1-CAB7-4ED1-BF07-40C947EABAC1}"/>
    <cellStyle name="SAPBEXaggDataEmph 4" xfId="4164" xr:uid="{7DAE576C-B01E-43CB-A128-CF1D0BA3D22F}"/>
    <cellStyle name="SAPBEXaggDataEmph 4 2" xfId="4165" xr:uid="{638CAB0D-6785-4AA3-BA34-E15812716BA5}"/>
    <cellStyle name="SAPBEXaggDataEmph 4 2 2" xfId="10663" xr:uid="{8FBCC40C-466C-403C-A6E9-3620FF22C426}"/>
    <cellStyle name="SAPBEXaggDataEmph 4 3" xfId="10662" xr:uid="{3B5982E8-6EBB-4A84-87BF-03B53C301807}"/>
    <cellStyle name="SAPBEXaggDataEmph 5" xfId="4166" xr:uid="{DF4DBF02-5A7E-43EF-8641-A009DE901B6E}"/>
    <cellStyle name="SAPBEXaggDataEmph 5 2" xfId="4167" xr:uid="{2B63BC27-F4F0-48C1-89B2-EDE9D8217E68}"/>
    <cellStyle name="SAPBEXaggDataEmph 5 2 2" xfId="10665" xr:uid="{1D3F2BBA-2F4E-4FC6-8FC0-F2C206C895AB}"/>
    <cellStyle name="SAPBEXaggDataEmph 5 3" xfId="10664" xr:uid="{5D240181-A234-47C5-A4A3-3BF55C2E44E4}"/>
    <cellStyle name="SAPBEXaggDataEmph 6" xfId="5684" xr:uid="{D2A494C7-B96D-4915-B77B-86889CF5E140}"/>
    <cellStyle name="SAPBEXaggDataEmph 6 10" xfId="20058" xr:uid="{240D1C97-69CE-4A12-B6A0-27CF06DC97AE}"/>
    <cellStyle name="SAPBEXaggDataEmph 6 11" xfId="20827" xr:uid="{1B68A215-498F-4D88-B194-C62D37CEFAD4}"/>
    <cellStyle name="SAPBEXaggDataEmph 6 12" xfId="21673" xr:uid="{EF031C53-2AC6-4B20-A8A6-0EAA927D00E7}"/>
    <cellStyle name="SAPBEXaggDataEmph 6 13" xfId="18652" xr:uid="{4FB6AF3D-C87B-4447-A4F6-8A89F803E3B8}"/>
    <cellStyle name="SAPBEXaggDataEmph 6 14" xfId="23337" xr:uid="{96F07992-5464-4123-A6AC-0AB22468E146}"/>
    <cellStyle name="SAPBEXaggDataEmph 6 15" xfId="24139" xr:uid="{DC1FA85E-FC61-4AFF-968F-4BFD1032BB1A}"/>
    <cellStyle name="SAPBEXaggDataEmph 6 16" xfId="24966" xr:uid="{1FCAD081-3994-4816-A4D7-E143CDA7E76D}"/>
    <cellStyle name="SAPBEXaggDataEmph 6 17" xfId="25905" xr:uid="{182C7495-9B10-49F9-8BFD-405B114C1476}"/>
    <cellStyle name="SAPBEXaggDataEmph 6 18" xfId="26376" xr:uid="{E41FE101-B49D-4FD2-B145-C619E6B9B149}"/>
    <cellStyle name="SAPBEXaggDataEmph 6 19" xfId="26737" xr:uid="{E70213E1-77FE-456D-971F-BD6D3D1A33C6}"/>
    <cellStyle name="SAPBEXaggDataEmph 6 2" xfId="13410" xr:uid="{8041598E-17D2-43B1-9060-649C0483D818}"/>
    <cellStyle name="SAPBEXaggDataEmph 6 20" xfId="27439" xr:uid="{6280BB65-4D86-444F-B8D0-1A87F166D2E3}"/>
    <cellStyle name="SAPBEXaggDataEmph 6 21" xfId="27979" xr:uid="{0618F276-7101-4330-B4C7-4162B9401883}"/>
    <cellStyle name="SAPBEXaggDataEmph 6 22" xfId="28705" xr:uid="{2BD8CD73-A04D-4A10-AA9E-9D5EB9F268D1}"/>
    <cellStyle name="SAPBEXaggDataEmph 6 23" xfId="28779" xr:uid="{11BB3611-C968-409C-8A44-054DC8CAFAE4}"/>
    <cellStyle name="SAPBEXaggDataEmph 6 24" xfId="27668" xr:uid="{E81F5419-7D0E-422B-BDA9-143E551A156E}"/>
    <cellStyle name="SAPBEXaggDataEmph 6 25" xfId="29663" xr:uid="{3153CD07-D051-4BC6-AD05-A54CDFB48D0E}"/>
    <cellStyle name="SAPBEXaggDataEmph 6 26" xfId="30326" xr:uid="{B1C5D0B0-AC10-41CC-9708-468311C6E33F}"/>
    <cellStyle name="SAPBEXaggDataEmph 6 27" xfId="27727" xr:uid="{E5BC29D1-2384-4EA4-BC9B-46459DEA1EBE}"/>
    <cellStyle name="SAPBEXaggDataEmph 6 28" xfId="30786" xr:uid="{AFEE90C3-84EE-4944-9E10-E2874FA65A96}"/>
    <cellStyle name="SAPBEXaggDataEmph 6 29" xfId="30955" xr:uid="{52FB2023-5A7E-49B5-A093-1DD5A31B37A7}"/>
    <cellStyle name="SAPBEXaggDataEmph 6 3" xfId="14340" xr:uid="{720850B7-433A-4F56-9250-77719CF1A8AD}"/>
    <cellStyle name="SAPBEXaggDataEmph 6 30" xfId="31122" xr:uid="{54BD16E2-7E70-46B1-BF5E-EC20754876F8}"/>
    <cellStyle name="SAPBEXaggDataEmph 6 31" xfId="31228" xr:uid="{95760218-3539-4197-9B15-AB10B097B764}"/>
    <cellStyle name="SAPBEXaggDataEmph 6 32" xfId="6836" xr:uid="{6548F1DE-674D-4EB6-A3A5-9D35D4B0A0DC}"/>
    <cellStyle name="SAPBEXaggDataEmph 6 4" xfId="15096" xr:uid="{44684783-7984-4560-ADB9-FA87344BD11B}"/>
    <cellStyle name="SAPBEXaggDataEmph 6 5" xfId="13523" xr:uid="{13D2A526-3AD5-4D64-96E6-13278DAFCE4C}"/>
    <cellStyle name="SAPBEXaggDataEmph 6 6" xfId="16739" xr:uid="{980A2F0E-84D3-4B40-9451-0CD7DF4B0A8D}"/>
    <cellStyle name="SAPBEXaggDataEmph 6 7" xfId="17608" xr:uid="{F0E2C75E-FDDF-4D9F-BC33-16C46D4BF9A9}"/>
    <cellStyle name="SAPBEXaggDataEmph 6 8" xfId="18460" xr:uid="{FA5C4840-C6D7-470D-9BFA-8F375215FB7C}"/>
    <cellStyle name="SAPBEXaggDataEmph 6 9" xfId="19302" xr:uid="{C0D326C1-E987-4816-A872-4C1ED7A1C57A}"/>
    <cellStyle name="SAPBEXaggDataEmph 7" xfId="10657" xr:uid="{F3593422-7943-47FA-99B3-F338554A6605}"/>
    <cellStyle name="SAPBEXaggItem" xfId="4168" xr:uid="{E151EFA9-897B-4C82-9AFF-C5ED3EEBE247}"/>
    <cellStyle name="SAPBEXaggItem 2" xfId="4169" xr:uid="{FCE99B3F-1A10-4AD0-A77E-AFBD393532A7}"/>
    <cellStyle name="SAPBEXaggItem 2 2" xfId="4170" xr:uid="{559E6959-3791-4F67-84DD-2278C6D30F0B}"/>
    <cellStyle name="SAPBEXaggItem 2 2 2" xfId="10668" xr:uid="{10044243-E03F-4CB1-943C-D6461E08CFDC}"/>
    <cellStyle name="SAPBEXaggItem 2 3" xfId="10667" xr:uid="{D9E3703A-B37D-41CE-AF30-A4995AC7457C}"/>
    <cellStyle name="SAPBEXaggItem 3" xfId="4171" xr:uid="{69695909-0F28-4BA7-9E43-2092ED8681DB}"/>
    <cellStyle name="SAPBEXaggItem 3 2" xfId="4172" xr:uid="{C0421427-94BB-4667-850A-AAA0A49F8D4A}"/>
    <cellStyle name="SAPBEXaggItem 3 2 2" xfId="10670" xr:uid="{1563A382-49DF-493F-8BE0-FAC6FCC2E217}"/>
    <cellStyle name="SAPBEXaggItem 3 3" xfId="10669" xr:uid="{F84C8563-9F7F-494B-9644-88DF97F983EB}"/>
    <cellStyle name="SAPBEXaggItem 4" xfId="4173" xr:uid="{A309ADBB-5BD0-484D-92F3-33CD1460FAF5}"/>
    <cellStyle name="SAPBEXaggItem 4 2" xfId="4174" xr:uid="{B3877AB4-FCE9-45DC-B5E8-DD610A8B50F3}"/>
    <cellStyle name="SAPBEXaggItem 4 2 2" xfId="10672" xr:uid="{C7FE4F92-469A-4A75-9795-9A3BC48EB4DA}"/>
    <cellStyle name="SAPBEXaggItem 4 3" xfId="10671" xr:uid="{61F9DE87-4C21-4E5E-B3B3-DFAA7D2610E7}"/>
    <cellStyle name="SAPBEXaggItem 5" xfId="4175" xr:uid="{1C32424C-1EA0-4A78-950E-CFBBAE7D5C2F}"/>
    <cellStyle name="SAPBEXaggItem 5 2" xfId="4176" xr:uid="{25FF7602-0825-4375-A4F2-CA2BA007BDED}"/>
    <cellStyle name="SAPBEXaggItem 5 2 2" xfId="10674" xr:uid="{23E59F8E-A75D-4848-84B0-106D8C4437ED}"/>
    <cellStyle name="SAPBEXaggItem 5 3" xfId="10673" xr:uid="{7BBC3959-A068-4F9D-9715-E0EC982F50D6}"/>
    <cellStyle name="SAPBEXaggItem 6" xfId="5685" xr:uid="{259EF983-5F5B-441E-B473-4509185655D9}"/>
    <cellStyle name="SAPBEXaggItem 6 10" xfId="20059" xr:uid="{2C3BB115-1A6E-4E9C-BE73-258A6C12C876}"/>
    <cellStyle name="SAPBEXaggItem 6 11" xfId="20828" xr:uid="{E9E1A893-5470-4DF2-B887-01B3D0B720EF}"/>
    <cellStyle name="SAPBEXaggItem 6 12" xfId="21674" xr:uid="{6C180CF4-DCE0-4C61-A185-0FC2213FD036}"/>
    <cellStyle name="SAPBEXaggItem 6 13" xfId="21990" xr:uid="{A2093A82-4B2C-4601-AE72-3753E5272B8B}"/>
    <cellStyle name="SAPBEXaggItem 6 14" xfId="23338" xr:uid="{DF3869D4-7F24-4C7E-9F94-82F3A29DE5F5}"/>
    <cellStyle name="SAPBEXaggItem 6 15" xfId="24140" xr:uid="{9D1EE183-629B-436E-A270-1AA73517132C}"/>
    <cellStyle name="SAPBEXaggItem 6 16" xfId="24967" xr:uid="{2ED96772-FCCF-4283-9D58-568A80E39FA5}"/>
    <cellStyle name="SAPBEXaggItem 6 17" xfId="23521" xr:uid="{F69D843D-1D60-470F-8152-1F14E221411B}"/>
    <cellStyle name="SAPBEXaggItem 6 18" xfId="26377" xr:uid="{1C541189-636E-4283-9974-1A7EF21107A2}"/>
    <cellStyle name="SAPBEXaggItem 6 19" xfId="26738" xr:uid="{949D10E6-6D2D-4441-96B6-B6FD2483D1B7}"/>
    <cellStyle name="SAPBEXaggItem 6 2" xfId="13411" xr:uid="{1BA2A7BD-2383-4B0E-B813-BB84E75B8A4C}"/>
    <cellStyle name="SAPBEXaggItem 6 20" xfId="27440" xr:uid="{27F0E210-8699-4CB6-B4A4-C29D09D1CD8D}"/>
    <cellStyle name="SAPBEXaggItem 6 21" xfId="27980" xr:uid="{6E30DE53-F970-435E-9046-F02011FE72D5}"/>
    <cellStyle name="SAPBEXaggItem 6 22" xfId="28706" xr:uid="{428C615A-2FD0-4712-961A-74657BB3F183}"/>
    <cellStyle name="SAPBEXaggItem 6 23" xfId="27000" xr:uid="{692207DC-BA34-4270-8B06-FA9277A106E1}"/>
    <cellStyle name="SAPBEXaggItem 6 24" xfId="29061" xr:uid="{CBD4DA6B-D12B-472B-A274-7CF4C522DFBF}"/>
    <cellStyle name="SAPBEXaggItem 6 25" xfId="29873" xr:uid="{44948801-0465-43F5-92B2-4B8897E2385A}"/>
    <cellStyle name="SAPBEXaggItem 6 26" xfId="30327" xr:uid="{C17A3008-FF06-4725-9A73-F52E2FEDE7F3}"/>
    <cellStyle name="SAPBEXaggItem 6 27" xfId="28237" xr:uid="{104ACFFD-9B09-48C3-9DF7-A3047883CC90}"/>
    <cellStyle name="SAPBEXaggItem 6 28" xfId="30787" xr:uid="{15A6508B-85A1-4F04-B979-0AFBA7CEA3A2}"/>
    <cellStyle name="SAPBEXaggItem 6 29" xfId="30956" xr:uid="{BD224DF6-E04C-465E-B201-B805F945BACB}"/>
    <cellStyle name="SAPBEXaggItem 6 3" xfId="14341" xr:uid="{26CC5A28-9133-441F-B615-9E8E2F7EACDF}"/>
    <cellStyle name="SAPBEXaggItem 6 30" xfId="31123" xr:uid="{E3960395-2661-4D93-8500-6515C254B9AD}"/>
    <cellStyle name="SAPBEXaggItem 6 31" xfId="31229" xr:uid="{F405E3E8-9359-45A0-8766-E9B4F75EF35C}"/>
    <cellStyle name="SAPBEXaggItem 6 32" xfId="6837" xr:uid="{28F581DA-9638-4B71-9B97-A51D09753DBC}"/>
    <cellStyle name="SAPBEXaggItem 6 4" xfId="15097" xr:uid="{C26E3BB1-F0EF-433F-869E-32177181950D}"/>
    <cellStyle name="SAPBEXaggItem 6 5" xfId="15436" xr:uid="{F1B96D61-F7DC-495B-B272-45F7763515EE}"/>
    <cellStyle name="SAPBEXaggItem 6 6" xfId="16740" xr:uid="{8FBBC424-E0E2-4332-B522-175A567461D9}"/>
    <cellStyle name="SAPBEXaggItem 6 7" xfId="17609" xr:uid="{AB1F1424-6368-4553-82CC-48BF7DF85190}"/>
    <cellStyle name="SAPBEXaggItem 6 8" xfId="18461" xr:uid="{09871C18-03B4-4686-8208-C3D83C159D48}"/>
    <cellStyle name="SAPBEXaggItem 6 9" xfId="19303" xr:uid="{D11560D7-AFC7-4CC6-B57F-07EB73FB4D5C}"/>
    <cellStyle name="SAPBEXaggItem 7" xfId="10666" xr:uid="{7CD6CBDE-C5ED-458A-817E-EC2FE36B6FF1}"/>
    <cellStyle name="SAPBEXaggItemX" xfId="4177" xr:uid="{D495D7A7-9A45-42B6-9EB9-FF71C59D31FB}"/>
    <cellStyle name="SAPBEXaggItemX 2" xfId="4178" xr:uid="{E2F5BBE8-B45E-4D05-9C4D-5C208092BFAA}"/>
    <cellStyle name="SAPBEXaggItemX 2 2" xfId="4179" xr:uid="{25ACEBBD-56FF-40E5-BD13-CA2A587F6699}"/>
    <cellStyle name="SAPBEXaggItemX 2 2 2" xfId="10677" xr:uid="{0F755C3C-AAA1-40D0-A8B9-D424139EFEBA}"/>
    <cellStyle name="SAPBEXaggItemX 2 3" xfId="10676" xr:uid="{EF0991EA-9168-43DE-BFB6-B7D18EDF6EA9}"/>
    <cellStyle name="SAPBEXaggItemX 3" xfId="4180" xr:uid="{E99BC0EA-A14B-4288-A296-0BE8BA792B76}"/>
    <cellStyle name="SAPBEXaggItemX 3 2" xfId="4181" xr:uid="{FE290C87-4182-4E57-A0FC-E3F55FAE6B9C}"/>
    <cellStyle name="SAPBEXaggItemX 3 2 2" xfId="10679" xr:uid="{D036DA05-5CF6-4F0A-8007-29D8A1B6D766}"/>
    <cellStyle name="SAPBEXaggItemX 3 3" xfId="10678" xr:uid="{31FFCC9F-1C39-4B82-AC08-EC9795577C52}"/>
    <cellStyle name="SAPBEXaggItemX 4" xfId="4182" xr:uid="{F89995F8-04E2-4808-8AA7-8ACEACE2CDBA}"/>
    <cellStyle name="SAPBEXaggItemX 4 2" xfId="4183" xr:uid="{E1CD219D-FCE7-4CB4-9921-0DB52646B27D}"/>
    <cellStyle name="SAPBEXaggItemX 4 2 2" xfId="10681" xr:uid="{DDA75E0A-C56F-4463-A333-EDEB9A336F36}"/>
    <cellStyle name="SAPBEXaggItemX 4 3" xfId="10680" xr:uid="{D16DB759-5FBA-451B-B2C1-001B455F906F}"/>
    <cellStyle name="SAPBEXaggItemX 5" xfId="4184" xr:uid="{6097FE7B-1C06-4EA6-9201-02E493BB1922}"/>
    <cellStyle name="SAPBEXaggItemX 5 2" xfId="4185" xr:uid="{515CCEAF-8C23-4166-9B3A-D3FEDBED4E7C}"/>
    <cellStyle name="SAPBEXaggItemX 5 2 2" xfId="10683" xr:uid="{6ECCE7FF-C0B0-490A-8950-6B5152ED62FE}"/>
    <cellStyle name="SAPBEXaggItemX 5 3" xfId="10682" xr:uid="{0B3F6201-A47D-4E25-9EC2-955D83F98A7C}"/>
    <cellStyle name="SAPBEXaggItemX 6" xfId="5686" xr:uid="{D2B9EB3C-DE1C-4451-A611-056350EE8A33}"/>
    <cellStyle name="SAPBEXaggItemX 6 10" xfId="20060" xr:uid="{63C1A3CA-2CB7-4429-80BD-F637CD361856}"/>
    <cellStyle name="SAPBEXaggItemX 6 11" xfId="20829" xr:uid="{1A1471B8-E8E5-4A27-832B-F0B817C25F8A}"/>
    <cellStyle name="SAPBEXaggItemX 6 12" xfId="21675" xr:uid="{FEC13C10-7BE1-4E18-B051-D9A9DCAA6618}"/>
    <cellStyle name="SAPBEXaggItemX 6 13" xfId="20233" xr:uid="{74275BF4-0959-401E-849F-D81C21D97B65}"/>
    <cellStyle name="SAPBEXaggItemX 6 14" xfId="23339" xr:uid="{9327FFBB-13FD-47CA-AA24-2D4F3AF98C07}"/>
    <cellStyle name="SAPBEXaggItemX 6 15" xfId="24141" xr:uid="{C4F6E6C5-15CE-4015-912B-A7A99586E30B}"/>
    <cellStyle name="SAPBEXaggItemX 6 16" xfId="24968" xr:uid="{AFF8C662-5AEC-49E7-B178-F589C8CDA860}"/>
    <cellStyle name="SAPBEXaggItemX 6 17" xfId="22790" xr:uid="{0BD92AAD-CDF9-467A-8CB2-DA18525B98D2}"/>
    <cellStyle name="SAPBEXaggItemX 6 18" xfId="26378" xr:uid="{1DACB708-1D68-4644-84B9-CC5350436647}"/>
    <cellStyle name="SAPBEXaggItemX 6 19" xfId="26739" xr:uid="{3551FD73-E1E8-4E23-B4F0-83E52317BED5}"/>
    <cellStyle name="SAPBEXaggItemX 6 2" xfId="13412" xr:uid="{53B938CB-70B9-47F3-9257-98DAE9031765}"/>
    <cellStyle name="SAPBEXaggItemX 6 20" xfId="27441" xr:uid="{591CD312-FBDA-46C4-BBCD-0DEECAECAAFB}"/>
    <cellStyle name="SAPBEXaggItemX 6 21" xfId="27981" xr:uid="{408F661F-6791-46EB-9452-8E6B827B73C7}"/>
    <cellStyle name="SAPBEXaggItemX 6 22" xfId="28707" xr:uid="{F02B71B6-8EF7-4501-849A-CFE312592964}"/>
    <cellStyle name="SAPBEXaggItemX 6 23" xfId="28164" xr:uid="{0291B48F-01E6-4742-BDEF-7028744AA976}"/>
    <cellStyle name="SAPBEXaggItemX 6 24" xfId="28211" xr:uid="{B1DF5D91-0E74-4EDC-93DE-8D646A0123FA}"/>
    <cellStyle name="SAPBEXaggItemX 6 25" xfId="30047" xr:uid="{01AD28E6-5BA2-4155-881A-DF0BF3AFDB78}"/>
    <cellStyle name="SAPBEXaggItemX 6 26" xfId="30328" xr:uid="{74AE4CC3-D4F8-4DE8-9BB6-18438ADD9E31}"/>
    <cellStyle name="SAPBEXaggItemX 6 27" xfId="29400" xr:uid="{D80B96A0-BFBB-4586-AF20-E920EE619816}"/>
    <cellStyle name="SAPBEXaggItemX 6 28" xfId="30788" xr:uid="{2CB3866C-6D19-4032-8755-F9B71659A57B}"/>
    <cellStyle name="SAPBEXaggItemX 6 29" xfId="30957" xr:uid="{23A6AC76-6564-4A94-8FC6-7BDEE2715EB7}"/>
    <cellStyle name="SAPBEXaggItemX 6 3" xfId="14342" xr:uid="{4F806284-E1DB-4935-891E-E17D97AB3088}"/>
    <cellStyle name="SAPBEXaggItemX 6 30" xfId="31124" xr:uid="{2B4E371A-E1E2-4FA4-B4E8-AB320017857B}"/>
    <cellStyle name="SAPBEXaggItemX 6 31" xfId="31230" xr:uid="{8F1E9AB6-94C6-46A6-9B3A-BF2E42D3C05C}"/>
    <cellStyle name="SAPBEXaggItemX 6 32" xfId="6838" xr:uid="{1EA3AC52-E5EC-47D1-80B7-01A01DD68B33}"/>
    <cellStyle name="SAPBEXaggItemX 6 4" xfId="15098" xr:uid="{89C29E6F-5DCF-453E-BB21-EF7159183272}"/>
    <cellStyle name="SAPBEXaggItemX 6 5" xfId="12797" xr:uid="{E4C50BF7-4BA5-4CD1-B6A3-B3FC4CC9AD41}"/>
    <cellStyle name="SAPBEXaggItemX 6 6" xfId="16741" xr:uid="{7B958DE4-5DF5-4573-ABE6-47FF78FFEE7C}"/>
    <cellStyle name="SAPBEXaggItemX 6 7" xfId="17610" xr:uid="{66DD32E4-2367-486E-BF98-AFCDEAA0E40D}"/>
    <cellStyle name="SAPBEXaggItemX 6 8" xfId="18462" xr:uid="{C453349F-1207-47CA-BFFC-370F70FB3A22}"/>
    <cellStyle name="SAPBEXaggItemX 6 9" xfId="19304" xr:uid="{91B2DAFF-F245-4076-BDEA-603E69412E6A}"/>
    <cellStyle name="SAPBEXaggItemX 7" xfId="10675" xr:uid="{A001D912-6687-47D9-921D-FD9110C0550F}"/>
    <cellStyle name="SAPBEXchaText" xfId="4186" xr:uid="{3D29543E-D10D-47DB-A5C4-BA392CD815CF}"/>
    <cellStyle name="SAPBEXchaText 2" xfId="5687" xr:uid="{4A00607D-7553-4C31-B8D0-8D00572FC549}"/>
    <cellStyle name="SAPBEXchaText 3" xfId="10684" xr:uid="{F7AF8183-8A14-433A-BFC3-79B729A47D49}"/>
    <cellStyle name="SAPBEXexcBad7" xfId="4187" xr:uid="{ED444ABC-EA00-4D2D-9BB6-E5C2F3D8AF4C}"/>
    <cellStyle name="SAPBEXexcBad7 2" xfId="4188" xr:uid="{00C82764-7929-4282-90CA-E961EBEDD049}"/>
    <cellStyle name="SAPBEXexcBad7 2 2" xfId="4189" xr:uid="{B0093003-EB78-4968-9D17-ABC2D16AACEC}"/>
    <cellStyle name="SAPBEXexcBad7 2 2 2" xfId="10687" xr:uid="{7DCEE1A6-22FB-4ADC-AA97-3CCED2E84E7F}"/>
    <cellStyle name="SAPBEXexcBad7 2 3" xfId="10686" xr:uid="{CC54FFA3-4883-4DF7-8EE9-5FCC44568176}"/>
    <cellStyle name="SAPBEXexcBad7 3" xfId="4190" xr:uid="{D5D0D8F6-865C-4512-98F5-149F6D8422EA}"/>
    <cellStyle name="SAPBEXexcBad7 3 2" xfId="4191" xr:uid="{9444DEC2-9CDB-41FD-B173-7E62FE06C7AA}"/>
    <cellStyle name="SAPBEXexcBad7 3 2 2" xfId="10689" xr:uid="{91B5B772-E825-4A85-8CDC-40C61895D57D}"/>
    <cellStyle name="SAPBEXexcBad7 3 3" xfId="10688" xr:uid="{5BA34B42-35D1-4AD1-9EDA-7BE2B7585590}"/>
    <cellStyle name="SAPBEXexcBad7 4" xfId="4192" xr:uid="{8A14A4F0-8DE2-4CD0-BC95-9BC54405A737}"/>
    <cellStyle name="SAPBEXexcBad7 4 2" xfId="4193" xr:uid="{90FBB22B-3F94-4CD9-B190-0833A35F10DC}"/>
    <cellStyle name="SAPBEXexcBad7 4 2 2" xfId="10691" xr:uid="{BEE23325-BFA1-48D8-B74A-F9EE367248BE}"/>
    <cellStyle name="SAPBEXexcBad7 4 3" xfId="10690" xr:uid="{3CC49349-C485-460D-A540-D6D138D09E82}"/>
    <cellStyle name="SAPBEXexcBad7 5" xfId="4194" xr:uid="{56EA5316-C4B4-4DA3-9516-4A97EDAF60DC}"/>
    <cellStyle name="SAPBEXexcBad7 5 2" xfId="4195" xr:uid="{FFB8DB26-2526-4818-9872-CBC1DA1B6D25}"/>
    <cellStyle name="SAPBEXexcBad7 5 2 2" xfId="10693" xr:uid="{008471DC-DEBA-4580-A7D8-82C7478BAB52}"/>
    <cellStyle name="SAPBEXexcBad7 5 3" xfId="10692" xr:uid="{730CB523-1421-4666-9A7C-7102EB6D9BBE}"/>
    <cellStyle name="SAPBEXexcBad7 6" xfId="5688" xr:uid="{D8434196-523A-4904-9FC4-9E487F98095F}"/>
    <cellStyle name="SAPBEXexcBad7 6 10" xfId="20062" xr:uid="{AFF550D3-C5AB-44DD-A08E-E53A39F7CFF8}"/>
    <cellStyle name="SAPBEXexcBad7 6 11" xfId="20831" xr:uid="{1C2211B1-B27A-47D1-AF4E-902C5F54B644}"/>
    <cellStyle name="SAPBEXexcBad7 6 12" xfId="21677" xr:uid="{C47F0079-E3F0-4364-BB50-1DF9A4BE8EAB}"/>
    <cellStyle name="SAPBEXexcBad7 6 13" xfId="17915" xr:uid="{513A9AD3-A53F-4E1C-8907-23C0A66B6819}"/>
    <cellStyle name="SAPBEXexcBad7 6 14" xfId="23341" xr:uid="{4A8CF7D0-41BA-4164-8DC6-B776B4A068B4}"/>
    <cellStyle name="SAPBEXexcBad7 6 15" xfId="24143" xr:uid="{CC3DB06A-DBFE-4748-82FE-17D84F2C8081}"/>
    <cellStyle name="SAPBEXexcBad7 6 16" xfId="24970" xr:uid="{01234928-466A-45DB-ADAA-FA136DCE11C0}"/>
    <cellStyle name="SAPBEXexcBad7 6 17" xfId="22791" xr:uid="{8333215E-BFE2-4BDA-B8EA-99A855504DA8}"/>
    <cellStyle name="SAPBEXexcBad7 6 18" xfId="26380" xr:uid="{EFC413CE-0325-4238-B110-4633123EEC72}"/>
    <cellStyle name="SAPBEXexcBad7 6 19" xfId="26741" xr:uid="{A081B7FC-8C61-49AF-99B9-A87B0057C3A3}"/>
    <cellStyle name="SAPBEXexcBad7 6 2" xfId="13414" xr:uid="{9DFB939F-A711-44A5-88FB-2E21983876FB}"/>
    <cellStyle name="SAPBEXexcBad7 6 20" xfId="27443" xr:uid="{A3F00767-AB9A-4893-8A46-E205AB4D7413}"/>
    <cellStyle name="SAPBEXexcBad7 6 21" xfId="27983" xr:uid="{4D1F29A4-58F9-4C68-88D3-19B99584FC58}"/>
    <cellStyle name="SAPBEXexcBad7 6 22" xfId="28708" xr:uid="{6D61CF8A-3CB1-4A08-BC94-FE49B0D1FC04}"/>
    <cellStyle name="SAPBEXexcBad7 6 23" xfId="28165" xr:uid="{60816293-B22E-49EC-BE22-947B66F724F0}"/>
    <cellStyle name="SAPBEXexcBad7 6 24" xfId="29158" xr:uid="{86424E53-DB21-40C0-89C7-1806CCB359E8}"/>
    <cellStyle name="SAPBEXexcBad7 6 25" xfId="30048" xr:uid="{E9A3DB14-E8A4-4F0C-87E1-661C73219509}"/>
    <cellStyle name="SAPBEXexcBad7 6 26" xfId="30329" xr:uid="{21569C77-66CE-4F04-8381-76AA34CA3B8E}"/>
    <cellStyle name="SAPBEXexcBad7 6 27" xfId="30449" xr:uid="{8388E2CF-02FE-45E2-A120-26EB4334668E}"/>
    <cellStyle name="SAPBEXexcBad7 6 28" xfId="30790" xr:uid="{00D1E13A-98D0-4581-987E-2EBA673E47C2}"/>
    <cellStyle name="SAPBEXexcBad7 6 29" xfId="30958" xr:uid="{04890058-9470-4D72-B7FA-EB0F6A9DC503}"/>
    <cellStyle name="SAPBEXexcBad7 6 3" xfId="14344" xr:uid="{1B8548A7-3111-4AE3-92C3-4F16AEDA30CB}"/>
    <cellStyle name="SAPBEXexcBad7 6 30" xfId="31125" xr:uid="{189A58D3-48B2-41DD-8B52-710D0512D3F2}"/>
    <cellStyle name="SAPBEXexcBad7 6 31" xfId="31231" xr:uid="{E1E9B4F3-90D9-4C56-9292-E09373FFE79F}"/>
    <cellStyle name="SAPBEXexcBad7 6 32" xfId="6839" xr:uid="{971C2286-F18D-48C2-8CF0-95A94AE01A06}"/>
    <cellStyle name="SAPBEXexcBad7 6 4" xfId="15100" xr:uid="{820E69B2-E5F4-4AFD-B012-6559515E03C4}"/>
    <cellStyle name="SAPBEXexcBad7 6 5" xfId="13524" xr:uid="{B6178997-BD0E-4A94-9B97-30BCBE0E9070}"/>
    <cellStyle name="SAPBEXexcBad7 6 6" xfId="16743" xr:uid="{102A30F6-675F-4798-A8D3-35D67A760FD5}"/>
    <cellStyle name="SAPBEXexcBad7 6 7" xfId="17612" xr:uid="{9779319E-0985-440D-8D5B-00E23AEE64CC}"/>
    <cellStyle name="SAPBEXexcBad7 6 8" xfId="18464" xr:uid="{1B5595BE-2521-4497-BAD2-113F2ADE413E}"/>
    <cellStyle name="SAPBEXexcBad7 6 9" xfId="19306" xr:uid="{4BE3257B-688C-4FBC-9AF6-81035A3EC070}"/>
    <cellStyle name="SAPBEXexcBad7 7" xfId="10685" xr:uid="{B32B36FD-2758-49B4-809D-EF3A6C9AF187}"/>
    <cellStyle name="SAPBEXexcBad8" xfId="4196" xr:uid="{06FA746A-1DA8-42CA-9FAE-6AFAF9C97F10}"/>
    <cellStyle name="SAPBEXexcBad8 2" xfId="4197" xr:uid="{1786F2C4-B0F8-4CF2-94A6-453ABAC109C6}"/>
    <cellStyle name="SAPBEXexcBad8 2 2" xfId="4198" xr:uid="{9D61F6D3-3CBA-4726-8906-0B23902D2327}"/>
    <cellStyle name="SAPBEXexcBad8 2 2 2" xfId="10696" xr:uid="{E29EA328-EC82-4B82-985D-E4A0A2566D05}"/>
    <cellStyle name="SAPBEXexcBad8 2 3" xfId="10695" xr:uid="{97E6CD41-2017-4964-A12E-824EC2C4846A}"/>
    <cellStyle name="SAPBEXexcBad8 3" xfId="4199" xr:uid="{96023388-43EB-49BC-9B8B-75DEF459A24E}"/>
    <cellStyle name="SAPBEXexcBad8 3 2" xfId="4200" xr:uid="{3FC77577-FA16-455C-A78A-C1332F8535FB}"/>
    <cellStyle name="SAPBEXexcBad8 3 2 2" xfId="10698" xr:uid="{69BFDD0E-10BF-40B4-BB4D-C04296CC9EB3}"/>
    <cellStyle name="SAPBEXexcBad8 3 3" xfId="10697" xr:uid="{CB06A622-C185-47D7-B893-F8DEAB4C0886}"/>
    <cellStyle name="SAPBEXexcBad8 4" xfId="4201" xr:uid="{201000AF-EDB9-41D6-8197-74FB26DB1D62}"/>
    <cellStyle name="SAPBEXexcBad8 4 2" xfId="4202" xr:uid="{D40A5584-A59F-4CB6-8D92-A2D9FC50805E}"/>
    <cellStyle name="SAPBEXexcBad8 4 2 2" xfId="10700" xr:uid="{10B96CB7-6666-44E8-B8AA-44F11726B98B}"/>
    <cellStyle name="SAPBEXexcBad8 4 3" xfId="10699" xr:uid="{15D8EC81-6AAF-4E1F-A6DF-2225AA39E33F}"/>
    <cellStyle name="SAPBEXexcBad8 5" xfId="4203" xr:uid="{32E16C70-9912-4AF5-B5FB-BC40AE19C9E2}"/>
    <cellStyle name="SAPBEXexcBad8 5 2" xfId="4204" xr:uid="{1311243C-7913-4439-94EA-CAEF866DE427}"/>
    <cellStyle name="SAPBEXexcBad8 5 2 2" xfId="10702" xr:uid="{ECB0627C-C18E-4438-B1BF-B881B4F43464}"/>
    <cellStyle name="SAPBEXexcBad8 5 3" xfId="10701" xr:uid="{086F8E37-E5BC-457D-B76F-5C0AD6C5CA29}"/>
    <cellStyle name="SAPBEXexcBad8 6" xfId="5689" xr:uid="{BF6A4D5B-0ECE-4821-8CA4-25F0E0EFC052}"/>
    <cellStyle name="SAPBEXexcBad8 6 10" xfId="20063" xr:uid="{472CF0DF-C4DB-4FB7-B2AC-1FBD77D296D2}"/>
    <cellStyle name="SAPBEXexcBad8 6 11" xfId="20832" xr:uid="{CEA634A1-8AF5-4F47-B1EB-50D333C6ACF2}"/>
    <cellStyle name="SAPBEXexcBad8 6 12" xfId="21678" xr:uid="{0E050759-C5A7-4AA8-9CFA-62C490E331C4}"/>
    <cellStyle name="SAPBEXexcBad8 6 13" xfId="21988" xr:uid="{10629671-4513-4A1C-9744-6444C9B78BAD}"/>
    <cellStyle name="SAPBEXexcBad8 6 14" xfId="23342" xr:uid="{0D9D7806-67D3-4367-837B-9B67E0765D89}"/>
    <cellStyle name="SAPBEXexcBad8 6 15" xfId="24144" xr:uid="{84C55D15-7074-43F6-B3E4-D6F44E68A94A}"/>
    <cellStyle name="SAPBEXexcBad8 6 16" xfId="24971" xr:uid="{E86CB890-B524-4CB9-A8B9-95EC63C1E052}"/>
    <cellStyle name="SAPBEXexcBad8 6 17" xfId="23523" xr:uid="{A19CC016-30A4-4F9D-8F4B-4A70128F8636}"/>
    <cellStyle name="SAPBEXexcBad8 6 18" xfId="26381" xr:uid="{73416D6B-2658-4360-9572-B4CF8B33AA67}"/>
    <cellStyle name="SAPBEXexcBad8 6 19" xfId="26742" xr:uid="{8052C28E-36C5-4B1A-B508-98A9360E92D9}"/>
    <cellStyle name="SAPBEXexcBad8 6 2" xfId="13415" xr:uid="{895C98FC-96BB-4E3D-A378-F2964BF85A31}"/>
    <cellStyle name="SAPBEXexcBad8 6 20" xfId="27444" xr:uid="{19955A9D-24FE-4331-9112-DD87DFC4B143}"/>
    <cellStyle name="SAPBEXexcBad8 6 21" xfId="27984" xr:uid="{3A96412C-F505-49E7-A6D3-1F909BF9657E}"/>
    <cellStyle name="SAPBEXexcBad8 6 22" xfId="28709" xr:uid="{7BAC0806-35CC-4F45-9FF7-73A121142924}"/>
    <cellStyle name="SAPBEXexcBad8 6 23" xfId="28806" xr:uid="{A5602AE6-23F3-4FD6-86A2-6B33678C9AFD}"/>
    <cellStyle name="SAPBEXexcBad8 6 24" xfId="25241" xr:uid="{399B197F-6A14-49E9-9954-95C66C3223B1}"/>
    <cellStyle name="SAPBEXexcBad8 6 25" xfId="29664" xr:uid="{B54EC315-D0C0-426D-B0CC-827ED0C70836}"/>
    <cellStyle name="SAPBEXexcBad8 6 26" xfId="30330" xr:uid="{481FC357-C3E4-451C-BF26-9E45F2EED9B8}"/>
    <cellStyle name="SAPBEXexcBad8 6 27" xfId="30450" xr:uid="{10E11550-F7C7-4679-88BA-EFD2D2B90375}"/>
    <cellStyle name="SAPBEXexcBad8 6 28" xfId="30791" xr:uid="{A5F23ECC-E7A5-40B4-BD4C-9C49502C6680}"/>
    <cellStyle name="SAPBEXexcBad8 6 29" xfId="30959" xr:uid="{CBCE4959-CC92-49A1-BF7C-6C6A1F4948B7}"/>
    <cellStyle name="SAPBEXexcBad8 6 3" xfId="14345" xr:uid="{2338C832-F0F1-446E-BA9B-63C4A0A5030A}"/>
    <cellStyle name="SAPBEXexcBad8 6 30" xfId="31126" xr:uid="{2AD6E439-090F-44E8-886C-4EAD01EEDFFF}"/>
    <cellStyle name="SAPBEXexcBad8 6 31" xfId="31232" xr:uid="{E8E436E5-4175-4CA5-A1AB-794F1B1E9AE1}"/>
    <cellStyle name="SAPBEXexcBad8 6 32" xfId="6840" xr:uid="{C02B0D38-92CD-4DF4-B315-0F4E5F2E2576}"/>
    <cellStyle name="SAPBEXexcBad8 6 4" xfId="15101" xr:uid="{E7B4AE5A-6572-4C22-9839-A86394F99182}"/>
    <cellStyle name="SAPBEXexcBad8 6 5" xfId="15434" xr:uid="{FF310DDD-D9A9-4933-B79A-D9FE7580A40F}"/>
    <cellStyle name="SAPBEXexcBad8 6 6" xfId="16744" xr:uid="{C7CB8A60-E44C-4780-B6AF-0E12B3EE0E3E}"/>
    <cellStyle name="SAPBEXexcBad8 6 7" xfId="17613" xr:uid="{0654FA26-062A-4892-A95E-022C495EA3D3}"/>
    <cellStyle name="SAPBEXexcBad8 6 8" xfId="18465" xr:uid="{E81A9A8E-4833-4F80-818A-464CDB667611}"/>
    <cellStyle name="SAPBEXexcBad8 6 9" xfId="19307" xr:uid="{A711902D-53D7-4E39-8DE0-6C96A7CD9AB2}"/>
    <cellStyle name="SAPBEXexcBad8 7" xfId="10694" xr:uid="{11575580-DA6C-4B3E-A4F8-D612225B9BEA}"/>
    <cellStyle name="SAPBEXexcBad9" xfId="4205" xr:uid="{BA9C1CBE-1971-4118-9A69-2182CF2BE788}"/>
    <cellStyle name="SAPBEXexcBad9 2" xfId="4206" xr:uid="{B45ECB15-514F-4FE7-8DCC-9D8C01411DD8}"/>
    <cellStyle name="SAPBEXexcBad9 2 2" xfId="4207" xr:uid="{F795931C-93D4-479C-A916-CFFF6D4738CB}"/>
    <cellStyle name="SAPBEXexcBad9 2 2 2" xfId="10705" xr:uid="{B1761882-3484-4465-A999-26768DAC2560}"/>
    <cellStyle name="SAPBEXexcBad9 2 3" xfId="10704" xr:uid="{13856E88-D2BA-4F7D-A7BC-CC84339CDE5A}"/>
    <cellStyle name="SAPBEXexcBad9 3" xfId="4208" xr:uid="{342C3307-3D79-4709-8C06-D964BBE2B831}"/>
    <cellStyle name="SAPBEXexcBad9 3 2" xfId="4209" xr:uid="{0EFA3557-DC5F-475E-BC36-FDF9AE3E52E3}"/>
    <cellStyle name="SAPBEXexcBad9 3 2 2" xfId="10707" xr:uid="{D258EEFE-A668-45A8-8355-56A2BF07AAB8}"/>
    <cellStyle name="SAPBEXexcBad9 3 3" xfId="10706" xr:uid="{D1E56779-69F8-4B33-A0A6-E8620D8FEB56}"/>
    <cellStyle name="SAPBEXexcBad9 4" xfId="4210" xr:uid="{6D248324-64BA-470D-8337-7A242EF8906B}"/>
    <cellStyle name="SAPBEXexcBad9 4 2" xfId="4211" xr:uid="{21FD36D5-8F59-4364-9FE1-BA459E5721DE}"/>
    <cellStyle name="SAPBEXexcBad9 4 2 2" xfId="10709" xr:uid="{592FF7BC-AFFC-4884-9FB5-17393C0FD123}"/>
    <cellStyle name="SAPBEXexcBad9 4 3" xfId="10708" xr:uid="{470AE572-1640-457C-ACFA-039FE3C4286E}"/>
    <cellStyle name="SAPBEXexcBad9 5" xfId="4212" xr:uid="{22495FF9-0BD1-403A-8CA0-F1DF52972DAD}"/>
    <cellStyle name="SAPBEXexcBad9 5 2" xfId="4213" xr:uid="{31EC6DF3-D1DE-4D5E-B72D-A779D204D8F4}"/>
    <cellStyle name="SAPBEXexcBad9 5 2 2" xfId="10711" xr:uid="{52A7F70F-991F-4AAC-B3CD-66B30D0CB887}"/>
    <cellStyle name="SAPBEXexcBad9 5 3" xfId="10710" xr:uid="{AA96D8BE-57AB-433C-AACC-08D4119B71E4}"/>
    <cellStyle name="SAPBEXexcBad9 6" xfId="5690" xr:uid="{E0C5B465-646D-4340-B625-B15C4A876C43}"/>
    <cellStyle name="SAPBEXexcBad9 6 10" xfId="20064" xr:uid="{ACDC36D2-B264-4D0C-8EFA-EEC6CD3A1ED1}"/>
    <cellStyle name="SAPBEXexcBad9 6 11" xfId="20833" xr:uid="{EF897231-0445-4A78-8F9D-A6AAF985FA0B}"/>
    <cellStyle name="SAPBEXexcBad9 6 12" xfId="21679" xr:uid="{4A958DE8-6B2B-4AEB-865C-C62236701E4A}"/>
    <cellStyle name="SAPBEXexcBad9 6 13" xfId="21757" xr:uid="{4D079551-B4AC-405D-B9CE-AF1725020578}"/>
    <cellStyle name="SAPBEXexcBad9 6 14" xfId="23343" xr:uid="{B1DD4928-EF39-4D16-8C0C-795B3770E4D7}"/>
    <cellStyle name="SAPBEXexcBad9 6 15" xfId="24145" xr:uid="{3136F036-4C2D-4F8F-BA84-BB59AB28D0E7}"/>
    <cellStyle name="SAPBEXexcBad9 6 16" xfId="24972" xr:uid="{FD18B167-5A6E-41A5-907F-165DA4E8D76A}"/>
    <cellStyle name="SAPBEXexcBad9 6 17" xfId="22792" xr:uid="{C95670BE-7134-4E5F-A633-A6E77DD3453A}"/>
    <cellStyle name="SAPBEXexcBad9 6 18" xfId="26382" xr:uid="{7CBB577D-B6F1-4A48-910A-BACDD7C5BFB6}"/>
    <cellStyle name="SAPBEXexcBad9 6 19" xfId="26743" xr:uid="{E7068EC3-12D1-4226-A0FE-87222F0FD089}"/>
    <cellStyle name="SAPBEXexcBad9 6 2" xfId="13416" xr:uid="{AE24036A-45F0-470E-9CD2-C41959BE9954}"/>
    <cellStyle name="SAPBEXexcBad9 6 20" xfId="27445" xr:uid="{F33927F1-CE1B-4ADE-B561-EC30AB58CFF4}"/>
    <cellStyle name="SAPBEXexcBad9 6 21" xfId="27985" xr:uid="{41400063-8A98-4AA9-B7A2-4C2FFCA15DBB}"/>
    <cellStyle name="SAPBEXexcBad9 6 22" xfId="28710" xr:uid="{317A2F82-5D71-4AC1-A59E-B9D118B62AEC}"/>
    <cellStyle name="SAPBEXexcBad9 6 23" xfId="28166" xr:uid="{D594B674-5586-4705-8FA4-B4C994FACA18}"/>
    <cellStyle name="SAPBEXexcBad9 6 24" xfId="25870" xr:uid="{180D9155-73CB-4EDF-AE2A-0D59409C958B}"/>
    <cellStyle name="SAPBEXexcBad9 6 25" xfId="30049" xr:uid="{14ABE44C-A879-4201-BE6E-827DBE4FFDE3}"/>
    <cellStyle name="SAPBEXexcBad9 6 26" xfId="30331" xr:uid="{E01282A5-4C77-4A5F-BAF9-D2683C5709D4}"/>
    <cellStyle name="SAPBEXexcBad9 6 27" xfId="30451" xr:uid="{C8C00F14-4935-4E66-8E68-3288E6EE0254}"/>
    <cellStyle name="SAPBEXexcBad9 6 28" xfId="30792" xr:uid="{76197DA5-A08A-4DC7-9A36-22490699F6C3}"/>
    <cellStyle name="SAPBEXexcBad9 6 29" xfId="30960" xr:uid="{F5F73D74-C334-4C05-A72D-F9BC2316D67F}"/>
    <cellStyle name="SAPBEXexcBad9 6 3" xfId="14346" xr:uid="{387E1566-9122-436C-992D-29F2CC2138A0}"/>
    <cellStyle name="SAPBEXexcBad9 6 30" xfId="31127" xr:uid="{B95CF128-47DB-4F67-9EAB-D9F63A938145}"/>
    <cellStyle name="SAPBEXexcBad9 6 31" xfId="31233" xr:uid="{E85C89BB-CBE2-4D4F-AFDC-F9561A5C3A30}"/>
    <cellStyle name="SAPBEXexcBad9 6 32" xfId="6841" xr:uid="{34970CD3-60E8-495D-99AF-6FA3B1C8E53D}"/>
    <cellStyle name="SAPBEXexcBad9 6 4" xfId="15102" xr:uid="{FA41CCA7-5E6E-4203-BB97-0FA81BBC08BE}"/>
    <cellStyle name="SAPBEXexcBad9 6 5" xfId="12798" xr:uid="{BDD4E617-BA00-48E3-BD0A-C467F6F58099}"/>
    <cellStyle name="SAPBEXexcBad9 6 6" xfId="16745" xr:uid="{66CA45F4-4E18-4869-9FB4-46C9C85C8469}"/>
    <cellStyle name="SAPBEXexcBad9 6 7" xfId="17614" xr:uid="{A66A5767-AA3A-4AC0-9F84-4EFFC4BE406B}"/>
    <cellStyle name="SAPBEXexcBad9 6 8" xfId="18466" xr:uid="{EC7B5CCA-C803-4511-937F-250BDBF2D10C}"/>
    <cellStyle name="SAPBEXexcBad9 6 9" xfId="19308" xr:uid="{11ACEA5D-73D2-453C-98F0-3130EEA9C44B}"/>
    <cellStyle name="SAPBEXexcBad9 7" xfId="10703" xr:uid="{04F32249-FF70-4D6F-993C-7D3059469943}"/>
    <cellStyle name="SAPBEXexcCritical4" xfId="4214" xr:uid="{84625A99-3DF4-4B17-8388-20BA91B66319}"/>
    <cellStyle name="SAPBEXexcCritical4 2" xfId="4215" xr:uid="{BDBA96DD-3ECF-49AF-9BFD-2BCD1DFD84DC}"/>
    <cellStyle name="SAPBEXexcCritical4 2 2" xfId="4216" xr:uid="{3DE203CC-66A4-4FAF-916F-E1BBEBADF321}"/>
    <cellStyle name="SAPBEXexcCritical4 2 2 2" xfId="10714" xr:uid="{B6CDD3C0-6609-4926-96DA-44B2F956298D}"/>
    <cellStyle name="SAPBEXexcCritical4 2 3" xfId="10713" xr:uid="{8DFE7E16-AFB2-4EA2-8E8B-108669CA6EEA}"/>
    <cellStyle name="SAPBEXexcCritical4 3" xfId="4217" xr:uid="{1BE54204-D559-48E4-A485-23C76A9CBCEE}"/>
    <cellStyle name="SAPBEXexcCritical4 3 2" xfId="4218" xr:uid="{1C6A4A25-9F9E-4284-A527-F442B9D26434}"/>
    <cellStyle name="SAPBEXexcCritical4 3 2 2" xfId="10716" xr:uid="{610BFA73-E5AC-4AD5-B492-5B15C5561D25}"/>
    <cellStyle name="SAPBEXexcCritical4 3 3" xfId="10715" xr:uid="{8827C9D0-D3C5-4648-AFA6-D4679B0D645C}"/>
    <cellStyle name="SAPBEXexcCritical4 4" xfId="4219" xr:uid="{3F914502-3AC3-41C6-BFFE-AE9340BD1309}"/>
    <cellStyle name="SAPBEXexcCritical4 4 2" xfId="4220" xr:uid="{8B5C71AA-471E-4B76-A0A9-4D5572773489}"/>
    <cellStyle name="SAPBEXexcCritical4 4 2 2" xfId="10718" xr:uid="{DBBBBBD2-AFC6-41BA-8991-311B3C1771F9}"/>
    <cellStyle name="SAPBEXexcCritical4 4 3" xfId="10717" xr:uid="{552E0516-401D-446A-BA5F-E8860CDA091E}"/>
    <cellStyle name="SAPBEXexcCritical4 5" xfId="4221" xr:uid="{12FBDFAC-AF18-461D-B75B-CCB27AFFACCA}"/>
    <cellStyle name="SAPBEXexcCritical4 5 2" xfId="4222" xr:uid="{AF808694-F4B2-4F1D-A97D-D05927CA54F8}"/>
    <cellStyle name="SAPBEXexcCritical4 5 2 2" xfId="10720" xr:uid="{FB0A811F-2C46-4F66-8409-36DB3452A9BC}"/>
    <cellStyle name="SAPBEXexcCritical4 5 3" xfId="10719" xr:uid="{D5FD0BF7-4DD1-406E-B84E-5F3B7A4AB9F3}"/>
    <cellStyle name="SAPBEXexcCritical4 6" xfId="5691" xr:uid="{BBCCE866-8DC2-4534-94EF-BDEB98A5D668}"/>
    <cellStyle name="SAPBEXexcCritical4 6 10" xfId="20065" xr:uid="{EEBD9F0E-9216-4F83-8ABD-6EF79F18E185}"/>
    <cellStyle name="SAPBEXexcCritical4 6 11" xfId="20834" xr:uid="{21EBA740-EA74-4EDF-A4F2-35F91A97BC0A}"/>
    <cellStyle name="SAPBEXexcCritical4 6 12" xfId="21680" xr:uid="{CD1A12F9-3309-41C3-BC88-FAFED41D8775}"/>
    <cellStyle name="SAPBEXexcCritical4 6 13" xfId="21987" xr:uid="{40133203-858D-4527-8F84-3CA6B7553286}"/>
    <cellStyle name="SAPBEXexcCritical4 6 14" xfId="23344" xr:uid="{061C5051-5CA6-44F5-8FCA-5D4885EB10AE}"/>
    <cellStyle name="SAPBEXexcCritical4 6 15" xfId="24146" xr:uid="{B8A5662A-F75A-457C-92B3-C13D743E62A9}"/>
    <cellStyle name="SAPBEXexcCritical4 6 16" xfId="24973" xr:uid="{FB401ED6-8AD1-4630-85C9-FA411C36B22C}"/>
    <cellStyle name="SAPBEXexcCritical4 6 17" xfId="23524" xr:uid="{D186297E-EDC0-41FB-8D3A-9DF2BB30F54D}"/>
    <cellStyle name="SAPBEXexcCritical4 6 18" xfId="26383" xr:uid="{13099799-AA50-4BA1-838A-DD3F196E505E}"/>
    <cellStyle name="SAPBEXexcCritical4 6 19" xfId="26744" xr:uid="{867C4564-86D9-4878-84E8-FCE60639AB68}"/>
    <cellStyle name="SAPBEXexcCritical4 6 2" xfId="13417" xr:uid="{B180B230-DC0D-4D09-A279-72CCC3370B57}"/>
    <cellStyle name="SAPBEXexcCritical4 6 20" xfId="27446" xr:uid="{97BD9E89-657B-496A-A202-1D5D7D18C0F6}"/>
    <cellStyle name="SAPBEXexcCritical4 6 21" xfId="27986" xr:uid="{43853FCC-E0ED-4E40-91C4-C9E859C84C9D}"/>
    <cellStyle name="SAPBEXexcCritical4 6 22" xfId="28711" xr:uid="{033AEDDF-18F4-4FEA-B14B-71775B7F54A0}"/>
    <cellStyle name="SAPBEXexcCritical4 6 23" xfId="28807" xr:uid="{C071A4EC-DD71-4AFB-928C-4AF902D5B6A6}"/>
    <cellStyle name="SAPBEXexcCritical4 6 24" xfId="26020" xr:uid="{67153E00-458E-45FE-B3D8-024E77902D1A}"/>
    <cellStyle name="SAPBEXexcCritical4 6 25" xfId="29056" xr:uid="{F73A3D75-7570-4CDE-94A8-749B6F046EB6}"/>
    <cellStyle name="SAPBEXexcCritical4 6 26" xfId="30332" xr:uid="{E1A7AEF5-85D9-49D5-B67D-8D55DFF39F6D}"/>
    <cellStyle name="SAPBEXexcCritical4 6 27" xfId="30452" xr:uid="{DFCB9E4A-EAB4-42F1-8926-FD9EAF757352}"/>
    <cellStyle name="SAPBEXexcCritical4 6 28" xfId="30793" xr:uid="{271D14E7-66F1-48C9-B5A6-171EE6D19433}"/>
    <cellStyle name="SAPBEXexcCritical4 6 29" xfId="30961" xr:uid="{595FF8B6-4F70-4DF1-BD6A-7A43A6714F17}"/>
    <cellStyle name="SAPBEXexcCritical4 6 3" xfId="14347" xr:uid="{4B96A618-86AA-46A7-A9C5-5E75A9ACC0D2}"/>
    <cellStyle name="SAPBEXexcCritical4 6 30" xfId="31128" xr:uid="{0C60FE9E-F96A-4BC0-B648-316B850CB507}"/>
    <cellStyle name="SAPBEXexcCritical4 6 31" xfId="31234" xr:uid="{DF151557-70AE-4B06-8B09-12AF29B5F171}"/>
    <cellStyle name="SAPBEXexcCritical4 6 32" xfId="6842" xr:uid="{969B5C0E-412C-4986-9287-1CB5C4C9E424}"/>
    <cellStyle name="SAPBEXexcCritical4 6 4" xfId="15103" xr:uid="{182C6269-3CBB-45CA-90A5-F3E0063C1F98}"/>
    <cellStyle name="SAPBEXexcCritical4 6 5" xfId="15433" xr:uid="{D50DB466-86A3-4E6C-A549-E658DF868035}"/>
    <cellStyle name="SAPBEXexcCritical4 6 6" xfId="16746" xr:uid="{E9C4E5AB-3A66-4846-8BDE-2702EE402B12}"/>
    <cellStyle name="SAPBEXexcCritical4 6 7" xfId="17615" xr:uid="{2F29AA25-5135-4D87-B219-A21DE9D1B582}"/>
    <cellStyle name="SAPBEXexcCritical4 6 8" xfId="18467" xr:uid="{CD3B5282-D5B3-4227-8D90-3165F86A935F}"/>
    <cellStyle name="SAPBEXexcCritical4 6 9" xfId="19309" xr:uid="{CA0D1CC3-1A0C-4A76-A66D-6F82432BC076}"/>
    <cellStyle name="SAPBEXexcCritical4 7" xfId="10712" xr:uid="{B79CC73D-93C5-4705-B86B-60426BE11283}"/>
    <cellStyle name="SAPBEXexcCritical5" xfId="4223" xr:uid="{FA597ED4-16A1-4451-8B1F-68CE414EB3B4}"/>
    <cellStyle name="SAPBEXexcCritical5 2" xfId="4224" xr:uid="{5616D0FD-7439-456D-B42D-213981492D24}"/>
    <cellStyle name="SAPBEXexcCritical5 2 2" xfId="4225" xr:uid="{7CEA7357-0B6F-46C8-953D-1338450F5CB8}"/>
    <cellStyle name="SAPBEXexcCritical5 2 2 2" xfId="10723" xr:uid="{FE832D64-5181-4BEB-B9CB-EB8ECC4FB492}"/>
    <cellStyle name="SAPBEXexcCritical5 2 3" xfId="10722" xr:uid="{E17752AD-5894-4988-8448-655B4C9B0B29}"/>
    <cellStyle name="SAPBEXexcCritical5 3" xfId="4226" xr:uid="{B1663914-FBC5-4E25-B2FC-CCE25FEE6383}"/>
    <cellStyle name="SAPBEXexcCritical5 3 2" xfId="4227" xr:uid="{24031065-4B98-44AE-A95D-99499056F04C}"/>
    <cellStyle name="SAPBEXexcCritical5 3 2 2" xfId="10725" xr:uid="{45A3A662-4394-4EA2-B23A-2CBE95BB589F}"/>
    <cellStyle name="SAPBEXexcCritical5 3 3" xfId="10724" xr:uid="{8C77D705-0E52-4734-8637-56B6D502A39D}"/>
    <cellStyle name="SAPBEXexcCritical5 4" xfId="4228" xr:uid="{4CBCD84E-9A44-427E-BC29-AFC6D6C0A1FD}"/>
    <cellStyle name="SAPBEXexcCritical5 4 2" xfId="4229" xr:uid="{4712BF38-E26E-428C-BE88-663EA8340857}"/>
    <cellStyle name="SAPBEXexcCritical5 4 2 2" xfId="10727" xr:uid="{D9908B58-6F3C-4A06-A48D-61F3F4EFF08D}"/>
    <cellStyle name="SAPBEXexcCritical5 4 3" xfId="10726" xr:uid="{4B436E5E-5685-44B8-8A72-952DE08A250B}"/>
    <cellStyle name="SAPBEXexcCritical5 5" xfId="4230" xr:uid="{35624FF6-EE1A-44AC-9859-99E9BCB70E86}"/>
    <cellStyle name="SAPBEXexcCritical5 5 2" xfId="4231" xr:uid="{1A95402D-8A68-41AA-B823-20ACD11594A3}"/>
    <cellStyle name="SAPBEXexcCritical5 5 2 2" xfId="10729" xr:uid="{1B0C1E92-E4A6-42F7-833A-0C042C277FC9}"/>
    <cellStyle name="SAPBEXexcCritical5 5 3" xfId="10728" xr:uid="{5DE6010E-30D9-49B3-873F-EC63901CF9C9}"/>
    <cellStyle name="SAPBEXexcCritical5 6" xfId="5692" xr:uid="{71B81C4E-1EB3-4FDD-A704-3FF3E88953CF}"/>
    <cellStyle name="SAPBEXexcCritical5 6 10" xfId="20066" xr:uid="{AE6A78B7-D344-4F80-8409-B657B32D4948}"/>
    <cellStyle name="SAPBEXexcCritical5 6 11" xfId="20835" xr:uid="{46022BD7-BF2C-4CB8-A83E-8383CDA82A6A}"/>
    <cellStyle name="SAPBEXexcCritical5 6 12" xfId="21681" xr:uid="{BEC2BDB0-289A-465B-9965-5F3F26BAAD85}"/>
    <cellStyle name="SAPBEXexcCritical5 6 13" xfId="20234" xr:uid="{9C9FB94C-05AF-4CD1-B538-5D01DE85732E}"/>
    <cellStyle name="SAPBEXexcCritical5 6 14" xfId="23345" xr:uid="{F7E0A3E2-725C-4C67-9211-BC1B926E04B6}"/>
    <cellStyle name="SAPBEXexcCritical5 6 15" xfId="24147" xr:uid="{90B02B61-FD75-4021-92E7-2B732C9770A3}"/>
    <cellStyle name="SAPBEXexcCritical5 6 16" xfId="24974" xr:uid="{A2648020-22C4-47F5-9CE2-99452C7F58C6}"/>
    <cellStyle name="SAPBEXexcCritical5 6 17" xfId="22793" xr:uid="{F5C45E62-4D89-483F-8D53-56B226FC189D}"/>
    <cellStyle name="SAPBEXexcCritical5 6 18" xfId="26384" xr:uid="{BC3540E4-E819-4C23-8791-436C68C1BEB8}"/>
    <cellStyle name="SAPBEXexcCritical5 6 19" xfId="26745" xr:uid="{E4611181-411A-45FB-A484-05D161DC9801}"/>
    <cellStyle name="SAPBEXexcCritical5 6 2" xfId="13418" xr:uid="{269C3133-309E-4A6C-899C-3331B9B0129B}"/>
    <cellStyle name="SAPBEXexcCritical5 6 20" xfId="27447" xr:uid="{B5F32588-BD52-4E3F-9712-F064029F0952}"/>
    <cellStyle name="SAPBEXexcCritical5 6 21" xfId="27987" xr:uid="{B30BFFA6-B94E-4BB4-AAB9-38C63BE0C66B}"/>
    <cellStyle name="SAPBEXexcCritical5 6 22" xfId="28712" xr:uid="{4EE4EF15-7B3F-40B7-A271-BDA88A161019}"/>
    <cellStyle name="SAPBEXexcCritical5 6 23" xfId="28167" xr:uid="{1B87463B-BB69-4134-A64B-9196D4C5E18D}"/>
    <cellStyle name="SAPBEXexcCritical5 6 24" xfId="29157" xr:uid="{C33C1798-7A73-4701-8A3E-69718A609ECD}"/>
    <cellStyle name="SAPBEXexcCritical5 6 25" xfId="30050" xr:uid="{4140AD46-B0C8-4248-AD35-253A7C04A7CB}"/>
    <cellStyle name="SAPBEXexcCritical5 6 26" xfId="30333" xr:uid="{CB639661-878B-412F-87F6-7C809DA85637}"/>
    <cellStyle name="SAPBEXexcCritical5 6 27" xfId="30453" xr:uid="{2FE51DD2-6D0B-451B-A7E0-91E977906C03}"/>
    <cellStyle name="SAPBEXexcCritical5 6 28" xfId="30794" xr:uid="{A0E13DC3-9189-4C9E-BD4E-38835DE0F26E}"/>
    <cellStyle name="SAPBEXexcCritical5 6 29" xfId="30962" xr:uid="{590438AF-ACC7-4A49-99D8-3E874A683CBA}"/>
    <cellStyle name="SAPBEXexcCritical5 6 3" xfId="14348" xr:uid="{AD30A484-ECCC-4689-A8FF-6A0E2E6C5C3F}"/>
    <cellStyle name="SAPBEXexcCritical5 6 30" xfId="31129" xr:uid="{3580C79C-8C8F-4565-9D42-CB97CA549DB4}"/>
    <cellStyle name="SAPBEXexcCritical5 6 31" xfId="31235" xr:uid="{29423A15-7A93-4063-A5A9-FBD01FBE4C10}"/>
    <cellStyle name="SAPBEXexcCritical5 6 32" xfId="6843" xr:uid="{3B22882B-7455-414B-98B0-8B093501FD1D}"/>
    <cellStyle name="SAPBEXexcCritical5 6 4" xfId="15104" xr:uid="{45CC2046-B4C2-4868-9DDC-E948FA3FF47E}"/>
    <cellStyle name="SAPBEXexcCritical5 6 5" xfId="13525" xr:uid="{93682D7D-D02D-44A2-95BF-A443587454FD}"/>
    <cellStyle name="SAPBEXexcCritical5 6 6" xfId="16747" xr:uid="{3AF46CB5-1AB4-4D73-915F-6CE23FC4A049}"/>
    <cellStyle name="SAPBEXexcCritical5 6 7" xfId="17616" xr:uid="{82EEDD61-2DF0-47DB-8969-144676AAB9FB}"/>
    <cellStyle name="SAPBEXexcCritical5 6 8" xfId="18468" xr:uid="{572E774C-6932-4622-93D0-3AA7A65D167D}"/>
    <cellStyle name="SAPBEXexcCritical5 6 9" xfId="19310" xr:uid="{3C4C8EDC-BC96-47A1-9F41-23A0F251227E}"/>
    <cellStyle name="SAPBEXexcCritical5 7" xfId="10721" xr:uid="{F4FEF26B-D627-4292-84D4-7B61FDF6C7E7}"/>
    <cellStyle name="SAPBEXexcCritical6" xfId="4232" xr:uid="{C3403480-AE98-40B3-A8F1-E04B67BEF527}"/>
    <cellStyle name="SAPBEXexcCritical6 2" xfId="4233" xr:uid="{C3705856-8C34-406E-8E1C-D392D6CE3033}"/>
    <cellStyle name="SAPBEXexcCritical6 2 2" xfId="4234" xr:uid="{8D298DAC-1048-43E6-84F8-12233363F3C7}"/>
    <cellStyle name="SAPBEXexcCritical6 2 2 2" xfId="10732" xr:uid="{503C7B5A-5682-4E3A-BE7A-D4897D4A821D}"/>
    <cellStyle name="SAPBEXexcCritical6 2 3" xfId="10731" xr:uid="{A2CEC009-DEED-4BAE-9590-ED5618A944BA}"/>
    <cellStyle name="SAPBEXexcCritical6 3" xfId="4235" xr:uid="{B9119B1E-3A28-46D2-8E60-CDC866EDA7A2}"/>
    <cellStyle name="SAPBEXexcCritical6 3 2" xfId="4236" xr:uid="{5ABFBEB7-FB70-420D-B326-ACB521E29CB4}"/>
    <cellStyle name="SAPBEXexcCritical6 3 2 2" xfId="10734" xr:uid="{3CAB6EA8-CF9F-4A3B-B1BF-F4CDDA217114}"/>
    <cellStyle name="SAPBEXexcCritical6 3 3" xfId="10733" xr:uid="{E31C1540-94DD-46CC-8952-01E85E59BA24}"/>
    <cellStyle name="SAPBEXexcCritical6 4" xfId="4237" xr:uid="{CB7D167C-C11E-4B31-B7D3-CD854F5A62E4}"/>
    <cellStyle name="SAPBEXexcCritical6 4 2" xfId="4238" xr:uid="{5684A6E2-2A47-47AE-B511-AC77BA55AD0E}"/>
    <cellStyle name="SAPBEXexcCritical6 4 2 2" xfId="10736" xr:uid="{AC125D15-8E09-48ED-983C-A3BEA8EB18DD}"/>
    <cellStyle name="SAPBEXexcCritical6 4 3" xfId="10735" xr:uid="{7435CEBF-00E4-445B-B8C1-B4BFB9FC0ACE}"/>
    <cellStyle name="SAPBEXexcCritical6 5" xfId="4239" xr:uid="{5951C0F2-1A35-43DE-ADAA-AFA22B127A92}"/>
    <cellStyle name="SAPBEXexcCritical6 5 2" xfId="4240" xr:uid="{424C3258-D26C-410F-A87E-A5A93ED19EB2}"/>
    <cellStyle name="SAPBEXexcCritical6 5 2 2" xfId="10738" xr:uid="{EF5F0002-E3F6-4234-A322-7108FDA8013F}"/>
    <cellStyle name="SAPBEXexcCritical6 5 3" xfId="10737" xr:uid="{2F5DFC06-04DC-41CF-98F3-F4B71D0D3EAE}"/>
    <cellStyle name="SAPBEXexcCritical6 6" xfId="5693" xr:uid="{DA3A44F9-2D23-4BE8-9978-1AF74E14E81D}"/>
    <cellStyle name="SAPBEXexcCritical6 6 10" xfId="20067" xr:uid="{2B8610EE-C3B9-4292-A6EC-E14AA364E16D}"/>
    <cellStyle name="SAPBEXexcCritical6 6 11" xfId="20836" xr:uid="{B62A28B1-FD14-40CC-9B1E-785B36657017}"/>
    <cellStyle name="SAPBEXexcCritical6 6 12" xfId="21682" xr:uid="{FA8D6E1E-EFFC-4078-AA3E-50FFD6788A5D}"/>
    <cellStyle name="SAPBEXexcCritical6 6 13" xfId="21986" xr:uid="{E4DF7FBE-9097-4AC7-8D66-093E36D3AFF0}"/>
    <cellStyle name="SAPBEXexcCritical6 6 14" xfId="23346" xr:uid="{E6E7BE78-407F-4B9F-97D4-D4A57D164501}"/>
    <cellStyle name="SAPBEXexcCritical6 6 15" xfId="24148" xr:uid="{414706ED-829B-43AB-8D93-F50683199DEF}"/>
    <cellStyle name="SAPBEXexcCritical6 6 16" xfId="24975" xr:uid="{84BD1B25-73E5-412C-A8BC-740FA6473933}"/>
    <cellStyle name="SAPBEXexcCritical6 6 17" xfId="25051" xr:uid="{F5A3AC50-A4EE-4FDE-B29B-F45F4FE95B59}"/>
    <cellStyle name="SAPBEXexcCritical6 6 18" xfId="26385" xr:uid="{19CB29E5-419C-4E0B-8E76-F14905D5AC73}"/>
    <cellStyle name="SAPBEXexcCritical6 6 19" xfId="26746" xr:uid="{C7D5C062-673A-4E4B-AAE3-9AEB69C4E0BD}"/>
    <cellStyle name="SAPBEXexcCritical6 6 2" xfId="13419" xr:uid="{0F9C5E80-F970-434E-847B-345192D3696F}"/>
    <cellStyle name="SAPBEXexcCritical6 6 20" xfId="27448" xr:uid="{2E521BEC-DC7E-45C9-8344-F99BCBF754FF}"/>
    <cellStyle name="SAPBEXexcCritical6 6 21" xfId="27988" xr:uid="{304089E1-E905-487D-90F0-71C65CAA5C97}"/>
    <cellStyle name="SAPBEXexcCritical6 6 22" xfId="28713" xr:uid="{49AF3026-7EF6-4466-A7B6-C1A290EE8361}"/>
    <cellStyle name="SAPBEXexcCritical6 6 23" xfId="28808" xr:uid="{AACEFDFA-0B81-45DD-9105-F6F16E90519B}"/>
    <cellStyle name="SAPBEXexcCritical6 6 24" xfId="29060" xr:uid="{946A9E56-4530-4C67-A2AC-73AD33FD0F94}"/>
    <cellStyle name="SAPBEXexcCritical6 6 25" xfId="29665" xr:uid="{FE5E35E8-8F0E-4A93-92ED-5B34E755B9DC}"/>
    <cellStyle name="SAPBEXexcCritical6 6 26" xfId="30334" xr:uid="{F7C6D284-13C2-4672-B86A-04C2F2F3973F}"/>
    <cellStyle name="SAPBEXexcCritical6 6 27" xfId="30454" xr:uid="{9DE3FAF4-6B22-4CD4-AD57-284D14A339C4}"/>
    <cellStyle name="SAPBEXexcCritical6 6 28" xfId="30795" xr:uid="{97B04C20-B2CD-4754-B51D-C5DE92C2B34B}"/>
    <cellStyle name="SAPBEXexcCritical6 6 29" xfId="30963" xr:uid="{04BD2C80-6F64-48EF-9255-213FED2B757D}"/>
    <cellStyle name="SAPBEXexcCritical6 6 3" xfId="14349" xr:uid="{45F14460-3480-4432-9507-8C057329DB4D}"/>
    <cellStyle name="SAPBEXexcCritical6 6 30" xfId="31130" xr:uid="{8600C8A5-7A30-44DF-854D-788E6F179297}"/>
    <cellStyle name="SAPBEXexcCritical6 6 31" xfId="31236" xr:uid="{508BD6FD-387B-44E1-872A-27102B236960}"/>
    <cellStyle name="SAPBEXexcCritical6 6 32" xfId="6844" xr:uid="{C8402CF5-2C95-46DD-B193-C2A9E5F8C272}"/>
    <cellStyle name="SAPBEXexcCritical6 6 4" xfId="15105" xr:uid="{9266BD6C-C994-4429-A325-626F410B15FF}"/>
    <cellStyle name="SAPBEXexcCritical6 6 5" xfId="15432" xr:uid="{C7DCA771-33E7-4935-A3C9-14FCEF32375A}"/>
    <cellStyle name="SAPBEXexcCritical6 6 6" xfId="16748" xr:uid="{10ABB98A-2FF0-4C8C-B1F7-DB0A70431BA3}"/>
    <cellStyle name="SAPBEXexcCritical6 6 7" xfId="17617" xr:uid="{FFBCC848-35AA-47DD-86A7-E0C8A8D352A4}"/>
    <cellStyle name="SAPBEXexcCritical6 6 8" xfId="18469" xr:uid="{A6EF6083-9BAF-4C47-B802-E21ECC79414D}"/>
    <cellStyle name="SAPBEXexcCritical6 6 9" xfId="19311" xr:uid="{FBA23BA3-FFA7-49FE-A77A-FB33AF9F47B2}"/>
    <cellStyle name="SAPBEXexcCritical6 7" xfId="10730" xr:uid="{10411E46-CB82-41ED-B7BC-A9926D6DB3FD}"/>
    <cellStyle name="SAPBEXexcGood1" xfId="4241" xr:uid="{8FFF9C1C-760D-4973-B6C5-97C41B05AEC8}"/>
    <cellStyle name="SAPBEXexcGood1 2" xfId="4242" xr:uid="{E85736C1-5ECE-4388-9BD3-B59F861C204A}"/>
    <cellStyle name="SAPBEXexcGood1 2 2" xfId="4243" xr:uid="{6BF19FA7-D0A2-4909-8A79-BC83FF64AAB3}"/>
    <cellStyle name="SAPBEXexcGood1 2 2 2" xfId="10741" xr:uid="{053DF2D6-FFB1-407B-B262-6220F1739FAA}"/>
    <cellStyle name="SAPBEXexcGood1 2 3" xfId="10740" xr:uid="{B634C362-F107-4C3D-89E7-41CC5EFA8FA8}"/>
    <cellStyle name="SAPBEXexcGood1 3" xfId="4244" xr:uid="{56F7769F-DD17-4644-9B90-2EE9FD4BE003}"/>
    <cellStyle name="SAPBEXexcGood1 3 2" xfId="4245" xr:uid="{3E9CFD9B-F475-481B-A49B-53813695A242}"/>
    <cellStyle name="SAPBEXexcGood1 3 2 2" xfId="10743" xr:uid="{1DB315CD-684C-4B49-9C35-984342DE8EE4}"/>
    <cellStyle name="SAPBEXexcGood1 3 3" xfId="10742" xr:uid="{3138DFCE-9BFC-4478-A91E-B5B0C87D12A3}"/>
    <cellStyle name="SAPBEXexcGood1 4" xfId="4246" xr:uid="{A0818A17-61D0-4E00-BBB0-77D2450A58E4}"/>
    <cellStyle name="SAPBEXexcGood1 4 2" xfId="4247" xr:uid="{A6D4C313-3459-43DC-86C8-58348AF0A253}"/>
    <cellStyle name="SAPBEXexcGood1 4 2 2" xfId="10745" xr:uid="{9D186975-F4E5-4B45-B7B2-AF3F07F6B6CA}"/>
    <cellStyle name="SAPBEXexcGood1 4 3" xfId="10744" xr:uid="{1419AEFC-E1A1-4252-B9FD-60D83E231EC7}"/>
    <cellStyle name="SAPBEXexcGood1 5" xfId="4248" xr:uid="{C0BE8BAF-D862-454B-A5BA-8FA7F2E82571}"/>
    <cellStyle name="SAPBEXexcGood1 5 2" xfId="4249" xr:uid="{46461172-585A-4E7F-9B6A-B779556A984A}"/>
    <cellStyle name="SAPBEXexcGood1 5 2 2" xfId="10747" xr:uid="{A48E60B0-BB5C-44FB-93EF-88C4906C198E}"/>
    <cellStyle name="SAPBEXexcGood1 5 3" xfId="10746" xr:uid="{494D4982-466C-423C-8DD4-AF12E0D50462}"/>
    <cellStyle name="SAPBEXexcGood1 6" xfId="5694" xr:uid="{F5805F36-A9B7-479D-AD1B-4F78B3CAF60E}"/>
    <cellStyle name="SAPBEXexcGood1 6 10" xfId="20068" xr:uid="{05AC4825-611F-4C7E-BC18-2491B8D74128}"/>
    <cellStyle name="SAPBEXexcGood1 6 11" xfId="20837" xr:uid="{E5FD32E5-4960-4DF8-BCDE-41622986B625}"/>
    <cellStyle name="SAPBEXexcGood1 6 12" xfId="21683" xr:uid="{2B3BBFD1-0DF1-4318-BCAC-142F265A6EB6}"/>
    <cellStyle name="SAPBEXexcGood1 6 13" xfId="18653" xr:uid="{78B3F279-A974-4FEE-8E94-B4716072B914}"/>
    <cellStyle name="SAPBEXexcGood1 6 14" xfId="23347" xr:uid="{BBB1DBED-C71E-4E3A-A913-C52CAF9AC693}"/>
    <cellStyle name="SAPBEXexcGood1 6 15" xfId="24149" xr:uid="{5CFDE8C2-508F-4A17-91EB-8D24F757FCFF}"/>
    <cellStyle name="SAPBEXexcGood1 6 16" xfId="24976" xr:uid="{EF2701C9-7D85-499C-8AD5-9E10B68F5D45}"/>
    <cellStyle name="SAPBEXexcGood1 6 17" xfId="23525" xr:uid="{D28BE24B-F47A-47A3-8945-0103D243935B}"/>
    <cellStyle name="SAPBEXexcGood1 6 18" xfId="26386" xr:uid="{A1AE9008-EB0B-40B0-8657-5C085C427C31}"/>
    <cellStyle name="SAPBEXexcGood1 6 19" xfId="26747" xr:uid="{C86DDC0F-D8D5-4989-9DDF-D0E0B05DF7A7}"/>
    <cellStyle name="SAPBEXexcGood1 6 2" xfId="13420" xr:uid="{9BCF38BC-B9CD-4B38-AAFC-D47C3D1D3EE7}"/>
    <cellStyle name="SAPBEXexcGood1 6 20" xfId="27449" xr:uid="{9C665F9A-B6AC-4B2E-99B1-9665E0280432}"/>
    <cellStyle name="SAPBEXexcGood1 6 21" xfId="27989" xr:uid="{4959EB48-3452-4A23-BF28-C43A94689A0F}"/>
    <cellStyle name="SAPBEXexcGood1 6 22" xfId="28714" xr:uid="{9FAD2655-54E4-4618-B603-6C34BDAAC0A8}"/>
    <cellStyle name="SAPBEXexcGood1 6 23" xfId="28168" xr:uid="{4BB5BD6A-1F8C-457C-99F9-1D7FFEB97500}"/>
    <cellStyle name="SAPBEXexcGood1 6 24" xfId="27667" xr:uid="{F9488AE9-1801-404C-95C9-8AD6038A1890}"/>
    <cellStyle name="SAPBEXexcGood1 6 25" xfId="30051" xr:uid="{9E07C980-D51E-4911-A2B4-111EF8638C33}"/>
    <cellStyle name="SAPBEXexcGood1 6 26" xfId="30335" xr:uid="{BC8CEE3C-9612-40A8-9471-FA6C7CAA1F93}"/>
    <cellStyle name="SAPBEXexcGood1 6 27" xfId="30455" xr:uid="{598E7F36-5A16-4FF8-AF9D-24E417FC586B}"/>
    <cellStyle name="SAPBEXexcGood1 6 28" xfId="30796" xr:uid="{BDF12E9E-EB89-4D86-85A8-D6B601F0B0D2}"/>
    <cellStyle name="SAPBEXexcGood1 6 29" xfId="30964" xr:uid="{06D9B088-359A-460C-8647-F5F8829B58AF}"/>
    <cellStyle name="SAPBEXexcGood1 6 3" xfId="14350" xr:uid="{D2F4D6AB-8B68-4001-8554-4EE32931FCE6}"/>
    <cellStyle name="SAPBEXexcGood1 6 30" xfId="31131" xr:uid="{FCB6A216-4CED-4885-B2FF-60AA81F0DDFB}"/>
    <cellStyle name="SAPBEXexcGood1 6 31" xfId="31237" xr:uid="{E9A953BD-C8AB-4E37-B694-0F626CB21D7F}"/>
    <cellStyle name="SAPBEXexcGood1 6 32" xfId="6845" xr:uid="{236A56B1-C635-4CA1-B350-B8D2A6132839}"/>
    <cellStyle name="SAPBEXexcGood1 6 4" xfId="15106" xr:uid="{7B25A98B-D48E-42DC-AC49-8167C77E6F89}"/>
    <cellStyle name="SAPBEXexcGood1 6 5" xfId="12799" xr:uid="{FA952338-6A89-456C-8E62-9BCE4F46BD12}"/>
    <cellStyle name="SAPBEXexcGood1 6 6" xfId="16749" xr:uid="{EC71160F-C2A6-4FE7-996C-4297389739B4}"/>
    <cellStyle name="SAPBEXexcGood1 6 7" xfId="17618" xr:uid="{211D47FE-646B-46B6-B3D2-C8C59B6EA2AF}"/>
    <cellStyle name="SAPBEXexcGood1 6 8" xfId="18470" xr:uid="{16AA5D98-99A6-435C-99FB-1A16BF0F4874}"/>
    <cellStyle name="SAPBEXexcGood1 6 9" xfId="19312" xr:uid="{090E12BB-E920-4CE5-AFBD-1F89A46420FD}"/>
    <cellStyle name="SAPBEXexcGood1 7" xfId="10739" xr:uid="{42E52779-15C0-4928-AA5E-110E0D727788}"/>
    <cellStyle name="SAPBEXexcGood2" xfId="4250" xr:uid="{3C6044FF-F2E5-4286-91BD-B731DC649046}"/>
    <cellStyle name="SAPBEXexcGood2 2" xfId="4251" xr:uid="{88E19248-6568-47D3-8804-5660B7417283}"/>
    <cellStyle name="SAPBEXexcGood2 2 2" xfId="4252" xr:uid="{7AB46DFE-0A70-452E-AB6C-6500F8F7D9DC}"/>
    <cellStyle name="SAPBEXexcGood2 2 2 2" xfId="10750" xr:uid="{D85BBE9E-A154-49FE-8D3E-16444F8467B2}"/>
    <cellStyle name="SAPBEXexcGood2 2 3" xfId="10749" xr:uid="{13268849-EF79-4B8C-A9DA-91CDF1523AFB}"/>
    <cellStyle name="SAPBEXexcGood2 3" xfId="4253" xr:uid="{758B58A6-F6C6-48D3-BDFE-891B9603E574}"/>
    <cellStyle name="SAPBEXexcGood2 3 2" xfId="4254" xr:uid="{744D0D44-513A-4E13-B19C-2D11773EFBB2}"/>
    <cellStyle name="SAPBEXexcGood2 3 2 2" xfId="10752" xr:uid="{0CB582DA-37AD-4CD7-8CE9-1F533DCA4FF7}"/>
    <cellStyle name="SAPBEXexcGood2 3 3" xfId="10751" xr:uid="{5D7331A3-63D0-4609-AA48-0261E4B690AC}"/>
    <cellStyle name="SAPBEXexcGood2 4" xfId="4255" xr:uid="{11C67949-422A-43DC-A47A-4423FD6ADA2E}"/>
    <cellStyle name="SAPBEXexcGood2 4 2" xfId="4256" xr:uid="{5735D966-97E0-4872-B11F-309B64CDAC77}"/>
    <cellStyle name="SAPBEXexcGood2 4 2 2" xfId="10754" xr:uid="{DCD8D859-F61F-4A05-A1E6-5DCBB184273F}"/>
    <cellStyle name="SAPBEXexcGood2 4 3" xfId="10753" xr:uid="{24233DE9-F139-4852-BB21-BD2B8CF8DD0A}"/>
    <cellStyle name="SAPBEXexcGood2 5" xfId="4257" xr:uid="{2AA90E8D-BE12-4AAC-B1D4-3F9815AE0D66}"/>
    <cellStyle name="SAPBEXexcGood2 5 2" xfId="4258" xr:uid="{6CF4D105-D942-4055-8C0F-BBB84FC646A1}"/>
    <cellStyle name="SAPBEXexcGood2 5 2 2" xfId="10756" xr:uid="{E1F4129B-AA2A-4B89-94B6-58D3B5808B79}"/>
    <cellStyle name="SAPBEXexcGood2 5 3" xfId="10755" xr:uid="{3D9532CA-EB31-4ED3-B8CE-79C8F70C8580}"/>
    <cellStyle name="SAPBEXexcGood2 6" xfId="5695" xr:uid="{9354A7F9-56AC-40B4-B529-9588E9F7D975}"/>
    <cellStyle name="SAPBEXexcGood2 6 10" xfId="20069" xr:uid="{38406667-3853-4AE4-AB24-3E4C1A62D0A6}"/>
    <cellStyle name="SAPBEXexcGood2 6 11" xfId="20838" xr:uid="{2EB9B37D-11C4-4DE1-B03D-D53000A31A10}"/>
    <cellStyle name="SAPBEXexcGood2 6 12" xfId="21684" xr:uid="{B144EAE6-52AE-44FB-B892-A7C6C426C886}"/>
    <cellStyle name="SAPBEXexcGood2 6 13" xfId="21985" xr:uid="{223BFD44-5EB3-440B-9CD6-92A649A6753C}"/>
    <cellStyle name="SAPBEXexcGood2 6 14" xfId="23348" xr:uid="{DC7411BC-A027-4E95-94E3-F53C02D32B98}"/>
    <cellStyle name="SAPBEXexcGood2 6 15" xfId="24150" xr:uid="{2A95205B-B124-481B-83A7-03CC7710DE5B}"/>
    <cellStyle name="SAPBEXexcGood2 6 16" xfId="24977" xr:uid="{B4514EF3-0C15-46E5-BAA2-4544FE16F20E}"/>
    <cellStyle name="SAPBEXexcGood2 6 17" xfId="22794" xr:uid="{5BFEE52A-60D5-4210-BD85-C7E1226E95C7}"/>
    <cellStyle name="SAPBEXexcGood2 6 18" xfId="26387" xr:uid="{2143E3F0-2F93-4E92-B7DA-A28AA7E9191D}"/>
    <cellStyle name="SAPBEXexcGood2 6 19" xfId="26748" xr:uid="{F3E624C5-48C8-4A8D-949D-1DEFFEA80DCE}"/>
    <cellStyle name="SAPBEXexcGood2 6 2" xfId="13421" xr:uid="{BBB135C3-7D60-4CD0-9E56-B34BBE47F316}"/>
    <cellStyle name="SAPBEXexcGood2 6 20" xfId="27450" xr:uid="{6A532DDB-8E7F-46B3-84BA-A339FBC6BDAB}"/>
    <cellStyle name="SAPBEXexcGood2 6 21" xfId="27990" xr:uid="{1A93390B-90B6-44CB-B667-9D0AB3EBEED5}"/>
    <cellStyle name="SAPBEXexcGood2 6 22" xfId="28715" xr:uid="{4CA226AE-9B7A-4E1B-8F5B-7EFC988B9622}"/>
    <cellStyle name="SAPBEXexcGood2 6 23" xfId="28809" xr:uid="{0718C0F0-1F9B-4649-A640-2897C0DA4DA0}"/>
    <cellStyle name="SAPBEXexcGood2 6 24" xfId="28068" xr:uid="{049D6C4C-70A7-46FC-82E0-38E897E429EE}"/>
    <cellStyle name="SAPBEXexcGood2 6 25" xfId="23742" xr:uid="{9A1AEDFE-3F15-41EB-8D1F-47182A9A687A}"/>
    <cellStyle name="SAPBEXexcGood2 6 26" xfId="30336" xr:uid="{37CD5E1F-9EB6-45AB-AA8C-23C59FB99843}"/>
    <cellStyle name="SAPBEXexcGood2 6 27" xfId="30456" xr:uid="{565BA294-68C4-4B21-870D-CA875038D6F8}"/>
    <cellStyle name="SAPBEXexcGood2 6 28" xfId="30797" xr:uid="{7D1F899E-A74F-46FC-94B0-A366E1662755}"/>
    <cellStyle name="SAPBEXexcGood2 6 29" xfId="30965" xr:uid="{DE92E3CF-5EFB-4F93-B55E-F8A826781187}"/>
    <cellStyle name="SAPBEXexcGood2 6 3" xfId="14351" xr:uid="{43ED1DF4-0238-448F-8C37-AA2AA31AE298}"/>
    <cellStyle name="SAPBEXexcGood2 6 30" xfId="31132" xr:uid="{B3319249-B033-41A1-889E-DBED63ECC805}"/>
    <cellStyle name="SAPBEXexcGood2 6 31" xfId="31238" xr:uid="{5C3884AB-1704-4AA8-B683-B5265FDD497C}"/>
    <cellStyle name="SAPBEXexcGood2 6 32" xfId="6846" xr:uid="{54D77FDA-9402-4420-90A7-396CFB3008E1}"/>
    <cellStyle name="SAPBEXexcGood2 6 4" xfId="15107" xr:uid="{4A671A74-2BC0-4159-B484-2D6B0FE995C1}"/>
    <cellStyle name="SAPBEXexcGood2 6 5" xfId="15431" xr:uid="{43A16E4B-9022-4E75-81CB-230B9AC5EFA5}"/>
    <cellStyle name="SAPBEXexcGood2 6 6" xfId="16750" xr:uid="{5ABFDA07-FBD9-46A4-9481-036F86CC1CD0}"/>
    <cellStyle name="SAPBEXexcGood2 6 7" xfId="17619" xr:uid="{FA6A6DDC-6B01-48BD-BF9C-950F347C67DB}"/>
    <cellStyle name="SAPBEXexcGood2 6 8" xfId="18471" xr:uid="{8C763AC7-E36A-4EA0-B429-FE19D3213B10}"/>
    <cellStyle name="SAPBEXexcGood2 6 9" xfId="19313" xr:uid="{CD141243-A12B-48D9-99A9-7590D9477586}"/>
    <cellStyle name="SAPBEXexcGood2 7" xfId="10748" xr:uid="{1AF36CE2-3385-49EB-BF6D-0EB792364658}"/>
    <cellStyle name="SAPBEXexcGood3" xfId="4259" xr:uid="{0B46340D-0E36-4BAE-B1E6-382CBCE2CB64}"/>
    <cellStyle name="SAPBEXexcGood3 2" xfId="4260" xr:uid="{AAB9FD2C-81F8-4B98-9B0D-CE48694DCDF2}"/>
    <cellStyle name="SAPBEXexcGood3 2 2" xfId="4261" xr:uid="{B8295A5B-5929-4FE9-956A-7AEE4919C513}"/>
    <cellStyle name="SAPBEXexcGood3 2 2 2" xfId="10759" xr:uid="{A6546933-63D1-496F-BF4E-8301B82748E2}"/>
    <cellStyle name="SAPBEXexcGood3 2 3" xfId="10758" xr:uid="{AEEF973E-09A0-4816-9C2A-0338E06BD6BD}"/>
    <cellStyle name="SAPBEXexcGood3 3" xfId="4262" xr:uid="{8DE7A538-175A-4581-ADE3-215006AF769C}"/>
    <cellStyle name="SAPBEXexcGood3 3 2" xfId="4263" xr:uid="{60D95F1D-A6B7-4780-8A83-F01B8003805D}"/>
    <cellStyle name="SAPBEXexcGood3 3 2 2" xfId="10761" xr:uid="{F1A880D7-0D55-4C1F-B0F7-B3B0CB59F6DA}"/>
    <cellStyle name="SAPBEXexcGood3 3 3" xfId="10760" xr:uid="{E13BB997-0B42-48F8-9F63-E3EBCFBE2CBC}"/>
    <cellStyle name="SAPBEXexcGood3 4" xfId="4264" xr:uid="{7264C81B-CAC3-4071-952B-4FF0EF09BDBE}"/>
    <cellStyle name="SAPBEXexcGood3 4 2" xfId="4265" xr:uid="{68BC104D-0CFE-4F64-9A21-DFD1E165BFCC}"/>
    <cellStyle name="SAPBEXexcGood3 4 2 2" xfId="10763" xr:uid="{058B5D05-AA5D-4259-810A-765A6ABFBD97}"/>
    <cellStyle name="SAPBEXexcGood3 4 3" xfId="10762" xr:uid="{1F2EAD59-0571-491D-AC5C-F6E15F8AF738}"/>
    <cellStyle name="SAPBEXexcGood3 5" xfId="4266" xr:uid="{6E8E0981-046F-4529-99D3-1935BB3CF7D5}"/>
    <cellStyle name="SAPBEXexcGood3 5 2" xfId="4267" xr:uid="{A84BE63E-616E-4E4E-8FD2-CFF227017FA7}"/>
    <cellStyle name="SAPBEXexcGood3 5 2 2" xfId="10765" xr:uid="{3EB7D7CE-74F0-40CC-9FCB-F7F428EC17C9}"/>
    <cellStyle name="SAPBEXexcGood3 5 3" xfId="10764" xr:uid="{077800EA-4A5E-4567-BA03-BCF0C0B5C2D2}"/>
    <cellStyle name="SAPBEXexcGood3 6" xfId="5696" xr:uid="{12791E4D-CD20-4637-9EF6-7BD7037A15AC}"/>
    <cellStyle name="SAPBEXexcGood3 6 10" xfId="20070" xr:uid="{D3BDE11D-A083-4752-8495-351DBE8A2D20}"/>
    <cellStyle name="SAPBEXexcGood3 6 11" xfId="20839" xr:uid="{ABC1882D-67AB-48AF-BECB-E1DA2CE4C82D}"/>
    <cellStyle name="SAPBEXexcGood3 6 12" xfId="21685" xr:uid="{EA86AC11-0DFE-4BCC-8D7C-BA8E62753B41}"/>
    <cellStyle name="SAPBEXexcGood3 6 13" xfId="20235" xr:uid="{8AD770F0-56C4-4704-8481-FA1D258797B3}"/>
    <cellStyle name="SAPBEXexcGood3 6 14" xfId="23349" xr:uid="{01C358E3-0F4E-411B-8368-F5196DBCA1B0}"/>
    <cellStyle name="SAPBEXexcGood3 6 15" xfId="24151" xr:uid="{1402E25A-6CCA-43B3-853C-411EF0621C19}"/>
    <cellStyle name="SAPBEXexcGood3 6 16" xfId="24978" xr:uid="{1B83DC94-689E-4447-9517-89F31B7A0A2A}"/>
    <cellStyle name="SAPBEXexcGood3 6 17" xfId="25053" xr:uid="{4DCBA7C7-FAF5-4411-BFBD-BE3D671F310C}"/>
    <cellStyle name="SAPBEXexcGood3 6 18" xfId="26388" xr:uid="{DA2B1917-C4B5-4758-A8BC-DB249A178B9E}"/>
    <cellStyle name="SAPBEXexcGood3 6 19" xfId="26749" xr:uid="{0EFA0C14-1326-4DC9-96E5-CFC68FE78ABC}"/>
    <cellStyle name="SAPBEXexcGood3 6 2" xfId="13422" xr:uid="{06EB8F8B-01CC-4AC4-805D-F816C936A932}"/>
    <cellStyle name="SAPBEXexcGood3 6 20" xfId="27451" xr:uid="{78EDE4A9-E47D-4CBF-A0F4-42916CD55250}"/>
    <cellStyle name="SAPBEXexcGood3 6 21" xfId="27991" xr:uid="{E9D51019-19D3-48ED-B3C4-41FAEA1DDB36}"/>
    <cellStyle name="SAPBEXexcGood3 6 22" xfId="28716" xr:uid="{AFF1ADCC-0599-4CC0-A74F-F14CF57AB2CF}"/>
    <cellStyle name="SAPBEXexcGood3 6 23" xfId="28170" xr:uid="{463A7CA1-E407-4D09-B7A9-07230ED2CBD7}"/>
    <cellStyle name="SAPBEXexcGood3 6 24" xfId="29156" xr:uid="{727B17DB-0F47-4A61-B4AF-D854884E52D9}"/>
    <cellStyle name="SAPBEXexcGood3 6 25" xfId="30052" xr:uid="{5CC0B602-34CF-4C5A-97CA-7B742333A9A0}"/>
    <cellStyle name="SAPBEXexcGood3 6 26" xfId="30337" xr:uid="{7C762726-CA74-4C76-86EA-E7C66DF338B1}"/>
    <cellStyle name="SAPBEXexcGood3 6 27" xfId="30457" xr:uid="{28E2D393-64F3-42B8-BA61-5C39EDC36F9D}"/>
    <cellStyle name="SAPBEXexcGood3 6 28" xfId="30798" xr:uid="{622699A9-6E09-46EA-AAE0-DA7485202598}"/>
    <cellStyle name="SAPBEXexcGood3 6 29" xfId="30966" xr:uid="{22D2E8AC-7A84-4211-BEC5-40FD1D946C4E}"/>
    <cellStyle name="SAPBEXexcGood3 6 3" xfId="14352" xr:uid="{16697A17-9987-414A-9D6F-C2BBE8A8E559}"/>
    <cellStyle name="SAPBEXexcGood3 6 30" xfId="31133" xr:uid="{CDEC2E37-F665-4C9D-B279-6744F4DB6854}"/>
    <cellStyle name="SAPBEXexcGood3 6 31" xfId="31239" xr:uid="{AC5ABACC-8D66-4058-BA8F-E3744270DEC2}"/>
    <cellStyle name="SAPBEXexcGood3 6 32" xfId="6847" xr:uid="{26530468-2689-4ED0-9FDE-070204B37942}"/>
    <cellStyle name="SAPBEXexcGood3 6 4" xfId="15108" xr:uid="{7C163B18-2658-49FA-943C-A4A25D8683FA}"/>
    <cellStyle name="SAPBEXexcGood3 6 5" xfId="15181" xr:uid="{40AFDBE9-F4F3-4541-AF1A-FB366EDC1058}"/>
    <cellStyle name="SAPBEXexcGood3 6 6" xfId="16751" xr:uid="{19247A49-08C7-46D2-9F03-D97FB2337A22}"/>
    <cellStyle name="SAPBEXexcGood3 6 7" xfId="17620" xr:uid="{B730B8CC-DD0F-43BF-84DF-14487FA14555}"/>
    <cellStyle name="SAPBEXexcGood3 6 8" xfId="18472" xr:uid="{85C21AEC-12A2-40E9-A45F-0700460F50E5}"/>
    <cellStyle name="SAPBEXexcGood3 6 9" xfId="19314" xr:uid="{6013E984-CB1C-4E05-BAE0-E11355DDE1EF}"/>
    <cellStyle name="SAPBEXexcGood3 7" xfId="10757" xr:uid="{3F62D992-7B91-4D70-A957-C9C7986CD3D4}"/>
    <cellStyle name="SAPBEXfilterDrill" xfId="4268" xr:uid="{3A00366B-220F-4A58-8095-99D36D793B3E}"/>
    <cellStyle name="SAPBEXfilterDrill 2" xfId="5697" xr:uid="{79403462-622D-4F7F-930F-D248D7032088}"/>
    <cellStyle name="SAPBEXfilterDrill 2 2" xfId="27715" xr:uid="{E2147EB1-1AF5-43DD-8D20-216E1A191C42}"/>
    <cellStyle name="SAPBEXfilterDrill 2 2 2" xfId="45822" xr:uid="{2A35407A-014F-46E1-880B-B61A88F86F3D}"/>
    <cellStyle name="SAPBEXfilterDrill 2 3" xfId="31240" xr:uid="{8B64F32E-2EED-4CF6-BC3F-D6BA6655253B}"/>
    <cellStyle name="SAPBEXfilterDrill 2 3 2" xfId="47856" xr:uid="{DDA59E9B-FA83-4C79-BC90-7E1E04B3F22C}"/>
    <cellStyle name="SAPBEXfilterDrill 2 4" xfId="6848" xr:uid="{7291A701-88D8-465A-9CC9-9E53246AF87E}"/>
    <cellStyle name="SAPBEXfilterDrill 2 5" xfId="31324" xr:uid="{039BE6D1-5554-435F-9B63-DD2FCE573943}"/>
    <cellStyle name="SAPBEXfilterDrill 3" xfId="10766" xr:uid="{2C073DBE-DA7B-4D8F-A367-6E08B5A6FD03}"/>
    <cellStyle name="SAPBEXfilterItem" xfId="4269" xr:uid="{02743D66-2F4C-4267-BC94-3F5A4F7B560E}"/>
    <cellStyle name="SAPBEXfilterItem 2" xfId="5698" xr:uid="{9832620A-91D6-4CD0-987A-C7C9B50FBEE3}"/>
    <cellStyle name="SAPBEXfilterItem 3" xfId="10767" xr:uid="{4E32EA81-3C8F-417A-BA1F-C5C5AFAC261C}"/>
    <cellStyle name="SAPBEXfilterText" xfId="4270" xr:uid="{82AA4289-3F49-4C46-A77D-16B18DE4BF46}"/>
    <cellStyle name="SAPBEXfilterText 2" xfId="4271" xr:uid="{98A0CBF2-3FCC-4A23-9C39-E0594E4A7DCE}"/>
    <cellStyle name="SAPBEXfilterText 2 2" xfId="4272" xr:uid="{DCE1A84A-A2C8-4C77-AD8B-D91FF306983A}"/>
    <cellStyle name="SAPBEXfilterText 2 2 2" xfId="5701" xr:uid="{608A842D-F64C-4608-945C-968EC4064DCD}"/>
    <cellStyle name="SAPBEXfilterText 2 2 3" xfId="10770" xr:uid="{396AD352-4850-4F73-868E-FD1408C1DFB4}"/>
    <cellStyle name="SAPBEXfilterText 2 3" xfId="5700" xr:uid="{56FEE5E5-D6EC-4221-A485-54F60854EC21}"/>
    <cellStyle name="SAPBEXfilterText 2 4" xfId="10769" xr:uid="{9F5DE4EF-61EC-40B0-9C73-8F5E776EC905}"/>
    <cellStyle name="SAPBEXfilterText 3" xfId="4273" xr:uid="{F752E13A-009A-438A-9BCD-A1DF505C0030}"/>
    <cellStyle name="SAPBEXfilterText 3 2" xfId="10771" xr:uid="{56D96F12-C3EB-44E5-A68D-0A36E43B5209}"/>
    <cellStyle name="SAPBEXfilterText 4" xfId="4274" xr:uid="{F671B3F8-C8A0-4F8D-9DC1-3BE0A3DFC19E}"/>
    <cellStyle name="SAPBEXfilterText 4 2" xfId="10772" xr:uid="{69471996-423E-45AE-A91F-8A48D8A1D0B5}"/>
    <cellStyle name="SAPBEXfilterText 5" xfId="4275" xr:uid="{F8B0C8EB-5885-433F-B7C4-8FD283A49D7A}"/>
    <cellStyle name="SAPBEXfilterText 5 2" xfId="10773" xr:uid="{5FB3FC27-79A8-42FF-91AB-23EA677E2D14}"/>
    <cellStyle name="SAPBEXfilterText 6" xfId="5699" xr:uid="{0A644D68-FECC-4716-B9AB-54F05E264047}"/>
    <cellStyle name="SAPBEXfilterText 7" xfId="10768" xr:uid="{FF6A1413-7E5B-424D-8B53-8F86B0F78FA9}"/>
    <cellStyle name="SAPBEXformats" xfId="4276" xr:uid="{4A0D74C7-399A-4559-8CBB-5505DB36C070}"/>
    <cellStyle name="SAPBEXformats 2" xfId="4277" xr:uid="{E63DFD1C-01BF-4436-AD93-FF0A08A8C228}"/>
    <cellStyle name="SAPBEXformats 2 2" xfId="4278" xr:uid="{79B50A8C-1FB7-4197-A052-7DE0AE33D0F2}"/>
    <cellStyle name="SAPBEXformats 2 2 2" xfId="10776" xr:uid="{73E7B1F7-E7A7-42DA-AE64-1C76AD0A6B6A}"/>
    <cellStyle name="SAPBEXformats 2 3" xfId="10775" xr:uid="{A43003E4-99C7-4178-96BF-78DE0458E183}"/>
    <cellStyle name="SAPBEXformats 3" xfId="4279" xr:uid="{D428E28C-10A5-43BE-B218-7DC2A4551A90}"/>
    <cellStyle name="SAPBEXformats 3 2" xfId="4280" xr:uid="{FD75023A-CA41-47C5-92B5-767A99467A93}"/>
    <cellStyle name="SAPBEXformats 3 2 2" xfId="10778" xr:uid="{EB2B859E-6460-41F2-9169-6E12ACE0C215}"/>
    <cellStyle name="SAPBEXformats 3 3" xfId="10777" xr:uid="{43C1E636-CBF3-49E4-968F-8845B96959C6}"/>
    <cellStyle name="SAPBEXformats 4" xfId="4281" xr:uid="{74687A43-F7BF-427A-BDB2-AFADF8C07EA7}"/>
    <cellStyle name="SAPBEXformats 4 2" xfId="4282" xr:uid="{73B6E961-F366-4046-9647-D834223BC007}"/>
    <cellStyle name="SAPBEXformats 4 2 2" xfId="10780" xr:uid="{F3F71297-DF0C-43E6-B999-2103DA478445}"/>
    <cellStyle name="SAPBEXformats 4 3" xfId="10779" xr:uid="{FBC0AAC1-A5BD-482F-86E8-642047A5FDF4}"/>
    <cellStyle name="SAPBEXformats 5" xfId="4283" xr:uid="{D94A61E4-B598-4897-B18C-00B95FC1EE3D}"/>
    <cellStyle name="SAPBEXformats 5 2" xfId="4284" xr:uid="{013E3B62-ABD3-4782-A20A-EC4B01902B02}"/>
    <cellStyle name="SAPBEXformats 5 2 2" xfId="10782" xr:uid="{C040E582-B252-4DBA-AFBD-A59944808FEF}"/>
    <cellStyle name="SAPBEXformats 5 3" xfId="10781" xr:uid="{CB147E7D-3383-4E48-8C61-88FA8E2726A5}"/>
    <cellStyle name="SAPBEXformats 6" xfId="5702" xr:uid="{E2EF3395-E4B8-4F1B-BA99-60E52CFED358}"/>
    <cellStyle name="SAPBEXformats 6 10" xfId="20076" xr:uid="{186A6FC8-16AD-4065-ABF3-DAD415F26DE5}"/>
    <cellStyle name="SAPBEXformats 6 11" xfId="20845" xr:uid="{6A6C3E71-0FAB-4C6D-914C-EBE2ED49317B}"/>
    <cellStyle name="SAPBEXformats 6 12" xfId="21690" xr:uid="{BB3D15C8-320A-4B26-A2FC-052C165B7E58}"/>
    <cellStyle name="SAPBEXformats 6 13" xfId="20237" xr:uid="{FF6A0428-5EA7-49AE-90E7-0C881A9F548A}"/>
    <cellStyle name="SAPBEXformats 6 14" xfId="23355" xr:uid="{97545A95-D4FF-4007-B83F-2848DA1E9DF0}"/>
    <cellStyle name="SAPBEXformats 6 15" xfId="24156" xr:uid="{1C2D8CBB-417A-455E-8D20-7C7A05C603A6}"/>
    <cellStyle name="SAPBEXformats 6 16" xfId="24984" xr:uid="{FEDFF50A-8CC7-4ED7-955C-9DB6B2BF4646}"/>
    <cellStyle name="SAPBEXformats 6 17" xfId="25057" xr:uid="{BD343307-50C9-4E44-B5F3-34AAFF4387A0}"/>
    <cellStyle name="SAPBEXformats 6 18" xfId="26394" xr:uid="{24D19737-92A9-4516-9301-925B6DF8B244}"/>
    <cellStyle name="SAPBEXformats 6 19" xfId="26754" xr:uid="{B0146B2E-0413-4CF6-B0AD-8061553C7A51}"/>
    <cellStyle name="SAPBEXformats 6 2" xfId="13428" xr:uid="{AF9256EF-965E-4F5E-B567-733FC94C6C3A}"/>
    <cellStyle name="SAPBEXformats 6 20" xfId="27457" xr:uid="{EB9485CB-090E-45D1-950D-2F404EB225B6}"/>
    <cellStyle name="SAPBEXformats 6 21" xfId="27992" xr:uid="{044D89FB-9F04-4D40-946B-0E0BE94C0136}"/>
    <cellStyle name="SAPBEXformats 6 22" xfId="28720" xr:uid="{D3BA1D82-13F0-440B-B385-0CA22517D5BB}"/>
    <cellStyle name="SAPBEXformats 6 23" xfId="28171" xr:uid="{BCA9499A-11F1-4DD2-9968-983B2C8F0E73}"/>
    <cellStyle name="SAPBEXformats 6 24" xfId="29154" xr:uid="{1DE3A37E-F5AB-4FC2-A595-5C438819FF60}"/>
    <cellStyle name="SAPBEXformats 6 25" xfId="30055" xr:uid="{E7A89DCA-B97D-4C7F-9E0F-A50351B41639}"/>
    <cellStyle name="SAPBEXformats 6 26" xfId="30343" xr:uid="{503A16EF-D58D-4B50-B363-9E30FA99F908}"/>
    <cellStyle name="SAPBEXformats 6 27" xfId="30463" xr:uid="{B255B6F4-BF22-4AC6-8CB3-4AEFBE51C543}"/>
    <cellStyle name="SAPBEXformats 6 28" xfId="30804" xr:uid="{8FE2C58A-2B45-4AB5-9FEA-5BD5C2CF640C}"/>
    <cellStyle name="SAPBEXformats 6 29" xfId="30972" xr:uid="{40EA7455-D33F-419E-B390-F61C97A65841}"/>
    <cellStyle name="SAPBEXformats 6 3" xfId="14358" xr:uid="{C614ABCF-0801-4B96-901A-661FD1A9D0E1}"/>
    <cellStyle name="SAPBEXformats 6 30" xfId="31134" xr:uid="{ECC1BCCD-C69F-4AD8-B2B5-F20DC099244E}"/>
    <cellStyle name="SAPBEXformats 6 31" xfId="31241" xr:uid="{24C82E66-E583-4255-829D-BF74659A4451}"/>
    <cellStyle name="SAPBEXformats 6 32" xfId="6849" xr:uid="{61E2356D-E92E-4FCC-AA42-7C3D0B52787B}"/>
    <cellStyle name="SAPBEXformats 6 4" xfId="15114" xr:uid="{BEEAB11A-66D9-40AE-953D-7C32EC159318}"/>
    <cellStyle name="SAPBEXformats 6 5" xfId="12801" xr:uid="{EB762C98-22B7-44D4-A53B-06A64315F8B0}"/>
    <cellStyle name="SAPBEXformats 6 6" xfId="16757" xr:uid="{308DCB18-7B94-4B3E-9BD8-AD36AB3AB356}"/>
    <cellStyle name="SAPBEXformats 6 7" xfId="17626" xr:uid="{9B22DD9F-65DC-48EF-B36D-6DF77402E7C8}"/>
    <cellStyle name="SAPBEXformats 6 8" xfId="18478" xr:uid="{7485569E-FE19-40DD-952D-791B7A2797D3}"/>
    <cellStyle name="SAPBEXformats 6 9" xfId="19320" xr:uid="{2CB90AA2-6D12-4E4C-AF77-2E8892E90D18}"/>
    <cellStyle name="SAPBEXformats 7" xfId="10774" xr:uid="{C688B42E-D570-472D-BF1C-5F27811D9541}"/>
    <cellStyle name="SAPBEXheaderItem" xfId="4285" xr:uid="{87AF9CBF-945D-4756-99E4-484C5C4E5692}"/>
    <cellStyle name="SAPBEXheaderItem 10" xfId="10783" xr:uid="{23BF8901-51F8-49CE-8CD5-F89125F12EEE}"/>
    <cellStyle name="SAPBEXheaderItem 2" xfId="4286" xr:uid="{3E9E720A-EA53-43CF-8973-DF4131AC5F43}"/>
    <cellStyle name="SAPBEXheaderItem 2 2" xfId="4287" xr:uid="{E21695F0-6466-43FB-911A-A6FD59A938B1}"/>
    <cellStyle name="SAPBEXheaderItem 2 2 2" xfId="4288" xr:uid="{D9644254-8FB6-489D-832A-6808433D3747}"/>
    <cellStyle name="SAPBEXheaderItem 2 2 2 2" xfId="10786" xr:uid="{4BB236F1-8B80-4C2D-99BC-843DE09B9A63}"/>
    <cellStyle name="SAPBEXheaderItem 2 2 3" xfId="10785" xr:uid="{6CCEFBF7-C8BE-4FF2-994F-E3DF624C77A7}"/>
    <cellStyle name="SAPBEXheaderItem 2 3" xfId="5704" xr:uid="{F445433C-DD46-4C67-98EF-268CC9A70C01}"/>
    <cellStyle name="SAPBEXheaderItem 2 4" xfId="10784" xr:uid="{2C42077B-3A4C-430F-B9D0-E1BC2A0F6BF2}"/>
    <cellStyle name="SAPBEXheaderItem 3" xfId="4289" xr:uid="{1A51286C-90E1-46C8-9434-CC2D553B2C28}"/>
    <cellStyle name="SAPBEXheaderItem 3 2" xfId="4290" xr:uid="{67B97907-D2F5-45DF-950B-CA74C16345DD}"/>
    <cellStyle name="SAPBEXheaderItem 3 2 2" xfId="10788" xr:uid="{B15EAA66-EC0F-4DBB-9848-D718D32DF1AB}"/>
    <cellStyle name="SAPBEXheaderItem 3 3" xfId="10787" xr:uid="{817DEB60-CE94-4962-8DA7-E7531836A96A}"/>
    <cellStyle name="SAPBEXheaderItem 4" xfId="4291" xr:uid="{5C90D4E0-A98E-4E93-B31A-1213D9729CFE}"/>
    <cellStyle name="SAPBEXheaderItem 4 2" xfId="4292" xr:uid="{B6215E90-B344-4BE5-BD53-8F2F5E269B8B}"/>
    <cellStyle name="SAPBEXheaderItem 4 2 2" xfId="10790" xr:uid="{E1D03019-12DF-45A5-923D-8E43ED370559}"/>
    <cellStyle name="SAPBEXheaderItem 4 3" xfId="10789" xr:uid="{59F68B51-0FCB-445E-BC32-C310115F293B}"/>
    <cellStyle name="SAPBEXheaderItem 5" xfId="4293" xr:uid="{0CD6C559-1370-4466-B2EB-5C86A4F28454}"/>
    <cellStyle name="SAPBEXheaderItem 5 2" xfId="4294" xr:uid="{0E9BE73E-BFA6-483F-A814-3FCD540A1E27}"/>
    <cellStyle name="SAPBEXheaderItem 5 2 2" xfId="10792" xr:uid="{0B2420D9-0420-4AF5-987F-F9B247502599}"/>
    <cellStyle name="SAPBEXheaderItem 5 3" xfId="10791" xr:uid="{D668E72B-53F8-46C5-9B8C-6FE00D4E5E70}"/>
    <cellStyle name="SAPBEXheaderItem 6" xfId="4295" xr:uid="{3C92E787-881E-4CF5-8EEB-FD4695F4EFD7}"/>
    <cellStyle name="SAPBEXheaderItem 6 2" xfId="10793" xr:uid="{192F340E-7FD1-41F5-9294-89FCBADCFCEA}"/>
    <cellStyle name="SAPBEXheaderItem 7" xfId="4296" xr:uid="{BEB79F22-4D31-4A73-B383-029AAF728B1E}"/>
    <cellStyle name="SAPBEXheaderItem 7 2" xfId="10794" xr:uid="{40458643-A4AD-4719-9BAF-A26E9E717D3E}"/>
    <cellStyle name="SAPBEXheaderItem 8" xfId="4297" xr:uid="{3E958070-1A00-4F02-B243-47C656830DEE}"/>
    <cellStyle name="SAPBEXheaderItem 8 2" xfId="10795" xr:uid="{4E0B615E-C8B6-40CF-99CD-C28FE8573798}"/>
    <cellStyle name="SAPBEXheaderItem 9" xfId="5703" xr:uid="{5A1C875B-066F-4851-BD25-A0F3E620A3AC}"/>
    <cellStyle name="SAPBEXheaderText" xfId="4298" xr:uid="{B31F1F2D-E3EC-415C-9415-0EAAF11D1CE9}"/>
    <cellStyle name="SAPBEXheaderText 10" xfId="10796" xr:uid="{3A678199-BD29-4288-A095-B6A702386D4B}"/>
    <cellStyle name="SAPBEXheaderText 2" xfId="4299" xr:uid="{CB924A0C-4A42-4C8D-968A-DF97775207B6}"/>
    <cellStyle name="SAPBEXheaderText 2 2" xfId="4300" xr:uid="{9E6670D4-BC16-4BAB-8170-8DF328FACEC4}"/>
    <cellStyle name="SAPBEXheaderText 2 2 2" xfId="4301" xr:uid="{90A90047-9AE1-4375-AF9E-78EC1C98CF83}"/>
    <cellStyle name="SAPBEXheaderText 2 2 2 2" xfId="10799" xr:uid="{D1043275-0C85-4DEA-A969-C551D71969D8}"/>
    <cellStyle name="SAPBEXheaderText 2 2 3" xfId="10798" xr:uid="{88A91627-1602-43F2-A9FB-00A6DCDBC892}"/>
    <cellStyle name="SAPBEXheaderText 2 3" xfId="5706" xr:uid="{CAB22616-D291-4ADB-86A0-382056622739}"/>
    <cellStyle name="SAPBEXheaderText 2 4" xfId="10797" xr:uid="{FFAF255D-84B0-4BDB-9E51-8099A64A69F7}"/>
    <cellStyle name="SAPBEXheaderText 3" xfId="4302" xr:uid="{2D622463-1DF0-405E-98AE-FDFF2B770EDE}"/>
    <cellStyle name="SAPBEXheaderText 3 2" xfId="4303" xr:uid="{AC22580E-E4C5-4BDD-B413-B9029EDE072D}"/>
    <cellStyle name="SAPBEXheaderText 3 2 2" xfId="10801" xr:uid="{DA7B4E3B-3D8C-4A12-8B51-66FB927A9BE7}"/>
    <cellStyle name="SAPBEXheaderText 3 3" xfId="10800" xr:uid="{5501C1A0-8554-4802-8112-659314B01443}"/>
    <cellStyle name="SAPBEXheaderText 4" xfId="4304" xr:uid="{189D32F5-33FC-4522-AFCF-E86A3808AAE0}"/>
    <cellStyle name="SAPBEXheaderText 4 2" xfId="4305" xr:uid="{BAD2647F-1C0C-4C22-B403-ED3B26093229}"/>
    <cellStyle name="SAPBEXheaderText 4 2 2" xfId="10803" xr:uid="{DF53EBDA-A558-40E6-ADB0-28633699D87F}"/>
    <cellStyle name="SAPBEXheaderText 4 3" xfId="10802" xr:uid="{F0886AA8-669C-469C-A7EE-DC68A68E220D}"/>
    <cellStyle name="SAPBEXheaderText 5" xfId="4306" xr:uid="{F5D8E79A-F9AA-4D57-9FD0-6A55AACA443E}"/>
    <cellStyle name="SAPBEXheaderText 5 2" xfId="4307" xr:uid="{8305E559-2473-49F6-B229-7CD4A5286872}"/>
    <cellStyle name="SAPBEXheaderText 5 2 2" xfId="10805" xr:uid="{E16C81B6-6519-43D7-BF7E-C008D18D3103}"/>
    <cellStyle name="SAPBEXheaderText 5 3" xfId="10804" xr:uid="{D5EFDA47-8B2C-4237-899C-BC439503AFEE}"/>
    <cellStyle name="SAPBEXheaderText 6" xfId="4308" xr:uid="{38A4CD27-3BB7-4A26-9B12-76EE3EEEF6D0}"/>
    <cellStyle name="SAPBEXheaderText 6 2" xfId="10806" xr:uid="{37712636-3CA8-408C-9AB7-DDCCFB5FF95D}"/>
    <cellStyle name="SAPBEXheaderText 7" xfId="4309" xr:uid="{694C6F4C-A7AA-44F8-B0E9-3C35DE9353A7}"/>
    <cellStyle name="SAPBEXheaderText 7 2" xfId="10807" xr:uid="{8F540D49-15D7-4CC0-81F7-F9959D953D18}"/>
    <cellStyle name="SAPBEXheaderText 8" xfId="4310" xr:uid="{C26943D0-469C-4684-9CCC-52EA73E9206C}"/>
    <cellStyle name="SAPBEXheaderText 8 2" xfId="10808" xr:uid="{1E39FE51-9F3A-491F-93E9-C561F01E3C25}"/>
    <cellStyle name="SAPBEXheaderText 9" xfId="5705" xr:uid="{2BF466CB-C2FC-4FF0-ABCE-264632709670}"/>
    <cellStyle name="SAPBEXHLevel0" xfId="4311" xr:uid="{62951A11-3480-4112-A670-DB26C46AA1D0}"/>
    <cellStyle name="SAPBEXHLevel0 10" xfId="4312" xr:uid="{01BBBFE1-77A8-48DA-8670-3EC44F8B3861}"/>
    <cellStyle name="SAPBEXHLevel0 10 2" xfId="10810" xr:uid="{D57F7258-B702-4C98-9EAC-648233A0E0F9}"/>
    <cellStyle name="SAPBEXHLevel0 11" xfId="5707" xr:uid="{E1F3A8FC-514A-4BC5-B2B1-FC6578B0C6AF}"/>
    <cellStyle name="SAPBEXHLevel0 11 10" xfId="20080" xr:uid="{DA2C2B27-4F5B-490C-859A-8B9560CE6FD2}"/>
    <cellStyle name="SAPBEXHLevel0 11 11" xfId="20850" xr:uid="{1D6D6F99-E4EE-464A-862B-C029F3C0C000}"/>
    <cellStyle name="SAPBEXHLevel0 11 12" xfId="21695" xr:uid="{B6390437-E93A-42DA-A958-EE24B530DAFD}"/>
    <cellStyle name="SAPBEXHLevel0 11 13" xfId="20239" xr:uid="{265D017D-6B9B-48A4-A603-5D8CC274B6F2}"/>
    <cellStyle name="SAPBEXHLevel0 11 14" xfId="23359" xr:uid="{7BD5ED23-EC0E-462B-8C9B-118FDB088A77}"/>
    <cellStyle name="SAPBEXHLevel0 11 15" xfId="24160" xr:uid="{C2985F5F-0419-406B-B777-7EFAE235252E}"/>
    <cellStyle name="SAPBEXHLevel0 11 16" xfId="24989" xr:uid="{E75AAB91-96C3-4673-A444-36F30A7A0780}"/>
    <cellStyle name="SAPBEXHLevel0 11 17" xfId="23529" xr:uid="{3DEE9D59-BCAF-43E1-BF75-9816A5C84C1A}"/>
    <cellStyle name="SAPBEXHLevel0 11 18" xfId="26399" xr:uid="{53DA83D2-109A-4B04-A510-B94A18C6BB5A}"/>
    <cellStyle name="SAPBEXHLevel0 11 19" xfId="26759" xr:uid="{26BDA51D-E399-41D8-B186-ACDE1847107A}"/>
    <cellStyle name="SAPBEXHLevel0 11 2" xfId="13433" xr:uid="{B51B14A1-8198-4CE3-A9FE-52A427C2B0F2}"/>
    <cellStyle name="SAPBEXHLevel0 11 20" xfId="27462" xr:uid="{9A0DEC41-04AE-432B-8AD6-826790084C32}"/>
    <cellStyle name="SAPBEXHLevel0 11 21" xfId="27994" xr:uid="{6D951FEA-4043-428A-883B-0A08AFB40A36}"/>
    <cellStyle name="SAPBEXHLevel0 11 22" xfId="28725" xr:uid="{F525073F-2EFE-4B09-8878-06780D2D4840}"/>
    <cellStyle name="SAPBEXHLevel0 11 23" xfId="28172" xr:uid="{62A24BEF-FAB6-4D87-B4C7-A86D8AE46CFB}"/>
    <cellStyle name="SAPBEXHLevel0 11 24" xfId="28863" xr:uid="{C332467D-35D5-44AE-8FBC-C67A403F9836}"/>
    <cellStyle name="SAPBEXHLevel0 11 25" xfId="29057" xr:uid="{48AC395A-DC8E-45C6-B538-9C10D6838C50}"/>
    <cellStyle name="SAPBEXHLevel0 11 26" xfId="30345" xr:uid="{7567E3FA-AE7C-4BB4-890B-3812EE349EC9}"/>
    <cellStyle name="SAPBEXHLevel0 11 27" xfId="30468" xr:uid="{1D47D6C4-8821-4970-B98B-BFBA91B7ACC6}"/>
    <cellStyle name="SAPBEXHLevel0 11 28" xfId="30809" xr:uid="{CBBEA910-68EB-45F1-B577-CEBB8597D8A9}"/>
    <cellStyle name="SAPBEXHLevel0 11 29" xfId="30973" xr:uid="{FBF39A98-9D71-4A04-B476-8A81819017C2}"/>
    <cellStyle name="SAPBEXHLevel0 11 3" xfId="14363" xr:uid="{A5B40024-E6D5-4D65-8D3D-53A1071E2271}"/>
    <cellStyle name="SAPBEXHLevel0 11 30" xfId="31135" xr:uid="{8B83A9E8-CA24-45E4-A799-B7EAE86F242A}"/>
    <cellStyle name="SAPBEXHLevel0 11 31" xfId="31242" xr:uid="{22502566-101B-4F21-A5E0-18D8FD0C112A}"/>
    <cellStyle name="SAPBEXHLevel0 11 32" xfId="6850" xr:uid="{29244BA5-FCCA-4BA1-B12C-59C9B41D7941}"/>
    <cellStyle name="SAPBEXHLevel0 11 4" xfId="15119" xr:uid="{BAFFCE66-EDFD-4FE1-99AD-E614134A8F86}"/>
    <cellStyle name="SAPBEXHLevel0 11 5" xfId="12803" xr:uid="{58A9CF16-09F4-4836-8326-6055A9FFBD77}"/>
    <cellStyle name="SAPBEXHLevel0 11 6" xfId="16762" xr:uid="{03EE4864-1C45-4E23-BDEF-162766510535}"/>
    <cellStyle name="SAPBEXHLevel0 11 7" xfId="17631" xr:uid="{13E5FC2B-AB4D-42D8-942D-CD40AB5AB4A9}"/>
    <cellStyle name="SAPBEXHLevel0 11 8" xfId="18483" xr:uid="{91251CFE-E120-4A63-BFBE-A4DB4F9243A3}"/>
    <cellStyle name="SAPBEXHLevel0 11 9" xfId="19325" xr:uid="{AF313AA3-26F2-482D-AF19-4F82532A8D73}"/>
    <cellStyle name="SAPBEXHLevel0 12" xfId="10809" xr:uid="{818EA468-6F8D-46C5-979B-46AE22E4A0AA}"/>
    <cellStyle name="SAPBEXHLevel0 2" xfId="4313" xr:uid="{BA5377C4-F635-450D-9CFF-828DCB11A929}"/>
    <cellStyle name="SAPBEXHLevel0 2 2" xfId="4314" xr:uid="{8F25DCFB-C131-46E8-983C-E15F49ECD42A}"/>
    <cellStyle name="SAPBEXHLevel0 2 2 2" xfId="4315" xr:uid="{C83DF042-30E1-45A8-B6BA-A5E81A57CD7D}"/>
    <cellStyle name="SAPBEXHLevel0 2 2 2 2" xfId="10813" xr:uid="{177D6C5E-C1C1-4DB1-86F6-A1D6C317DA74}"/>
    <cellStyle name="SAPBEXHLevel0 2 2 3" xfId="4316" xr:uid="{50123B00-C848-4F30-935A-69682DB9C0E3}"/>
    <cellStyle name="SAPBEXHLevel0 2 2 3 2" xfId="10814" xr:uid="{394FAF35-83EB-437B-912A-40733FF6C32B}"/>
    <cellStyle name="SAPBEXHLevel0 2 2 4" xfId="5709" xr:uid="{4B50E9C1-9DB1-4DF0-9BA6-450BDE2E68F8}"/>
    <cellStyle name="SAPBEXHLevel0 2 2 4 10" xfId="20082" xr:uid="{4D1C1BF9-B3BF-46A6-89FE-9BA4938BD785}"/>
    <cellStyle name="SAPBEXHLevel0 2 2 4 11" xfId="20852" xr:uid="{195CC2B3-3F1A-400D-B59A-1F08509FB362}"/>
    <cellStyle name="SAPBEXHLevel0 2 2 4 12" xfId="21697" xr:uid="{9578F310-6054-4DBA-885D-CDC85D8CC8B4}"/>
    <cellStyle name="SAPBEXHLevel0 2 2 4 13" xfId="20240" xr:uid="{2FD409CD-3FC1-4218-89A3-0017A32C929C}"/>
    <cellStyle name="SAPBEXHLevel0 2 2 4 14" xfId="23361" xr:uid="{EA6823A1-0A54-47A0-91D8-C70160AC2D2F}"/>
    <cellStyle name="SAPBEXHLevel0 2 2 4 15" xfId="24162" xr:uid="{FA85FE89-2E59-4305-994C-AD51A5947506}"/>
    <cellStyle name="SAPBEXHLevel0 2 2 4 16" xfId="24991" xr:uid="{42C0F3D4-D01B-40C7-9012-BC1C65A01C09}"/>
    <cellStyle name="SAPBEXHLevel0 2 2 4 17" xfId="22798" xr:uid="{F9D36D1B-1614-4146-A303-0AC2F54C922A}"/>
    <cellStyle name="SAPBEXHLevel0 2 2 4 18" xfId="26401" xr:uid="{66546393-973E-44BA-9631-192D451A05F8}"/>
    <cellStyle name="SAPBEXHLevel0 2 2 4 19" xfId="26761" xr:uid="{B80B15C6-065D-47AD-B2E9-EB3CFEAAD40E}"/>
    <cellStyle name="SAPBEXHLevel0 2 2 4 2" xfId="13435" xr:uid="{03DFBEDC-05B7-4D7C-A54A-8B7B49F8F94B}"/>
    <cellStyle name="SAPBEXHLevel0 2 2 4 20" xfId="27464" xr:uid="{F25D2319-635C-49A7-938C-8ADAB69929C8}"/>
    <cellStyle name="SAPBEXHLevel0 2 2 4 21" xfId="27996" xr:uid="{9A29784F-D248-42BD-AA1F-F8A5BFC33598}"/>
    <cellStyle name="SAPBEXHLevel0 2 2 4 22" xfId="28727" xr:uid="{9BF5CEE9-686E-4632-B44D-74C07A45EA6A}"/>
    <cellStyle name="SAPBEXHLevel0 2 2 4 23" xfId="28174" xr:uid="{499F0C2D-35CA-41BF-BBD0-2B7F1A47BE13}"/>
    <cellStyle name="SAPBEXHLevel0 2 2 4 24" xfId="29151" xr:uid="{32CF0C53-802F-4112-9B92-0577FE05BFA6}"/>
    <cellStyle name="SAPBEXHLevel0 2 2 4 25" xfId="29668" xr:uid="{9C4BC5C1-693A-42D7-942F-D176858CB86E}"/>
    <cellStyle name="SAPBEXHLevel0 2 2 4 26" xfId="30347" xr:uid="{D6EBFD46-69B6-427D-8026-908F22948A6B}"/>
    <cellStyle name="SAPBEXHLevel0 2 2 4 27" xfId="30470" xr:uid="{0B65A5A0-9FE7-429F-9BAD-9F595A7319E5}"/>
    <cellStyle name="SAPBEXHLevel0 2 2 4 28" xfId="30811" xr:uid="{966DA68A-3985-4306-88F5-950917754E62}"/>
    <cellStyle name="SAPBEXHLevel0 2 2 4 29" xfId="30975" xr:uid="{0A68C0C8-F893-4CCF-B96B-E8E62581DE53}"/>
    <cellStyle name="SAPBEXHLevel0 2 2 4 3" xfId="14365" xr:uid="{2985521C-9C2F-499D-9CC4-6D2BC846FFA5}"/>
    <cellStyle name="SAPBEXHLevel0 2 2 4 30" xfId="31137" xr:uid="{F7A91CD9-6B25-40E2-9DBE-EACC8E1598FC}"/>
    <cellStyle name="SAPBEXHLevel0 2 2 4 31" xfId="31244" xr:uid="{40C19BAB-BB08-4A5B-A67E-B62A3F9FB0F0}"/>
    <cellStyle name="SAPBEXHLevel0 2 2 4 32" xfId="6852" xr:uid="{F0B0E0BF-537D-4296-9B08-D9651B63BC8E}"/>
    <cellStyle name="SAPBEXHLevel0 2 2 4 4" xfId="15121" xr:uid="{2302EBF9-A0E7-4D49-8C42-7BE639CD5AA9}"/>
    <cellStyle name="SAPBEXHLevel0 2 2 4 5" xfId="12804" xr:uid="{5D058C3F-1E96-4C04-BB92-7210D0901F45}"/>
    <cellStyle name="SAPBEXHLevel0 2 2 4 6" xfId="16764" xr:uid="{0919C08A-A679-4019-9904-09B6D0FB8C51}"/>
    <cellStyle name="SAPBEXHLevel0 2 2 4 7" xfId="17633" xr:uid="{99687B37-8748-48FC-B8E9-9B53B2A2F461}"/>
    <cellStyle name="SAPBEXHLevel0 2 2 4 8" xfId="18485" xr:uid="{18B5A763-502A-48C0-8DD2-A42F01AAD399}"/>
    <cellStyle name="SAPBEXHLevel0 2 2 4 9" xfId="19327" xr:uid="{EB4962F1-D2B5-422F-9148-8F6FE508D0CF}"/>
    <cellStyle name="SAPBEXHLevel0 2 2 5" xfId="10812" xr:uid="{86BED97C-1892-4854-A828-7F1C07D61E5F}"/>
    <cellStyle name="SAPBEXHLevel0 2 3" xfId="4317" xr:uid="{FDDAF689-6349-4E61-8F6B-0C9D157D7D6E}"/>
    <cellStyle name="SAPBEXHLevel0 2 3 2" xfId="10815" xr:uid="{62B6DF17-DC6B-44AB-A6A4-E73C21A4697D}"/>
    <cellStyle name="SAPBEXHLevel0 2 4" xfId="4318" xr:uid="{8F3AACB0-51DC-4B19-A19D-E999F18C6F62}"/>
    <cellStyle name="SAPBEXHLevel0 2 4 2" xfId="10816" xr:uid="{08F0AFDB-DBDF-41C6-9427-099C9CE48D49}"/>
    <cellStyle name="SAPBEXHLevel0 2 5" xfId="5708" xr:uid="{D6506830-549B-48DB-948C-06F14BA249FD}"/>
    <cellStyle name="SAPBEXHLevel0 2 5 10" xfId="20081" xr:uid="{4AD0FE12-7616-45A9-AE2C-727D8F8E5D76}"/>
    <cellStyle name="SAPBEXHLevel0 2 5 11" xfId="20851" xr:uid="{91E249C3-3C0C-4300-B4C3-16C744A06BBB}"/>
    <cellStyle name="SAPBEXHLevel0 2 5 12" xfId="21696" xr:uid="{29723B99-43B1-4D97-A560-BE12D8875585}"/>
    <cellStyle name="SAPBEXHLevel0 2 5 13" xfId="21758" xr:uid="{60630235-D6B9-451C-AD10-86FAA86CB4E8}"/>
    <cellStyle name="SAPBEXHLevel0 2 5 14" xfId="23360" xr:uid="{1386A478-0F93-4D9D-B9EC-A260F2476C53}"/>
    <cellStyle name="SAPBEXHLevel0 2 5 15" xfId="24161" xr:uid="{B12FA204-850A-4DA9-81A1-6F41045B0348}"/>
    <cellStyle name="SAPBEXHLevel0 2 5 16" xfId="24990" xr:uid="{91F0AAA7-595D-45BF-B880-287205DBB08D}"/>
    <cellStyle name="SAPBEXHLevel0 2 5 17" xfId="25060" xr:uid="{8A4794C4-95A7-430D-B79A-C453E7477DAE}"/>
    <cellStyle name="SAPBEXHLevel0 2 5 18" xfId="26400" xr:uid="{69F8D6C3-4135-4379-9665-76830073CC4C}"/>
    <cellStyle name="SAPBEXHLevel0 2 5 19" xfId="26760" xr:uid="{C9A1A580-110C-4A26-B984-42D3718CD33E}"/>
    <cellStyle name="SAPBEXHLevel0 2 5 2" xfId="13434" xr:uid="{52A7649F-DA19-4D1D-887C-8F4A03938C62}"/>
    <cellStyle name="SAPBEXHLevel0 2 5 20" xfId="27463" xr:uid="{5F37E2D5-3C74-4B9A-83A7-7FFF656CEE25}"/>
    <cellStyle name="SAPBEXHLevel0 2 5 21" xfId="27995" xr:uid="{3BE00708-C1F5-4706-B032-70CFB42A5F0A}"/>
    <cellStyle name="SAPBEXHLevel0 2 5 22" xfId="28726" xr:uid="{CD8B3618-D045-42D6-94D5-4D7EE240EE29}"/>
    <cellStyle name="SAPBEXHLevel0 2 5 23" xfId="28173" xr:uid="{AE1820DA-480C-4130-8EF6-47375166429E}"/>
    <cellStyle name="SAPBEXHLevel0 2 5 24" xfId="25871" xr:uid="{B750FDF4-A200-442B-826A-7C097BC6D4EC}"/>
    <cellStyle name="SAPBEXHLevel0 2 5 25" xfId="30058" xr:uid="{231BCB89-7177-4784-82A9-37F218F282DD}"/>
    <cellStyle name="SAPBEXHLevel0 2 5 26" xfId="30346" xr:uid="{EA7B9692-B3B9-4320-92E8-7C1F88CB3C14}"/>
    <cellStyle name="SAPBEXHLevel0 2 5 27" xfId="30469" xr:uid="{421A1710-93E3-41ED-89D4-1E90E11D6B2B}"/>
    <cellStyle name="SAPBEXHLevel0 2 5 28" xfId="30810" xr:uid="{28746C50-F341-43B1-A2DA-6F9AA9A34D62}"/>
    <cellStyle name="SAPBEXHLevel0 2 5 29" xfId="30974" xr:uid="{17129601-40FD-4E22-B68B-75B417827F71}"/>
    <cellStyle name="SAPBEXHLevel0 2 5 3" xfId="14364" xr:uid="{A456CCF9-6C4D-49EA-8B1F-6C13AC7BD78A}"/>
    <cellStyle name="SAPBEXHLevel0 2 5 30" xfId="31136" xr:uid="{DCDF2A9F-F6B7-455E-9A6D-BF083A1B06C6}"/>
    <cellStyle name="SAPBEXHLevel0 2 5 31" xfId="31243" xr:uid="{BB76C3AD-CC8B-44AB-B645-6C6C7B4FD0A2}"/>
    <cellStyle name="SAPBEXHLevel0 2 5 32" xfId="6851" xr:uid="{3DCC95AC-3DEA-4457-B015-AE72E9CCCABF}"/>
    <cellStyle name="SAPBEXHLevel0 2 5 4" xfId="15120" xr:uid="{F24307E9-9B21-4848-B1DB-20850695A3AA}"/>
    <cellStyle name="SAPBEXHLevel0 2 5 5" xfId="13529" xr:uid="{A241E4AC-6AC5-4BA7-A17F-3494FD02B668}"/>
    <cellStyle name="SAPBEXHLevel0 2 5 6" xfId="16763" xr:uid="{2C27043E-98B1-424A-863E-F47294FF004D}"/>
    <cellStyle name="SAPBEXHLevel0 2 5 7" xfId="17632" xr:uid="{DAD476E8-7B53-4E95-97A9-008AA4794EF3}"/>
    <cellStyle name="SAPBEXHLevel0 2 5 8" xfId="18484" xr:uid="{D05A4605-E795-49BB-9136-326BDEEF81C4}"/>
    <cellStyle name="SAPBEXHLevel0 2 5 9" xfId="19326" xr:uid="{52E90D69-C201-4A50-8046-213887C140C0}"/>
    <cellStyle name="SAPBEXHLevel0 2 6" xfId="10811" xr:uid="{681218CA-16EC-4F38-AFAA-5E71CF2D1029}"/>
    <cellStyle name="SAPBEXHLevel0 3" xfId="4319" xr:uid="{B4219DF3-88AC-4580-8D7D-59F231124767}"/>
    <cellStyle name="SAPBEXHLevel0 3 2" xfId="4320" xr:uid="{0616612A-EEA3-482D-AF76-FBBC7FEA19CB}"/>
    <cellStyle name="SAPBEXHLevel0 3 2 2" xfId="10818" xr:uid="{CDC1650D-AA08-4C95-A1EE-C5353264859B}"/>
    <cellStyle name="SAPBEXHLevel0 3 3" xfId="4321" xr:uid="{881BF083-4184-4282-8273-E2ED5C66423C}"/>
    <cellStyle name="SAPBEXHLevel0 3 3 2" xfId="10819" xr:uid="{2342C5B6-F237-44F6-96E8-AECFAE17C55E}"/>
    <cellStyle name="SAPBEXHLevel0 3 4" xfId="10817" xr:uid="{7DDD9619-654B-4BFB-8AAA-1025AC074E0A}"/>
    <cellStyle name="SAPBEXHLevel0 4" xfId="4322" xr:uid="{1E6FB4C1-F05D-4E9E-B23C-909BEBF64FFF}"/>
    <cellStyle name="SAPBEXHLevel0 4 2" xfId="4323" xr:uid="{35F8FD2C-3108-4B5D-863E-6D36026AC5B4}"/>
    <cellStyle name="SAPBEXHLevel0 4 2 2" xfId="10821" xr:uid="{8E827A19-53E5-4C0F-9EB4-D53458974CD0}"/>
    <cellStyle name="SAPBEXHLevel0 4 3" xfId="4324" xr:uid="{C8F46601-B90D-4D68-90BB-CC1A2C52CD36}"/>
    <cellStyle name="SAPBEXHLevel0 4 3 2" xfId="10822" xr:uid="{5B8A9949-480C-4450-AC44-EA4FE55F79BF}"/>
    <cellStyle name="SAPBEXHLevel0 4 4" xfId="10820" xr:uid="{24B562D0-ABB9-4B9C-972B-AAD4E11078D3}"/>
    <cellStyle name="SAPBEXHLevel0 5" xfId="4325" xr:uid="{968FF841-B182-4735-BBDC-8213A5F76BD3}"/>
    <cellStyle name="SAPBEXHLevel0 5 2" xfId="4326" xr:uid="{15302534-3E1F-4075-A4AE-49643CFA7E5E}"/>
    <cellStyle name="SAPBEXHLevel0 5 2 2" xfId="10824" xr:uid="{BDA72BFA-99FA-4FF7-AD43-820709A93283}"/>
    <cellStyle name="SAPBEXHLevel0 5 3" xfId="4327" xr:uid="{64BAA9A9-BB87-47B6-9E0D-EC438AA2E0B2}"/>
    <cellStyle name="SAPBEXHLevel0 5 3 2" xfId="10825" xr:uid="{3D5440EE-3012-47CB-B16D-7ACC06E61F11}"/>
    <cellStyle name="SAPBEXHLevel0 5 4" xfId="10823" xr:uid="{7E678ECA-52BF-4EC1-8C13-E4BE0FA9DC1E}"/>
    <cellStyle name="SAPBEXHLevel0 6" xfId="4328" xr:uid="{BDBA5C6B-F9B8-4A73-A95B-DDE3B086512E}"/>
    <cellStyle name="SAPBEXHLevel0 6 2" xfId="4329" xr:uid="{54BABCEC-021F-405C-BB27-E32FBF124838}"/>
    <cellStyle name="SAPBEXHLevel0 6 2 2" xfId="10827" xr:uid="{4FC22521-5E0F-44D4-89D5-08ADB65A5645}"/>
    <cellStyle name="SAPBEXHLevel0 6 3" xfId="4330" xr:uid="{5F28600B-ADB0-492B-8684-49DD3580884B}"/>
    <cellStyle name="SAPBEXHLevel0 6 3 2" xfId="10828" xr:uid="{3211B974-F8D7-4ABD-9B8B-D59500B123F9}"/>
    <cellStyle name="SAPBEXHLevel0 6 4" xfId="10826" xr:uid="{E74B281F-05D5-4344-9490-B99C579F4F2F}"/>
    <cellStyle name="SAPBEXHLevel0 7" xfId="4331" xr:uid="{0F6A9688-8A3B-43DE-A399-8E838897A421}"/>
    <cellStyle name="SAPBEXHLevel0 7 2" xfId="4332" xr:uid="{1C9D659C-F842-4160-B3F8-E783BE364888}"/>
    <cellStyle name="SAPBEXHLevel0 7 2 2" xfId="10830" xr:uid="{A71DAAFA-9F84-4FA0-A1D6-E9410BD96125}"/>
    <cellStyle name="SAPBEXHLevel0 7 3" xfId="4333" xr:uid="{691BC32F-6493-4547-8524-8842424569FD}"/>
    <cellStyle name="SAPBEXHLevel0 7 3 2" xfId="10831" xr:uid="{C4650C5B-D586-44DB-AF16-0F6E76D02CE6}"/>
    <cellStyle name="SAPBEXHLevel0 7 4" xfId="10829" xr:uid="{E7F177C3-CC89-4962-8E97-542872C9773D}"/>
    <cellStyle name="SAPBEXHLevel0 8" xfId="4334" xr:uid="{3C499BD0-81C4-411B-991F-B0490B01BD6F}"/>
    <cellStyle name="SAPBEXHLevel0 8 2" xfId="4335" xr:uid="{B7938625-F386-4EF9-93B6-A889B4124F67}"/>
    <cellStyle name="SAPBEXHLevel0 8 2 2" xfId="10833" xr:uid="{B0F030CB-421C-44BC-B0B1-E4530EC76E7C}"/>
    <cellStyle name="SAPBEXHLevel0 8 3" xfId="4336" xr:uid="{CD409380-705D-4418-AFFA-AAB30708378E}"/>
    <cellStyle name="SAPBEXHLevel0 8 3 2" xfId="10834" xr:uid="{D2A42FB1-2D5C-4536-9CD1-30B4EAEDA8A4}"/>
    <cellStyle name="SAPBEXHLevel0 8 4" xfId="10832" xr:uid="{DB520A82-DA88-43FC-AE64-4C66F2BAD521}"/>
    <cellStyle name="SAPBEXHLevel0 9" xfId="4337" xr:uid="{FBA6A740-9435-4B95-9992-C72617E32BF4}"/>
    <cellStyle name="SAPBEXHLevel0 9 2" xfId="10835" xr:uid="{8AC8B519-640A-4E0B-93FE-5F974EA206FA}"/>
    <cellStyle name="SAPBEXHLevel0X" xfId="4338" xr:uid="{DA15EE9F-576E-443D-AFE7-E4A9521F0891}"/>
    <cellStyle name="SAPBEXHLevel0X 10" xfId="4339" xr:uid="{22016329-D1E2-48AF-961B-88A3B7E5CD1B}"/>
    <cellStyle name="SAPBEXHLevel0X 10 2" xfId="10837" xr:uid="{B061A02C-4B78-4B84-A587-2BF47EB5B2BE}"/>
    <cellStyle name="SAPBEXHLevel0X 11" xfId="5710" xr:uid="{145CECBE-3E8B-4A88-845F-F6332FF3F64A}"/>
    <cellStyle name="SAPBEXHLevel0X 11 10" xfId="20083" xr:uid="{090C8A96-6F6C-4BD0-9A27-25C8DC1BDD50}"/>
    <cellStyle name="SAPBEXHLevel0X 11 11" xfId="20853" xr:uid="{A78AEFFE-7103-4A6B-AF06-26E9F0F76E33}"/>
    <cellStyle name="SAPBEXHLevel0X 11 12" xfId="21698" xr:uid="{6AFDB743-CAFF-4955-B459-DEAD981479D3}"/>
    <cellStyle name="SAPBEXHLevel0X 11 13" xfId="21760" xr:uid="{79516D3A-9F4A-44BF-BEFA-E5D22CA25F92}"/>
    <cellStyle name="SAPBEXHLevel0X 11 14" xfId="23362" xr:uid="{4985FC3D-A581-4304-A3CD-205E32F7B3D3}"/>
    <cellStyle name="SAPBEXHLevel0X 11 15" xfId="24163" xr:uid="{C6048889-936B-49E1-8977-9536FC76DE0F}"/>
    <cellStyle name="SAPBEXHLevel0X 11 16" xfId="24992" xr:uid="{E2C47BCB-509C-4671-B684-195EFC128DB7}"/>
    <cellStyle name="SAPBEXHLevel0X 11 17" xfId="25061" xr:uid="{528E040F-6557-4922-B245-92E583852CB4}"/>
    <cellStyle name="SAPBEXHLevel0X 11 18" xfId="26402" xr:uid="{B0C0CA06-381D-4939-8562-849B9C9D7CE3}"/>
    <cellStyle name="SAPBEXHLevel0X 11 19" xfId="26762" xr:uid="{42C652C3-EAC3-412A-BA49-AF14892C252A}"/>
    <cellStyle name="SAPBEXHLevel0X 11 2" xfId="13436" xr:uid="{2FA0DFA5-6CE9-4031-940A-90F1B7B2515F}"/>
    <cellStyle name="SAPBEXHLevel0X 11 20" xfId="27465" xr:uid="{D748CE95-7467-4E4E-9101-86426A964213}"/>
    <cellStyle name="SAPBEXHLevel0X 11 21" xfId="27997" xr:uid="{FC24B673-4620-4862-A3CD-9C9B6A888869}"/>
    <cellStyle name="SAPBEXHLevel0X 11 22" xfId="28728" xr:uid="{A226138C-D5CB-46F1-8DD9-BB28BCF9F766}"/>
    <cellStyle name="SAPBEXHLevel0X 11 23" xfId="28175" xr:uid="{CA88ED27-B313-4671-B255-08AB4E49D541}"/>
    <cellStyle name="SAPBEXHLevel0X 11 24" xfId="27665" xr:uid="{4D87D862-7897-48A4-997A-9A96916F4127}"/>
    <cellStyle name="SAPBEXHLevel0X 11 25" xfId="30059" xr:uid="{970CD028-AE1E-4B68-AB8C-8C21BD72687D}"/>
    <cellStyle name="SAPBEXHLevel0X 11 26" xfId="30348" xr:uid="{DA43300B-4BB8-486D-980A-A43C08A9DDDB}"/>
    <cellStyle name="SAPBEXHLevel0X 11 27" xfId="30471" xr:uid="{6043CC73-5217-4539-AA27-4DA02C86D51F}"/>
    <cellStyle name="SAPBEXHLevel0X 11 28" xfId="30812" xr:uid="{A09F72D0-9A4C-478E-9642-1AE88F5979C1}"/>
    <cellStyle name="SAPBEXHLevel0X 11 29" xfId="30976" xr:uid="{AA14DAA0-961F-4D0A-9F9A-66577B1E4F8E}"/>
    <cellStyle name="SAPBEXHLevel0X 11 3" xfId="14366" xr:uid="{028266BC-CB7B-44F0-B315-1155D669C59F}"/>
    <cellStyle name="SAPBEXHLevel0X 11 30" xfId="31138" xr:uid="{9E3880AB-43A0-4685-9651-1749CC87CDD2}"/>
    <cellStyle name="SAPBEXHLevel0X 11 31" xfId="31245" xr:uid="{7C954C45-9763-4E71-8937-8E6060D8CB3B}"/>
    <cellStyle name="SAPBEXHLevel0X 11 32" xfId="6853" xr:uid="{5A3B4439-37FD-4524-B0C7-E4214F0DA05E}"/>
    <cellStyle name="SAPBEXHLevel0X 11 4" xfId="15122" xr:uid="{7B05929E-71E9-49B8-A1A4-8B9F1990B16B}"/>
    <cellStyle name="SAPBEXHLevel0X 11 5" xfId="13530" xr:uid="{6B646776-1631-414E-BFE9-F817EBF2C19C}"/>
    <cellStyle name="SAPBEXHLevel0X 11 6" xfId="16765" xr:uid="{64ADC2AF-90B1-4C98-A35A-35D8ADBA411E}"/>
    <cellStyle name="SAPBEXHLevel0X 11 7" xfId="17634" xr:uid="{9BA22D7F-D5AE-40CB-8A85-CD0F2C31A761}"/>
    <cellStyle name="SAPBEXHLevel0X 11 8" xfId="18486" xr:uid="{8E13DF89-E4AD-4D07-A64B-EBA7FF6BBB4D}"/>
    <cellStyle name="SAPBEXHLevel0X 11 9" xfId="19328" xr:uid="{B8B7E212-9018-47AC-B548-CEAC121F568B}"/>
    <cellStyle name="SAPBEXHLevel0X 12" xfId="10836" xr:uid="{F4236498-18D8-4B31-B020-3D4694765265}"/>
    <cellStyle name="SAPBEXHLevel0X 2" xfId="4340" xr:uid="{B48324BE-F7FC-46F2-91C7-8823109F485B}"/>
    <cellStyle name="SAPBEXHLevel0X 2 2" xfId="4341" xr:uid="{A044DC7F-BBB6-4D4B-9635-F1C6D9832751}"/>
    <cellStyle name="SAPBEXHLevel0X 2 2 2" xfId="4342" xr:uid="{E733959B-98DF-4E94-A601-0EB420DE59EA}"/>
    <cellStyle name="SAPBEXHLevel0X 2 2 2 2" xfId="10840" xr:uid="{556F8EDC-052B-453A-A6B7-051921B27D77}"/>
    <cellStyle name="SAPBEXHLevel0X 2 2 3" xfId="4343" xr:uid="{4571C6C4-0598-4902-99BC-45377989A9CA}"/>
    <cellStyle name="SAPBEXHLevel0X 2 2 3 2" xfId="10841" xr:uid="{96CA8224-D0F5-4DC0-9EF5-545A9EEB81B0}"/>
    <cellStyle name="SAPBEXHLevel0X 2 2 4" xfId="5712" xr:uid="{3DC86147-9D62-44F9-8B65-93C10422CA24}"/>
    <cellStyle name="SAPBEXHLevel0X 2 2 4 10" xfId="20085" xr:uid="{1D729180-7D47-4360-95C0-936C511150DE}"/>
    <cellStyle name="SAPBEXHLevel0X 2 2 4 11" xfId="20855" xr:uid="{6E4922F2-EF55-4C89-94DA-DAF6DF36E7E7}"/>
    <cellStyle name="SAPBEXHLevel0X 2 2 4 12" xfId="21700" xr:uid="{E546CED0-9E7F-42E4-88E6-ABAE4E502428}"/>
    <cellStyle name="SAPBEXHLevel0X 2 2 4 13" xfId="21761" xr:uid="{24BAAD24-B61D-4D31-AC8D-299BC0346D96}"/>
    <cellStyle name="SAPBEXHLevel0X 2 2 4 14" xfId="23364" xr:uid="{D68B913C-E1FC-4413-9D0B-9D05FCCAE93A}"/>
    <cellStyle name="SAPBEXHLevel0X 2 2 4 15" xfId="24165" xr:uid="{6AF03131-893A-4425-A563-BB6FE09A667F}"/>
    <cellStyle name="SAPBEXHLevel0X 2 2 4 16" xfId="24994" xr:uid="{D527646F-2F13-48BA-9743-0C04FEC3DC84}"/>
    <cellStyle name="SAPBEXHLevel0X 2 2 4 17" xfId="25062" xr:uid="{A1B974D6-6DD0-46BB-8DF3-C3C25BB4F8E8}"/>
    <cellStyle name="SAPBEXHLevel0X 2 2 4 18" xfId="26404" xr:uid="{8173F33D-7FC9-4F4F-B1C7-E578726122AE}"/>
    <cellStyle name="SAPBEXHLevel0X 2 2 4 19" xfId="26764" xr:uid="{BE3F56D5-04D6-491F-B6B8-1369E0BAEACA}"/>
    <cellStyle name="SAPBEXHLevel0X 2 2 4 2" xfId="13438" xr:uid="{B1997E09-5F2B-49EB-B7CF-355B73B1D9B3}"/>
    <cellStyle name="SAPBEXHLevel0X 2 2 4 20" xfId="27467" xr:uid="{B16389F4-9CF7-4EDD-84FE-C877A518E5D5}"/>
    <cellStyle name="SAPBEXHLevel0X 2 2 4 21" xfId="27999" xr:uid="{A43F49A3-4028-4EC5-A122-4281D9392545}"/>
    <cellStyle name="SAPBEXHLevel0X 2 2 4 22" xfId="28730" xr:uid="{197A6DAE-94A5-4A05-964D-9D2A8FF7D54C}"/>
    <cellStyle name="SAPBEXHLevel0X 2 2 4 23" xfId="28177" xr:uid="{8963A7FE-C9D1-4FF7-8EED-5970478F984D}"/>
    <cellStyle name="SAPBEXHLevel0X 2 2 4 24" xfId="28864" xr:uid="{2AF562DC-4475-4AC2-B703-75C48C790B30}"/>
    <cellStyle name="SAPBEXHLevel0X 2 2 4 25" xfId="30060" xr:uid="{A3F096A3-62BA-4B0F-8E6B-5F54E448A1FB}"/>
    <cellStyle name="SAPBEXHLevel0X 2 2 4 26" xfId="30350" xr:uid="{73FA03F1-C152-48D1-8EC1-4DE02C2857B6}"/>
    <cellStyle name="SAPBEXHLevel0X 2 2 4 27" xfId="30473" xr:uid="{6BC8135F-BAC5-47A2-A335-7482E4D1CDE1}"/>
    <cellStyle name="SAPBEXHLevel0X 2 2 4 28" xfId="30814" xr:uid="{AA491427-F1C6-4ED0-9615-B816A06E6B3F}"/>
    <cellStyle name="SAPBEXHLevel0X 2 2 4 29" xfId="30978" xr:uid="{E3A965A9-1571-43F4-ACE8-346E43BEA3F0}"/>
    <cellStyle name="SAPBEXHLevel0X 2 2 4 3" xfId="14368" xr:uid="{7E59CFA9-4D04-43DC-AD4A-7397C3E826C0}"/>
    <cellStyle name="SAPBEXHLevel0X 2 2 4 30" xfId="31140" xr:uid="{DAEAFDC4-85CE-4693-A782-3CCF25288718}"/>
    <cellStyle name="SAPBEXHLevel0X 2 2 4 31" xfId="31247" xr:uid="{25E9CF64-033A-412D-9772-FD7D53B7F5DD}"/>
    <cellStyle name="SAPBEXHLevel0X 2 2 4 32" xfId="6855" xr:uid="{3914B853-ECAC-4EBF-B05F-FA38531B7E48}"/>
    <cellStyle name="SAPBEXHLevel0X 2 2 4 4" xfId="15124" xr:uid="{ED07B206-E60D-4FD0-97B0-CEE5A879149C}"/>
    <cellStyle name="SAPBEXHLevel0X 2 2 4 5" xfId="13531" xr:uid="{567FB40A-8170-49CC-8E41-81EAC1E98609}"/>
    <cellStyle name="SAPBEXHLevel0X 2 2 4 6" xfId="16767" xr:uid="{8AB833BD-BB1D-4349-B3B3-25651AFD8097}"/>
    <cellStyle name="SAPBEXHLevel0X 2 2 4 7" xfId="17636" xr:uid="{5D19FC89-90DA-4243-9A71-8EFB0B8CE343}"/>
    <cellStyle name="SAPBEXHLevel0X 2 2 4 8" xfId="18488" xr:uid="{1A4F0666-8CB2-42DA-9680-F5E47B11284F}"/>
    <cellStyle name="SAPBEXHLevel0X 2 2 4 9" xfId="19330" xr:uid="{BEEEBBD0-2B41-4213-87E0-DF9C851216C5}"/>
    <cellStyle name="SAPBEXHLevel0X 2 2 5" xfId="10839" xr:uid="{D3EDBDA0-57FD-44BC-8A81-289438EC70D1}"/>
    <cellStyle name="SAPBEXHLevel0X 2 3" xfId="4344" xr:uid="{AF49DF11-D6F7-44B4-8F6D-857D2B3A0DD9}"/>
    <cellStyle name="SAPBEXHLevel0X 2 3 2" xfId="10842" xr:uid="{C215E656-E342-4DA4-8C12-C688717F0977}"/>
    <cellStyle name="SAPBEXHLevel0X 2 4" xfId="4345" xr:uid="{8A1B87B9-DE0B-4F33-9C11-4910C3E083DF}"/>
    <cellStyle name="SAPBEXHLevel0X 2 4 2" xfId="10843" xr:uid="{B7E7F466-434F-4D09-8EF5-25CF82CB6057}"/>
    <cellStyle name="SAPBEXHLevel0X 2 5" xfId="5711" xr:uid="{A9AAE509-0DB9-4847-9CD0-7682EC97DE3B}"/>
    <cellStyle name="SAPBEXHLevel0X 2 5 10" xfId="20084" xr:uid="{B27AA0DC-1867-484F-B75B-08FFF39C0784}"/>
    <cellStyle name="SAPBEXHLevel0X 2 5 11" xfId="20854" xr:uid="{BE923828-DCE9-43D7-BB32-03A48FEFF41C}"/>
    <cellStyle name="SAPBEXHLevel0X 2 5 12" xfId="21699" xr:uid="{6C47FB67-4853-4FDF-B7B9-E388D524AC97}"/>
    <cellStyle name="SAPBEXHLevel0X 2 5 13" xfId="18655" xr:uid="{74DD20A5-EFBE-42B1-8B59-D8FDF2E0D0A2}"/>
    <cellStyle name="SAPBEXHLevel0X 2 5 14" xfId="23363" xr:uid="{EFE80D28-9327-4573-A397-5628504521B9}"/>
    <cellStyle name="SAPBEXHLevel0X 2 5 15" xfId="24164" xr:uid="{25A2702A-1594-48D2-AF7D-8BEAF299101C}"/>
    <cellStyle name="SAPBEXHLevel0X 2 5 16" xfId="24993" xr:uid="{915184FF-F3FD-4719-92CB-B3AA4437A2D8}"/>
    <cellStyle name="SAPBEXHLevel0X 2 5 17" xfId="23530" xr:uid="{69DB4457-FE65-49AE-9D8A-628A963282F5}"/>
    <cellStyle name="SAPBEXHLevel0X 2 5 18" xfId="26403" xr:uid="{6ED6951C-AE03-43FB-A63C-0D32CF2AE1F0}"/>
    <cellStyle name="SAPBEXHLevel0X 2 5 19" xfId="26763" xr:uid="{52E1A96B-E31B-4726-97C0-4C38B7BE8BE6}"/>
    <cellStyle name="SAPBEXHLevel0X 2 5 2" xfId="13437" xr:uid="{BF98E9B5-3F31-44C2-8528-C5A4075FFFDF}"/>
    <cellStyle name="SAPBEXHLevel0X 2 5 20" xfId="27466" xr:uid="{BD73E089-5732-450E-BF9D-B05EBEE63A6D}"/>
    <cellStyle name="SAPBEXHLevel0X 2 5 21" xfId="27998" xr:uid="{44BF226C-F9BD-41F3-B9C5-103C9B945E49}"/>
    <cellStyle name="SAPBEXHLevel0X 2 5 22" xfId="28729" xr:uid="{5FB0BEFF-980D-4F9F-9605-B4B18189B182}"/>
    <cellStyle name="SAPBEXHLevel0X 2 5 23" xfId="28176" xr:uid="{E0C3FADB-FB34-4498-88F0-EF81CF755FD6}"/>
    <cellStyle name="SAPBEXHLevel0X 2 5 24" xfId="29150" xr:uid="{0A2BA5E1-920A-43F4-9E7A-B830FE3F156A}"/>
    <cellStyle name="SAPBEXHLevel0X 2 5 25" xfId="28066" xr:uid="{0C4FCB2C-137B-46F9-86ED-72C6802BE510}"/>
    <cellStyle name="SAPBEXHLevel0X 2 5 26" xfId="30349" xr:uid="{9F9B9968-FEB1-411B-995E-348B11F6A752}"/>
    <cellStyle name="SAPBEXHLevel0X 2 5 27" xfId="30472" xr:uid="{3EB7B7EE-0712-47E4-A67B-A119CF45A504}"/>
    <cellStyle name="SAPBEXHLevel0X 2 5 28" xfId="30813" xr:uid="{B8C46F47-705F-4C22-99CD-782C9094D9DB}"/>
    <cellStyle name="SAPBEXHLevel0X 2 5 29" xfId="30977" xr:uid="{435D4D8C-AB8F-4C57-9E23-5DFEF0917968}"/>
    <cellStyle name="SAPBEXHLevel0X 2 5 3" xfId="14367" xr:uid="{35D80648-422C-4153-906C-77209238E676}"/>
    <cellStyle name="SAPBEXHLevel0X 2 5 30" xfId="31139" xr:uid="{3ADB5949-DD10-4293-9F49-484DB325D1EE}"/>
    <cellStyle name="SAPBEXHLevel0X 2 5 31" xfId="31246" xr:uid="{BA742CA0-5DD1-48D0-B732-170BACBF7FE1}"/>
    <cellStyle name="SAPBEXHLevel0X 2 5 32" xfId="6854" xr:uid="{C92C35FE-D46E-4F62-BA45-60A304167C23}"/>
    <cellStyle name="SAPBEXHLevel0X 2 5 4" xfId="15123" xr:uid="{84ED4302-2A6E-4EA2-9AA4-413E82AFF53A}"/>
    <cellStyle name="SAPBEXHLevel0X 2 5 5" xfId="12805" xr:uid="{27AC43AA-4DED-45FB-AEA9-43DEB6AEF3C6}"/>
    <cellStyle name="SAPBEXHLevel0X 2 5 6" xfId="16766" xr:uid="{080416A3-F341-4B6F-B2C6-903E0ADCF477}"/>
    <cellStyle name="SAPBEXHLevel0X 2 5 7" xfId="17635" xr:uid="{A2B95782-D976-48E6-B1DB-6CF1C358763E}"/>
    <cellStyle name="SAPBEXHLevel0X 2 5 8" xfId="18487" xr:uid="{57F52903-44BF-4666-9037-BC22E82FCF43}"/>
    <cellStyle name="SAPBEXHLevel0X 2 5 9" xfId="19329" xr:uid="{AC7D86E2-F1D9-4937-B0CE-2877C13CEAF0}"/>
    <cellStyle name="SAPBEXHLevel0X 2 6" xfId="10838" xr:uid="{C373252A-FFC8-4A62-8AEB-ED28F595321D}"/>
    <cellStyle name="SAPBEXHLevel0X 3" xfId="4346" xr:uid="{6EEBC4A9-36E7-459C-94DC-646DB1DC7196}"/>
    <cellStyle name="SAPBEXHLevel0X 3 2" xfId="4347" xr:uid="{625FAB3C-807E-4143-B927-0EC0343F08ED}"/>
    <cellStyle name="SAPBEXHLevel0X 3 2 2" xfId="10845" xr:uid="{B49D1F41-4287-4FC2-88E2-B97C50DF809C}"/>
    <cellStyle name="SAPBEXHLevel0X 3 3" xfId="4348" xr:uid="{E780A65C-6C56-4F46-A79C-DCEC4DD63D15}"/>
    <cellStyle name="SAPBEXHLevel0X 3 3 2" xfId="10846" xr:uid="{2DAF0035-D16A-4B48-9416-6F88895055A5}"/>
    <cellStyle name="SAPBEXHLevel0X 3 4" xfId="10844" xr:uid="{01749943-C51A-4476-9319-990AE2E2128D}"/>
    <cellStyle name="SAPBEXHLevel0X 4" xfId="4349" xr:uid="{9C8BEA14-D27B-419B-94B1-CDE6DFAA5309}"/>
    <cellStyle name="SAPBEXHLevel0X 4 2" xfId="4350" xr:uid="{335A2F8D-AF9F-4BC0-8F29-07EC3F2B1907}"/>
    <cellStyle name="SAPBEXHLevel0X 4 2 2" xfId="10848" xr:uid="{2B88CF22-5245-4EDE-A23E-E65CA6D34EAE}"/>
    <cellStyle name="SAPBEXHLevel0X 4 3" xfId="4351" xr:uid="{F9FC388E-8377-43A8-8EEB-49F1DF060C69}"/>
    <cellStyle name="SAPBEXHLevel0X 4 3 2" xfId="10849" xr:uid="{0200499C-F7B5-4411-8D3D-97340D626A0B}"/>
    <cellStyle name="SAPBEXHLevel0X 4 4" xfId="10847" xr:uid="{6AF86B57-08A7-4F80-A4AC-5EE46C6B2D65}"/>
    <cellStyle name="SAPBEXHLevel0X 5" xfId="4352" xr:uid="{60A1149C-9463-423C-8818-180BCB8C144D}"/>
    <cellStyle name="SAPBEXHLevel0X 5 2" xfId="4353" xr:uid="{C0232390-D9CD-4234-B697-0F439E81E0F4}"/>
    <cellStyle name="SAPBEXHLevel0X 5 2 2" xfId="10851" xr:uid="{5C2BD2EA-E164-4922-B8E3-A602E7D5B118}"/>
    <cellStyle name="SAPBEXHLevel0X 5 3" xfId="4354" xr:uid="{74E1B848-E091-4EB9-9C3F-7B486B02DF46}"/>
    <cellStyle name="SAPBEXHLevel0X 5 3 2" xfId="10852" xr:uid="{5A24B769-ADEE-4468-BFC0-EB09FE622803}"/>
    <cellStyle name="SAPBEXHLevel0X 5 4" xfId="10850" xr:uid="{778A0FF3-2ED1-4489-B0CF-91FE1372CB2A}"/>
    <cellStyle name="SAPBEXHLevel0X 6" xfId="4355" xr:uid="{DF17D566-2637-4F79-BCFB-C646451558A3}"/>
    <cellStyle name="SAPBEXHLevel0X 6 2" xfId="4356" xr:uid="{DB7E711B-1B19-45DD-A389-41E64713BB07}"/>
    <cellStyle name="SAPBEXHLevel0X 6 2 2" xfId="10854" xr:uid="{3D6DE2B3-AABD-4078-B3DF-564F427849CA}"/>
    <cellStyle name="SAPBEXHLevel0X 6 3" xfId="4357" xr:uid="{5B764EC1-3D4D-46E3-B607-91E9E557FD51}"/>
    <cellStyle name="SAPBEXHLevel0X 6 3 2" xfId="10855" xr:uid="{8C08E272-0D3C-4C7A-ABFA-68020CEE57DE}"/>
    <cellStyle name="SAPBEXHLevel0X 6 4" xfId="10853" xr:uid="{59D4670E-6DBD-427B-856E-6CAC1DB749CB}"/>
    <cellStyle name="SAPBEXHLevel0X 7" xfId="4358" xr:uid="{8844D629-16B4-4F45-801C-3EA4905E429D}"/>
    <cellStyle name="SAPBEXHLevel0X 7 2" xfId="4359" xr:uid="{1512B2AD-9733-4471-B3EE-261881974132}"/>
    <cellStyle name="SAPBEXHLevel0X 7 2 2" xfId="10857" xr:uid="{21D9B91A-DF44-43E9-B9A2-23D56CA24FFB}"/>
    <cellStyle name="SAPBEXHLevel0X 7 3" xfId="4360" xr:uid="{C11A4C75-3407-4511-AEEB-008C23AF0E25}"/>
    <cellStyle name="SAPBEXHLevel0X 7 3 2" xfId="10858" xr:uid="{B60C3D8D-0E9A-4950-BABD-72FAC98F4BEA}"/>
    <cellStyle name="SAPBEXHLevel0X 7 4" xfId="10856" xr:uid="{B2CFA787-F32A-46B7-AEBC-252F54136FA4}"/>
    <cellStyle name="SAPBEXHLevel0X 8" xfId="4361" xr:uid="{2A196552-516F-4DE1-9E10-E4F9323D1BC3}"/>
    <cellStyle name="SAPBEXHLevel0X 8 2" xfId="4362" xr:uid="{6AECAD56-FC56-49C3-905B-B772E726E969}"/>
    <cellStyle name="SAPBEXHLevel0X 8 2 2" xfId="10860" xr:uid="{A5647C8B-4E65-442E-9E60-CC0FA743EF23}"/>
    <cellStyle name="SAPBEXHLevel0X 8 3" xfId="4363" xr:uid="{61153725-2505-4D29-990D-852630ED3451}"/>
    <cellStyle name="SAPBEXHLevel0X 8 3 2" xfId="10861" xr:uid="{45705A10-A1FA-4C77-81FF-AAE7217718E1}"/>
    <cellStyle name="SAPBEXHLevel0X 8 4" xfId="10859" xr:uid="{E327A103-C450-4516-AFBB-4314E0B78C1D}"/>
    <cellStyle name="SAPBEXHLevel0X 9" xfId="4364" xr:uid="{4B7E28B3-D166-4F9F-9BE9-B107B1360E82}"/>
    <cellStyle name="SAPBEXHLevel0X 9 2" xfId="10862" xr:uid="{2838EB3B-BABE-4666-84B1-47C171C403F9}"/>
    <cellStyle name="SAPBEXHLevel1" xfId="4365" xr:uid="{6C4BCA55-CC1F-4AA5-8658-FFBC45953A8F}"/>
    <cellStyle name="SAPBEXHLevel1 10" xfId="4366" xr:uid="{563B26E1-DE3F-4C7D-AFF4-8D4D6E25EFA0}"/>
    <cellStyle name="SAPBEXHLevel1 10 2" xfId="10864" xr:uid="{2F83AFBA-D79F-43F9-9A1B-40D6A7AFF440}"/>
    <cellStyle name="SAPBEXHLevel1 11" xfId="5713" xr:uid="{3BCAFA6E-E0E1-4A60-86D8-8B0C635D86E9}"/>
    <cellStyle name="SAPBEXHLevel1 11 10" xfId="20086" xr:uid="{4C93CDAB-679E-42CF-9C5E-FDECB77A6F64}"/>
    <cellStyle name="SAPBEXHLevel1 11 11" xfId="20856" xr:uid="{776DA7A1-4BBE-499B-BC2B-7180F4C65640}"/>
    <cellStyle name="SAPBEXHLevel1 11 12" xfId="21701" xr:uid="{B4E01F29-3FDA-43EA-AEBD-E565CFCCBAB2}"/>
    <cellStyle name="SAPBEXHLevel1 11 13" xfId="20241" xr:uid="{A6E1FB2E-A9A3-465F-B284-5F627133C42B}"/>
    <cellStyle name="SAPBEXHLevel1 11 14" xfId="23365" xr:uid="{FA8C3171-A3F5-4C25-9F86-BDC833D26553}"/>
    <cellStyle name="SAPBEXHLevel1 11 15" xfId="24166" xr:uid="{4D21A963-F116-4BD3-BEDE-39892B056B00}"/>
    <cellStyle name="SAPBEXHLevel1 11 16" xfId="24995" xr:uid="{846E07E1-8D24-4B4A-A2AF-E8A0652A9090}"/>
    <cellStyle name="SAPBEXHLevel1 11 17" xfId="22799" xr:uid="{A7FDC875-FEEC-4C03-926D-7DBB562C5098}"/>
    <cellStyle name="SAPBEXHLevel1 11 18" xfId="26405" xr:uid="{2E1A500D-A052-4D2F-924D-107322C02E43}"/>
    <cellStyle name="SAPBEXHLevel1 11 19" xfId="26765" xr:uid="{F934CC56-1EBF-40F2-AEF7-AFAD2D18A6E3}"/>
    <cellStyle name="SAPBEXHLevel1 11 2" xfId="13439" xr:uid="{CBC22304-E36E-42F7-830C-E75D3D29029F}"/>
    <cellStyle name="SAPBEXHLevel1 11 20" xfId="27468" xr:uid="{64333420-5327-4510-B3F9-9FCF6A1F9C7D}"/>
    <cellStyle name="SAPBEXHLevel1 11 21" xfId="28000" xr:uid="{A3F36EBA-23BD-4A52-8FFD-3BFFDBCF6793}"/>
    <cellStyle name="SAPBEXHLevel1 11 22" xfId="28731" xr:uid="{33712D94-F6C9-420D-8C86-4D13BAE28C3B}"/>
    <cellStyle name="SAPBEXHLevel1 11 23" xfId="28178" xr:uid="{7DD3B951-1466-4B7F-AB66-CF55069BEFBD}"/>
    <cellStyle name="SAPBEXHLevel1 11 24" xfId="25226" xr:uid="{39E1BBEF-A3E8-415E-A65F-CC467B2A13A5}"/>
    <cellStyle name="SAPBEXHLevel1 11 25" xfId="29669" xr:uid="{6B0C9468-970A-4520-B10F-6677AFA541AF}"/>
    <cellStyle name="SAPBEXHLevel1 11 26" xfId="30351" xr:uid="{A647EB23-2484-49E9-B40E-633EEA91DB44}"/>
    <cellStyle name="SAPBEXHLevel1 11 27" xfId="30474" xr:uid="{728D7901-C9D8-4347-9D1A-57A58672E636}"/>
    <cellStyle name="SAPBEXHLevel1 11 28" xfId="30815" xr:uid="{3E37EB1B-BE90-402D-ACEE-5902E5A53540}"/>
    <cellStyle name="SAPBEXHLevel1 11 29" xfId="30979" xr:uid="{16E88C31-3D89-4AAC-8F3D-30C063A5FB7B}"/>
    <cellStyle name="SAPBEXHLevel1 11 3" xfId="14369" xr:uid="{15A0DEFA-9D83-4270-A25D-A224B1D708D9}"/>
    <cellStyle name="SAPBEXHLevel1 11 30" xfId="31141" xr:uid="{AEA04861-1407-45AB-B1F4-39BA05F3922E}"/>
    <cellStyle name="SAPBEXHLevel1 11 31" xfId="31248" xr:uid="{F4FD30BA-6F8F-4314-8423-CFF794573391}"/>
    <cellStyle name="SAPBEXHLevel1 11 32" xfId="6856" xr:uid="{11D579C9-3F6D-44CC-B510-64CBD33B2662}"/>
    <cellStyle name="SAPBEXHLevel1 11 4" xfId="15125" xr:uid="{D9A07174-5695-4DEE-BEDB-8B872A7732E3}"/>
    <cellStyle name="SAPBEXHLevel1 11 5" xfId="15182" xr:uid="{E86F098C-285D-490E-AFEC-58421744C1B3}"/>
    <cellStyle name="SAPBEXHLevel1 11 6" xfId="16768" xr:uid="{31272EEF-8D20-4667-B83C-191D94339E67}"/>
    <cellStyle name="SAPBEXHLevel1 11 7" xfId="17637" xr:uid="{00A271D8-E66C-416C-B567-E835EA05867E}"/>
    <cellStyle name="SAPBEXHLevel1 11 8" xfId="18489" xr:uid="{16C3D835-4987-499C-BFEC-9A9794785E76}"/>
    <cellStyle name="SAPBEXHLevel1 11 9" xfId="19331" xr:uid="{F4F7E7E3-F254-4474-B1EA-B51C4A1DEF5C}"/>
    <cellStyle name="SAPBEXHLevel1 12" xfId="10863" xr:uid="{A0C5AFD6-17EE-4352-878C-AADBE715DA8A}"/>
    <cellStyle name="SAPBEXHLevel1 2" xfId="4367" xr:uid="{9A303924-DF9E-4BA1-B275-6A757131AC86}"/>
    <cellStyle name="SAPBEXHLevel1 2 2" xfId="4368" xr:uid="{F82BFA19-DA7A-412B-B37E-B800E7B3384D}"/>
    <cellStyle name="SAPBEXHLevel1 2 2 2" xfId="4369" xr:uid="{C233D914-8336-4615-8A02-27031206704D}"/>
    <cellStyle name="SAPBEXHLevel1 2 2 2 2" xfId="10867" xr:uid="{04EFB50F-EF78-4631-A340-6F60F462CC37}"/>
    <cellStyle name="SAPBEXHLevel1 2 2 3" xfId="4370" xr:uid="{4207C562-F19C-49C8-9203-6C961DFE96A9}"/>
    <cellStyle name="SAPBEXHLevel1 2 2 3 2" xfId="10868" xr:uid="{618F3993-4287-4E7D-89AF-8A3857A824B2}"/>
    <cellStyle name="SAPBEXHLevel1 2 2 4" xfId="5715" xr:uid="{AE2BA324-686B-421B-99FE-E6918BDD31A0}"/>
    <cellStyle name="SAPBEXHLevel1 2 2 4 10" xfId="20088" xr:uid="{5CBFFB74-9766-4A22-BE04-602836389E38}"/>
    <cellStyle name="SAPBEXHLevel1 2 2 4 11" xfId="20858" xr:uid="{F44E8817-81C8-4634-9E46-561C5C762061}"/>
    <cellStyle name="SAPBEXHLevel1 2 2 4 12" xfId="21703" xr:uid="{C80BC7C0-5B77-4D4C-8F07-63148E8115FE}"/>
    <cellStyle name="SAPBEXHLevel1 2 2 4 13" xfId="17918" xr:uid="{B4202381-8436-4594-A981-946B63C6AF03}"/>
    <cellStyle name="SAPBEXHLevel1 2 2 4 14" xfId="23367" xr:uid="{0A03D01D-3335-4504-970D-80E1B6E45404}"/>
    <cellStyle name="SAPBEXHLevel1 2 2 4 15" xfId="24168" xr:uid="{1E5C84FD-FC10-4837-8211-AF3EA2241E3F}"/>
    <cellStyle name="SAPBEXHLevel1 2 2 4 16" xfId="24997" xr:uid="{F738252C-17F5-4854-8863-68D7B27DD063}"/>
    <cellStyle name="SAPBEXHLevel1 2 2 4 17" xfId="23531" xr:uid="{9AAC8DC0-CBD7-4437-8BDB-A5DDE9F87211}"/>
    <cellStyle name="SAPBEXHLevel1 2 2 4 18" xfId="26407" xr:uid="{7972A55A-E6F3-4062-97E3-C14AE40AAD4C}"/>
    <cellStyle name="SAPBEXHLevel1 2 2 4 19" xfId="26767" xr:uid="{470EB952-E476-4AB8-BE1B-C9A54717B43F}"/>
    <cellStyle name="SAPBEXHLevel1 2 2 4 2" xfId="13441" xr:uid="{8A920358-7D32-4734-8784-CC795520FC2A}"/>
    <cellStyle name="SAPBEXHLevel1 2 2 4 20" xfId="27470" xr:uid="{9DE6DDAA-F1DB-480F-AAF9-25EFB17DB8E5}"/>
    <cellStyle name="SAPBEXHLevel1 2 2 4 21" xfId="28002" xr:uid="{747C736A-1CD2-4452-952E-DFE0543FA2B5}"/>
    <cellStyle name="SAPBEXHLevel1 2 2 4 22" xfId="28733" xr:uid="{8F273FD5-057E-4F71-9EFE-B701210DF53C}"/>
    <cellStyle name="SAPBEXHLevel1 2 2 4 23" xfId="28180" xr:uid="{763AAE91-2C2C-4BEE-8AD4-E7CCC197CBF3}"/>
    <cellStyle name="SAPBEXHLevel1 2 2 4 24" xfId="27664" xr:uid="{C11A81B0-53DA-4B30-801B-653491BF53C9}"/>
    <cellStyle name="SAPBEXHLevel1 2 2 4 25" xfId="26543" xr:uid="{D6830076-3427-4804-912E-1F0DEEA70FFD}"/>
    <cellStyle name="SAPBEXHLevel1 2 2 4 26" xfId="30353" xr:uid="{8320B4B9-36CD-41FD-AC09-FC1062267A35}"/>
    <cellStyle name="SAPBEXHLevel1 2 2 4 27" xfId="30476" xr:uid="{263DA8FE-1EDF-4C9A-8B1B-87C27F34B019}"/>
    <cellStyle name="SAPBEXHLevel1 2 2 4 28" xfId="30817" xr:uid="{F917651F-64CE-47E3-9640-E850131F4CB6}"/>
    <cellStyle name="SAPBEXHLevel1 2 2 4 29" xfId="30981" xr:uid="{8BB749B1-26C7-4428-B54E-7D8E1E3B4B9D}"/>
    <cellStyle name="SAPBEXHLevel1 2 2 4 3" xfId="14371" xr:uid="{ECD16335-991E-4427-9581-DFDEF6717BF4}"/>
    <cellStyle name="SAPBEXHLevel1 2 2 4 30" xfId="31143" xr:uid="{9C763B41-7C45-4BB4-BB8C-8B2333AD5EC5}"/>
    <cellStyle name="SAPBEXHLevel1 2 2 4 31" xfId="31250" xr:uid="{1B798790-B07E-4147-BD80-139AE45879A7}"/>
    <cellStyle name="SAPBEXHLevel1 2 2 4 32" xfId="6858" xr:uid="{84435FA1-A04B-47B2-B46E-6F066F599FD2}"/>
    <cellStyle name="SAPBEXHLevel1 2 2 4 4" xfId="15127" xr:uid="{515226AF-446D-4EBC-A7E6-48E87ED191BD}"/>
    <cellStyle name="SAPBEXHLevel1 2 2 4 5" xfId="13532" xr:uid="{E864C9C4-5D8A-4E04-9366-EEE7DF6DA209}"/>
    <cellStyle name="SAPBEXHLevel1 2 2 4 6" xfId="16770" xr:uid="{5F6BE13F-3797-482E-A44E-827BBBC1F3FD}"/>
    <cellStyle name="SAPBEXHLevel1 2 2 4 7" xfId="17639" xr:uid="{E6946A0E-5C3D-45AB-B627-77198A14D58C}"/>
    <cellStyle name="SAPBEXHLevel1 2 2 4 8" xfId="18491" xr:uid="{0CF68FF7-FFC2-4472-86F2-E758CDAB4FE8}"/>
    <cellStyle name="SAPBEXHLevel1 2 2 4 9" xfId="19333" xr:uid="{2DB43B2B-E548-4C0B-AFD7-9C90A7D97CC2}"/>
    <cellStyle name="SAPBEXHLevel1 2 2 5" xfId="10866" xr:uid="{B35947A9-41F0-4ED7-B155-29180C077F25}"/>
    <cellStyle name="SAPBEXHLevel1 2 3" xfId="4371" xr:uid="{B48EB08C-B5C3-431C-A93C-8FF029C2B165}"/>
    <cellStyle name="SAPBEXHLevel1 2 3 2" xfId="10869" xr:uid="{08D72675-A292-48E4-A7D2-2D148AF89AEF}"/>
    <cellStyle name="SAPBEXHLevel1 2 4" xfId="4372" xr:uid="{76671F63-A485-4CA7-B0FA-0E05D4A06E3F}"/>
    <cellStyle name="SAPBEXHLevel1 2 4 2" xfId="10870" xr:uid="{7B624EDA-6906-4F63-8348-E58B15E38FF1}"/>
    <cellStyle name="SAPBEXHLevel1 2 5" xfId="5714" xr:uid="{BD5C331F-789C-4293-B130-8AAE18AE8295}"/>
    <cellStyle name="SAPBEXHLevel1 2 5 10" xfId="20087" xr:uid="{36FB5770-53A3-41CE-BAB3-65028D0457E0}"/>
    <cellStyle name="SAPBEXHLevel1 2 5 11" xfId="20857" xr:uid="{81D3E196-1382-4E78-93BD-4409A1F2BEA2}"/>
    <cellStyle name="SAPBEXHLevel1 2 5 12" xfId="21702" xr:uid="{2574D9E2-1D76-44E6-AB12-356309ED55AC}"/>
    <cellStyle name="SAPBEXHLevel1 2 5 13" xfId="21762" xr:uid="{0E4B818D-0989-43B4-8027-C7DFD866F528}"/>
    <cellStyle name="SAPBEXHLevel1 2 5 14" xfId="23366" xr:uid="{8C768EAA-2A67-4E4D-B12C-EF98D9D51AAC}"/>
    <cellStyle name="SAPBEXHLevel1 2 5 15" xfId="24167" xr:uid="{A18AB967-7DE6-446C-AC1B-E66EB16C6D60}"/>
    <cellStyle name="SAPBEXHLevel1 2 5 16" xfId="24996" xr:uid="{708EE0A6-6899-471A-ADEC-4E98C5012C64}"/>
    <cellStyle name="SAPBEXHLevel1 2 5 17" xfId="25063" xr:uid="{C0538ED6-F8B1-44CF-AD83-428C95CC717C}"/>
    <cellStyle name="SAPBEXHLevel1 2 5 18" xfId="26406" xr:uid="{1C33E0C9-51FA-4194-A53D-720A79B8F9BA}"/>
    <cellStyle name="SAPBEXHLevel1 2 5 19" xfId="26766" xr:uid="{89F7FDD0-C71D-4ECC-92D3-5E40C2DA9AC3}"/>
    <cellStyle name="SAPBEXHLevel1 2 5 2" xfId="13440" xr:uid="{D9CBF19A-EA5A-4712-BA50-246F811F9CB7}"/>
    <cellStyle name="SAPBEXHLevel1 2 5 20" xfId="27469" xr:uid="{0A2159F2-770E-4E33-A255-B0A792003F48}"/>
    <cellStyle name="SAPBEXHLevel1 2 5 21" xfId="28001" xr:uid="{67DF5D81-2FEE-4FB0-8F84-C579D2357071}"/>
    <cellStyle name="SAPBEXHLevel1 2 5 22" xfId="28732" xr:uid="{95E55B7A-51D6-46CC-8BCA-C816D35A1A73}"/>
    <cellStyle name="SAPBEXHLevel1 2 5 23" xfId="28179" xr:uid="{CCBBC412-7919-487B-AD92-D9EF393BD595}"/>
    <cellStyle name="SAPBEXHLevel1 2 5 24" xfId="29149" xr:uid="{697914AE-3639-40A0-9E2F-38456D71F9EE}"/>
    <cellStyle name="SAPBEXHLevel1 2 5 25" xfId="30061" xr:uid="{8AD0F2E0-3744-4E1A-A3A4-3BEE7CF51AA9}"/>
    <cellStyle name="SAPBEXHLevel1 2 5 26" xfId="30352" xr:uid="{7807AE3A-BD0E-432C-AFA4-1CBFD69BB765}"/>
    <cellStyle name="SAPBEXHLevel1 2 5 27" xfId="30475" xr:uid="{9E80CFC1-48CC-457E-9A0C-74562F7B4EE0}"/>
    <cellStyle name="SAPBEXHLevel1 2 5 28" xfId="30816" xr:uid="{BBFE1DD7-CF4C-41B2-90C4-09F0A4D74161}"/>
    <cellStyle name="SAPBEXHLevel1 2 5 29" xfId="30980" xr:uid="{88936668-30BB-4EAC-B2E6-9B7A199E84CB}"/>
    <cellStyle name="SAPBEXHLevel1 2 5 3" xfId="14370" xr:uid="{556184BB-D62B-4641-A703-F792B4BA05C0}"/>
    <cellStyle name="SAPBEXHLevel1 2 5 30" xfId="31142" xr:uid="{E4409396-006E-4B21-B4DF-10F8200AA735}"/>
    <cellStyle name="SAPBEXHLevel1 2 5 31" xfId="31249" xr:uid="{51BD0A92-789E-44DB-A2C4-394F272916A0}"/>
    <cellStyle name="SAPBEXHLevel1 2 5 32" xfId="6857" xr:uid="{04D3E585-9A11-4302-82B2-DFA5B0626AAC}"/>
    <cellStyle name="SAPBEXHLevel1 2 5 4" xfId="15126" xr:uid="{4A9E8367-DF34-45D8-8EFA-2FAC555CC4C9}"/>
    <cellStyle name="SAPBEXHLevel1 2 5 5" xfId="12806" xr:uid="{503B4306-5762-43E3-9441-FED37157F122}"/>
    <cellStyle name="SAPBEXHLevel1 2 5 6" xfId="16769" xr:uid="{3656F1F7-461C-435F-B94B-986CCFCD7369}"/>
    <cellStyle name="SAPBEXHLevel1 2 5 7" xfId="17638" xr:uid="{A1D5E9D6-DEB9-4CA1-8161-4C0FCD9C6F34}"/>
    <cellStyle name="SAPBEXHLevel1 2 5 8" xfId="18490" xr:uid="{77DB4900-CE63-4D83-AD46-E2103DC598F7}"/>
    <cellStyle name="SAPBEXHLevel1 2 5 9" xfId="19332" xr:uid="{83FBE833-A960-46A9-BA90-BF77D0484169}"/>
    <cellStyle name="SAPBEXHLevel1 2 6" xfId="10865" xr:uid="{513809F4-F0ED-42C9-929C-3A7C783A9CCE}"/>
    <cellStyle name="SAPBEXHLevel1 3" xfId="4373" xr:uid="{03E25C60-D76C-4CB2-9A0E-167E574306E1}"/>
    <cellStyle name="SAPBEXHLevel1 3 2" xfId="4374" xr:uid="{AD6D3D3D-3FD5-4051-A240-CCD4F516AEE3}"/>
    <cellStyle name="SAPBEXHLevel1 3 2 2" xfId="10872" xr:uid="{F0EB7591-C4B8-4A28-9A64-2C67A537EF45}"/>
    <cellStyle name="SAPBEXHLevel1 3 3" xfId="4375" xr:uid="{545F3371-D965-4993-8C89-E1B55CF55203}"/>
    <cellStyle name="SAPBEXHLevel1 3 3 2" xfId="10873" xr:uid="{8296C863-DBEB-4A01-BA21-FAC7F4348318}"/>
    <cellStyle name="SAPBEXHLevel1 3 4" xfId="10871" xr:uid="{2A2822BF-3D53-4BCC-B6D1-332B1B68B736}"/>
    <cellStyle name="SAPBEXHLevel1 4" xfId="4376" xr:uid="{E042A980-5E21-4AFD-B6AA-1C1F8E57D87B}"/>
    <cellStyle name="SAPBEXHLevel1 4 2" xfId="4377" xr:uid="{63726CA0-05DF-455A-8E08-125C7AB230FE}"/>
    <cellStyle name="SAPBEXHLevel1 4 2 2" xfId="10875" xr:uid="{9DD30523-C60B-4A22-9EC5-1227E5146C4E}"/>
    <cellStyle name="SAPBEXHLevel1 4 3" xfId="4378" xr:uid="{B0837DD4-DE85-40BF-991A-969AD19FB629}"/>
    <cellStyle name="SAPBEXHLevel1 4 3 2" xfId="10876" xr:uid="{5B574B3C-D4DC-406C-9D0A-52501C6BF2CD}"/>
    <cellStyle name="SAPBEXHLevel1 4 4" xfId="10874" xr:uid="{71ED40C4-F666-4FE2-AEB3-9978B5D09ACA}"/>
    <cellStyle name="SAPBEXHLevel1 5" xfId="4379" xr:uid="{816C4EEA-C5BE-4EF0-9052-EB8BF5730027}"/>
    <cellStyle name="SAPBEXHLevel1 5 2" xfId="4380" xr:uid="{5DCBE436-C118-4969-B922-7E77E7C3D007}"/>
    <cellStyle name="SAPBEXHLevel1 5 2 2" xfId="10878" xr:uid="{3B70D6F8-B9FF-4EEE-A0F6-4209F262BED1}"/>
    <cellStyle name="SAPBEXHLevel1 5 3" xfId="4381" xr:uid="{A70E5E54-041F-444F-9914-D111D8CE5102}"/>
    <cellStyle name="SAPBEXHLevel1 5 3 2" xfId="10879" xr:uid="{294E9005-FCD2-4DE5-A04F-EC48FFEA3C66}"/>
    <cellStyle name="SAPBEXHLevel1 5 4" xfId="10877" xr:uid="{2783CE85-A1FA-4238-B247-5BCA02CC38B5}"/>
    <cellStyle name="SAPBEXHLevel1 6" xfId="4382" xr:uid="{15063344-77C9-49E1-BED1-564F579287C6}"/>
    <cellStyle name="SAPBEXHLevel1 6 2" xfId="4383" xr:uid="{763A69C3-A792-4299-8FE7-E72760B4154A}"/>
    <cellStyle name="SAPBEXHLevel1 6 2 2" xfId="10881" xr:uid="{F04EF66D-CF51-4714-A6AD-4B17D3B0986F}"/>
    <cellStyle name="SAPBEXHLevel1 6 3" xfId="4384" xr:uid="{9329A173-FC5A-4AB0-8B00-107A4CD7D461}"/>
    <cellStyle name="SAPBEXHLevel1 6 3 2" xfId="10882" xr:uid="{FA5385B5-29A3-4AC7-92CD-4BFFFA160509}"/>
    <cellStyle name="SAPBEXHLevel1 6 4" xfId="10880" xr:uid="{8E136B50-D5A6-4DE0-A95F-A029EE263555}"/>
    <cellStyle name="SAPBEXHLevel1 7" xfId="4385" xr:uid="{E7E32C7B-3450-47EE-B631-946A92F125F4}"/>
    <cellStyle name="SAPBEXHLevel1 7 2" xfId="4386" xr:uid="{71FBD0E7-B36C-4FBE-B577-7A50476C0641}"/>
    <cellStyle name="SAPBEXHLevel1 7 2 2" xfId="10884" xr:uid="{FCE550AE-C748-4691-8D2C-45A892AF54CE}"/>
    <cellStyle name="SAPBEXHLevel1 7 3" xfId="4387" xr:uid="{09E0629D-445F-4113-9DAC-003AD62C5EDD}"/>
    <cellStyle name="SAPBEXHLevel1 7 3 2" xfId="10885" xr:uid="{05E98F25-0565-4B2A-81F1-D931B6695687}"/>
    <cellStyle name="SAPBEXHLevel1 7 4" xfId="10883" xr:uid="{D5C4D84D-ADF1-4957-BBE9-0560141A58D2}"/>
    <cellStyle name="SAPBEXHLevel1 8" xfId="4388" xr:uid="{A5142815-9BF3-4214-9A99-28E08A699281}"/>
    <cellStyle name="SAPBEXHLevel1 8 2" xfId="4389" xr:uid="{55AE5670-D679-4867-B9D9-78317CAA95BD}"/>
    <cellStyle name="SAPBEXHLevel1 8 2 2" xfId="10887" xr:uid="{02298489-D19E-424A-A6AC-D57C04058A61}"/>
    <cellStyle name="SAPBEXHLevel1 8 3" xfId="4390" xr:uid="{18533B4B-C49B-4A2A-A0E7-BD7E52ED73BE}"/>
    <cellStyle name="SAPBEXHLevel1 8 3 2" xfId="10888" xr:uid="{30DF1C1B-AAB8-4C3F-BAF1-3922A56F004E}"/>
    <cellStyle name="SAPBEXHLevel1 8 4" xfId="10886" xr:uid="{BBF10030-025C-42A3-8B9A-537E8B05385D}"/>
    <cellStyle name="SAPBEXHLevel1 9" xfId="4391" xr:uid="{F1C065BC-0482-4129-A98F-86DFB8CA5365}"/>
    <cellStyle name="SAPBEXHLevel1 9 2" xfId="10889" xr:uid="{9A48113B-B9CE-4F07-B3BF-74BDC8B3D004}"/>
    <cellStyle name="SAPBEXHLevel1X" xfId="4392" xr:uid="{6AB31FE4-85CA-4454-9F1F-AE319FA299A2}"/>
    <cellStyle name="SAPBEXHLevel1X 10" xfId="4393" xr:uid="{FA5D989D-BABC-4C34-9036-1595BB0DEDB8}"/>
    <cellStyle name="SAPBEXHLevel1X 10 2" xfId="10891" xr:uid="{6E9BFA28-6673-4B1A-907B-AF1CDBF96DC0}"/>
    <cellStyle name="SAPBEXHLevel1X 11" xfId="5716" xr:uid="{E230E322-F8CD-427D-9BB6-52CB06695CD5}"/>
    <cellStyle name="SAPBEXHLevel1X 11 10" xfId="20089" xr:uid="{A84770B4-6989-41B7-9950-5BFF40E9ADAC}"/>
    <cellStyle name="SAPBEXHLevel1X 11 11" xfId="20859" xr:uid="{6B99F7FB-AECE-4F16-8614-A1FED992FCCE}"/>
    <cellStyle name="SAPBEXHLevel1X 11 12" xfId="21704" xr:uid="{D599B7FE-7A24-4592-B873-441E247B2509}"/>
    <cellStyle name="SAPBEXHLevel1X 11 13" xfId="21763" xr:uid="{79093499-C33E-41D3-B637-003C9616F799}"/>
    <cellStyle name="SAPBEXHLevel1X 11 14" xfId="23368" xr:uid="{E1692DA4-C7CC-4E73-9A83-6633B076CF38}"/>
    <cellStyle name="SAPBEXHLevel1X 11 15" xfId="24169" xr:uid="{9AC9CEF4-73C6-4048-A783-9E9DCE4F354B}"/>
    <cellStyle name="SAPBEXHLevel1X 11 16" xfId="24998" xr:uid="{A60FDEB3-F4E8-4DB0-A134-E64910872685}"/>
    <cellStyle name="SAPBEXHLevel1X 11 17" xfId="25064" xr:uid="{BA911B5F-B33D-4271-8CD1-EDC98043A4F0}"/>
    <cellStyle name="SAPBEXHLevel1X 11 18" xfId="26408" xr:uid="{9C07C571-8E74-4BB5-B8E0-4DD47694DDA2}"/>
    <cellStyle name="SAPBEXHLevel1X 11 19" xfId="26768" xr:uid="{1F1DB0DA-A951-4721-AF6C-8B2938C7A305}"/>
    <cellStyle name="SAPBEXHLevel1X 11 2" xfId="13442" xr:uid="{D4C6BF33-799B-47C4-8958-46A875D84509}"/>
    <cellStyle name="SAPBEXHLevel1X 11 20" xfId="27471" xr:uid="{11AA2CAA-075F-4DAD-B629-7978BA4DEBA8}"/>
    <cellStyle name="SAPBEXHLevel1X 11 21" xfId="28003" xr:uid="{16E77DA1-466E-46C8-AAEA-17FB527E1A1F}"/>
    <cellStyle name="SAPBEXHLevel1X 11 22" xfId="28734" xr:uid="{1993D2F9-4FB5-4042-A343-A554859011DF}"/>
    <cellStyle name="SAPBEXHLevel1X 11 23" xfId="28181" xr:uid="{0757A934-493A-42E1-9306-C1BF857930DF}"/>
    <cellStyle name="SAPBEXHLevel1X 11 24" xfId="29148" xr:uid="{01F6D791-CA70-4919-B645-CF38D37A0BE3}"/>
    <cellStyle name="SAPBEXHLevel1X 11 25" xfId="30062" xr:uid="{6CE84329-B175-4B5F-B2D2-A68FD8979DD8}"/>
    <cellStyle name="SAPBEXHLevel1X 11 26" xfId="30354" xr:uid="{012CEE05-276D-41D6-A5A8-CE00FCCEE843}"/>
    <cellStyle name="SAPBEXHLevel1X 11 27" xfId="30477" xr:uid="{51DD7B0B-E048-4A66-869F-29B289CC2227}"/>
    <cellStyle name="SAPBEXHLevel1X 11 28" xfId="30818" xr:uid="{FB70769F-FB98-4106-9CBD-15FA6E045657}"/>
    <cellStyle name="SAPBEXHLevel1X 11 29" xfId="30982" xr:uid="{57F2CA64-0F5D-454C-B436-0F96D9B683F8}"/>
    <cellStyle name="SAPBEXHLevel1X 11 3" xfId="14372" xr:uid="{D9F23027-EE8C-46A2-9B91-6C87E8B5C174}"/>
    <cellStyle name="SAPBEXHLevel1X 11 30" xfId="31144" xr:uid="{3251B47C-4482-4B87-8668-A14F483D4AFA}"/>
    <cellStyle name="SAPBEXHLevel1X 11 31" xfId="31251" xr:uid="{275AC7B4-32FB-4E97-AAE5-7A929D76A2AB}"/>
    <cellStyle name="SAPBEXHLevel1X 11 32" xfId="6859" xr:uid="{26147ECE-FDFE-4354-9BAB-4057B211F991}"/>
    <cellStyle name="SAPBEXHLevel1X 11 4" xfId="15128" xr:uid="{CFEF7C84-4205-4766-8A23-676C9B6A4C62}"/>
    <cellStyle name="SAPBEXHLevel1X 11 5" xfId="15184" xr:uid="{452338B2-A986-4064-BA3D-64B67FC28FCD}"/>
    <cellStyle name="SAPBEXHLevel1X 11 6" xfId="16771" xr:uid="{98EF7FCE-3DEA-4D41-B815-ED6C4C9DFFC7}"/>
    <cellStyle name="SAPBEXHLevel1X 11 7" xfId="17640" xr:uid="{5345CC17-8F92-4C42-B9FA-AF057A4FC8B2}"/>
    <cellStyle name="SAPBEXHLevel1X 11 8" xfId="18492" xr:uid="{2FE77716-0085-4C0C-A2E8-F740E41B42AE}"/>
    <cellStyle name="SAPBEXHLevel1X 11 9" xfId="19334" xr:uid="{90D89B0A-2723-4D04-B65E-A56E7120D9FA}"/>
    <cellStyle name="SAPBEXHLevel1X 12" xfId="10890" xr:uid="{538A64F7-A9A0-4EC5-A752-E08569BD2E19}"/>
    <cellStyle name="SAPBEXHLevel1X 2" xfId="4394" xr:uid="{BCF9CB49-43EA-41F4-870F-B9658C980DB3}"/>
    <cellStyle name="SAPBEXHLevel1X 2 2" xfId="4395" xr:uid="{77491B8C-355A-482C-81FD-B73C9CD6D9D9}"/>
    <cellStyle name="SAPBEXHLevel1X 2 2 2" xfId="4396" xr:uid="{130CBCF3-4492-4343-9CF4-61BB964ED201}"/>
    <cellStyle name="SAPBEXHLevel1X 2 2 2 2" xfId="10894" xr:uid="{88A99B7F-9FE6-418E-817A-FE24C9CF8E0F}"/>
    <cellStyle name="SAPBEXHLevel1X 2 2 3" xfId="4397" xr:uid="{A9D96FD8-7F45-4C2E-959D-74FFC0D4CAE7}"/>
    <cellStyle name="SAPBEXHLevel1X 2 2 3 2" xfId="10895" xr:uid="{0127C633-A6A8-4AAC-95CC-3A00977B3154}"/>
    <cellStyle name="SAPBEXHLevel1X 2 2 4" xfId="5718" xr:uid="{939D0499-2E9F-4C31-8A56-CA283224F423}"/>
    <cellStyle name="SAPBEXHLevel1X 2 2 4 10" xfId="20091" xr:uid="{35A0EE16-67C5-4F23-9B18-4A76CC5EF101}"/>
    <cellStyle name="SAPBEXHLevel1X 2 2 4 11" xfId="20861" xr:uid="{5AB97702-3413-417D-AEEC-F22CE419E9E0}"/>
    <cellStyle name="SAPBEXHLevel1X 2 2 4 12" xfId="21706" xr:uid="{D4D00D7E-4E5C-4F1B-AD16-993C4611E6E9}"/>
    <cellStyle name="SAPBEXHLevel1X 2 2 4 13" xfId="21764" xr:uid="{7261F402-9CCB-4F32-8B50-4024BC44168D}"/>
    <cellStyle name="SAPBEXHLevel1X 2 2 4 14" xfId="23370" xr:uid="{13B552D8-7422-4676-AC16-5B3476A3D18B}"/>
    <cellStyle name="SAPBEXHLevel1X 2 2 4 15" xfId="24171" xr:uid="{78315BDF-AC6A-4141-8169-7110580CB8A4}"/>
    <cellStyle name="SAPBEXHLevel1X 2 2 4 16" xfId="25000" xr:uid="{54B01BCA-83F3-475E-8B4B-4A8591BFB537}"/>
    <cellStyle name="SAPBEXHLevel1X 2 2 4 17" xfId="25065" xr:uid="{88730AC1-2DC5-41C2-8917-72D131602BEE}"/>
    <cellStyle name="SAPBEXHLevel1X 2 2 4 18" xfId="26410" xr:uid="{B4314A9A-34A4-478C-B1DF-E3496111DA04}"/>
    <cellStyle name="SAPBEXHLevel1X 2 2 4 19" xfId="26770" xr:uid="{7EA807A5-D479-4937-B82F-034CF9214D64}"/>
    <cellStyle name="SAPBEXHLevel1X 2 2 4 2" xfId="13444" xr:uid="{C069AC9B-2A7D-45B8-B4E2-080318A0620D}"/>
    <cellStyle name="SAPBEXHLevel1X 2 2 4 20" xfId="27473" xr:uid="{B28E19AD-5391-4118-B415-C98ADF55405C}"/>
    <cellStyle name="SAPBEXHLevel1X 2 2 4 21" xfId="28005" xr:uid="{5B6EBBD2-3109-4D04-AACB-614F563C76DA}"/>
    <cellStyle name="SAPBEXHLevel1X 2 2 4 22" xfId="28736" xr:uid="{1BDA0A0D-26DE-4515-88CC-C46658F7ED49}"/>
    <cellStyle name="SAPBEXHLevel1X 2 2 4 23" xfId="28183" xr:uid="{3685A800-8F31-4731-9839-1106C6DE70FE}"/>
    <cellStyle name="SAPBEXHLevel1X 2 2 4 24" xfId="27663" xr:uid="{87EBC51E-C3DC-496D-87AB-6A94BB522ED8}"/>
    <cellStyle name="SAPBEXHLevel1X 2 2 4 25" xfId="30063" xr:uid="{21632869-534E-44FB-AA28-AC0BC70B5B70}"/>
    <cellStyle name="SAPBEXHLevel1X 2 2 4 26" xfId="30356" xr:uid="{91DFA66F-C453-4DEC-B494-43730659E941}"/>
    <cellStyle name="SAPBEXHLevel1X 2 2 4 27" xfId="30479" xr:uid="{EEA0434F-ED16-4C15-B2E5-625BA5BFA486}"/>
    <cellStyle name="SAPBEXHLevel1X 2 2 4 28" xfId="30820" xr:uid="{38E1EAB0-6B9B-4028-87A3-C225C60E86A4}"/>
    <cellStyle name="SAPBEXHLevel1X 2 2 4 29" xfId="30984" xr:uid="{070F8161-FD19-4641-A493-FEADCA956F54}"/>
    <cellStyle name="SAPBEXHLevel1X 2 2 4 3" xfId="14374" xr:uid="{A50A014B-6BF5-4E73-80BE-A1387A9B6714}"/>
    <cellStyle name="SAPBEXHLevel1X 2 2 4 30" xfId="31146" xr:uid="{6C285E9E-B855-46CF-BAE2-2E76525B5247}"/>
    <cellStyle name="SAPBEXHLevel1X 2 2 4 31" xfId="31253" xr:uid="{3E06A191-86A2-4673-8CF3-F2F71B3AF69C}"/>
    <cellStyle name="SAPBEXHLevel1X 2 2 4 32" xfId="6861" xr:uid="{85323563-2CF0-4A3D-A711-46A467A58DC6}"/>
    <cellStyle name="SAPBEXHLevel1X 2 2 4 4" xfId="15130" xr:uid="{020B14DB-E196-430A-A460-CD2FFCE6A874}"/>
    <cellStyle name="SAPBEXHLevel1X 2 2 4 5" xfId="15186" xr:uid="{A38FFB4A-C843-40D7-9B04-0C777698361B}"/>
    <cellStyle name="SAPBEXHLevel1X 2 2 4 6" xfId="16773" xr:uid="{8A48EF73-9E69-48E6-AE5A-321A16E65980}"/>
    <cellStyle name="SAPBEXHLevel1X 2 2 4 7" xfId="17642" xr:uid="{9CA288CB-398A-4A3A-8128-71C2B01AD896}"/>
    <cellStyle name="SAPBEXHLevel1X 2 2 4 8" xfId="18494" xr:uid="{B8847F7E-44EE-4E8E-A7BE-CAF3ED09AF73}"/>
    <cellStyle name="SAPBEXHLevel1X 2 2 4 9" xfId="19336" xr:uid="{7DAC500A-6433-4A7C-8DCA-3F1F6B48E12D}"/>
    <cellStyle name="SAPBEXHLevel1X 2 2 5" xfId="10893" xr:uid="{394FD8E2-D0E2-438B-8393-059E9123C459}"/>
    <cellStyle name="SAPBEXHLevel1X 2 3" xfId="4398" xr:uid="{6161311C-5AA5-419C-A282-0F3337EFD579}"/>
    <cellStyle name="SAPBEXHLevel1X 2 3 2" xfId="10896" xr:uid="{434AD6EC-F67B-4D47-AC3A-BB5B7A0A1237}"/>
    <cellStyle name="SAPBEXHLevel1X 2 4" xfId="4399" xr:uid="{9C1DDFA6-10F8-4494-AA68-33962CDECC14}"/>
    <cellStyle name="SAPBEXHLevel1X 2 4 2" xfId="10897" xr:uid="{1FEC55D0-61E0-4BD2-BCFA-3BFC55BAF759}"/>
    <cellStyle name="SAPBEXHLevel1X 2 5" xfId="5717" xr:uid="{580E1C4B-15A6-4080-9E45-3365D18036C8}"/>
    <cellStyle name="SAPBEXHLevel1X 2 5 10" xfId="20090" xr:uid="{820A46F2-35FF-4B68-B5B0-8675B5F8E76F}"/>
    <cellStyle name="SAPBEXHLevel1X 2 5 11" xfId="20860" xr:uid="{35871417-2E64-4238-9641-BF8824969701}"/>
    <cellStyle name="SAPBEXHLevel1X 2 5 12" xfId="21705" xr:uid="{2F5A717F-E266-4C5E-AF0A-3AF12B9B003A}"/>
    <cellStyle name="SAPBEXHLevel1X 2 5 13" xfId="20242" xr:uid="{1608CB42-7356-446C-A1DD-7EA9A443953C}"/>
    <cellStyle name="SAPBEXHLevel1X 2 5 14" xfId="23369" xr:uid="{3836A754-B104-40FD-B938-49530F197CA5}"/>
    <cellStyle name="SAPBEXHLevel1X 2 5 15" xfId="24170" xr:uid="{C5A5E830-BF9D-4B91-A418-22AB60B534E4}"/>
    <cellStyle name="SAPBEXHLevel1X 2 5 16" xfId="24999" xr:uid="{88177390-240F-42B4-B76C-A96BFF08434C}"/>
    <cellStyle name="SAPBEXHLevel1X 2 5 17" xfId="22800" xr:uid="{A1F643C6-66AE-47C4-B754-8AB22E057EA5}"/>
    <cellStyle name="SAPBEXHLevel1X 2 5 18" xfId="26409" xr:uid="{0449A286-9840-42E8-9EF4-5D6D06ED5982}"/>
    <cellStyle name="SAPBEXHLevel1X 2 5 19" xfId="26769" xr:uid="{3E0EC1D2-2666-439A-96A3-5C844D834659}"/>
    <cellStyle name="SAPBEXHLevel1X 2 5 2" xfId="13443" xr:uid="{104D33C8-2EB1-4916-B0C5-08D346998B04}"/>
    <cellStyle name="SAPBEXHLevel1X 2 5 20" xfId="27472" xr:uid="{6DF413BE-0B8B-4C7D-A850-7EFE0FC56F8F}"/>
    <cellStyle name="SAPBEXHLevel1X 2 5 21" xfId="28004" xr:uid="{438AF5CA-ABDD-4ED7-862D-DB1CC7FD8C2E}"/>
    <cellStyle name="SAPBEXHLevel1X 2 5 22" xfId="28735" xr:uid="{8EFF89ED-2996-477F-991E-8B14EC903226}"/>
    <cellStyle name="SAPBEXHLevel1X 2 5 23" xfId="28182" xr:uid="{0DE42359-279D-4EBA-BF09-A5439A6E0D2B}"/>
    <cellStyle name="SAPBEXHLevel1X 2 5 24" xfId="25872" xr:uid="{9884F603-121F-451E-ADCF-DBF2709E112F}"/>
    <cellStyle name="SAPBEXHLevel1X 2 5 25" xfId="29670" xr:uid="{145D90AF-6586-4FA4-811E-A5AB35A65B97}"/>
    <cellStyle name="SAPBEXHLevel1X 2 5 26" xfId="30355" xr:uid="{7EEC0FB9-7A02-4C60-8767-87D6A2C19E50}"/>
    <cellStyle name="SAPBEXHLevel1X 2 5 27" xfId="30478" xr:uid="{F369BB00-21CA-4477-B4BB-DA571EAA597A}"/>
    <cellStyle name="SAPBEXHLevel1X 2 5 28" xfId="30819" xr:uid="{9FC88637-EAB8-4238-AF11-E3145A025CAB}"/>
    <cellStyle name="SAPBEXHLevel1X 2 5 29" xfId="30983" xr:uid="{BADA7962-9839-495F-8D8F-98EE5AF72939}"/>
    <cellStyle name="SAPBEXHLevel1X 2 5 3" xfId="14373" xr:uid="{30903B52-3FF5-4065-BCD7-17C9BCE62B6B}"/>
    <cellStyle name="SAPBEXHLevel1X 2 5 30" xfId="31145" xr:uid="{63A9B245-9594-46BC-B539-DA7F31D7DAAD}"/>
    <cellStyle name="SAPBEXHLevel1X 2 5 31" xfId="31252" xr:uid="{DD49D56D-8914-4E14-A391-D231EDD97436}"/>
    <cellStyle name="SAPBEXHLevel1X 2 5 32" xfId="6860" xr:uid="{D9A12C6D-68C6-4F7B-9B6F-BF0B077D169F}"/>
    <cellStyle name="SAPBEXHLevel1X 2 5 4" xfId="15129" xr:uid="{2EBC8363-39F3-4CD5-9657-83A2563A1CAB}"/>
    <cellStyle name="SAPBEXHLevel1X 2 5 5" xfId="12771" xr:uid="{6F13BF80-7533-4588-9248-B10AC41F313C}"/>
    <cellStyle name="SAPBEXHLevel1X 2 5 6" xfId="16772" xr:uid="{B8593108-62D2-4C41-AAED-A5DABFFB706D}"/>
    <cellStyle name="SAPBEXHLevel1X 2 5 7" xfId="17641" xr:uid="{97653E9F-29D1-42B4-AF71-1934E19EA8C3}"/>
    <cellStyle name="SAPBEXHLevel1X 2 5 8" xfId="18493" xr:uid="{71C12C2C-1F31-4016-AD15-6037AB9787FE}"/>
    <cellStyle name="SAPBEXHLevel1X 2 5 9" xfId="19335" xr:uid="{CA32359C-806F-45CB-B3B9-84A495E742FC}"/>
    <cellStyle name="SAPBEXHLevel1X 2 6" xfId="10892" xr:uid="{61EB4349-F6A4-4505-A685-E878CB372E5E}"/>
    <cellStyle name="SAPBEXHLevel1X 3" xfId="4400" xr:uid="{B3D79B71-6C9D-4964-90AE-7EB27482D080}"/>
    <cellStyle name="SAPBEXHLevel1X 3 2" xfId="4401" xr:uid="{A2C78E53-CDBA-473F-B2A2-E21D95D13DD2}"/>
    <cellStyle name="SAPBEXHLevel1X 3 2 2" xfId="10899" xr:uid="{8CCF308E-B1ED-413B-B6EB-778F75F83409}"/>
    <cellStyle name="SAPBEXHLevel1X 3 3" xfId="4402" xr:uid="{4823751B-3706-4E89-B284-5BD7E49644FB}"/>
    <cellStyle name="SAPBEXHLevel1X 3 3 2" xfId="10900" xr:uid="{FDADFD15-1A38-46DD-8769-4E041AB0EC03}"/>
    <cellStyle name="SAPBEXHLevel1X 3 4" xfId="10898" xr:uid="{0C672CA7-BA47-4B32-A282-4666028C2F53}"/>
    <cellStyle name="SAPBEXHLevel1X 4" xfId="4403" xr:uid="{A968B1CB-74EB-4927-9CB3-639E65A05F79}"/>
    <cellStyle name="SAPBEXHLevel1X 4 2" xfId="4404" xr:uid="{1F010214-F85C-4069-B7C2-59DEBE8F8DD4}"/>
    <cellStyle name="SAPBEXHLevel1X 4 2 2" xfId="10902" xr:uid="{29CA86F9-B607-4B4A-AB80-7E8BA336CC78}"/>
    <cellStyle name="SAPBEXHLevel1X 4 3" xfId="4405" xr:uid="{583114BB-7C65-4C4A-A128-75255FC779F9}"/>
    <cellStyle name="SAPBEXHLevel1X 4 3 2" xfId="10903" xr:uid="{5298D232-56D2-4CD3-9EBC-355B1BCD22CE}"/>
    <cellStyle name="SAPBEXHLevel1X 4 4" xfId="10901" xr:uid="{F0CF1B74-CE84-4184-AFA9-C9775666AC07}"/>
    <cellStyle name="SAPBEXHLevel1X 5" xfId="4406" xr:uid="{C5C2BF82-13CF-4E90-9332-70818B3FFBA7}"/>
    <cellStyle name="SAPBEXHLevel1X 5 2" xfId="4407" xr:uid="{25DD27D2-B04A-4467-8CBE-8E3CA8C44718}"/>
    <cellStyle name="SAPBEXHLevel1X 5 2 2" xfId="10905" xr:uid="{1CB550BC-D189-40BA-B7C1-4C03EFA7F57B}"/>
    <cellStyle name="SAPBEXHLevel1X 5 3" xfId="4408" xr:uid="{5FC5DC03-E3A4-498F-B85E-E250B07E0B68}"/>
    <cellStyle name="SAPBEXHLevel1X 5 3 2" xfId="10906" xr:uid="{65CCF587-DEF0-416B-A3D1-3E097813EBFE}"/>
    <cellStyle name="SAPBEXHLevel1X 5 4" xfId="10904" xr:uid="{F946752B-78BE-41F3-8431-DAB19B9B9F2F}"/>
    <cellStyle name="SAPBEXHLevel1X 6" xfId="4409" xr:uid="{A405312F-8762-454D-B0B9-607813F7F4AF}"/>
    <cellStyle name="SAPBEXHLevel1X 6 2" xfId="4410" xr:uid="{9FF7F5DA-C692-4F83-AADD-C83620255122}"/>
    <cellStyle name="SAPBEXHLevel1X 6 2 2" xfId="10908" xr:uid="{E863902D-7BD8-4403-A591-10A2F20DF061}"/>
    <cellStyle name="SAPBEXHLevel1X 6 3" xfId="4411" xr:uid="{59AACD49-F89D-45E3-81E7-263F2461BBAE}"/>
    <cellStyle name="SAPBEXHLevel1X 6 3 2" xfId="10909" xr:uid="{C8266DA7-1AEC-4A95-9C2B-9DD843FEF29A}"/>
    <cellStyle name="SAPBEXHLevel1X 6 4" xfId="10907" xr:uid="{37C8AF7F-D42F-4346-9D97-CF4B3467D9E3}"/>
    <cellStyle name="SAPBEXHLevel1X 7" xfId="4412" xr:uid="{C7B77042-AFD8-49A4-917D-633A6C6161AA}"/>
    <cellStyle name="SAPBEXHLevel1X 7 2" xfId="4413" xr:uid="{F58AE736-E2DB-401F-B302-62E23B3BC344}"/>
    <cellStyle name="SAPBEXHLevel1X 7 2 2" xfId="10911" xr:uid="{4A10E6A6-0A30-48B1-8E56-439EC68F0946}"/>
    <cellStyle name="SAPBEXHLevel1X 7 3" xfId="4414" xr:uid="{E4E84938-CAED-4AA7-8561-2BA263054D28}"/>
    <cellStyle name="SAPBEXHLevel1X 7 3 2" xfId="10912" xr:uid="{9C957435-A5A2-41B9-8AEE-1641D5AD0C67}"/>
    <cellStyle name="SAPBEXHLevel1X 7 4" xfId="10910" xr:uid="{7FF7810E-B01C-41D3-8F1E-91F55F9F7688}"/>
    <cellStyle name="SAPBEXHLevel1X 8" xfId="4415" xr:uid="{1D2EDED5-63F7-429F-A15B-6B350B096141}"/>
    <cellStyle name="SAPBEXHLevel1X 8 2" xfId="4416" xr:uid="{571C798A-D6B6-4DF9-8BB9-4DDBB8740097}"/>
    <cellStyle name="SAPBEXHLevel1X 8 2 2" xfId="10914" xr:uid="{36EFF85A-01F7-435C-B7A8-A70C4EAF8F45}"/>
    <cellStyle name="SAPBEXHLevel1X 8 3" xfId="4417" xr:uid="{AF06B414-7058-4DC3-9993-AABF0C919E2F}"/>
    <cellStyle name="SAPBEXHLevel1X 8 3 2" xfId="10915" xr:uid="{83318332-F29B-4BA4-8089-ECDDC5D2D7FF}"/>
    <cellStyle name="SAPBEXHLevel1X 8 4" xfId="10913" xr:uid="{180195ED-41FB-465B-BD0E-11379967884B}"/>
    <cellStyle name="SAPBEXHLevel1X 9" xfId="4418" xr:uid="{70C3A77A-9E25-4B3D-9868-FBFBE9F03A9F}"/>
    <cellStyle name="SAPBEXHLevel1X 9 2" xfId="10916" xr:uid="{10DECAE8-316B-4F9F-BF93-90BCB381E23B}"/>
    <cellStyle name="SAPBEXHLevel2" xfId="4419" xr:uid="{8FC254E3-C31D-437C-9394-95CDBEC1CBF2}"/>
    <cellStyle name="SAPBEXHLevel2 10" xfId="4420" xr:uid="{94B84F89-8818-41CD-AB5F-E69FC5EFFC6C}"/>
    <cellStyle name="SAPBEXHLevel2 10 2" xfId="10918" xr:uid="{ECB66D06-DCF0-47BC-9E45-EE4394AD4612}"/>
    <cellStyle name="SAPBEXHLevel2 11" xfId="5719" xr:uid="{92E0B7EF-7F18-4F08-B901-B514B5728DC7}"/>
    <cellStyle name="SAPBEXHLevel2 11 10" xfId="20092" xr:uid="{BAE6EE51-94E1-4D8A-A0E0-556761B7D04C}"/>
    <cellStyle name="SAPBEXHLevel2 11 11" xfId="20862" xr:uid="{71394D65-9A42-404A-A6C5-6DD80AE48DF2}"/>
    <cellStyle name="SAPBEXHLevel2 11 12" xfId="21707" xr:uid="{99006E2C-146E-4849-9B21-AC9A090DB3DC}"/>
    <cellStyle name="SAPBEXHLevel2 11 13" xfId="18656" xr:uid="{A12DDA3C-ED47-4B57-B709-578F329CDDF8}"/>
    <cellStyle name="SAPBEXHLevel2 11 14" xfId="23371" xr:uid="{59C68CA1-EAAB-4C75-86EA-CB24B170BDC5}"/>
    <cellStyle name="SAPBEXHLevel2 11 15" xfId="24172" xr:uid="{1622ADDF-970B-4A2A-8026-D6BCDD129CF5}"/>
    <cellStyle name="SAPBEXHLevel2 11 16" xfId="25001" xr:uid="{12F7E6B3-1385-4C65-B4C7-4C054E42CB3C}"/>
    <cellStyle name="SAPBEXHLevel2 11 17" xfId="23532" xr:uid="{F4A432F6-F984-46BE-A553-C01A0DEB87E6}"/>
    <cellStyle name="SAPBEXHLevel2 11 18" xfId="26411" xr:uid="{D75E16F3-CA28-4CCA-A0D6-EC0A6366B92C}"/>
    <cellStyle name="SAPBEXHLevel2 11 19" xfId="26771" xr:uid="{84FABDF3-D746-4E04-9E02-42DE56451F73}"/>
    <cellStyle name="SAPBEXHLevel2 11 2" xfId="13445" xr:uid="{EB2F9323-757B-4963-A357-BF72F0F04906}"/>
    <cellStyle name="SAPBEXHLevel2 11 20" xfId="27474" xr:uid="{A1721C8E-9634-40A4-B25C-994AD114C694}"/>
    <cellStyle name="SAPBEXHLevel2 11 21" xfId="28006" xr:uid="{E776185C-7063-410E-ADCD-ACA43CE74442}"/>
    <cellStyle name="SAPBEXHLevel2 11 22" xfId="28737" xr:uid="{82E226AD-B4EE-400B-943C-6D6414AAE18F}"/>
    <cellStyle name="SAPBEXHLevel2 11 23" xfId="28184" xr:uid="{23A288AF-7AA3-4C4F-AF54-2A8B9C54297B}"/>
    <cellStyle name="SAPBEXHLevel2 11 24" xfId="25227" xr:uid="{E799F620-3142-4833-B855-4CF3AD45A7B5}"/>
    <cellStyle name="SAPBEXHLevel2 11 25" xfId="29644" xr:uid="{2E17A5B6-DCA5-42AF-AB41-78F88DC48537}"/>
    <cellStyle name="SAPBEXHLevel2 11 26" xfId="30357" xr:uid="{051684B3-2DC1-4DB5-BF6E-BDBE25B7902C}"/>
    <cellStyle name="SAPBEXHLevel2 11 27" xfId="30480" xr:uid="{467657D1-67E5-4CB9-956B-82BD566872AB}"/>
    <cellStyle name="SAPBEXHLevel2 11 28" xfId="30821" xr:uid="{8E01CD36-E94B-4BA7-8C2D-2BE2D8FB2C4B}"/>
    <cellStyle name="SAPBEXHLevel2 11 29" xfId="30985" xr:uid="{F178ED1C-5BC4-4608-8256-4B5A1E3EEA9C}"/>
    <cellStyle name="SAPBEXHLevel2 11 3" xfId="14375" xr:uid="{B2EA8288-F759-42E6-A862-FF8ECFA91929}"/>
    <cellStyle name="SAPBEXHLevel2 11 30" xfId="31147" xr:uid="{B2C0DFDC-18EE-4970-9403-77B330961988}"/>
    <cellStyle name="SAPBEXHLevel2 11 31" xfId="31254" xr:uid="{03AFC69A-DB03-431A-A8E0-DBFFDF178422}"/>
    <cellStyle name="SAPBEXHLevel2 11 32" xfId="6862" xr:uid="{89BF34D3-2509-4A46-91B6-3818A8796348}"/>
    <cellStyle name="SAPBEXHLevel2 11 4" xfId="15131" xr:uid="{971E4B81-BE0F-4B36-A0CA-1EEF713D7971}"/>
    <cellStyle name="SAPBEXHLevel2 11 5" xfId="12807" xr:uid="{836A163D-2172-4E90-BAF5-6CCCC136DF04}"/>
    <cellStyle name="SAPBEXHLevel2 11 6" xfId="16774" xr:uid="{9000635A-23FC-4FCC-BB17-9EBFCBB87AFA}"/>
    <cellStyle name="SAPBEXHLevel2 11 7" xfId="17643" xr:uid="{D2BDA1EE-0805-4271-BB95-F24A59F23F32}"/>
    <cellStyle name="SAPBEXHLevel2 11 8" xfId="18495" xr:uid="{7F5DC098-F908-462D-A41D-3493AC4619CE}"/>
    <cellStyle name="SAPBEXHLevel2 11 9" xfId="19337" xr:uid="{07E5931F-8EC1-4F56-A787-2107C661FCB1}"/>
    <cellStyle name="SAPBEXHLevel2 12" xfId="10917" xr:uid="{82ECC630-F18B-4EB5-B71D-61838255ACE7}"/>
    <cellStyle name="SAPBEXHLevel2 2" xfId="4421" xr:uid="{A2C09967-394C-4324-A6E1-4F971F4913EF}"/>
    <cellStyle name="SAPBEXHLevel2 2 2" xfId="4422" xr:uid="{E5FD585F-5EDC-47D5-9BC7-5ABB014907AB}"/>
    <cellStyle name="SAPBEXHLevel2 2 2 2" xfId="4423" xr:uid="{EFF6277E-274A-41AA-8469-A31024710122}"/>
    <cellStyle name="SAPBEXHLevel2 2 2 2 2" xfId="10921" xr:uid="{74BEB7A8-864E-4D18-A627-7556432833DE}"/>
    <cellStyle name="SAPBEXHLevel2 2 2 3" xfId="4424" xr:uid="{78398734-FFD3-4268-AA66-2AADE29357B5}"/>
    <cellStyle name="SAPBEXHLevel2 2 2 3 2" xfId="10922" xr:uid="{2BBF2B57-CEE7-4975-8F45-82C03975F8A6}"/>
    <cellStyle name="SAPBEXHLevel2 2 2 4" xfId="5721" xr:uid="{49C6000B-E3EF-4ADD-9801-B54C7BD2CF26}"/>
    <cellStyle name="SAPBEXHLevel2 2 2 4 10" xfId="20094" xr:uid="{8CF8944E-C1DA-4C71-974F-1844FBEF0042}"/>
    <cellStyle name="SAPBEXHLevel2 2 2 4 11" xfId="20864" xr:uid="{D83E81CC-3513-4C75-9E39-F1B6B5E24D78}"/>
    <cellStyle name="SAPBEXHLevel2 2 2 4 12" xfId="21709" xr:uid="{957B944C-D106-407E-B79B-4DB5A3F621F1}"/>
    <cellStyle name="SAPBEXHLevel2 2 2 4 13" xfId="20243" xr:uid="{BADCD53F-7E07-4C5A-B9E1-C3DE1A082027}"/>
    <cellStyle name="SAPBEXHLevel2 2 2 4 14" xfId="23373" xr:uid="{9B43F242-AA25-4C1A-A7EE-7C6DA97D97DE}"/>
    <cellStyle name="SAPBEXHLevel2 2 2 4 15" xfId="24174" xr:uid="{E6CC3F10-2C96-4487-BA1F-3360E23A74F5}"/>
    <cellStyle name="SAPBEXHLevel2 2 2 4 16" xfId="25003" xr:uid="{190B1E6D-463F-4F27-9B23-3771AC87C3BC}"/>
    <cellStyle name="SAPBEXHLevel2 2 2 4 17" xfId="22801" xr:uid="{1C871540-B3A0-43DB-9E4C-3300EA19B374}"/>
    <cellStyle name="SAPBEXHLevel2 2 2 4 18" xfId="26413" xr:uid="{E7C0D181-9403-449F-A92D-59DBC9B06BF5}"/>
    <cellStyle name="SAPBEXHLevel2 2 2 4 19" xfId="26773" xr:uid="{03C27E41-D6CA-4010-8BA9-47B66E7B9058}"/>
    <cellStyle name="SAPBEXHLevel2 2 2 4 2" xfId="13447" xr:uid="{9F6FB3C3-EB9B-4BDB-93F6-3EAB31EFA13F}"/>
    <cellStyle name="SAPBEXHLevel2 2 2 4 20" xfId="27476" xr:uid="{A581C5C2-6852-42EA-9284-EA80E13C14F2}"/>
    <cellStyle name="SAPBEXHLevel2 2 2 4 21" xfId="28008" xr:uid="{614288BE-F9D3-4D1A-AA0F-633F389ECE4A}"/>
    <cellStyle name="SAPBEXHLevel2 2 2 4 22" xfId="28739" xr:uid="{E978B2C1-193F-4DE2-AE7E-6EBB9E8A2778}"/>
    <cellStyle name="SAPBEXHLevel2 2 2 4 23" xfId="28186" xr:uid="{D4386528-618F-459C-8C60-3E1CD968C484}"/>
    <cellStyle name="SAPBEXHLevel2 2 2 4 24" xfId="27662" xr:uid="{072FB69E-87BF-45E6-8BA2-450FA2AB2B9A}"/>
    <cellStyle name="SAPBEXHLevel2 2 2 4 25" xfId="23743" xr:uid="{C7B317FA-3357-494A-80BB-0241B008DBE6}"/>
    <cellStyle name="SAPBEXHLevel2 2 2 4 26" xfId="30359" xr:uid="{E1FE3AE0-C1D2-4C6A-B4E6-DFFF312474D0}"/>
    <cellStyle name="SAPBEXHLevel2 2 2 4 27" xfId="30482" xr:uid="{D170D465-EED9-4346-A07B-C9B496482DCD}"/>
    <cellStyle name="SAPBEXHLevel2 2 2 4 28" xfId="30823" xr:uid="{E5BDE042-03CE-4FE2-97B0-1F6F108B6217}"/>
    <cellStyle name="SAPBEXHLevel2 2 2 4 29" xfId="30987" xr:uid="{4F63F399-9DAD-43E4-A01E-02E456D32B40}"/>
    <cellStyle name="SAPBEXHLevel2 2 2 4 3" xfId="14377" xr:uid="{1293E59A-420A-46B2-86EC-61E3210C805B}"/>
    <cellStyle name="SAPBEXHLevel2 2 2 4 30" xfId="31149" xr:uid="{EB713103-7F25-4471-9B23-4D297AB456D2}"/>
    <cellStyle name="SAPBEXHLevel2 2 2 4 31" xfId="31256" xr:uid="{71551E27-E1D2-4B29-B66D-761D4E9260AC}"/>
    <cellStyle name="SAPBEXHLevel2 2 2 4 32" xfId="6864" xr:uid="{760407A6-412A-4F36-BB22-B310CECEFBAE}"/>
    <cellStyle name="SAPBEXHLevel2 2 2 4 4" xfId="15133" xr:uid="{320C495E-B85E-421B-B31B-7D09957EA63D}"/>
    <cellStyle name="SAPBEXHLevel2 2 2 4 5" xfId="13533" xr:uid="{1E6D8797-781D-488C-91B5-753ACC10F3D8}"/>
    <cellStyle name="SAPBEXHLevel2 2 2 4 6" xfId="16776" xr:uid="{3A37B357-08F7-4020-B394-2276E7ED3420}"/>
    <cellStyle name="SAPBEXHLevel2 2 2 4 7" xfId="17645" xr:uid="{7B6E2DB2-DDA2-4675-827F-72073D5F1391}"/>
    <cellStyle name="SAPBEXHLevel2 2 2 4 8" xfId="18497" xr:uid="{AF6FA193-805B-4CFD-BF5B-96E8A8FF422E}"/>
    <cellStyle name="SAPBEXHLevel2 2 2 4 9" xfId="19339" xr:uid="{8E172F0E-4B53-4E45-A278-7108A8435EDD}"/>
    <cellStyle name="SAPBEXHLevel2 2 2 5" xfId="10920" xr:uid="{97A9A38D-0E67-4099-A293-C70B9364EADE}"/>
    <cellStyle name="SAPBEXHLevel2 2 3" xfId="4425" xr:uid="{58022ABD-55EB-4947-8E29-9CDFFF993B97}"/>
    <cellStyle name="SAPBEXHLevel2 2 3 2" xfId="10923" xr:uid="{10DA7CF9-FA16-408D-A9EB-09DF7FD7E51E}"/>
    <cellStyle name="SAPBEXHLevel2 2 4" xfId="4426" xr:uid="{D8EB62E3-A999-47C4-A36D-3C8784D248D1}"/>
    <cellStyle name="SAPBEXHLevel2 2 4 2" xfId="10924" xr:uid="{4AC80A2F-90EA-4E9A-9ECD-FD61DA266883}"/>
    <cellStyle name="SAPBEXHLevel2 2 5" xfId="5720" xr:uid="{239B5276-3014-4201-B015-217CAF25DACB}"/>
    <cellStyle name="SAPBEXHLevel2 2 5 10" xfId="20093" xr:uid="{E80F7420-2195-46D7-BB03-B2E93ABF39D5}"/>
    <cellStyle name="SAPBEXHLevel2 2 5 11" xfId="20863" xr:uid="{B86C1B03-E640-4AF9-8AF7-87A17098ECFF}"/>
    <cellStyle name="SAPBEXHLevel2 2 5 12" xfId="21708" xr:uid="{13E02E2E-2FBE-4922-9E32-E981D7A8A6E6}"/>
    <cellStyle name="SAPBEXHLevel2 2 5 13" xfId="21765" xr:uid="{04B0890B-8874-4150-9F66-A93555AA6CAE}"/>
    <cellStyle name="SAPBEXHLevel2 2 5 14" xfId="23372" xr:uid="{6D930A69-26E1-4A9A-B3DA-D5EC330D462E}"/>
    <cellStyle name="SAPBEXHLevel2 2 5 15" xfId="24173" xr:uid="{1E00C2A8-3041-4D75-8945-72DB03F3DD09}"/>
    <cellStyle name="SAPBEXHLevel2 2 5 16" xfId="25002" xr:uid="{9F9E3DCD-6497-449B-9D04-D3F0E379AE21}"/>
    <cellStyle name="SAPBEXHLevel2 2 5 17" xfId="25066" xr:uid="{4B0B91CE-E677-4E20-86CD-5E050DCEA21E}"/>
    <cellStyle name="SAPBEXHLevel2 2 5 18" xfId="26412" xr:uid="{FF9422E2-A09D-421C-84AA-B01383C8694E}"/>
    <cellStyle name="SAPBEXHLevel2 2 5 19" xfId="26772" xr:uid="{D2F3DB8C-642B-4C6B-8F39-4382BDBBCE12}"/>
    <cellStyle name="SAPBEXHLevel2 2 5 2" xfId="13446" xr:uid="{65406FB9-A50B-451B-9302-FCBFD8682747}"/>
    <cellStyle name="SAPBEXHLevel2 2 5 20" xfId="27475" xr:uid="{95D34B8C-2082-423C-BCFA-426DA547F54B}"/>
    <cellStyle name="SAPBEXHLevel2 2 5 21" xfId="28007" xr:uid="{C7B70FB2-502A-464D-82C0-F6249E4B19E3}"/>
    <cellStyle name="SAPBEXHLevel2 2 5 22" xfId="28738" xr:uid="{9A0994A1-9495-4A0B-846B-68F4064A763C}"/>
    <cellStyle name="SAPBEXHLevel2 2 5 23" xfId="28185" xr:uid="{93D060C3-BF12-4C31-8762-1FBBAE9277FD}"/>
    <cellStyle name="SAPBEXHLevel2 2 5 24" xfId="29147" xr:uid="{0D067EA2-9EDD-4F39-8731-16EAD4A7A7D0}"/>
    <cellStyle name="SAPBEXHLevel2 2 5 25" xfId="30064" xr:uid="{0F1FAA4F-D550-4D08-AFD7-ABA94E6B0CEF}"/>
    <cellStyle name="SAPBEXHLevel2 2 5 26" xfId="30358" xr:uid="{273E3B96-3135-4E49-A7A5-4698B5203E8F}"/>
    <cellStyle name="SAPBEXHLevel2 2 5 27" xfId="30481" xr:uid="{D3B55A77-1BE3-4180-840C-214DA36FFE52}"/>
    <cellStyle name="SAPBEXHLevel2 2 5 28" xfId="30822" xr:uid="{7523AA05-098A-45D1-BDEF-2032BB236C4F}"/>
    <cellStyle name="SAPBEXHLevel2 2 5 29" xfId="30986" xr:uid="{DC6D1D33-F021-4585-A6AF-77B4716C5C0F}"/>
    <cellStyle name="SAPBEXHLevel2 2 5 3" xfId="14376" xr:uid="{3A603D22-9853-437D-995B-74D4B3EEB479}"/>
    <cellStyle name="SAPBEXHLevel2 2 5 30" xfId="31148" xr:uid="{18B7DFE7-129F-4C49-8D50-347EDF08A0D8}"/>
    <cellStyle name="SAPBEXHLevel2 2 5 31" xfId="31255" xr:uid="{881A873D-7DF4-4179-891C-C26B2EC4EA72}"/>
    <cellStyle name="SAPBEXHLevel2 2 5 32" xfId="6863" xr:uid="{E26ACC10-87D3-4AB4-B8E5-87378BB4D5DA}"/>
    <cellStyle name="SAPBEXHLevel2 2 5 4" xfId="15132" xr:uid="{A3E88A8D-75A4-4139-8FA1-70E18E673783}"/>
    <cellStyle name="SAPBEXHLevel2 2 5 5" xfId="15187" xr:uid="{FEC7E404-FD45-4A5F-810E-C1361E6C2F3E}"/>
    <cellStyle name="SAPBEXHLevel2 2 5 6" xfId="16775" xr:uid="{6D165284-11B0-4AA2-91B0-61A2E452398F}"/>
    <cellStyle name="SAPBEXHLevel2 2 5 7" xfId="17644" xr:uid="{07902936-0757-45A2-84D6-A522157F85ED}"/>
    <cellStyle name="SAPBEXHLevel2 2 5 8" xfId="18496" xr:uid="{6AE6328F-7575-46A5-9C3E-510418EA1A28}"/>
    <cellStyle name="SAPBEXHLevel2 2 5 9" xfId="19338" xr:uid="{5A843AB1-C645-43E1-9559-5E01A790A6AE}"/>
    <cellStyle name="SAPBEXHLevel2 2 6" xfId="10919" xr:uid="{79D07347-AE28-4B62-9140-9F310AEE418A}"/>
    <cellStyle name="SAPBEXHLevel2 3" xfId="4427" xr:uid="{7DD2FFD6-9C39-4C15-8363-F79CB70417FF}"/>
    <cellStyle name="SAPBEXHLevel2 3 2" xfId="4428" xr:uid="{873BF98E-6BD1-4489-BAEC-F8878F924886}"/>
    <cellStyle name="SAPBEXHLevel2 3 2 2" xfId="10926" xr:uid="{BDD21629-B787-4E0A-A59B-6680AAEE101F}"/>
    <cellStyle name="SAPBEXHLevel2 3 3" xfId="4429" xr:uid="{2B5B0F28-9A29-4545-AA6D-7CC2DE8A8009}"/>
    <cellStyle name="SAPBEXHLevel2 3 3 2" xfId="10927" xr:uid="{2EF00FCA-8119-4B01-AE3F-F4DE457C5390}"/>
    <cellStyle name="SAPBEXHLevel2 3 4" xfId="10925" xr:uid="{8FA2F821-5CE3-414C-AA36-48CA8390404C}"/>
    <cellStyle name="SAPBEXHLevel2 4" xfId="4430" xr:uid="{2517CD84-3CC2-4BEB-811B-36C9FEF7AF3F}"/>
    <cellStyle name="SAPBEXHLevel2 4 2" xfId="4431" xr:uid="{EA81147F-EE01-43F5-A51A-EF93C9B5558E}"/>
    <cellStyle name="SAPBEXHLevel2 4 2 2" xfId="10929" xr:uid="{3DD82B4B-60A4-4BD0-8692-E91766C78C70}"/>
    <cellStyle name="SAPBEXHLevel2 4 3" xfId="4432" xr:uid="{AD6C0185-6394-4ABD-80D1-4CAAD6A20E2F}"/>
    <cellStyle name="SAPBEXHLevel2 4 3 2" xfId="10930" xr:uid="{BA6C2EE9-F854-42C1-A6AA-AC4B984491C4}"/>
    <cellStyle name="SAPBEXHLevel2 4 4" xfId="10928" xr:uid="{DC1370AE-6059-4E8B-91B5-D29E76053133}"/>
    <cellStyle name="SAPBEXHLevel2 5" xfId="4433" xr:uid="{9E037CCD-AD39-4E23-BC2A-5D2C4FFB53AE}"/>
    <cellStyle name="SAPBEXHLevel2 5 2" xfId="4434" xr:uid="{B852F6AF-42C6-4B5D-B619-AC589F0ECC84}"/>
    <cellStyle name="SAPBEXHLevel2 5 2 2" xfId="10932" xr:uid="{D628D6A4-71B0-4FB4-99CF-ECBDA3BF4095}"/>
    <cellStyle name="SAPBEXHLevel2 5 3" xfId="4435" xr:uid="{9F452E57-1041-4D32-AA44-10ECF28A01AD}"/>
    <cellStyle name="SAPBEXHLevel2 5 3 2" xfId="10933" xr:uid="{606A1CF5-30F8-409F-8614-EEF23059F40F}"/>
    <cellStyle name="SAPBEXHLevel2 5 4" xfId="10931" xr:uid="{3A003723-A2A1-425E-BCAA-FFE2D096F2AD}"/>
    <cellStyle name="SAPBEXHLevel2 6" xfId="4436" xr:uid="{8D0E6F00-A7C2-4701-8B60-C35216427D48}"/>
    <cellStyle name="SAPBEXHLevel2 6 2" xfId="4437" xr:uid="{4C1D0FDD-8A5E-4D7B-9E46-B21A751FCFBA}"/>
    <cellStyle name="SAPBEXHLevel2 6 2 2" xfId="10935" xr:uid="{53DAED9B-0BF7-4C58-A18A-D5D12F6DFD86}"/>
    <cellStyle name="SAPBEXHLevel2 6 3" xfId="4438" xr:uid="{6B935F5E-076E-4E0D-BD43-7C9EFDDFA112}"/>
    <cellStyle name="SAPBEXHLevel2 6 3 2" xfId="10936" xr:uid="{47319691-7906-4E53-927D-98739D9A34C0}"/>
    <cellStyle name="SAPBEXHLevel2 6 4" xfId="10934" xr:uid="{BD627698-257E-48F0-A301-7B9E4DCBADAA}"/>
    <cellStyle name="SAPBEXHLevel2 7" xfId="4439" xr:uid="{8D71A2E8-26E5-4C59-A7D0-447CB85AF9CA}"/>
    <cellStyle name="SAPBEXHLevel2 7 2" xfId="4440" xr:uid="{887E4053-3B20-43DB-9C79-FD265B32CA76}"/>
    <cellStyle name="SAPBEXHLevel2 7 2 2" xfId="10938" xr:uid="{04CAF203-6926-4837-9D79-F5FBEB75DCD0}"/>
    <cellStyle name="SAPBEXHLevel2 7 3" xfId="4441" xr:uid="{773357E0-E173-4116-899A-4EA18E0235EC}"/>
    <cellStyle name="SAPBEXHLevel2 7 3 2" xfId="10939" xr:uid="{990FCB93-BF34-41FB-A2B8-DCCD8EC9C5D3}"/>
    <cellStyle name="SAPBEXHLevel2 7 4" xfId="10937" xr:uid="{4B7EE936-E021-4F92-8591-C06DD5C9C6FD}"/>
    <cellStyle name="SAPBEXHLevel2 8" xfId="4442" xr:uid="{92AF7875-C22F-46D5-9562-408D09EE0A2E}"/>
    <cellStyle name="SAPBEXHLevel2 8 2" xfId="4443" xr:uid="{F8852AEB-94B5-4813-88F8-E4D607D07983}"/>
    <cellStyle name="SAPBEXHLevel2 8 2 2" xfId="10941" xr:uid="{545991CE-A2A9-48EF-98A6-6C5FE2A70350}"/>
    <cellStyle name="SAPBEXHLevel2 8 3" xfId="4444" xr:uid="{00E3A0EE-A947-40D9-B534-416BF24C7A78}"/>
    <cellStyle name="SAPBEXHLevel2 8 3 2" xfId="10942" xr:uid="{2EEC55E8-D26A-499B-8D9B-42704FCB2639}"/>
    <cellStyle name="SAPBEXHLevel2 8 4" xfId="10940" xr:uid="{A3FED70A-6641-42DF-A09A-C1C08D175782}"/>
    <cellStyle name="SAPBEXHLevel2 9" xfId="4445" xr:uid="{A867623A-BCFB-43B6-B5D2-E946DA3837E8}"/>
    <cellStyle name="SAPBEXHLevel2 9 2" xfId="10943" xr:uid="{043744F1-F3F4-4228-91FD-412D4528AC82}"/>
    <cellStyle name="SAPBEXHLevel2X" xfId="4446" xr:uid="{05D98B45-1C7C-4535-9AB1-6CF5F623DD5C}"/>
    <cellStyle name="SAPBEXHLevel2X 10" xfId="4447" xr:uid="{BE88EDA8-7DE9-4A8E-855D-68A9A6245499}"/>
    <cellStyle name="SAPBEXHLevel2X 10 2" xfId="10945" xr:uid="{2E2D3F0D-D25D-4547-A35E-74F405B4D1E4}"/>
    <cellStyle name="SAPBEXHLevel2X 11" xfId="5722" xr:uid="{30976505-4C9C-42B8-93AA-64FFBB536B43}"/>
    <cellStyle name="SAPBEXHLevel2X 11 10" xfId="20095" xr:uid="{0B0816D1-6A95-48CD-848A-EFE9738ECCAC}"/>
    <cellStyle name="SAPBEXHLevel2X 11 11" xfId="20865" xr:uid="{3DC5C6B1-19E4-43F2-8A49-5B7C6BC63ABC}"/>
    <cellStyle name="SAPBEXHLevel2X 11 12" xfId="21710" xr:uid="{B01A7AA2-2028-49DE-8F79-27E6B8DFBB2B}"/>
    <cellStyle name="SAPBEXHLevel2X 11 13" xfId="21766" xr:uid="{068F6500-3169-4AE3-AF11-F15653F20EE8}"/>
    <cellStyle name="SAPBEXHLevel2X 11 14" xfId="23374" xr:uid="{F08F3A22-E644-42DF-B82C-C0E3B4EE0FE2}"/>
    <cellStyle name="SAPBEXHLevel2X 11 15" xfId="24175" xr:uid="{2382D548-08F7-432D-8CDD-D46BAE7F30E9}"/>
    <cellStyle name="SAPBEXHLevel2X 11 16" xfId="25004" xr:uid="{0827AC3D-C3F5-4777-8899-1BB51868AF60}"/>
    <cellStyle name="SAPBEXHLevel2X 11 17" xfId="25067" xr:uid="{F989031C-1A80-4310-8186-E137600AFAFF}"/>
    <cellStyle name="SAPBEXHLevel2X 11 18" xfId="26414" xr:uid="{4DE7BDD1-8AAD-431C-A117-117FD049B111}"/>
    <cellStyle name="SAPBEXHLevel2X 11 19" xfId="26774" xr:uid="{5DB038A6-4ACB-4532-8A7C-F48C6CF9012A}"/>
    <cellStyle name="SAPBEXHLevel2X 11 2" xfId="13448" xr:uid="{87C41080-DE8E-4CA8-9911-71D4FD0A6704}"/>
    <cellStyle name="SAPBEXHLevel2X 11 20" xfId="27477" xr:uid="{360C8D21-7B40-43EF-B28A-D4B515E078DD}"/>
    <cellStyle name="SAPBEXHLevel2X 11 21" xfId="28009" xr:uid="{501E8AA2-46E6-4A31-8DE4-A35737B6FEFE}"/>
    <cellStyle name="SAPBEXHLevel2X 11 22" xfId="28740" xr:uid="{BD7E9F15-8445-415E-822F-A22A4D5E114E}"/>
    <cellStyle name="SAPBEXHLevel2X 11 23" xfId="28187" xr:uid="{A78A8C94-58BD-4F76-967C-8627E7773563}"/>
    <cellStyle name="SAPBEXHLevel2X 11 24" xfId="28212" xr:uid="{C7BD0D84-B697-42CB-81C7-C93EB2C5B19D}"/>
    <cellStyle name="SAPBEXHLevel2X 11 25" xfId="30065" xr:uid="{E1085A4A-FBBA-4811-9032-DDA118C8E4CD}"/>
    <cellStyle name="SAPBEXHLevel2X 11 26" xfId="30360" xr:uid="{D0773567-2B17-4CAC-A3B8-F9381E1315FD}"/>
    <cellStyle name="SAPBEXHLevel2X 11 27" xfId="30483" xr:uid="{35B11E4B-6BF6-47A4-9438-043F4AA9C8E2}"/>
    <cellStyle name="SAPBEXHLevel2X 11 28" xfId="30824" xr:uid="{2A09D024-702A-415F-B483-691D5CBAB9A9}"/>
    <cellStyle name="SAPBEXHLevel2X 11 29" xfId="30988" xr:uid="{A6BDEF3F-247D-4FD6-8734-9DFF8F655A00}"/>
    <cellStyle name="SAPBEXHLevel2X 11 3" xfId="14378" xr:uid="{5FCCA46E-3CE9-47B2-8AF6-3627517D9726}"/>
    <cellStyle name="SAPBEXHLevel2X 11 30" xfId="31150" xr:uid="{862C7CBD-295E-4E6A-BD47-974096007FAD}"/>
    <cellStyle name="SAPBEXHLevel2X 11 31" xfId="31257" xr:uid="{E783E661-E74F-44A3-BF36-992ECE40BE16}"/>
    <cellStyle name="SAPBEXHLevel2X 11 32" xfId="6865" xr:uid="{3A24ACEE-1C6F-46FD-85A1-12F731113E33}"/>
    <cellStyle name="SAPBEXHLevel2X 11 4" xfId="15134" xr:uid="{EC09D779-6B59-439C-BFC0-3A833CAA4737}"/>
    <cellStyle name="SAPBEXHLevel2X 11 5" xfId="15188" xr:uid="{83899C12-6A8A-4A01-A431-9C46F1B6D68D}"/>
    <cellStyle name="SAPBEXHLevel2X 11 6" xfId="16777" xr:uid="{79913A63-EA48-45CE-B006-137F742E1E43}"/>
    <cellStyle name="SAPBEXHLevel2X 11 7" xfId="17646" xr:uid="{74EB2259-4C55-4B96-850F-1CA5049A9752}"/>
    <cellStyle name="SAPBEXHLevel2X 11 8" xfId="18498" xr:uid="{6D91ED12-758F-4D22-B6DD-52299D05712B}"/>
    <cellStyle name="SAPBEXHLevel2X 11 9" xfId="19340" xr:uid="{5F5C800B-E9D5-45FF-B1F0-464A222158C7}"/>
    <cellStyle name="SAPBEXHLevel2X 12" xfId="10944" xr:uid="{DDF747F6-6C3E-4284-95FC-B1FF1CC7ECF1}"/>
    <cellStyle name="SAPBEXHLevel2X 2" xfId="4448" xr:uid="{008D95DF-89CE-4687-BE47-DD0B1A79B989}"/>
    <cellStyle name="SAPBEXHLevel2X 2 2" xfId="4449" xr:uid="{FACCF9D9-C680-40C4-8C56-EB4E54C313A7}"/>
    <cellStyle name="SAPBEXHLevel2X 2 2 2" xfId="4450" xr:uid="{F3BB9504-1250-4D77-8FB9-633898E1868A}"/>
    <cellStyle name="SAPBEXHLevel2X 2 2 2 2" xfId="10948" xr:uid="{032BA6D2-8A37-4EBE-AEBB-4FC6EE2A1B2A}"/>
    <cellStyle name="SAPBEXHLevel2X 2 2 3" xfId="4451" xr:uid="{FD14F33C-9827-4CB4-A859-5C286F02C1A2}"/>
    <cellStyle name="SAPBEXHLevel2X 2 2 3 2" xfId="10949" xr:uid="{ACD48580-7D96-4DF6-8440-0D4425995063}"/>
    <cellStyle name="SAPBEXHLevel2X 2 2 4" xfId="5724" xr:uid="{2AD0F2FE-5459-4C93-9B5D-950CBADFEA71}"/>
    <cellStyle name="SAPBEXHLevel2X 2 2 4 10" xfId="20097" xr:uid="{8BB19416-5CE2-4963-95C6-3DC2D3C57D5D}"/>
    <cellStyle name="SAPBEXHLevel2X 2 2 4 11" xfId="20867" xr:uid="{D0310F0A-0046-4783-A204-F509CC64E3F5}"/>
    <cellStyle name="SAPBEXHLevel2X 2 2 4 12" xfId="21712" xr:uid="{7B36827F-18C6-44AD-B196-02A0BFFC3019}"/>
    <cellStyle name="SAPBEXHLevel2X 2 2 4 13" xfId="21767" xr:uid="{BAB0CF03-8A40-4DAA-BAB5-FB957787F5DE}"/>
    <cellStyle name="SAPBEXHLevel2X 2 2 4 14" xfId="23376" xr:uid="{8296E385-DBED-4463-AFA1-22F2437CCA3D}"/>
    <cellStyle name="SAPBEXHLevel2X 2 2 4 15" xfId="24177" xr:uid="{CCA81CC1-3EA3-46E0-8AC8-A41596AA2FC9}"/>
    <cellStyle name="SAPBEXHLevel2X 2 2 4 16" xfId="25006" xr:uid="{C952CAB7-40CD-4731-A09D-614B59B79BD9}"/>
    <cellStyle name="SAPBEXHLevel2X 2 2 4 17" xfId="25068" xr:uid="{215F82E7-E9D2-40A4-8EC0-1563B387164C}"/>
    <cellStyle name="SAPBEXHLevel2X 2 2 4 18" xfId="26416" xr:uid="{34EDF2A3-0519-4347-8B0D-D72C80B06655}"/>
    <cellStyle name="SAPBEXHLevel2X 2 2 4 19" xfId="26776" xr:uid="{C3D1719C-1EF0-4341-B177-B8620762C0AE}"/>
    <cellStyle name="SAPBEXHLevel2X 2 2 4 2" xfId="13450" xr:uid="{C5638017-1D39-48DA-A09B-4A5E04EBCA0E}"/>
    <cellStyle name="SAPBEXHLevel2X 2 2 4 20" xfId="27479" xr:uid="{06A93DFB-BF75-4943-96FD-0E471F09FF6C}"/>
    <cellStyle name="SAPBEXHLevel2X 2 2 4 21" xfId="28011" xr:uid="{128B7E11-459B-4E1B-A28A-1AD462F084BA}"/>
    <cellStyle name="SAPBEXHLevel2X 2 2 4 22" xfId="28742" xr:uid="{429D0CC7-2861-496B-A998-F9AC3EB52CE6}"/>
    <cellStyle name="SAPBEXHLevel2X 2 2 4 23" xfId="28189" xr:uid="{90483060-1FE5-45D8-AC04-6C7FC659E6BC}"/>
    <cellStyle name="SAPBEXHLevel2X 2 2 4 24" xfId="25873" xr:uid="{6EC9873E-F0A4-4F58-A0AD-DF4845EFC23D}"/>
    <cellStyle name="SAPBEXHLevel2X 2 2 4 25" xfId="30066" xr:uid="{198E4C9C-6EDA-4996-A504-AC928626C398}"/>
    <cellStyle name="SAPBEXHLevel2X 2 2 4 26" xfId="30362" xr:uid="{227C4A31-3AC7-4D76-9481-0410D634010F}"/>
    <cellStyle name="SAPBEXHLevel2X 2 2 4 27" xfId="30485" xr:uid="{477A2BE4-2532-4A39-B9C9-97B4F821D74C}"/>
    <cellStyle name="SAPBEXHLevel2X 2 2 4 28" xfId="30826" xr:uid="{F41E427E-8BCB-40EA-B11F-A3398821C72B}"/>
    <cellStyle name="SAPBEXHLevel2X 2 2 4 29" xfId="30990" xr:uid="{B42C7096-C1DF-4E54-B225-34316403A75E}"/>
    <cellStyle name="SAPBEXHLevel2X 2 2 4 3" xfId="14380" xr:uid="{CD4C791B-9440-469F-9DE1-30320D8FCE6F}"/>
    <cellStyle name="SAPBEXHLevel2X 2 2 4 30" xfId="31152" xr:uid="{B1FB7BD1-D528-4844-88B5-F5F590C31D7E}"/>
    <cellStyle name="SAPBEXHLevel2X 2 2 4 31" xfId="31259" xr:uid="{FA529E76-64F2-42CC-AFC5-888562D0E6B5}"/>
    <cellStyle name="SAPBEXHLevel2X 2 2 4 32" xfId="6867" xr:uid="{2A2F9C28-FB7F-41AE-9809-511015696524}"/>
    <cellStyle name="SAPBEXHLevel2X 2 2 4 4" xfId="15136" xr:uid="{6204A28D-DA15-4AA1-84D8-72C163605E2C}"/>
    <cellStyle name="SAPBEXHLevel2X 2 2 4 5" xfId="15189" xr:uid="{7A63B238-B8B2-4802-A039-54A9DF545587}"/>
    <cellStyle name="SAPBEXHLevel2X 2 2 4 6" xfId="16779" xr:uid="{1DCDEB52-252A-40E6-8BCD-9BB5B51A650C}"/>
    <cellStyle name="SAPBEXHLevel2X 2 2 4 7" xfId="17648" xr:uid="{192BCFB1-ED89-405B-B009-185516B4E019}"/>
    <cellStyle name="SAPBEXHLevel2X 2 2 4 8" xfId="18500" xr:uid="{94F1AFB8-7307-4E32-B31E-BFC5EE0ABED1}"/>
    <cellStyle name="SAPBEXHLevel2X 2 2 4 9" xfId="19342" xr:uid="{AD0E58E8-2643-472B-B271-D6AC5846F53C}"/>
    <cellStyle name="SAPBEXHLevel2X 2 2 5" xfId="10947" xr:uid="{F8CFC366-121C-4708-B441-A6E702876059}"/>
    <cellStyle name="SAPBEXHLevel2X 2 3" xfId="4452" xr:uid="{ACC810D5-17C0-4CF5-9B4C-E361B3B6BEF9}"/>
    <cellStyle name="SAPBEXHLevel2X 2 3 2" xfId="10950" xr:uid="{C58C7C38-41CE-4170-B89E-560299227B17}"/>
    <cellStyle name="SAPBEXHLevel2X 2 4" xfId="4453" xr:uid="{5BCF91FE-1670-4ACB-9004-5232DDF28B16}"/>
    <cellStyle name="SAPBEXHLevel2X 2 4 2" xfId="10951" xr:uid="{535DE979-0E5A-4AE1-A5C6-31B159849D83}"/>
    <cellStyle name="SAPBEXHLevel2X 2 5" xfId="5723" xr:uid="{9F9FF5C2-681A-486E-9CC5-65C1AA3481F4}"/>
    <cellStyle name="SAPBEXHLevel2X 2 5 10" xfId="20096" xr:uid="{5B62851D-00CB-4F7F-8791-E6D45B3629B6}"/>
    <cellStyle name="SAPBEXHLevel2X 2 5 11" xfId="20866" xr:uid="{71FD7B1C-55A9-41AD-AE59-7A9F308506CC}"/>
    <cellStyle name="SAPBEXHLevel2X 2 5 12" xfId="21711" xr:uid="{7D7196E0-CB07-4435-84B9-EE5CB368B5A7}"/>
    <cellStyle name="SAPBEXHLevel2X 2 5 13" xfId="17919" xr:uid="{766F5802-8FDF-4FF5-94B3-4BC6744B72A9}"/>
    <cellStyle name="SAPBEXHLevel2X 2 5 14" xfId="23375" xr:uid="{859604BC-2679-4D2D-83EE-BD73E31278FE}"/>
    <cellStyle name="SAPBEXHLevel2X 2 5 15" xfId="24176" xr:uid="{412289AA-EF01-4D24-B99E-C72376A0DB40}"/>
    <cellStyle name="SAPBEXHLevel2X 2 5 16" xfId="25005" xr:uid="{8D487DD8-B8C4-4EF0-B26B-C4FD7B9C2DB7}"/>
    <cellStyle name="SAPBEXHLevel2X 2 5 17" xfId="23533" xr:uid="{113D631F-F8E2-4754-9EA6-2AD88DC85B09}"/>
    <cellStyle name="SAPBEXHLevel2X 2 5 18" xfId="26415" xr:uid="{6DD29C58-8B09-4374-B17F-1FE74575FCBB}"/>
    <cellStyle name="SAPBEXHLevel2X 2 5 19" xfId="26775" xr:uid="{D1DBB550-7C4B-4AE5-ABB7-51EF76F6C235}"/>
    <cellStyle name="SAPBEXHLevel2X 2 5 2" xfId="13449" xr:uid="{01FCC1D2-E4E2-433A-A3E4-B7EBC6FD8D03}"/>
    <cellStyle name="SAPBEXHLevel2X 2 5 20" xfId="27478" xr:uid="{F87B5F71-9FFC-415A-B9DE-7A1F12BE1346}"/>
    <cellStyle name="SAPBEXHLevel2X 2 5 21" xfId="28010" xr:uid="{9B1E50F7-3AAB-4872-B3CF-CA3AD9889C14}"/>
    <cellStyle name="SAPBEXHLevel2X 2 5 22" xfId="28741" xr:uid="{A018C1F8-CD8C-425C-9016-69DF1FF96CE7}"/>
    <cellStyle name="SAPBEXHLevel2X 2 5 23" xfId="28188" xr:uid="{322CABD4-6468-418E-8141-34561B392B36}"/>
    <cellStyle name="SAPBEXHLevel2X 2 5 24" xfId="29146" xr:uid="{4370973C-94AC-4481-9685-40105FD8FBDD}"/>
    <cellStyle name="SAPBEXHLevel2X 2 5 25" xfId="29369" xr:uid="{DC33ACD4-40B5-4789-A3B8-54FEBAD1319F}"/>
    <cellStyle name="SAPBEXHLevel2X 2 5 26" xfId="30361" xr:uid="{9218C02D-81F5-4640-8351-49594EA5BC76}"/>
    <cellStyle name="SAPBEXHLevel2X 2 5 27" xfId="30484" xr:uid="{FF3CF78F-19F5-4FC8-A241-27F356BCFE3C}"/>
    <cellStyle name="SAPBEXHLevel2X 2 5 28" xfId="30825" xr:uid="{1CEC0871-2F75-4FD2-8E3C-59A01CD55365}"/>
    <cellStyle name="SAPBEXHLevel2X 2 5 29" xfId="30989" xr:uid="{97D0F243-CB38-4CFA-A272-994BF315D84D}"/>
    <cellStyle name="SAPBEXHLevel2X 2 5 3" xfId="14379" xr:uid="{528B01DC-E601-4AFF-BCB1-C3276F6EE00F}"/>
    <cellStyle name="SAPBEXHLevel2X 2 5 30" xfId="31151" xr:uid="{BA4A8FF0-DD06-416A-9279-30940D33EAD7}"/>
    <cellStyle name="SAPBEXHLevel2X 2 5 31" xfId="31258" xr:uid="{793518F8-3B38-40FB-B920-9D6BC4D431EF}"/>
    <cellStyle name="SAPBEXHLevel2X 2 5 32" xfId="6866" xr:uid="{C12F2D1F-975B-4662-B075-134535B807D7}"/>
    <cellStyle name="SAPBEXHLevel2X 2 5 4" xfId="15135" xr:uid="{EC308C29-6115-419F-BE89-39BE804CF831}"/>
    <cellStyle name="SAPBEXHLevel2X 2 5 5" xfId="12808" xr:uid="{B143F0FD-C402-4936-A883-814E4F882B53}"/>
    <cellStyle name="SAPBEXHLevel2X 2 5 6" xfId="16778" xr:uid="{3D791FD0-EA13-4D3F-92E7-AA7DEB02898C}"/>
    <cellStyle name="SAPBEXHLevel2X 2 5 7" xfId="17647" xr:uid="{A6D6575F-D8AF-46A4-93C5-115748D54E84}"/>
    <cellStyle name="SAPBEXHLevel2X 2 5 8" xfId="18499" xr:uid="{DB67252E-81A5-41B4-A073-94727A42D749}"/>
    <cellStyle name="SAPBEXHLevel2X 2 5 9" xfId="19341" xr:uid="{4B317F63-82D2-4898-A11B-3C65277FBA6F}"/>
    <cellStyle name="SAPBEXHLevel2X 2 6" xfId="10946" xr:uid="{4C88620C-D2CF-43A3-9F03-8FEA7E5E6DB8}"/>
    <cellStyle name="SAPBEXHLevel2X 3" xfId="4454" xr:uid="{AC9C9ECA-8675-4B35-8573-FCCAB09604AC}"/>
    <cellStyle name="SAPBEXHLevel2X 3 2" xfId="4455" xr:uid="{AA88627A-1939-4763-B86D-F830B5202F06}"/>
    <cellStyle name="SAPBEXHLevel2X 3 2 2" xfId="10953" xr:uid="{210F0E83-2B46-4DE2-9315-7753B0D6B4DB}"/>
    <cellStyle name="SAPBEXHLevel2X 3 3" xfId="4456" xr:uid="{D867451D-6A90-4363-BFB5-0BB508D942F9}"/>
    <cellStyle name="SAPBEXHLevel2X 3 3 2" xfId="10954" xr:uid="{12D730C3-66F2-438D-8084-0FED013311C0}"/>
    <cellStyle name="SAPBEXHLevel2X 3 4" xfId="10952" xr:uid="{17A08718-A62E-45F6-9E04-7E2F6F0D0ED8}"/>
    <cellStyle name="SAPBEXHLevel2X 4" xfId="4457" xr:uid="{83084A8F-F502-47D9-89C2-93DD993C54FD}"/>
    <cellStyle name="SAPBEXHLevel2X 4 2" xfId="4458" xr:uid="{6F7C5D49-0534-43C9-A983-0E940320F9FE}"/>
    <cellStyle name="SAPBEXHLevel2X 4 2 2" xfId="10956" xr:uid="{E164E666-6866-4395-956E-64DA0E5AFA5C}"/>
    <cellStyle name="SAPBEXHLevel2X 4 3" xfId="4459" xr:uid="{846D7359-6AF1-491C-9A61-FC00D5BA10C9}"/>
    <cellStyle name="SAPBEXHLevel2X 4 3 2" xfId="10957" xr:uid="{B8555B3D-5CA5-41AA-B8D1-825D0D496E48}"/>
    <cellStyle name="SAPBEXHLevel2X 4 4" xfId="10955" xr:uid="{06173C38-F58A-41DB-B1DE-A5D1EE6CBEF1}"/>
    <cellStyle name="SAPBEXHLevel2X 5" xfId="4460" xr:uid="{927AC063-3403-4F20-AC21-009557E08F10}"/>
    <cellStyle name="SAPBEXHLevel2X 5 2" xfId="4461" xr:uid="{E965BDDA-9E00-457A-B2CD-9CF8BFD4C97B}"/>
    <cellStyle name="SAPBEXHLevel2X 5 2 2" xfId="10959" xr:uid="{5A626504-9246-4752-A557-113D297AEF06}"/>
    <cellStyle name="SAPBEXHLevel2X 5 3" xfId="4462" xr:uid="{A52F6156-23F4-4C32-A961-64743AE684A9}"/>
    <cellStyle name="SAPBEXHLevel2X 5 3 2" xfId="10960" xr:uid="{74C3A796-75C2-4F95-96C1-1E31CA0A0FD2}"/>
    <cellStyle name="SAPBEXHLevel2X 5 4" xfId="10958" xr:uid="{3FA8A70B-92A3-44E0-9816-034FB72712E1}"/>
    <cellStyle name="SAPBEXHLevel2X 6" xfId="4463" xr:uid="{558DEE19-223A-4272-8401-259F0FF24195}"/>
    <cellStyle name="SAPBEXHLevel2X 6 2" xfId="4464" xr:uid="{73FD1101-4D72-4C47-80C0-6DB460C2270C}"/>
    <cellStyle name="SAPBEXHLevel2X 6 2 2" xfId="10962" xr:uid="{6B59E039-0E4F-4AF3-8BC7-E9B8D563383A}"/>
    <cellStyle name="SAPBEXHLevel2X 6 3" xfId="4465" xr:uid="{593956E5-7C75-4D6B-8FF8-44D6AB152086}"/>
    <cellStyle name="SAPBEXHLevel2X 6 3 2" xfId="10963" xr:uid="{73924F62-4377-43B3-AAEC-AE6BA54028C6}"/>
    <cellStyle name="SAPBEXHLevel2X 6 4" xfId="10961" xr:uid="{FF73DF8D-D071-4CC2-B329-4F7095ADC479}"/>
    <cellStyle name="SAPBEXHLevel2X 7" xfId="4466" xr:uid="{C8EF050D-A27F-43C9-8F4C-F9738A0C961D}"/>
    <cellStyle name="SAPBEXHLevel2X 7 2" xfId="4467" xr:uid="{ACC5426D-7CFC-4CE7-A361-A8D14F3F5179}"/>
    <cellStyle name="SAPBEXHLevel2X 7 2 2" xfId="10965" xr:uid="{CFBC289F-F257-43E2-8B29-8C304AD399D4}"/>
    <cellStyle name="SAPBEXHLevel2X 7 3" xfId="4468" xr:uid="{B6464BC5-89B9-4CB7-994D-1049FB849C69}"/>
    <cellStyle name="SAPBEXHLevel2X 7 3 2" xfId="10966" xr:uid="{285EE637-DD0C-4211-8FB6-17CC4B24F575}"/>
    <cellStyle name="SAPBEXHLevel2X 7 4" xfId="10964" xr:uid="{344F0DD8-E3D5-4E54-895B-9B36802BF502}"/>
    <cellStyle name="SAPBEXHLevel2X 8" xfId="4469" xr:uid="{7DC12953-E5B6-492B-9ABF-418A28ECD5FD}"/>
    <cellStyle name="SAPBEXHLevel2X 8 2" xfId="4470" xr:uid="{29B34EEF-4F9C-4155-8E39-0CDC450495D2}"/>
    <cellStyle name="SAPBEXHLevel2X 8 2 2" xfId="10968" xr:uid="{608EF134-B510-43C7-8FFD-D582DC239885}"/>
    <cellStyle name="SAPBEXHLevel2X 8 3" xfId="4471" xr:uid="{3ED17287-9227-4B95-B4EE-BECCD2E5F8C5}"/>
    <cellStyle name="SAPBEXHLevel2X 8 3 2" xfId="10969" xr:uid="{88B8D8E9-2201-4165-99E0-7E5AD19E22C5}"/>
    <cellStyle name="SAPBEXHLevel2X 8 4" xfId="10967" xr:uid="{58C430F8-0C2A-4065-AFF6-515B6BEA458C}"/>
    <cellStyle name="SAPBEXHLevel2X 9" xfId="4472" xr:uid="{B0D01E8D-F207-4CCD-A82B-50A22FB5EBCD}"/>
    <cellStyle name="SAPBEXHLevel2X 9 2" xfId="10970" xr:uid="{A99E606D-F6C0-4050-82D8-1F998CE8918F}"/>
    <cellStyle name="SAPBEXHLevel3" xfId="4473" xr:uid="{126990F6-00B3-4314-9364-387DA54EB341}"/>
    <cellStyle name="SAPBEXHLevel3 10" xfId="4474" xr:uid="{8712E5CC-626F-4EF1-89C3-61C5BF3F9FAE}"/>
    <cellStyle name="SAPBEXHLevel3 10 2" xfId="10972" xr:uid="{E592AE3C-B00B-4DB9-9B8C-67A177985753}"/>
    <cellStyle name="SAPBEXHLevel3 11" xfId="5725" xr:uid="{84F1F3AF-1F08-4892-B4D8-8A240314C763}"/>
    <cellStyle name="SAPBEXHLevel3 11 10" xfId="20098" xr:uid="{1CC4DED1-B7B0-4E20-A661-567861BC209E}"/>
    <cellStyle name="SAPBEXHLevel3 11 11" xfId="20868" xr:uid="{034B2A8B-5F16-46D8-A277-A79795DD8278}"/>
    <cellStyle name="SAPBEXHLevel3 11 12" xfId="21713" xr:uid="{C9CDA94D-8DEC-4408-BBB8-1B934F2EF34A}"/>
    <cellStyle name="SAPBEXHLevel3 11 13" xfId="20244" xr:uid="{7320307A-300B-4573-A39A-75736C293648}"/>
    <cellStyle name="SAPBEXHLevel3 11 14" xfId="23377" xr:uid="{302D7FF9-93CB-41CF-AFCB-34CD6C26D01C}"/>
    <cellStyle name="SAPBEXHLevel3 11 15" xfId="24178" xr:uid="{322E36C5-E4C1-433B-A96F-4B6B47FB7559}"/>
    <cellStyle name="SAPBEXHLevel3 11 16" xfId="25007" xr:uid="{DFBCB055-4A40-467B-9215-E1C5FA2700B5}"/>
    <cellStyle name="SAPBEXHLevel3 11 17" xfId="22802" xr:uid="{898EA9F1-85F1-4456-BF6B-2987D86E4546}"/>
    <cellStyle name="SAPBEXHLevel3 11 18" xfId="26417" xr:uid="{487F69EC-FAF7-444E-800D-DC41F150F2E1}"/>
    <cellStyle name="SAPBEXHLevel3 11 19" xfId="26777" xr:uid="{5C541802-5051-4ADC-9525-15A4AEAF86E4}"/>
    <cellStyle name="SAPBEXHLevel3 11 2" xfId="13451" xr:uid="{157778E2-2286-4D50-918D-7A03862E9890}"/>
    <cellStyle name="SAPBEXHLevel3 11 20" xfId="27480" xr:uid="{28DB4C35-0EF3-47D7-94F1-4CDC885C6D63}"/>
    <cellStyle name="SAPBEXHLevel3 11 21" xfId="28012" xr:uid="{926CCA9E-A855-4016-97F3-DDB3DE09C6B8}"/>
    <cellStyle name="SAPBEXHLevel3 11 22" xfId="28743" xr:uid="{A9B10FD6-ACF9-4294-8955-0F8F02CC1AD2}"/>
    <cellStyle name="SAPBEXHLevel3 11 23" xfId="28190" xr:uid="{D7647A90-6A2D-4938-8694-16FBC54979A7}"/>
    <cellStyle name="SAPBEXHLevel3 11 24" xfId="28213" xr:uid="{62E677C1-AA53-4211-A6BD-6A7FC61D25E1}"/>
    <cellStyle name="SAPBEXHLevel3 11 25" xfId="29671" xr:uid="{11FEEF7F-A497-455B-B70F-3CD7DB11382C}"/>
    <cellStyle name="SAPBEXHLevel3 11 26" xfId="30363" xr:uid="{6CC41FB1-0222-416E-A68D-A836EC4A7328}"/>
    <cellStyle name="SAPBEXHLevel3 11 27" xfId="30486" xr:uid="{36BC329E-EDD5-4316-B111-AE0F0B34F914}"/>
    <cellStyle name="SAPBEXHLevel3 11 28" xfId="30827" xr:uid="{E0FE8CAA-7959-4F65-9C6D-310BB307B44B}"/>
    <cellStyle name="SAPBEXHLevel3 11 29" xfId="30991" xr:uid="{04AF2A4F-39F9-4DFB-867B-9ED47AF7D56F}"/>
    <cellStyle name="SAPBEXHLevel3 11 3" xfId="14381" xr:uid="{79927EC2-FE12-49BD-AA30-314B70A382D7}"/>
    <cellStyle name="SAPBEXHLevel3 11 30" xfId="31153" xr:uid="{DDC2B5FB-52DB-462A-9809-A6895E5FFB25}"/>
    <cellStyle name="SAPBEXHLevel3 11 31" xfId="31260" xr:uid="{9297BD8A-3B8B-4345-A925-EF296895D160}"/>
    <cellStyle name="SAPBEXHLevel3 11 32" xfId="6868" xr:uid="{84BFEC69-64C6-45AB-A485-6F76904BCF24}"/>
    <cellStyle name="SAPBEXHLevel3 11 4" xfId="15137" xr:uid="{70A676EC-6673-46DD-8F06-534D5F22999F}"/>
    <cellStyle name="SAPBEXHLevel3 11 5" xfId="13534" xr:uid="{84E2BD3B-A9CD-4C2A-A3F5-E2E4300B374E}"/>
    <cellStyle name="SAPBEXHLevel3 11 6" xfId="16780" xr:uid="{2CCAB3F8-E7E8-41C7-942F-7489AB197F0B}"/>
    <cellStyle name="SAPBEXHLevel3 11 7" xfId="17649" xr:uid="{F515419D-FA9E-473A-B2AF-D4F21B084322}"/>
    <cellStyle name="SAPBEXHLevel3 11 8" xfId="18501" xr:uid="{9765166E-FA8D-4F28-8B99-0F093522D37E}"/>
    <cellStyle name="SAPBEXHLevel3 11 9" xfId="19343" xr:uid="{8A15DD7D-8669-4A87-81B8-9C46BEE06C49}"/>
    <cellStyle name="SAPBEXHLevel3 12" xfId="10971" xr:uid="{55058842-835B-41DA-95E1-68444CE53940}"/>
    <cellStyle name="SAPBEXHLevel3 2" xfId="4475" xr:uid="{1141F14F-4939-4EC5-B66C-EFCE7401777D}"/>
    <cellStyle name="SAPBEXHLevel3 2 2" xfId="4476" xr:uid="{64D3B1D0-725E-4D85-94EB-724A25E1267B}"/>
    <cellStyle name="SAPBEXHLevel3 2 2 2" xfId="4477" xr:uid="{2518C3C1-DFA6-40E3-9B47-C637C9E117A3}"/>
    <cellStyle name="SAPBEXHLevel3 2 2 2 2" xfId="10975" xr:uid="{43EA068E-2E8A-43BD-A85D-64B150914162}"/>
    <cellStyle name="SAPBEXHLevel3 2 2 3" xfId="4478" xr:uid="{C8D0D9E8-996D-4D5E-AEB3-1808EA95E454}"/>
    <cellStyle name="SAPBEXHLevel3 2 2 3 2" xfId="10976" xr:uid="{D795F877-1F66-4D3D-AEEA-07A6343394FB}"/>
    <cellStyle name="SAPBEXHLevel3 2 2 4" xfId="5727" xr:uid="{89C68534-8594-44E7-9E87-3A5F2E1F9512}"/>
    <cellStyle name="SAPBEXHLevel3 2 2 4 10" xfId="20100" xr:uid="{B1F420C5-3D63-4917-B0E4-F605E6C8611B}"/>
    <cellStyle name="SAPBEXHLevel3 2 2 4 11" xfId="20870" xr:uid="{0DD591D5-1ACF-4A87-826A-9864D02A0D6F}"/>
    <cellStyle name="SAPBEXHLevel3 2 2 4 12" xfId="21715" xr:uid="{88AA5F16-974C-4C47-A53E-DF828BBE3722}"/>
    <cellStyle name="SAPBEXHLevel3 2 2 4 13" xfId="18657" xr:uid="{2D540CAB-C663-45A6-AD8D-16194BC7EED5}"/>
    <cellStyle name="SAPBEXHLevel3 2 2 4 14" xfId="23379" xr:uid="{F0C92E79-E4F6-4042-AFCB-EDFDBAE97143}"/>
    <cellStyle name="SAPBEXHLevel3 2 2 4 15" xfId="24180" xr:uid="{D4C373E3-9F74-49E2-88AC-CC4CF17A51B2}"/>
    <cellStyle name="SAPBEXHLevel3 2 2 4 16" xfId="25009" xr:uid="{5C556450-1E69-4952-9688-8DA583AD8B5D}"/>
    <cellStyle name="SAPBEXHLevel3 2 2 4 17" xfId="23534" xr:uid="{59A377AD-AB89-4485-A5A7-0BD10E65A2EB}"/>
    <cellStyle name="SAPBEXHLevel3 2 2 4 18" xfId="26419" xr:uid="{3E9F7F31-42CC-4601-96B4-B5D052ED5451}"/>
    <cellStyle name="SAPBEXHLevel3 2 2 4 19" xfId="26779" xr:uid="{BE9F4F84-481B-4E9A-A4F2-45F56EC74B73}"/>
    <cellStyle name="SAPBEXHLevel3 2 2 4 2" xfId="13453" xr:uid="{2368013C-DD45-47E5-BA3F-9D5549DFEF65}"/>
    <cellStyle name="SAPBEXHLevel3 2 2 4 20" xfId="27482" xr:uid="{E2F696BA-6AC0-4080-9D3B-0BA86D14D0EC}"/>
    <cellStyle name="SAPBEXHLevel3 2 2 4 21" xfId="28014" xr:uid="{2B44F008-0967-4BEA-A38E-9C623FA1555E}"/>
    <cellStyle name="SAPBEXHLevel3 2 2 4 22" xfId="28745" xr:uid="{7AA8B521-AF80-46F8-9E01-067514360C42}"/>
    <cellStyle name="SAPBEXHLevel3 2 2 4 23" xfId="28192" xr:uid="{58C46A43-D501-4D08-BEC4-E4BB486603D3}"/>
    <cellStyle name="SAPBEXHLevel3 2 2 4 24" xfId="28214" xr:uid="{B62A7EBD-6E67-4163-B85D-9E429CF5C1E0}"/>
    <cellStyle name="SAPBEXHLevel3 2 2 4 25" xfId="29058" xr:uid="{CE1AA5CA-DA64-4C77-B3BA-5F4617037BB1}"/>
    <cellStyle name="SAPBEXHLevel3 2 2 4 26" xfId="30365" xr:uid="{6ADF99C8-1277-4828-A297-7D92DB69B8FD}"/>
    <cellStyle name="SAPBEXHLevel3 2 2 4 27" xfId="30488" xr:uid="{69BE8421-5E1C-41B6-B857-36607420A62F}"/>
    <cellStyle name="SAPBEXHLevel3 2 2 4 28" xfId="30829" xr:uid="{E05C3689-401D-4764-A8F0-27FC19FD0DCD}"/>
    <cellStyle name="SAPBEXHLevel3 2 2 4 29" xfId="30993" xr:uid="{996BC4F5-F30B-40B7-9366-8D6E1ADF2F62}"/>
    <cellStyle name="SAPBEXHLevel3 2 2 4 3" xfId="14383" xr:uid="{0C55081B-52C5-4A29-B288-2FD0B194E8F5}"/>
    <cellStyle name="SAPBEXHLevel3 2 2 4 30" xfId="31155" xr:uid="{5F5D4F31-7C57-41B8-89BC-D93A0C9E17A7}"/>
    <cellStyle name="SAPBEXHLevel3 2 2 4 31" xfId="31262" xr:uid="{137973CD-E4CE-4B02-AC3F-F9B355BB381F}"/>
    <cellStyle name="SAPBEXHLevel3 2 2 4 32" xfId="6870" xr:uid="{B81E5EDD-1F4A-4950-9EE9-9FAB8A3F89E1}"/>
    <cellStyle name="SAPBEXHLevel3 2 2 4 4" xfId="15139" xr:uid="{8A27E8F2-5FD4-4EE6-ADE2-ACC5F25EE5DD}"/>
    <cellStyle name="SAPBEXHLevel3 2 2 4 5" xfId="12809" xr:uid="{7282B13E-4EB1-4F7B-9A54-F30BE229DC00}"/>
    <cellStyle name="SAPBEXHLevel3 2 2 4 6" xfId="16782" xr:uid="{186C8376-2BB4-4F9B-8479-4EDCCB05B97A}"/>
    <cellStyle name="SAPBEXHLevel3 2 2 4 7" xfId="17651" xr:uid="{08AA1F6B-ACA4-4146-B0CA-B26055DF9029}"/>
    <cellStyle name="SAPBEXHLevel3 2 2 4 8" xfId="18503" xr:uid="{B4EFBC41-19E2-4EB1-9802-D8F54E2C0D98}"/>
    <cellStyle name="SAPBEXHLevel3 2 2 4 9" xfId="19345" xr:uid="{4995FDB3-D319-468C-BC31-4A70EAAF63D4}"/>
    <cellStyle name="SAPBEXHLevel3 2 2 5" xfId="10974" xr:uid="{5D7ED463-BFB0-4115-9477-2863C92B35DC}"/>
    <cellStyle name="SAPBEXHLevel3 2 3" xfId="4479" xr:uid="{5B09BC6D-8012-44D4-8364-1799B96D782C}"/>
    <cellStyle name="SAPBEXHLevel3 2 3 2" xfId="10977" xr:uid="{5566420A-5D59-4769-B65F-1A7E7DDE4919}"/>
    <cellStyle name="SAPBEXHLevel3 2 4" xfId="4480" xr:uid="{C5A3C875-8801-43DD-806C-05ACA5BE9480}"/>
    <cellStyle name="SAPBEXHLevel3 2 4 2" xfId="10978" xr:uid="{A82939B2-4524-42C6-9AA6-E4EABDF87EC9}"/>
    <cellStyle name="SAPBEXHLevel3 2 5" xfId="5726" xr:uid="{A05519DD-072C-42BA-A7DD-174761A7CCAA}"/>
    <cellStyle name="SAPBEXHLevel3 2 5 10" xfId="20099" xr:uid="{494BEA54-7355-4779-953E-E066373C371C}"/>
    <cellStyle name="SAPBEXHLevel3 2 5 11" xfId="20869" xr:uid="{B0DBFBB4-922E-4A9D-8B9A-2AACF599245A}"/>
    <cellStyle name="SAPBEXHLevel3 2 5 12" xfId="21714" xr:uid="{0E9D3746-4429-4734-8A66-B3D1BD3F58D7}"/>
    <cellStyle name="SAPBEXHLevel3 2 5 13" xfId="21768" xr:uid="{0C2817EB-86D9-46BA-BF61-217EB0CE63DA}"/>
    <cellStyle name="SAPBEXHLevel3 2 5 14" xfId="23378" xr:uid="{1BAD9162-DCD7-414F-80A2-F18692BE27B9}"/>
    <cellStyle name="SAPBEXHLevel3 2 5 15" xfId="24179" xr:uid="{A32A5049-E113-46DF-88B6-3077D5FD4E84}"/>
    <cellStyle name="SAPBEXHLevel3 2 5 16" xfId="25008" xr:uid="{F3765D81-3094-46A1-96B4-C18EC90599F2}"/>
    <cellStyle name="SAPBEXHLevel3 2 5 17" xfId="25069" xr:uid="{0C88A2A1-4502-437E-90EF-8CEE76A65CAB}"/>
    <cellStyle name="SAPBEXHLevel3 2 5 18" xfId="26418" xr:uid="{05FA443C-48D2-483D-905C-D8F40CDAC1F6}"/>
    <cellStyle name="SAPBEXHLevel3 2 5 19" xfId="26778" xr:uid="{8666AEE1-CE60-4609-AD5E-6ED7DD8D63E2}"/>
    <cellStyle name="SAPBEXHLevel3 2 5 2" xfId="13452" xr:uid="{C03BBA10-68D7-491A-BF67-87BDB602F6C7}"/>
    <cellStyle name="SAPBEXHLevel3 2 5 20" xfId="27481" xr:uid="{87916A9D-74AA-413C-84C7-854C5EECBB2D}"/>
    <cellStyle name="SAPBEXHLevel3 2 5 21" xfId="28013" xr:uid="{E64EAE80-1E82-40DC-B2F1-FF93BD8BA9F8}"/>
    <cellStyle name="SAPBEXHLevel3 2 5 22" xfId="28744" xr:uid="{AE05F371-2E6D-4D18-A453-3007FADE39A8}"/>
    <cellStyle name="SAPBEXHLevel3 2 5 23" xfId="28191" xr:uid="{5F3C80EF-C517-4ABD-A088-D9407102D8E5}"/>
    <cellStyle name="SAPBEXHLevel3 2 5 24" xfId="27661" xr:uid="{DCDDA68A-BB7A-423A-B31C-0F3467D40B1A}"/>
    <cellStyle name="SAPBEXHLevel3 2 5 25" xfId="30067" xr:uid="{55D1A696-D45A-4A1A-B475-4F062E4375B5}"/>
    <cellStyle name="SAPBEXHLevel3 2 5 26" xfId="30364" xr:uid="{511F35D5-AA69-4550-8615-204E33C94422}"/>
    <cellStyle name="SAPBEXHLevel3 2 5 27" xfId="30487" xr:uid="{26F49295-E97A-4728-A5F7-4E5337D560E0}"/>
    <cellStyle name="SAPBEXHLevel3 2 5 28" xfId="30828" xr:uid="{B14363BF-43D9-4A75-8ABB-D37E5F3846FD}"/>
    <cellStyle name="SAPBEXHLevel3 2 5 29" xfId="30992" xr:uid="{BEF8ADFF-BAF7-41A7-B189-9D1E5661D235}"/>
    <cellStyle name="SAPBEXHLevel3 2 5 3" xfId="14382" xr:uid="{BB11476C-6D6C-4DEE-B086-4A7D72212DB6}"/>
    <cellStyle name="SAPBEXHLevel3 2 5 30" xfId="31154" xr:uid="{5090C7F1-8BAA-4B42-A95A-CF3FC7FED843}"/>
    <cellStyle name="SAPBEXHLevel3 2 5 31" xfId="31261" xr:uid="{3D2323DD-5733-4B76-B252-5FC33CBCEEC8}"/>
    <cellStyle name="SAPBEXHLevel3 2 5 32" xfId="6869" xr:uid="{11D3AC00-2A51-40EC-B8BB-312FDBCE2037}"/>
    <cellStyle name="SAPBEXHLevel3 2 5 4" xfId="15138" xr:uid="{126D6A81-F342-4804-9ACD-B11DA3439E65}"/>
    <cellStyle name="SAPBEXHLevel3 2 5 5" xfId="15190" xr:uid="{3558C6E9-7BAF-44AF-9F03-E84B180E5446}"/>
    <cellStyle name="SAPBEXHLevel3 2 5 6" xfId="16781" xr:uid="{74D44685-28FC-4B57-9C04-25BB578CFB13}"/>
    <cellStyle name="SAPBEXHLevel3 2 5 7" xfId="17650" xr:uid="{88473F88-8A4E-4124-AC1B-7796E579E7F0}"/>
    <cellStyle name="SAPBEXHLevel3 2 5 8" xfId="18502" xr:uid="{021E6DB1-E511-4E9A-AFE0-CD57E12444AC}"/>
    <cellStyle name="SAPBEXHLevel3 2 5 9" xfId="19344" xr:uid="{C87823B9-7CC1-4EBB-BD48-981B7C136453}"/>
    <cellStyle name="SAPBEXHLevel3 2 6" xfId="10973" xr:uid="{A00D2255-75FE-42FB-B7A1-3B2FEC7DA3B8}"/>
    <cellStyle name="SAPBEXHLevel3 3" xfId="4481" xr:uid="{83C54732-A72A-4BC2-B028-CE904823AB26}"/>
    <cellStyle name="SAPBEXHLevel3 3 2" xfId="4482" xr:uid="{D10D3580-19C1-4B73-9080-3BFD7E1FCBCB}"/>
    <cellStyle name="SAPBEXHLevel3 3 2 2" xfId="10980" xr:uid="{45FFC17C-9BF2-484A-81A9-A36A5DCF6040}"/>
    <cellStyle name="SAPBEXHLevel3 3 3" xfId="4483" xr:uid="{FC079E65-1419-4724-982E-4EF5D9FEC491}"/>
    <cellStyle name="SAPBEXHLevel3 3 3 2" xfId="10981" xr:uid="{97FD59CB-B0FE-44A5-9643-ADDD654736A3}"/>
    <cellStyle name="SAPBEXHLevel3 3 4" xfId="10979" xr:uid="{90E6C3BD-1294-4F77-AFAC-4B2F271652D0}"/>
    <cellStyle name="SAPBEXHLevel3 4" xfId="4484" xr:uid="{B9B7A55E-B45B-4E15-A811-496F051EFA71}"/>
    <cellStyle name="SAPBEXHLevel3 4 2" xfId="4485" xr:uid="{B8EE04B9-5F62-412D-85F7-15DB08A7EA9D}"/>
    <cellStyle name="SAPBEXHLevel3 4 2 2" xfId="10983" xr:uid="{B749788F-0CCC-48A9-9030-5F8D32AE37B3}"/>
    <cellStyle name="SAPBEXHLevel3 4 3" xfId="4486" xr:uid="{3977DBF5-4E31-4DF6-9C51-61D1BE63BB81}"/>
    <cellStyle name="SAPBEXHLevel3 4 3 2" xfId="10984" xr:uid="{D40F9A16-5BA0-4C55-8A09-1F72509B6609}"/>
    <cellStyle name="SAPBEXHLevel3 4 4" xfId="10982" xr:uid="{B161944A-12F5-4AB5-ACF8-B412D255F2FB}"/>
    <cellStyle name="SAPBEXHLevel3 5" xfId="4487" xr:uid="{E27E6223-0B61-408B-9EA0-2FF4B4A7FF7F}"/>
    <cellStyle name="SAPBEXHLevel3 5 2" xfId="4488" xr:uid="{6953D777-442C-4D42-8966-21E7D2D3BE01}"/>
    <cellStyle name="SAPBEXHLevel3 5 2 2" xfId="10986" xr:uid="{7265180E-ED53-4234-9E2F-8DA47B9FB73A}"/>
    <cellStyle name="SAPBEXHLevel3 5 3" xfId="4489" xr:uid="{CF491F72-EE7A-4665-AF85-1F047111E2F1}"/>
    <cellStyle name="SAPBEXHLevel3 5 3 2" xfId="10987" xr:uid="{9B935213-DD8D-4FC4-9137-2B0A0FF24CC3}"/>
    <cellStyle name="SAPBEXHLevel3 5 4" xfId="10985" xr:uid="{7628B163-6313-4E19-A16D-4A17626B71AD}"/>
    <cellStyle name="SAPBEXHLevel3 6" xfId="4490" xr:uid="{54C4CA76-4F4A-4C1D-B019-9EBADD48E221}"/>
    <cellStyle name="SAPBEXHLevel3 6 2" xfId="4491" xr:uid="{D1F0F9E7-3178-4032-802B-BD91F80A5CE1}"/>
    <cellStyle name="SAPBEXHLevel3 6 2 2" xfId="10989" xr:uid="{A6353CD2-77DF-4387-AD54-8495BFFBE8BA}"/>
    <cellStyle name="SAPBEXHLevel3 6 3" xfId="4492" xr:uid="{6F7743FD-852C-42D2-89CE-5545271C135F}"/>
    <cellStyle name="SAPBEXHLevel3 6 3 2" xfId="10990" xr:uid="{7144236E-FBDB-4990-B6C6-3CC15AE4F37B}"/>
    <cellStyle name="SAPBEXHLevel3 6 4" xfId="10988" xr:uid="{7CE96A82-A500-40CB-BDAE-8D9BA22FEECB}"/>
    <cellStyle name="SAPBEXHLevel3 7" xfId="4493" xr:uid="{73906ED7-CFCF-400E-8F2F-EE53ED6C4A46}"/>
    <cellStyle name="SAPBEXHLevel3 7 2" xfId="4494" xr:uid="{9FE5C096-5040-454E-B963-8D1071B93BB7}"/>
    <cellStyle name="SAPBEXHLevel3 7 2 2" xfId="10992" xr:uid="{8798E7BD-E8D1-4D36-9E7A-DB99EA017DF5}"/>
    <cellStyle name="SAPBEXHLevel3 7 3" xfId="4495" xr:uid="{AB65410C-DA6C-4E24-80CC-CFAFA61CAD3E}"/>
    <cellStyle name="SAPBEXHLevel3 7 3 2" xfId="10993" xr:uid="{0E0E5651-7D77-4897-A21F-207C4C79D147}"/>
    <cellStyle name="SAPBEXHLevel3 7 4" xfId="10991" xr:uid="{450A7BA5-E3FE-40D9-B5AE-68A42A17A503}"/>
    <cellStyle name="SAPBEXHLevel3 8" xfId="4496" xr:uid="{09AAD841-490A-493B-91ED-CCF6DA5F3192}"/>
    <cellStyle name="SAPBEXHLevel3 8 2" xfId="4497" xr:uid="{25A4BF55-AAE1-4C11-836B-58281DB44A8F}"/>
    <cellStyle name="SAPBEXHLevel3 8 2 2" xfId="10995" xr:uid="{D0AD6BE8-2FDC-4E17-8FF1-3E79CBEBA12D}"/>
    <cellStyle name="SAPBEXHLevel3 8 3" xfId="4498" xr:uid="{DE119EAC-EBBB-4B81-91B0-0D18701BB353}"/>
    <cellStyle name="SAPBEXHLevel3 8 3 2" xfId="10996" xr:uid="{FF56C02E-7FC1-48E4-BA37-B193C6A52ED5}"/>
    <cellStyle name="SAPBEXHLevel3 8 4" xfId="10994" xr:uid="{76FD9858-5D52-4276-8B8E-0BCB0B3C33C0}"/>
    <cellStyle name="SAPBEXHLevel3 9" xfId="4499" xr:uid="{0CF4A769-7F2B-4C33-976E-064A0AA92DD5}"/>
    <cellStyle name="SAPBEXHLevel3 9 2" xfId="10997" xr:uid="{E8B1F464-C67A-43DF-8590-FB43926C74D4}"/>
    <cellStyle name="SAPBEXHLevel3X" xfId="4500" xr:uid="{66149FCE-9783-4800-ABCC-72624195E987}"/>
    <cellStyle name="SAPBEXHLevel3X 10" xfId="4501" xr:uid="{828F9B76-04B1-4126-A616-EFE87BBF3CF5}"/>
    <cellStyle name="SAPBEXHLevel3X 10 2" xfId="10999" xr:uid="{26B43D97-8248-4E5D-980F-CD9959D4C5E8}"/>
    <cellStyle name="SAPBEXHLevel3X 11" xfId="5728" xr:uid="{E4F1B2B8-767E-4C4A-842D-ABF8B1488476}"/>
    <cellStyle name="SAPBEXHLevel3X 11 10" xfId="20101" xr:uid="{479B0D6C-BD28-46C2-B67E-82831091E41D}"/>
    <cellStyle name="SAPBEXHLevel3X 11 11" xfId="20871" xr:uid="{1827F5B3-1494-486D-8EFE-59B9C8AC179D}"/>
    <cellStyle name="SAPBEXHLevel3X 11 12" xfId="21716" xr:uid="{982DEB59-910D-42C1-B71B-E8DBE236FD5F}"/>
    <cellStyle name="SAPBEXHLevel3X 11 13" xfId="21769" xr:uid="{492DBFA9-400D-4BDA-BD7E-95670890DB22}"/>
    <cellStyle name="SAPBEXHLevel3X 11 14" xfId="23380" xr:uid="{7FC0C06E-7EC3-4E65-AF69-0D1A828E441C}"/>
    <cellStyle name="SAPBEXHLevel3X 11 15" xfId="24181" xr:uid="{5C7D7237-A630-4296-95B1-9F7D526FCADA}"/>
    <cellStyle name="SAPBEXHLevel3X 11 16" xfId="25010" xr:uid="{1EBE4F5C-64C1-4DBB-AC9D-B800F0A7DB2F}"/>
    <cellStyle name="SAPBEXHLevel3X 11 17" xfId="25070" xr:uid="{21023BDB-17AF-428E-A75B-DC6BCD18815B}"/>
    <cellStyle name="SAPBEXHLevel3X 11 18" xfId="26420" xr:uid="{0D0B3479-DC83-4F72-8F00-37887CF79719}"/>
    <cellStyle name="SAPBEXHLevel3X 11 19" xfId="26780" xr:uid="{9A27B196-C641-4C6E-B45A-CD3511AFF36D}"/>
    <cellStyle name="SAPBEXHLevel3X 11 2" xfId="13454" xr:uid="{6DCDA6DA-FDC7-425A-9502-EB6145F8A80A}"/>
    <cellStyle name="SAPBEXHLevel3X 11 20" xfId="27483" xr:uid="{54FC18DD-6FAC-40FC-B47C-D9AD7B0A3880}"/>
    <cellStyle name="SAPBEXHLevel3X 11 21" xfId="28015" xr:uid="{F271E51F-B87C-4CF3-90FF-B574EDF91562}"/>
    <cellStyle name="SAPBEXHLevel3X 11 22" xfId="28746" xr:uid="{FAFC2AF8-9ED6-4A02-8B33-E075094DB850}"/>
    <cellStyle name="SAPBEXHLevel3X 11 23" xfId="28193" xr:uid="{3091C382-4651-43CF-AAEF-07FDC7AAB14A}"/>
    <cellStyle name="SAPBEXHLevel3X 11 24" xfId="29144" xr:uid="{910F7856-2620-426E-B442-66B778FE3ED1}"/>
    <cellStyle name="SAPBEXHLevel3X 11 25" xfId="30068" xr:uid="{71B98BDA-E3B5-4167-BC26-119C04A5863D}"/>
    <cellStyle name="SAPBEXHLevel3X 11 26" xfId="30366" xr:uid="{FC77EAA2-8870-4081-8E57-3C0ED7ECAA28}"/>
    <cellStyle name="SAPBEXHLevel3X 11 27" xfId="30489" xr:uid="{1BE0DC92-E115-482F-BC06-FC012DDD8235}"/>
    <cellStyle name="SAPBEXHLevel3X 11 28" xfId="30830" xr:uid="{343493FC-1A1E-4554-85A2-3DCD843C81CF}"/>
    <cellStyle name="SAPBEXHLevel3X 11 29" xfId="30994" xr:uid="{E338E1BF-8670-4818-9CFB-7D14D28CA937}"/>
    <cellStyle name="SAPBEXHLevel3X 11 3" xfId="14384" xr:uid="{76D37F80-B6F1-426D-98DC-BF4745BEFCE9}"/>
    <cellStyle name="SAPBEXHLevel3X 11 30" xfId="31156" xr:uid="{315BE0BA-F4DB-4CD4-9140-A35C7B8F8BB4}"/>
    <cellStyle name="SAPBEXHLevel3X 11 31" xfId="31263" xr:uid="{37F9399A-CB33-4A50-B9DA-06F1FDBECC52}"/>
    <cellStyle name="SAPBEXHLevel3X 11 32" xfId="6871" xr:uid="{976AD5F9-6A5D-4F7A-824F-3A56412AF207}"/>
    <cellStyle name="SAPBEXHLevel3X 11 4" xfId="15140" xr:uid="{717B3224-75DE-4509-8DE7-6752424CEB4F}"/>
    <cellStyle name="SAPBEXHLevel3X 11 5" xfId="15191" xr:uid="{5835148A-170E-455A-BA39-57D22D3615CF}"/>
    <cellStyle name="SAPBEXHLevel3X 11 6" xfId="16783" xr:uid="{1F756C02-1113-4B62-8EA8-9615B7C8AFF9}"/>
    <cellStyle name="SAPBEXHLevel3X 11 7" xfId="17652" xr:uid="{CA7E46C3-D9B0-4D45-9A9B-AAE877E16365}"/>
    <cellStyle name="SAPBEXHLevel3X 11 8" xfId="18504" xr:uid="{FA89D14F-0405-4BD5-B66E-7513DC8BAC3D}"/>
    <cellStyle name="SAPBEXHLevel3X 11 9" xfId="19346" xr:uid="{0C615C9B-B457-4910-816B-E9DEB17E8D26}"/>
    <cellStyle name="SAPBEXHLevel3X 12" xfId="10998" xr:uid="{C68FDE56-3D61-493C-9524-3FDBE0DD8890}"/>
    <cellStyle name="SAPBEXHLevel3X 2" xfId="4502" xr:uid="{014DB659-E227-4356-800C-AA9DBB28F049}"/>
    <cellStyle name="SAPBEXHLevel3X 2 2" xfId="4503" xr:uid="{B6CDFA8C-9B07-4670-B1E9-790A2CA59DDA}"/>
    <cellStyle name="SAPBEXHLevel3X 2 2 2" xfId="4504" xr:uid="{CF7CFD7C-FBB9-4250-9C9F-6CE1609044F1}"/>
    <cellStyle name="SAPBEXHLevel3X 2 2 2 2" xfId="11002" xr:uid="{DC2F292C-118E-4903-971B-40B6B6A8CFCC}"/>
    <cellStyle name="SAPBEXHLevel3X 2 2 3" xfId="4505" xr:uid="{ADF2D789-C79E-4239-A669-FF49A87C7A33}"/>
    <cellStyle name="SAPBEXHLevel3X 2 2 3 2" xfId="11003" xr:uid="{E07211D4-C246-4F62-AEF6-E0B15AD43C53}"/>
    <cellStyle name="SAPBEXHLevel3X 2 2 4" xfId="5730" xr:uid="{6021A9FA-A08F-4692-8F67-9F37EEBBB3B6}"/>
    <cellStyle name="SAPBEXHLevel3X 2 2 4 10" xfId="20103" xr:uid="{574375DB-465D-4DDB-970B-4F6228084AD8}"/>
    <cellStyle name="SAPBEXHLevel3X 2 2 4 11" xfId="20873" xr:uid="{AC6C4F5A-468D-4243-9303-3AB43E539610}"/>
    <cellStyle name="SAPBEXHLevel3X 2 2 4 12" xfId="21718" xr:uid="{E8BFE81A-FB98-4A11-AB45-CE0EF081EFA0}"/>
    <cellStyle name="SAPBEXHLevel3X 2 2 4 13" xfId="21770" xr:uid="{36CF912D-4B2E-480E-9331-86A4788AAC29}"/>
    <cellStyle name="SAPBEXHLevel3X 2 2 4 14" xfId="23382" xr:uid="{6DF4E88B-66CD-43CC-BDD3-E406402689EF}"/>
    <cellStyle name="SAPBEXHLevel3X 2 2 4 15" xfId="24183" xr:uid="{8E1E1592-284F-4320-9040-AC9AFA45CDF7}"/>
    <cellStyle name="SAPBEXHLevel3X 2 2 4 16" xfId="25012" xr:uid="{CD6C2B5D-FCEA-4497-9606-BA8A25BE9C59}"/>
    <cellStyle name="SAPBEXHLevel3X 2 2 4 17" xfId="25071" xr:uid="{DA151902-F5C1-48A7-AC8B-8AE030257816}"/>
    <cellStyle name="SAPBEXHLevel3X 2 2 4 18" xfId="26422" xr:uid="{A82D2491-E13D-47E8-BA8D-8D7B3450D3A3}"/>
    <cellStyle name="SAPBEXHLevel3X 2 2 4 19" xfId="26782" xr:uid="{5C67980F-157B-4181-831A-BB3EEB6767BF}"/>
    <cellStyle name="SAPBEXHLevel3X 2 2 4 2" xfId="13456" xr:uid="{7AA85D2B-6443-4E17-83DD-4A6B209F1C78}"/>
    <cellStyle name="SAPBEXHLevel3X 2 2 4 20" xfId="27485" xr:uid="{BA28C9CB-52C7-4B83-BD3C-55D9C9CC11C1}"/>
    <cellStyle name="SAPBEXHLevel3X 2 2 4 21" xfId="28017" xr:uid="{A148F956-B67E-4954-9842-B8D5C121DB66}"/>
    <cellStyle name="SAPBEXHLevel3X 2 2 4 22" xfId="28748" xr:uid="{8CADA99C-9B8D-47DD-9B14-212B2D712B7D}"/>
    <cellStyle name="SAPBEXHLevel3X 2 2 4 23" xfId="28195" xr:uid="{92FF5757-8B5E-4B2C-BD51-FB9A1ECC4106}"/>
    <cellStyle name="SAPBEXHLevel3X 2 2 4 24" xfId="25228" xr:uid="{E29E159E-7492-4544-A1E1-1BC7F23F6B93}"/>
    <cellStyle name="SAPBEXHLevel3X 2 2 4 25" xfId="29658" xr:uid="{93E31D2F-4B59-49C2-A09C-AE8381C0E7F3}"/>
    <cellStyle name="SAPBEXHLevel3X 2 2 4 26" xfId="30368" xr:uid="{F3169E34-4815-487C-A163-F7C7439F1B4B}"/>
    <cellStyle name="SAPBEXHLevel3X 2 2 4 27" xfId="30491" xr:uid="{105B5CA7-76CD-4332-BDE5-B0B453EFF2FF}"/>
    <cellStyle name="SAPBEXHLevel3X 2 2 4 28" xfId="30832" xr:uid="{503CE7E2-ACA8-449A-8421-CE3C373E25DF}"/>
    <cellStyle name="SAPBEXHLevel3X 2 2 4 29" xfId="30996" xr:uid="{8E362A75-C7B5-4915-A9F6-8BB75C1E4CEA}"/>
    <cellStyle name="SAPBEXHLevel3X 2 2 4 3" xfId="14386" xr:uid="{35D677FF-B229-4360-AC40-F64ACA452226}"/>
    <cellStyle name="SAPBEXHLevel3X 2 2 4 30" xfId="31158" xr:uid="{93BF0F41-E332-43E1-A2DA-4811087D3A84}"/>
    <cellStyle name="SAPBEXHLevel3X 2 2 4 31" xfId="31265" xr:uid="{7668C65C-C4C6-44DA-8684-99B852ECCF23}"/>
    <cellStyle name="SAPBEXHLevel3X 2 2 4 32" xfId="6873" xr:uid="{DEE50736-DE39-486F-85D1-DE79DF0DAE2D}"/>
    <cellStyle name="SAPBEXHLevel3X 2 2 4 4" xfId="15142" xr:uid="{C2AD72AA-0A20-45A2-BF2C-8C5B4AB61EB1}"/>
    <cellStyle name="SAPBEXHLevel3X 2 2 4 5" xfId="15192" xr:uid="{7FEBA83F-7669-4831-BC1B-54AFC97A374F}"/>
    <cellStyle name="SAPBEXHLevel3X 2 2 4 6" xfId="16785" xr:uid="{ED831F1B-9131-4CA4-ADD0-579325D81F72}"/>
    <cellStyle name="SAPBEXHLevel3X 2 2 4 7" xfId="17654" xr:uid="{AF684694-1C6E-4E30-89CA-E61E8A2BB5E1}"/>
    <cellStyle name="SAPBEXHLevel3X 2 2 4 8" xfId="18506" xr:uid="{92606F8F-83CD-4A32-AB84-AE35217AC697}"/>
    <cellStyle name="SAPBEXHLevel3X 2 2 4 9" xfId="19348" xr:uid="{4BA9F830-A6F6-4553-A78E-5380F6D8A342}"/>
    <cellStyle name="SAPBEXHLevel3X 2 2 5" xfId="11001" xr:uid="{5A20B004-8406-4E14-B31F-AF03ACB8A5F7}"/>
    <cellStyle name="SAPBEXHLevel3X 2 3" xfId="4506" xr:uid="{9C2FBBEF-0FDF-4945-8172-B691CCDAB594}"/>
    <cellStyle name="SAPBEXHLevel3X 2 3 2" xfId="11004" xr:uid="{609D8BC3-64B8-4BBB-B5DC-2C791155E306}"/>
    <cellStyle name="SAPBEXHLevel3X 2 4" xfId="4507" xr:uid="{9CC926C2-5A74-46FE-8340-2C4F8BDAF003}"/>
    <cellStyle name="SAPBEXHLevel3X 2 4 2" xfId="11005" xr:uid="{4C4AF325-081E-4ACA-B48A-2557A6ACBEE3}"/>
    <cellStyle name="SAPBEXHLevel3X 2 5" xfId="5729" xr:uid="{B6F45707-5FCE-47DE-9F83-512898B7BA07}"/>
    <cellStyle name="SAPBEXHLevel3X 2 5 10" xfId="20102" xr:uid="{8B55767B-C405-4C00-90DF-BD037C89E8D8}"/>
    <cellStyle name="SAPBEXHLevel3X 2 5 11" xfId="20872" xr:uid="{3076DD86-1562-44B0-984A-52ACB78E79EE}"/>
    <cellStyle name="SAPBEXHLevel3X 2 5 12" xfId="21717" xr:uid="{4F961931-FB33-4480-97F7-CEC500D3B088}"/>
    <cellStyle name="SAPBEXHLevel3X 2 5 13" xfId="20245" xr:uid="{51AE0746-E87F-4236-9AD6-7CD0115E5EC2}"/>
    <cellStyle name="SAPBEXHLevel3X 2 5 14" xfId="23381" xr:uid="{90918763-325F-4036-808B-1D04382A43BC}"/>
    <cellStyle name="SAPBEXHLevel3X 2 5 15" xfId="24182" xr:uid="{B0F279C1-85C3-45B4-BF3B-0C2710A56DFE}"/>
    <cellStyle name="SAPBEXHLevel3X 2 5 16" xfId="25011" xr:uid="{2E54C989-7E76-4CB7-851D-93C0DCC0E3DE}"/>
    <cellStyle name="SAPBEXHLevel3X 2 5 17" xfId="22803" xr:uid="{6650B9CF-DD99-4988-8610-ABFCCE1ED19B}"/>
    <cellStyle name="SAPBEXHLevel3X 2 5 18" xfId="26421" xr:uid="{B5A766CC-3719-406D-995F-2B8B57FF1A77}"/>
    <cellStyle name="SAPBEXHLevel3X 2 5 19" xfId="26781" xr:uid="{315CE624-E191-4950-A2E1-4FCE5C11EFBB}"/>
    <cellStyle name="SAPBEXHLevel3X 2 5 2" xfId="13455" xr:uid="{E234B19A-7DA6-424B-91DE-7AD04C917A34}"/>
    <cellStyle name="SAPBEXHLevel3X 2 5 20" xfId="27484" xr:uid="{06BEB720-4DD2-4E97-A256-F76EAFADCB22}"/>
    <cellStyle name="SAPBEXHLevel3X 2 5 21" xfId="28016" xr:uid="{A35758BD-62C5-475F-A013-59BD6D6915D0}"/>
    <cellStyle name="SAPBEXHLevel3X 2 5 22" xfId="28747" xr:uid="{EFAE0372-0B35-4FAC-93CB-30C0588C567C}"/>
    <cellStyle name="SAPBEXHLevel3X 2 5 23" xfId="28194" xr:uid="{90B3743D-6C0D-45B0-9E37-7FA2F587978C}"/>
    <cellStyle name="SAPBEXHLevel3X 2 5 24" xfId="28866" xr:uid="{472181CF-0FD6-4C57-ADF5-0A5DE027F05A}"/>
    <cellStyle name="SAPBEXHLevel3X 2 5 25" xfId="30038" xr:uid="{AD1401A1-F8A0-4E9F-8608-2F6A9D0D3934}"/>
    <cellStyle name="SAPBEXHLevel3X 2 5 26" xfId="30367" xr:uid="{8802D930-E21A-469F-B649-870B2F3A2C80}"/>
    <cellStyle name="SAPBEXHLevel3X 2 5 27" xfId="30490" xr:uid="{E081C7F5-7D49-4177-9197-B9EB5212777A}"/>
    <cellStyle name="SAPBEXHLevel3X 2 5 28" xfId="30831" xr:uid="{6F9954C2-1E88-4C7D-99B0-0C21C6BC8CC6}"/>
    <cellStyle name="SAPBEXHLevel3X 2 5 29" xfId="30995" xr:uid="{16D53435-70FD-47E7-A669-657487EDD87B}"/>
    <cellStyle name="SAPBEXHLevel3X 2 5 3" xfId="14385" xr:uid="{D7D8AF49-7196-41E3-8302-62FED39F5CB2}"/>
    <cellStyle name="SAPBEXHLevel3X 2 5 30" xfId="31157" xr:uid="{4735E490-BA45-435B-8968-2CEDCBB89BA4}"/>
    <cellStyle name="SAPBEXHLevel3X 2 5 31" xfId="31264" xr:uid="{A683098B-95AB-4A2E-A344-91F697A1A798}"/>
    <cellStyle name="SAPBEXHLevel3X 2 5 32" xfId="6872" xr:uid="{549558A4-1F66-474A-B662-B8893810E3D7}"/>
    <cellStyle name="SAPBEXHLevel3X 2 5 4" xfId="15141" xr:uid="{D0D8A25E-772F-4D5D-816B-E0F549919F9D}"/>
    <cellStyle name="SAPBEXHLevel3X 2 5 5" xfId="13535" xr:uid="{AB017CEE-12D8-4E0A-9436-614C440B3A1E}"/>
    <cellStyle name="SAPBEXHLevel3X 2 5 6" xfId="16784" xr:uid="{C7FB8DEC-3A00-46D6-A7D1-392013E9C89B}"/>
    <cellStyle name="SAPBEXHLevel3X 2 5 7" xfId="17653" xr:uid="{CE666FDA-A2C1-4C1C-8C74-EDB8E3CC1157}"/>
    <cellStyle name="SAPBEXHLevel3X 2 5 8" xfId="18505" xr:uid="{DC19C44F-8F5C-4B57-91F9-2772A7A45397}"/>
    <cellStyle name="SAPBEXHLevel3X 2 5 9" xfId="19347" xr:uid="{F2D81CD1-133B-439F-8463-8B64DEBBF7A7}"/>
    <cellStyle name="SAPBEXHLevel3X 2 6" xfId="11000" xr:uid="{A51F7184-8C6E-48E9-A1F7-03BEAA9DD736}"/>
    <cellStyle name="SAPBEXHLevel3X 3" xfId="4508" xr:uid="{81C20EF5-8F20-4633-ADDD-FF1AFAF41817}"/>
    <cellStyle name="SAPBEXHLevel3X 3 2" xfId="4509" xr:uid="{AEC9EFA4-C0F0-4FD2-A313-5EAF2360F2FD}"/>
    <cellStyle name="SAPBEXHLevel3X 3 2 2" xfId="11007" xr:uid="{9A13B29F-4540-492C-8160-CF19748543F4}"/>
    <cellStyle name="SAPBEXHLevel3X 3 3" xfId="4510" xr:uid="{6C280DE9-B7D7-4F12-AC44-1E01AD618A2C}"/>
    <cellStyle name="SAPBEXHLevel3X 3 3 2" xfId="11008" xr:uid="{DB401997-1CFC-4A31-AB9E-5FF44D8A7D94}"/>
    <cellStyle name="SAPBEXHLevel3X 3 4" xfId="11006" xr:uid="{930CBB9C-473E-4E81-9016-CD1032785828}"/>
    <cellStyle name="SAPBEXHLevel3X 4" xfId="4511" xr:uid="{D1F1FDB7-AF7E-4F91-A788-0E15ED5915DA}"/>
    <cellStyle name="SAPBEXHLevel3X 4 2" xfId="4512" xr:uid="{3F6090B3-5B9D-439B-BD23-50A5D34DEDF6}"/>
    <cellStyle name="SAPBEXHLevel3X 4 2 2" xfId="11010" xr:uid="{0B84F0CC-363D-494C-B3D3-5591B2FBBA29}"/>
    <cellStyle name="SAPBEXHLevel3X 4 3" xfId="4513" xr:uid="{330EF05D-F620-4304-955F-0793BD9CFE18}"/>
    <cellStyle name="SAPBEXHLevel3X 4 3 2" xfId="11011" xr:uid="{320071B4-6B90-4D58-B05E-1130A011F3D4}"/>
    <cellStyle name="SAPBEXHLevel3X 4 4" xfId="11009" xr:uid="{BF96798A-1F2A-4EEF-A81B-447315D64928}"/>
    <cellStyle name="SAPBEXHLevel3X 5" xfId="4514" xr:uid="{98812B3B-17BF-4318-9C9B-BDD3E9CFA3FE}"/>
    <cellStyle name="SAPBEXHLevel3X 5 2" xfId="4515" xr:uid="{8C930C0E-7B50-4D53-AA69-2DE738898051}"/>
    <cellStyle name="SAPBEXHLevel3X 5 2 2" xfId="11013" xr:uid="{DB79D6D6-A125-4DA3-9913-31C947FE6490}"/>
    <cellStyle name="SAPBEXHLevel3X 5 3" xfId="4516" xr:uid="{C09F6CDD-8570-4B71-BD89-91CAA8170464}"/>
    <cellStyle name="SAPBEXHLevel3X 5 3 2" xfId="11014" xr:uid="{636A67C4-17D0-4391-8EEA-184761941434}"/>
    <cellStyle name="SAPBEXHLevel3X 5 4" xfId="11012" xr:uid="{4E7DA789-DB53-430D-9392-26E38E66FAEB}"/>
    <cellStyle name="SAPBEXHLevel3X 6" xfId="4517" xr:uid="{C439C1DE-BB99-43C3-8FC7-D61D34A505E3}"/>
    <cellStyle name="SAPBEXHLevel3X 6 2" xfId="4518" xr:uid="{DEB397E0-73F2-4D83-93DB-D43FA54DD5F4}"/>
    <cellStyle name="SAPBEXHLevel3X 6 2 2" xfId="11016" xr:uid="{5C6D278B-E106-4748-828B-EF91E78197F4}"/>
    <cellStyle name="SAPBEXHLevel3X 6 3" xfId="4519" xr:uid="{ED4AAC2E-A1A9-43DD-8F65-D0251191CA6E}"/>
    <cellStyle name="SAPBEXHLevel3X 6 3 2" xfId="11017" xr:uid="{A28F4438-B8DD-43E4-8B07-5F100B1F3BD4}"/>
    <cellStyle name="SAPBEXHLevel3X 6 4" xfId="11015" xr:uid="{CE5099B0-D491-4C03-A372-7EC612AA92FE}"/>
    <cellStyle name="SAPBEXHLevel3X 7" xfId="4520" xr:uid="{26665292-D9B8-4ACB-8314-41F419FCA3D2}"/>
    <cellStyle name="SAPBEXHLevel3X 7 2" xfId="4521" xr:uid="{18E260B4-3B85-4D2A-8C85-74F0219C2357}"/>
    <cellStyle name="SAPBEXHLevel3X 7 2 2" xfId="11019" xr:uid="{782E96E3-5A11-4DAF-A50F-BEFEB8656D58}"/>
    <cellStyle name="SAPBEXHLevel3X 7 3" xfId="4522" xr:uid="{CC8B6BF4-B070-4C8D-AE7D-57304BDA7501}"/>
    <cellStyle name="SAPBEXHLevel3X 7 3 2" xfId="11020" xr:uid="{9293AD4A-DA59-423D-8CCB-5533326B680E}"/>
    <cellStyle name="SAPBEXHLevel3X 7 4" xfId="11018" xr:uid="{B44192EF-F11B-4C9D-AD68-4873505C25A1}"/>
    <cellStyle name="SAPBEXHLevel3X 8" xfId="4523" xr:uid="{80D2C1AE-D799-44FA-9F67-2FB929FC8571}"/>
    <cellStyle name="SAPBEXHLevel3X 8 2" xfId="4524" xr:uid="{25DCEB7E-2744-4E8D-9BEE-295626F34ED8}"/>
    <cellStyle name="SAPBEXHLevel3X 8 2 2" xfId="11022" xr:uid="{99154CB8-E6B3-463E-87FB-32CACAD55C65}"/>
    <cellStyle name="SAPBEXHLevel3X 8 3" xfId="4525" xr:uid="{4F45ED9C-44E7-4C0A-8E5D-168E98AB5462}"/>
    <cellStyle name="SAPBEXHLevel3X 8 3 2" xfId="11023" xr:uid="{0A86A3A5-38DD-47EB-8C74-DE0668299A6A}"/>
    <cellStyle name="SAPBEXHLevel3X 8 4" xfId="11021" xr:uid="{FDD5C426-FAD6-47C6-A456-9ED57ECE023C}"/>
    <cellStyle name="SAPBEXHLevel3X 9" xfId="4526" xr:uid="{5A20D5A4-571D-40DF-9848-32A2830DBB53}"/>
    <cellStyle name="SAPBEXHLevel3X 9 2" xfId="11024" xr:uid="{8B56CC03-44C0-4DED-AAD5-276EEAD08031}"/>
    <cellStyle name="SAPBEXresData" xfId="4527" xr:uid="{D7ED2337-EF99-41B1-802E-7EF7E4C3C422}"/>
    <cellStyle name="SAPBEXresData 2" xfId="4528" xr:uid="{3A01A26C-F058-48AA-BC73-738DE53283BE}"/>
    <cellStyle name="SAPBEXresData 2 2" xfId="4529" xr:uid="{2CBCFA6A-746D-4035-B31A-543564C2F62C}"/>
    <cellStyle name="SAPBEXresData 2 2 2" xfId="11027" xr:uid="{79256A7B-8344-4962-9736-FBAAE6DBE0FD}"/>
    <cellStyle name="SAPBEXresData 2 3" xfId="11026" xr:uid="{0A82AF9B-F7AA-44FD-B25C-55861718ED11}"/>
    <cellStyle name="SAPBEXresData 3" xfId="4530" xr:uid="{6B0D2170-AE15-4041-8DA2-F1F8E0BD59DC}"/>
    <cellStyle name="SAPBEXresData 3 2" xfId="4531" xr:uid="{CB761FC8-AC84-4F16-94CF-D379CEFD601F}"/>
    <cellStyle name="SAPBEXresData 3 2 2" xfId="11029" xr:uid="{FFB30E53-2398-47ED-A5CF-174E01EC2319}"/>
    <cellStyle name="SAPBEXresData 3 3" xfId="11028" xr:uid="{E294DFB6-D250-4778-B9DE-132B9E91A940}"/>
    <cellStyle name="SAPBEXresData 4" xfId="4532" xr:uid="{3A255BD0-A0F8-4E37-9B42-3FE14C69768C}"/>
    <cellStyle name="SAPBEXresData 4 2" xfId="4533" xr:uid="{788C356B-81AC-4430-A87A-D6F423D48900}"/>
    <cellStyle name="SAPBEXresData 4 2 2" xfId="11031" xr:uid="{483A1F2A-904E-4334-8B6F-34FB26332ABC}"/>
    <cellStyle name="SAPBEXresData 4 3" xfId="11030" xr:uid="{2057B4FB-C6A4-4B8C-B3DE-66CBFEBB4810}"/>
    <cellStyle name="SAPBEXresData 5" xfId="4534" xr:uid="{17B8CFD4-F0B6-4D20-8A92-51EED3DEB265}"/>
    <cellStyle name="SAPBEXresData 5 2" xfId="4535" xr:uid="{A429A9A8-A9C1-4C6B-BB39-4C11952A085C}"/>
    <cellStyle name="SAPBEXresData 5 2 2" xfId="11033" xr:uid="{17003812-5343-46D6-8619-5CCE62C6C1E8}"/>
    <cellStyle name="SAPBEXresData 5 3" xfId="11032" xr:uid="{5DF5857B-A27F-40E8-A815-D2925A967E83}"/>
    <cellStyle name="SAPBEXresData 6" xfId="5731" xr:uid="{FBE0A196-8D99-40FE-8A0B-E942BA976E27}"/>
    <cellStyle name="SAPBEXresData 6 10" xfId="20104" xr:uid="{BED25AA8-7E3C-4636-AB7D-D3DE9F217411}"/>
    <cellStyle name="SAPBEXresData 6 11" xfId="20874" xr:uid="{174CA3BB-99FC-418D-A8D1-9F3B50745E29}"/>
    <cellStyle name="SAPBEXresData 6 12" xfId="21719" xr:uid="{A67BA7BE-1D9D-4621-A59E-350978FE279F}"/>
    <cellStyle name="SAPBEXresData 6 13" xfId="17920" xr:uid="{6867F1AA-0D2C-469C-BBF7-D6C5975F8711}"/>
    <cellStyle name="SAPBEXresData 6 14" xfId="23383" xr:uid="{A2942C52-C890-4385-B264-6AAFF7515121}"/>
    <cellStyle name="SAPBEXresData 6 15" xfId="24184" xr:uid="{CAF0AB6F-21E4-4C20-A723-FF01D91FEB8F}"/>
    <cellStyle name="SAPBEXresData 6 16" xfId="25013" xr:uid="{171DE970-3326-474F-AF09-37E55942E78A}"/>
    <cellStyle name="SAPBEXresData 6 17" xfId="23535" xr:uid="{F50FE936-77A6-47FC-907E-4707DC66746A}"/>
    <cellStyle name="SAPBEXresData 6 18" xfId="26423" xr:uid="{6D6CADA5-3AE7-4BF5-8D03-6FAA16A6E26E}"/>
    <cellStyle name="SAPBEXresData 6 19" xfId="26783" xr:uid="{F348144C-B985-405B-9800-46BC182F55B0}"/>
    <cellStyle name="SAPBEXresData 6 2" xfId="13457" xr:uid="{A35CDB9E-289B-4C15-8C98-CF8C5ACC0F98}"/>
    <cellStyle name="SAPBEXresData 6 20" xfId="27486" xr:uid="{A0991964-3053-4C30-B343-86641C8E586F}"/>
    <cellStyle name="SAPBEXresData 6 21" xfId="28018" xr:uid="{A6A0FDBD-A894-422F-95A0-B0657EE7E971}"/>
    <cellStyle name="SAPBEXresData 6 22" xfId="28749" xr:uid="{550A7098-4441-408C-B0F0-AF50A7C70E29}"/>
    <cellStyle name="SAPBEXresData 6 23" xfId="28196" xr:uid="{732666C0-D4B3-4BEC-90B9-35FF8576AC6D}"/>
    <cellStyle name="SAPBEXresData 6 24" xfId="28215" xr:uid="{867F48A7-BB3E-4F9A-9068-AAEB460B7E67}"/>
    <cellStyle name="SAPBEXresData 6 25" xfId="29695" xr:uid="{755303F1-DCE7-4E0E-866A-5D4FD80D6AFE}"/>
    <cellStyle name="SAPBEXresData 6 26" xfId="30369" xr:uid="{9B756F14-B1EF-4C81-8DDE-443C3332CC5D}"/>
    <cellStyle name="SAPBEXresData 6 27" xfId="30492" xr:uid="{0BAA62BD-EEBB-4E11-B239-374822AD4372}"/>
    <cellStyle name="SAPBEXresData 6 28" xfId="30833" xr:uid="{43D5AD0D-EAC6-4734-89F7-064A3E3C53EB}"/>
    <cellStyle name="SAPBEXresData 6 29" xfId="30997" xr:uid="{29117394-0A80-4367-94ED-C73413E78EF6}"/>
    <cellStyle name="SAPBEXresData 6 3" xfId="14387" xr:uid="{A87DF1EA-E5DF-40F8-92D2-B59A1AD91A9A}"/>
    <cellStyle name="SAPBEXresData 6 30" xfId="31159" xr:uid="{5D8A871F-D7CE-43BF-8970-AFA1E2E3C878}"/>
    <cellStyle name="SAPBEXresData 6 31" xfId="31266" xr:uid="{D14F10AC-1198-48A9-BAEA-98BEFAA2465D}"/>
    <cellStyle name="SAPBEXresData 6 32" xfId="6874" xr:uid="{BA068BBC-88AC-4C7E-9A2F-424630051149}"/>
    <cellStyle name="SAPBEXresData 6 4" xfId="15143" xr:uid="{776D2B19-B5B2-435C-B0AF-45C7583EBDF4}"/>
    <cellStyle name="SAPBEXresData 6 5" xfId="12810" xr:uid="{D8201173-7B54-4697-9DA8-F4048CCE561D}"/>
    <cellStyle name="SAPBEXresData 6 6" xfId="16786" xr:uid="{C64D228A-5837-403E-8708-3A7B8DF71D3A}"/>
    <cellStyle name="SAPBEXresData 6 7" xfId="17655" xr:uid="{9DBDAEA1-EC34-488D-9C18-5E4DE8A8221C}"/>
    <cellStyle name="SAPBEXresData 6 8" xfId="18507" xr:uid="{31A98660-89E5-4B52-86FB-9CD314FAEF51}"/>
    <cellStyle name="SAPBEXresData 6 9" xfId="19349" xr:uid="{4C9A6337-39BB-48EB-B65E-A29B1170BB76}"/>
    <cellStyle name="SAPBEXresData 7" xfId="11025" xr:uid="{A76B6B32-88B8-4A7C-8548-EE08E34325D8}"/>
    <cellStyle name="SAPBEXresDataEmph" xfId="4536" xr:uid="{061EFF8D-99BD-432B-87E3-0A6552CE4E45}"/>
    <cellStyle name="SAPBEXresDataEmph 2" xfId="4537" xr:uid="{1D2081B5-BAD6-4E71-BD20-D0B846C3FC62}"/>
    <cellStyle name="SAPBEXresDataEmph 2 2" xfId="4538" xr:uid="{6FAA9392-E768-4428-A9EF-38A7506FBBF0}"/>
    <cellStyle name="SAPBEXresDataEmph 2 2 2" xfId="11036" xr:uid="{35A37918-22A6-458E-96AC-CA2235AF0B2C}"/>
    <cellStyle name="SAPBEXresDataEmph 2 3" xfId="11035" xr:uid="{0F6EFBF3-CFBB-422D-92A7-8FD51B09E7AC}"/>
    <cellStyle name="SAPBEXresDataEmph 3" xfId="4539" xr:uid="{7F1E41C3-8595-4CEA-838D-E500DDFBF395}"/>
    <cellStyle name="SAPBEXresDataEmph 3 2" xfId="4540" xr:uid="{FA533321-2860-4A93-8524-EBC568A6CA62}"/>
    <cellStyle name="SAPBEXresDataEmph 3 2 2" xfId="11038" xr:uid="{735506D7-9EC9-4D49-A6FF-31B14D8E80F6}"/>
    <cellStyle name="SAPBEXresDataEmph 3 3" xfId="11037" xr:uid="{5182FC1C-1004-421B-BBFA-6080B32B5214}"/>
    <cellStyle name="SAPBEXresDataEmph 4" xfId="4541" xr:uid="{68B5A0A2-43AD-4B1A-A05D-59A98697EDE5}"/>
    <cellStyle name="SAPBEXresDataEmph 4 2" xfId="4542" xr:uid="{7490A46D-F57E-497E-B537-AA280342D373}"/>
    <cellStyle name="SAPBEXresDataEmph 4 2 2" xfId="11040" xr:uid="{7EDE1FE2-9FFF-4139-B621-C2DD1FD9A94F}"/>
    <cellStyle name="SAPBEXresDataEmph 4 3" xfId="11039" xr:uid="{076D5354-DF53-452A-AA43-154280181738}"/>
    <cellStyle name="SAPBEXresDataEmph 5" xfId="4543" xr:uid="{530B61F3-0167-4A4D-90B8-73BBFDFE2B35}"/>
    <cellStyle name="SAPBEXresDataEmph 5 2" xfId="4544" xr:uid="{415E14BD-2B24-4171-BBB0-6704D96E57D6}"/>
    <cellStyle name="SAPBEXresDataEmph 5 2 2" xfId="11042" xr:uid="{6D0741D2-0509-4675-ABDE-748C2611EAE0}"/>
    <cellStyle name="SAPBEXresDataEmph 5 3" xfId="11041" xr:uid="{B3643125-FE36-4AEA-9A0B-2218F7B2DBAE}"/>
    <cellStyle name="SAPBEXresDataEmph 6" xfId="5732" xr:uid="{233E34AF-875A-4861-9DAB-181D617F95A1}"/>
    <cellStyle name="SAPBEXresDataEmph 6 10" xfId="20105" xr:uid="{1F2B4A80-8BAA-4C3D-8701-B2C92A47788C}"/>
    <cellStyle name="SAPBEXresDataEmph 6 11" xfId="20875" xr:uid="{821D1CFC-877B-459A-993E-D4FB8C01B809}"/>
    <cellStyle name="SAPBEXresDataEmph 6 12" xfId="21720" xr:uid="{4A445BF1-917D-4E15-93CF-C212BED5B47E}"/>
    <cellStyle name="SAPBEXresDataEmph 6 13" xfId="21771" xr:uid="{6666934B-810F-45F8-A3BE-8289BA456234}"/>
    <cellStyle name="SAPBEXresDataEmph 6 14" xfId="23384" xr:uid="{737DC51F-64F5-41E8-A5D6-6480D4D7ECA5}"/>
    <cellStyle name="SAPBEXresDataEmph 6 15" xfId="24185" xr:uid="{066361E5-6AD7-4D56-BBF8-6DDB349683E6}"/>
    <cellStyle name="SAPBEXresDataEmph 6 16" xfId="25014" xr:uid="{6CADBC50-358D-49C8-951E-F72D90C82F79}"/>
    <cellStyle name="SAPBEXresDataEmph 6 17" xfId="25072" xr:uid="{3F664EB6-7846-4075-AEC2-7A938E2B6178}"/>
    <cellStyle name="SAPBEXresDataEmph 6 18" xfId="26424" xr:uid="{D789488D-EF78-42A4-BCFA-7A3E72285208}"/>
    <cellStyle name="SAPBEXresDataEmph 6 19" xfId="26784" xr:uid="{6ECA1866-F1F5-4B08-A289-385CCFE3A7F0}"/>
    <cellStyle name="SAPBEXresDataEmph 6 2" xfId="13458" xr:uid="{0E6F4290-5D26-428C-8C21-3C84943F7DED}"/>
    <cellStyle name="SAPBEXresDataEmph 6 20" xfId="27487" xr:uid="{0BC0EE02-C19E-4F88-A176-E127019186C5}"/>
    <cellStyle name="SAPBEXresDataEmph 6 21" xfId="28019" xr:uid="{C04A3FFF-79FF-437A-949B-7B5A1D72A2A6}"/>
    <cellStyle name="SAPBEXresDataEmph 6 22" xfId="28750" xr:uid="{4C37DA83-D1F0-408F-8195-26C5002F9540}"/>
    <cellStyle name="SAPBEXresDataEmph 6 23" xfId="28197" xr:uid="{E9777B04-44C3-4114-98D4-6ABA1947B236}"/>
    <cellStyle name="SAPBEXresDataEmph 6 24" xfId="29143" xr:uid="{6C0E4340-D1E1-428F-87AF-0E75F5F72033}"/>
    <cellStyle name="SAPBEXresDataEmph 6 25" xfId="30069" xr:uid="{43DC0FAD-A2F5-493E-AB2D-B2D9E6DBBA06}"/>
    <cellStyle name="SAPBEXresDataEmph 6 26" xfId="30370" xr:uid="{F1764D7F-6783-463C-832F-D21BBEB99CF1}"/>
    <cellStyle name="SAPBEXresDataEmph 6 27" xfId="30493" xr:uid="{722EB3BA-507A-4932-8CED-F1BDE8966A6B}"/>
    <cellStyle name="SAPBEXresDataEmph 6 28" xfId="30834" xr:uid="{B57DAAE0-36FC-4EA3-B611-4228B6583E18}"/>
    <cellStyle name="SAPBEXresDataEmph 6 29" xfId="30998" xr:uid="{EC000B0D-7B19-4B29-99C8-2E5CBC0D3224}"/>
    <cellStyle name="SAPBEXresDataEmph 6 3" xfId="14388" xr:uid="{4B1E83BD-1537-4EA0-AD36-9CC1FD299F23}"/>
    <cellStyle name="SAPBEXresDataEmph 6 30" xfId="31160" xr:uid="{CDCE46D2-DD11-4A37-AF1D-A223176FF815}"/>
    <cellStyle name="SAPBEXresDataEmph 6 31" xfId="31267" xr:uid="{701D53B8-DC2F-4A3C-A807-8A854D6D15BD}"/>
    <cellStyle name="SAPBEXresDataEmph 6 32" xfId="6875" xr:uid="{0A4A9F72-C544-4472-AD56-A901D67258AD}"/>
    <cellStyle name="SAPBEXresDataEmph 6 4" xfId="15144" xr:uid="{2743A4FD-22F2-4412-BA12-6A25A1E8F3EB}"/>
    <cellStyle name="SAPBEXresDataEmph 6 5" xfId="15193" xr:uid="{7CBCED81-8FBC-410E-8AB9-E466EC92D632}"/>
    <cellStyle name="SAPBEXresDataEmph 6 6" xfId="16787" xr:uid="{0D46B839-43B4-4576-918E-4F78FAA419ED}"/>
    <cellStyle name="SAPBEXresDataEmph 6 7" xfId="17656" xr:uid="{6B06F573-5AB8-4F37-AD25-A0D94ABE8DC1}"/>
    <cellStyle name="SAPBEXresDataEmph 6 8" xfId="18508" xr:uid="{F64933AA-BD97-4E7B-9AFA-E72DB4FF098D}"/>
    <cellStyle name="SAPBEXresDataEmph 6 9" xfId="19350" xr:uid="{A7520976-9D5B-4733-848D-97F2D79DFAA2}"/>
    <cellStyle name="SAPBEXresDataEmph 7" xfId="11034" xr:uid="{962F50C0-E8DD-4995-BEEA-0BDFB023B8EF}"/>
    <cellStyle name="SAPBEXresItem" xfId="4545" xr:uid="{8892511A-B94F-43C8-9055-6A999548FA3D}"/>
    <cellStyle name="SAPBEXresItem 2" xfId="4546" xr:uid="{725F394B-7F13-4550-A8B4-3ECAA96666D3}"/>
    <cellStyle name="SAPBEXresItem 2 2" xfId="4547" xr:uid="{6F53330C-BDB6-48DB-AE94-FCF2DD98C54B}"/>
    <cellStyle name="SAPBEXresItem 2 2 2" xfId="11045" xr:uid="{7B722052-3AAF-4870-AD58-1CE2AA5F8DBB}"/>
    <cellStyle name="SAPBEXresItem 2 3" xfId="11044" xr:uid="{E043CDA6-351E-4BAE-990B-DEDC689BFC16}"/>
    <cellStyle name="SAPBEXresItem 3" xfId="4548" xr:uid="{EF277202-56BC-4890-A3E4-CD9D2772E27E}"/>
    <cellStyle name="SAPBEXresItem 3 2" xfId="4549" xr:uid="{2D5439AD-1721-40CB-BE77-E27A0BC0C134}"/>
    <cellStyle name="SAPBEXresItem 3 2 2" xfId="11047" xr:uid="{57C729D4-9667-456B-9071-F4819B951B86}"/>
    <cellStyle name="SAPBEXresItem 3 3" xfId="11046" xr:uid="{6F99FAB4-F321-423A-AA38-803F806F5468}"/>
    <cellStyle name="SAPBEXresItem 4" xfId="4550" xr:uid="{8DF9585A-522C-48EF-BD45-80C2FC9E2200}"/>
    <cellStyle name="SAPBEXresItem 4 2" xfId="4551" xr:uid="{350525D3-E10A-4E82-88B7-20B1E7C169DC}"/>
    <cellStyle name="SAPBEXresItem 4 2 2" xfId="11049" xr:uid="{812E8CF6-C59B-42C9-B15B-3CE8236E6D41}"/>
    <cellStyle name="SAPBEXresItem 4 3" xfId="11048" xr:uid="{F9CE4EC6-925D-42F8-AD98-CA6DEEFC6785}"/>
    <cellStyle name="SAPBEXresItem 5" xfId="4552" xr:uid="{9F66B195-1011-4AED-B8CE-13A579F12130}"/>
    <cellStyle name="SAPBEXresItem 5 2" xfId="4553" xr:uid="{F6E475F8-EDE7-42F2-9ED9-12E43029D2D4}"/>
    <cellStyle name="SAPBEXresItem 5 2 2" xfId="11051" xr:uid="{AEA2DA06-9D12-4E2F-BCC2-F05674F24283}"/>
    <cellStyle name="SAPBEXresItem 5 3" xfId="11050" xr:uid="{F6D6D534-E269-4AD0-A93D-78CF2112438C}"/>
    <cellStyle name="SAPBEXresItem 6" xfId="5733" xr:uid="{996CD8A9-051B-4976-AB8F-6A0BEE1B874B}"/>
    <cellStyle name="SAPBEXresItem 6 10" xfId="20106" xr:uid="{B4C302CD-D1A8-4E7C-9F7A-FBD4BB1775ED}"/>
    <cellStyle name="SAPBEXresItem 6 11" xfId="20876" xr:uid="{E627642E-950D-418C-82DB-798E12A6F02A}"/>
    <cellStyle name="SAPBEXresItem 6 12" xfId="21721" xr:uid="{5F691A5A-EB67-4516-94A5-5FF047F45FA4}"/>
    <cellStyle name="SAPBEXresItem 6 13" xfId="20246" xr:uid="{B9819250-C6AD-45FA-A126-7E4AC279C3F4}"/>
    <cellStyle name="SAPBEXresItem 6 14" xfId="23385" xr:uid="{DB590232-E779-4E86-93CB-04D1A8F40DC7}"/>
    <cellStyle name="SAPBEXresItem 6 15" xfId="24186" xr:uid="{9141A845-F0CE-4D28-BC50-B75B91D0CA90}"/>
    <cellStyle name="SAPBEXresItem 6 16" xfId="25015" xr:uid="{41763D1C-06C6-4E3A-A95C-96F508F1169D}"/>
    <cellStyle name="SAPBEXresItem 6 17" xfId="22804" xr:uid="{E61267C2-1C14-4F8A-A049-7D4C2F849655}"/>
    <cellStyle name="SAPBEXresItem 6 18" xfId="26425" xr:uid="{35BA9F0D-BA69-4FE8-9AC3-BB37D01235DB}"/>
    <cellStyle name="SAPBEXresItem 6 19" xfId="26785" xr:uid="{9B4AD20C-945E-422C-A9D8-F7A9F8DE8639}"/>
    <cellStyle name="SAPBEXresItem 6 2" xfId="13459" xr:uid="{D4C590C4-AB5C-430B-9291-11617BF76772}"/>
    <cellStyle name="SAPBEXresItem 6 20" xfId="27488" xr:uid="{C1B52800-E868-4303-8FAB-9E33B7052EA4}"/>
    <cellStyle name="SAPBEXresItem 6 21" xfId="28020" xr:uid="{F3936C26-9408-4197-987D-87A52EFF6B72}"/>
    <cellStyle name="SAPBEXresItem 6 22" xfId="28751" xr:uid="{A0E62078-1245-4637-A595-EA6934DA2A9A}"/>
    <cellStyle name="SAPBEXresItem 6 23" xfId="28198" xr:uid="{6095BCD9-7204-4D33-A7BC-632B8E79F756}"/>
    <cellStyle name="SAPBEXresItem 6 24" xfId="28867" xr:uid="{30DAB30C-0407-48EB-81FA-B2CBF05D9F4B}"/>
    <cellStyle name="SAPBEXresItem 6 25" xfId="29696" xr:uid="{33E08A8D-9D6B-40AC-A194-03F850B92AD2}"/>
    <cellStyle name="SAPBEXresItem 6 26" xfId="30371" xr:uid="{491B0E3B-B877-45D6-A7BE-E264BF4202BE}"/>
    <cellStyle name="SAPBEXresItem 6 27" xfId="30494" xr:uid="{5EC73A76-836F-4708-BE1F-08E085ACAA4D}"/>
    <cellStyle name="SAPBEXresItem 6 28" xfId="30835" xr:uid="{D63E0F1E-CB47-4F2D-995E-35B16F6EE24C}"/>
    <cellStyle name="SAPBEXresItem 6 29" xfId="30999" xr:uid="{45578B06-661C-4D02-893F-5B97408C10A5}"/>
    <cellStyle name="SAPBEXresItem 6 3" xfId="14389" xr:uid="{A11F3FAF-19B9-4596-B10F-23CFDEFB3EEA}"/>
    <cellStyle name="SAPBEXresItem 6 30" xfId="31161" xr:uid="{A414908A-B46B-4D38-BACE-FE0005775037}"/>
    <cellStyle name="SAPBEXresItem 6 31" xfId="31268" xr:uid="{D5A2C307-A7C8-4403-8C85-7E6634CA2790}"/>
    <cellStyle name="SAPBEXresItem 6 32" xfId="6876" xr:uid="{A88FE225-2394-4C8D-B7D9-913E79D0D038}"/>
    <cellStyle name="SAPBEXresItem 6 4" xfId="15145" xr:uid="{1218B930-E877-441C-B61B-2547EEE51064}"/>
    <cellStyle name="SAPBEXresItem 6 5" xfId="13536" xr:uid="{1C39C39E-94F7-43CB-93BD-4C9B884A7E7C}"/>
    <cellStyle name="SAPBEXresItem 6 6" xfId="16788" xr:uid="{9BC38057-9922-49E6-8F05-D76771D97F5D}"/>
    <cellStyle name="SAPBEXresItem 6 7" xfId="17657" xr:uid="{2CE59BEC-8833-4660-82CF-42DE9546106D}"/>
    <cellStyle name="SAPBEXresItem 6 8" xfId="18509" xr:uid="{7D4B0141-4E26-475D-9F4B-F95CC6493BCA}"/>
    <cellStyle name="SAPBEXresItem 6 9" xfId="19351" xr:uid="{7D68D594-8779-4544-887D-9E1A21EAD20D}"/>
    <cellStyle name="SAPBEXresItem 7" xfId="11043" xr:uid="{220CCE89-2D45-4C4E-B277-1A016F99C26D}"/>
    <cellStyle name="SAPBEXresItemX" xfId="4554" xr:uid="{72275FDD-6049-4701-B922-88284EEEAC5C}"/>
    <cellStyle name="SAPBEXresItemX 2" xfId="4555" xr:uid="{6BF43ECE-4587-4D46-9527-548CD96ACD1F}"/>
    <cellStyle name="SAPBEXresItemX 2 2" xfId="4556" xr:uid="{061C2092-FC51-48E6-A6BC-AB22C0002FE3}"/>
    <cellStyle name="SAPBEXresItemX 2 2 2" xfId="11054" xr:uid="{AF3C4A24-569D-4164-B79E-1570ABB5797A}"/>
    <cellStyle name="SAPBEXresItemX 2 3" xfId="11053" xr:uid="{79714DF9-8F54-461F-8159-ED1EF051D8C5}"/>
    <cellStyle name="SAPBEXresItemX 3" xfId="4557" xr:uid="{6C1322BD-50FB-44C4-BA4D-FD8F792D995C}"/>
    <cellStyle name="SAPBEXresItemX 3 2" xfId="4558" xr:uid="{CD2A6C4F-962A-49F0-8636-50A0ACC47FF8}"/>
    <cellStyle name="SAPBEXresItemX 3 2 2" xfId="11056" xr:uid="{B6000686-387F-4FA3-A9B2-30210777B636}"/>
    <cellStyle name="SAPBEXresItemX 3 3" xfId="11055" xr:uid="{46679CDA-231F-4504-A750-FF73BDCB5FAE}"/>
    <cellStyle name="SAPBEXresItemX 4" xfId="4559" xr:uid="{02625A96-59DE-4C0A-AE13-9A2A77D66825}"/>
    <cellStyle name="SAPBEXresItemX 4 2" xfId="4560" xr:uid="{C1E5A713-DF14-4CC6-A1E6-33AA95BDD3CC}"/>
    <cellStyle name="SAPBEXresItemX 4 2 2" xfId="11058" xr:uid="{0BF1BD04-9538-43F5-99AC-F6167AD969B8}"/>
    <cellStyle name="SAPBEXresItemX 4 3" xfId="11057" xr:uid="{B0F79EA7-B66F-42F2-92D0-5821BD1E48F0}"/>
    <cellStyle name="SAPBEXresItemX 5" xfId="4561" xr:uid="{8D10FEA2-6F31-4C66-87D0-57E0157EEE07}"/>
    <cellStyle name="SAPBEXresItemX 5 2" xfId="4562" xr:uid="{C8C3A287-6E36-469D-8E3F-C9F9364E7FB4}"/>
    <cellStyle name="SAPBEXresItemX 5 2 2" xfId="11060" xr:uid="{4DDDC110-23A9-413C-BFE1-E4D6A0D5510D}"/>
    <cellStyle name="SAPBEXresItemX 5 3" xfId="11059" xr:uid="{AEC8807B-E958-4FC5-B9BC-888EEB91FE2C}"/>
    <cellStyle name="SAPBEXresItemX 6" xfId="5734" xr:uid="{085B4423-1FA1-47E9-9086-01AEABA7F44F}"/>
    <cellStyle name="SAPBEXresItemX 6 10" xfId="20107" xr:uid="{B700D61D-E175-46A3-803F-EA2B081856A7}"/>
    <cellStyle name="SAPBEXresItemX 6 11" xfId="20877" xr:uid="{8BA775FA-8086-47FE-AA41-095B55E7838C}"/>
    <cellStyle name="SAPBEXresItemX 6 12" xfId="21722" xr:uid="{8A4CD784-E036-488D-B48E-F7A3905EEA93}"/>
    <cellStyle name="SAPBEXresItemX 6 13" xfId="21772" xr:uid="{14E9A6EE-A444-4D41-87CE-D3596AAD1381}"/>
    <cellStyle name="SAPBEXresItemX 6 14" xfId="23386" xr:uid="{F16D28A0-B929-428A-B625-B447A6BD83B4}"/>
    <cellStyle name="SAPBEXresItemX 6 15" xfId="24187" xr:uid="{7DCB7E1E-2BA4-40B0-8F15-C1999073EB30}"/>
    <cellStyle name="SAPBEXresItemX 6 16" xfId="25016" xr:uid="{ADF7DF9F-416A-47C6-A8BA-E872278B844E}"/>
    <cellStyle name="SAPBEXresItemX 6 17" xfId="25073" xr:uid="{837EBB81-E9A4-4C1D-95D3-51F99FAB1B7B}"/>
    <cellStyle name="SAPBEXresItemX 6 18" xfId="26426" xr:uid="{E64ED45B-F61B-4DF1-B7D1-98127A3F95E2}"/>
    <cellStyle name="SAPBEXresItemX 6 19" xfId="26786" xr:uid="{185409FF-1F94-4B05-9D8E-D8A5463ACC03}"/>
    <cellStyle name="SAPBEXresItemX 6 2" xfId="13460" xr:uid="{CFD24809-5F25-46BE-A234-A6CD98055F5B}"/>
    <cellStyle name="SAPBEXresItemX 6 20" xfId="27489" xr:uid="{50931D0F-F01D-496A-B87E-6952BE1EF094}"/>
    <cellStyle name="SAPBEXresItemX 6 21" xfId="28021" xr:uid="{9C5DB1AB-8D12-44B2-A098-A8031A0DE439}"/>
    <cellStyle name="SAPBEXresItemX 6 22" xfId="28752" xr:uid="{F55538D5-E035-4C48-B741-ACBF552ACC63}"/>
    <cellStyle name="SAPBEXresItemX 6 23" xfId="28199" xr:uid="{5640BDA5-158D-4231-A7BA-6C3F6BD7CC59}"/>
    <cellStyle name="SAPBEXresItemX 6 24" xfId="27660" xr:uid="{556E275B-C5A9-4E5A-BDC4-482B8C31AA53}"/>
    <cellStyle name="SAPBEXresItemX 6 25" xfId="30070" xr:uid="{32304FF3-0597-4FAE-AB3D-9F5621FF3EED}"/>
    <cellStyle name="SAPBEXresItemX 6 26" xfId="30372" xr:uid="{6CC5CC85-5409-430E-B8F2-4BBC4B466726}"/>
    <cellStyle name="SAPBEXresItemX 6 27" xfId="30495" xr:uid="{67BBB897-D54A-468E-9D14-F811E0075901}"/>
    <cellStyle name="SAPBEXresItemX 6 28" xfId="30836" xr:uid="{A96E17DB-9B4D-490C-B15C-4656B8EADD5C}"/>
    <cellStyle name="SAPBEXresItemX 6 29" xfId="31000" xr:uid="{C1DF6A37-0B74-48A7-8646-19ADDB44125D}"/>
    <cellStyle name="SAPBEXresItemX 6 3" xfId="14390" xr:uid="{99D6D153-FAC9-4D04-AB06-7FBEB36BD021}"/>
    <cellStyle name="SAPBEXresItemX 6 30" xfId="31162" xr:uid="{0DE4CDBA-8EFF-47E9-BA42-48718F42CD48}"/>
    <cellStyle name="SAPBEXresItemX 6 31" xfId="31269" xr:uid="{08075772-6EFE-4482-87E8-5CFEB9ABCE93}"/>
    <cellStyle name="SAPBEXresItemX 6 32" xfId="6877" xr:uid="{5C6CA1EB-5FB6-4428-9327-588650545908}"/>
    <cellStyle name="SAPBEXresItemX 6 4" xfId="15146" xr:uid="{5C0D15A3-1F28-40E4-B185-3FAD74415BB1}"/>
    <cellStyle name="SAPBEXresItemX 6 5" xfId="15194" xr:uid="{7A7FFB3A-77F4-4831-B663-62576248BC56}"/>
    <cellStyle name="SAPBEXresItemX 6 6" xfId="16789" xr:uid="{B2982C92-EAA8-419D-B0FE-9168C004D420}"/>
    <cellStyle name="SAPBEXresItemX 6 7" xfId="17658" xr:uid="{0A691D35-D2EE-450D-BD51-95771D92B4A3}"/>
    <cellStyle name="SAPBEXresItemX 6 8" xfId="18510" xr:uid="{A1517B05-B376-4E4D-B934-A839890CABE8}"/>
    <cellStyle name="SAPBEXresItemX 6 9" xfId="19352" xr:uid="{440B5BC8-8CF8-472C-B0D0-7A3CDAACA4BA}"/>
    <cellStyle name="SAPBEXresItemX 7" xfId="11052" xr:uid="{6421CCC9-DA7C-462B-AAAD-D7D4F2FF39CA}"/>
    <cellStyle name="SAPBEXstdData" xfId="4563" xr:uid="{E351C519-74B5-4B43-AB8B-76619F635ADD}"/>
    <cellStyle name="SAPBEXstdData 2" xfId="4564" xr:uid="{66A50363-B8EC-4630-8CC0-DD660C8F7F23}"/>
    <cellStyle name="SAPBEXstdData 2 2" xfId="4565" xr:uid="{7769E1F8-3495-4E6A-807C-205BD854F2A0}"/>
    <cellStyle name="SAPBEXstdData 2 2 2" xfId="11063" xr:uid="{AB76E0EF-A58E-4101-9A36-9B801303161B}"/>
    <cellStyle name="SAPBEXstdData 2 3" xfId="11062" xr:uid="{61C23AEF-25DD-4EBF-9AD1-EE053C189C6D}"/>
    <cellStyle name="SAPBEXstdData 3" xfId="4566" xr:uid="{F8737EC9-24BF-46EF-84FC-2ADA585EE76F}"/>
    <cellStyle name="SAPBEXstdData 3 2" xfId="4567" xr:uid="{2C12E036-C334-406D-9E61-5439DC290E97}"/>
    <cellStyle name="SAPBEXstdData 3 2 2" xfId="11065" xr:uid="{FE8CFC1D-46F0-40A3-A13A-70A32239FC68}"/>
    <cellStyle name="SAPBEXstdData 3 3" xfId="11064" xr:uid="{03DF03AA-6EBC-42F9-AB06-AF5B78716BA1}"/>
    <cellStyle name="SAPBEXstdData 4" xfId="4568" xr:uid="{049CEEDA-C861-4A7B-B4F9-FBD42D4C8C99}"/>
    <cellStyle name="SAPBEXstdData 4 2" xfId="4569" xr:uid="{403176A0-35E6-4CAE-9F52-812398FAD956}"/>
    <cellStyle name="SAPBEXstdData 4 2 2" xfId="11067" xr:uid="{ACDC6B95-1B94-4784-AAEC-7A1D62BF206A}"/>
    <cellStyle name="SAPBEXstdData 4 3" xfId="11066" xr:uid="{89389387-BA1E-40E5-A59B-C40052D15267}"/>
    <cellStyle name="SAPBEXstdData 5" xfId="4570" xr:uid="{17E40B86-E61E-4CB2-AE18-1EF0072DD16D}"/>
    <cellStyle name="SAPBEXstdData 5 2" xfId="4571" xr:uid="{2BEB4E3C-B3DF-43D5-BE3D-64214C6FD893}"/>
    <cellStyle name="SAPBEXstdData 5 2 2" xfId="11069" xr:uid="{9309316F-97C2-40B5-BCBD-5D693349DC9D}"/>
    <cellStyle name="SAPBEXstdData 5 3" xfId="11068" xr:uid="{45941F8A-5088-4D53-A80C-8F30F787177E}"/>
    <cellStyle name="SAPBEXstdData 6" xfId="5735" xr:uid="{4BDAC592-D356-4DFD-A81B-6BF8C7E36833}"/>
    <cellStyle name="SAPBEXstdData 6 10" xfId="20108" xr:uid="{FABE929C-A761-451C-B72F-023798254858}"/>
    <cellStyle name="SAPBEXstdData 6 11" xfId="20878" xr:uid="{02D7A5FC-E93E-4B4C-AF83-DC601059637D}"/>
    <cellStyle name="SAPBEXstdData 6 12" xfId="21723" xr:uid="{552C0C5C-F48E-4B54-A98D-65913191AFE8}"/>
    <cellStyle name="SAPBEXstdData 6 13" xfId="18658" xr:uid="{9E67C1F9-217D-4BFD-ABCC-02533663D364}"/>
    <cellStyle name="SAPBEXstdData 6 14" xfId="23387" xr:uid="{39AE9C22-50D6-4A81-A3CE-2E9808433559}"/>
    <cellStyle name="SAPBEXstdData 6 15" xfId="24188" xr:uid="{41E868E3-E942-434F-B544-8AC3976485A7}"/>
    <cellStyle name="SAPBEXstdData 6 16" xfId="25017" xr:uid="{709EB04B-6F60-439A-A641-0374DE3D8018}"/>
    <cellStyle name="SAPBEXstdData 6 17" xfId="23536" xr:uid="{2C00CE61-0516-4BC5-9E4D-1A61CD29E1E3}"/>
    <cellStyle name="SAPBEXstdData 6 18" xfId="26427" xr:uid="{E0936920-37A4-47CD-8C20-FA56A0855499}"/>
    <cellStyle name="SAPBEXstdData 6 19" xfId="26787" xr:uid="{83C8CC8B-4A6C-4A00-A3C9-484601D2DE16}"/>
    <cellStyle name="SAPBEXstdData 6 2" xfId="13461" xr:uid="{1D3E0994-E4D8-4FFB-B653-DB56CDE6C869}"/>
    <cellStyle name="SAPBEXstdData 6 20" xfId="27490" xr:uid="{2DE25CB2-641D-4871-A62E-ACE99B94E160}"/>
    <cellStyle name="SAPBEXstdData 6 21" xfId="28022" xr:uid="{A2F781EF-93C4-48B2-8A99-86FECECF9BAF}"/>
    <cellStyle name="SAPBEXstdData 6 22" xfId="28753" xr:uid="{07C3F627-F413-47D4-88C2-DF31E0C0F2D8}"/>
    <cellStyle name="SAPBEXstdData 6 23" xfId="28848" xr:uid="{1A0D92D4-20AF-4BC6-9544-0540B51DA604}"/>
    <cellStyle name="SAPBEXstdData 6 24" xfId="28216" xr:uid="{579DB280-CC06-41B3-A2B4-A85CB828AA82}"/>
    <cellStyle name="SAPBEXstdData 6 25" xfId="29697" xr:uid="{16CBFB48-141C-4D74-A871-4D6F9D50FE4A}"/>
    <cellStyle name="SAPBEXstdData 6 26" xfId="30373" xr:uid="{BFB15475-0382-41CE-9055-2286A1E824F8}"/>
    <cellStyle name="SAPBEXstdData 6 27" xfId="30496" xr:uid="{9929ABB5-B40E-440E-8EF8-F80686C84181}"/>
    <cellStyle name="SAPBEXstdData 6 28" xfId="30837" xr:uid="{B0722045-A056-48F4-83E4-628DDA82837E}"/>
    <cellStyle name="SAPBEXstdData 6 29" xfId="31001" xr:uid="{A3263F52-16EC-41DF-A42A-ECBA4237A715}"/>
    <cellStyle name="SAPBEXstdData 6 3" xfId="14391" xr:uid="{3857B491-3A0F-435B-A0E2-E6C0A26FD4B4}"/>
    <cellStyle name="SAPBEXstdData 6 30" xfId="31163" xr:uid="{97752371-978D-407C-8102-4D07BFEB5A31}"/>
    <cellStyle name="SAPBEXstdData 6 31" xfId="31270" xr:uid="{7E64D9BE-ACA9-4C67-92DB-41371790BCE7}"/>
    <cellStyle name="SAPBEXstdData 6 32" xfId="6878" xr:uid="{A8364350-5431-43F8-8F9F-A756EF7328D0}"/>
    <cellStyle name="SAPBEXstdData 6 4" xfId="15147" xr:uid="{783848E5-3DF1-4327-A171-39E280BEF2AE}"/>
    <cellStyle name="SAPBEXstdData 6 5" xfId="12811" xr:uid="{17FB77B2-557A-4F55-88B5-C77B8E4F9351}"/>
    <cellStyle name="SAPBEXstdData 6 6" xfId="16790" xr:uid="{2A003641-097F-4EDC-9742-C00C3ED25893}"/>
    <cellStyle name="SAPBEXstdData 6 7" xfId="17659" xr:uid="{AB020EE6-EEC1-4054-B58A-76C18C0098B1}"/>
    <cellStyle name="SAPBEXstdData 6 8" xfId="18511" xr:uid="{D9D4C1C4-7526-44D8-8C58-64EB55BA1A6A}"/>
    <cellStyle name="SAPBEXstdData 6 9" xfId="19353" xr:uid="{E8EA5410-A247-45B8-B0AF-0B43C32F753A}"/>
    <cellStyle name="SAPBEXstdData 7" xfId="11061" xr:uid="{32D67A83-F8BF-404B-AEF3-D541E7E5F357}"/>
    <cellStyle name="SAPBEXstdDataEmph" xfId="4572" xr:uid="{FDD31215-548C-406D-B4EC-56F2747234DA}"/>
    <cellStyle name="SAPBEXstdDataEmph 2" xfId="4573" xr:uid="{85A142CD-297E-4208-807D-C9B897D68C14}"/>
    <cellStyle name="SAPBEXstdDataEmph 2 2" xfId="4574" xr:uid="{9735D343-5AB0-46AF-AA75-1719AC4E6475}"/>
    <cellStyle name="SAPBEXstdDataEmph 2 2 2" xfId="11072" xr:uid="{1907D917-89F6-45F8-BD12-F35D6905A296}"/>
    <cellStyle name="SAPBEXstdDataEmph 2 3" xfId="11071" xr:uid="{D3514F7C-1768-42A0-8997-DD7328562A6C}"/>
    <cellStyle name="SAPBEXstdDataEmph 3" xfId="4575" xr:uid="{B83888DD-0ED1-48E5-8584-82FBEDE77751}"/>
    <cellStyle name="SAPBEXstdDataEmph 3 2" xfId="4576" xr:uid="{ED87A488-938A-4EAA-8AD8-1A431A6A391F}"/>
    <cellStyle name="SAPBEXstdDataEmph 3 2 2" xfId="11074" xr:uid="{B26E5C3E-A848-4304-B376-10FBABAD8E30}"/>
    <cellStyle name="SAPBEXstdDataEmph 3 3" xfId="11073" xr:uid="{F436E5ED-AF9C-4A84-8470-FC4336EFEE1E}"/>
    <cellStyle name="SAPBEXstdDataEmph 4" xfId="4577" xr:uid="{FEB568B3-4EB1-4B5E-8765-852CA253257F}"/>
    <cellStyle name="SAPBEXstdDataEmph 4 2" xfId="4578" xr:uid="{7078005E-3532-4356-87F1-D17DAF96F9C8}"/>
    <cellStyle name="SAPBEXstdDataEmph 4 2 2" xfId="11076" xr:uid="{0ACE0BE3-F3BC-4A7C-A7D9-365EB9CA3FC9}"/>
    <cellStyle name="SAPBEXstdDataEmph 4 3" xfId="11075" xr:uid="{D61AC053-8414-4F98-A6F7-A561457352AB}"/>
    <cellStyle name="SAPBEXstdDataEmph 5" xfId="4579" xr:uid="{634399EE-7866-4507-B219-7CE56D2B7AB0}"/>
    <cellStyle name="SAPBEXstdDataEmph 5 2" xfId="4580" xr:uid="{C85516CB-2FC0-4170-9D46-8B98F917254F}"/>
    <cellStyle name="SAPBEXstdDataEmph 5 2 2" xfId="11078" xr:uid="{324628D9-5C1F-411D-B5E5-E319D8F03F84}"/>
    <cellStyle name="SAPBEXstdDataEmph 5 3" xfId="11077" xr:uid="{95886C7F-A97C-4EAE-A9B4-F20CDB9E861F}"/>
    <cellStyle name="SAPBEXstdDataEmph 6" xfId="5736" xr:uid="{7840BA44-0517-40E8-86B9-E645166BFA42}"/>
    <cellStyle name="SAPBEXstdDataEmph 6 10" xfId="20109" xr:uid="{CD8EC700-899E-49EF-84B0-E1AA693A7AE4}"/>
    <cellStyle name="SAPBEXstdDataEmph 6 11" xfId="20879" xr:uid="{C4561B19-4EB1-4A01-9397-EF433381D035}"/>
    <cellStyle name="SAPBEXstdDataEmph 6 12" xfId="21724" xr:uid="{707D2023-8547-4AFB-93E4-487FD01CFD0A}"/>
    <cellStyle name="SAPBEXstdDataEmph 6 13" xfId="21773" xr:uid="{DB3C3A9A-5B73-4D63-8F11-BE0A6534748D}"/>
    <cellStyle name="SAPBEXstdDataEmph 6 14" xfId="23388" xr:uid="{2168A933-67C4-446C-B3E7-7E78FDAABA89}"/>
    <cellStyle name="SAPBEXstdDataEmph 6 15" xfId="24189" xr:uid="{7A27A908-2B1C-416D-9EA2-60F8E16DA8B6}"/>
    <cellStyle name="SAPBEXstdDataEmph 6 16" xfId="25018" xr:uid="{70C3594E-02E2-4AD0-9AE0-CA18CF3349A9}"/>
    <cellStyle name="SAPBEXstdDataEmph 6 17" xfId="25074" xr:uid="{A5B99C57-E1D5-404A-90B9-9345373E8F80}"/>
    <cellStyle name="SAPBEXstdDataEmph 6 18" xfId="26428" xr:uid="{E3095FAA-B1F5-4933-B471-E9396566945F}"/>
    <cellStyle name="SAPBEXstdDataEmph 6 19" xfId="26788" xr:uid="{63454CF4-9117-4827-A245-91FE9B35207A}"/>
    <cellStyle name="SAPBEXstdDataEmph 6 2" xfId="13462" xr:uid="{8C2790A7-BDF5-4646-8E94-4DA27D71DFE8}"/>
    <cellStyle name="SAPBEXstdDataEmph 6 20" xfId="27491" xr:uid="{99243895-182E-4C87-8D37-DC9A19B8C74B}"/>
    <cellStyle name="SAPBEXstdDataEmph 6 21" xfId="28023" xr:uid="{B48C63E3-FB8C-48CB-A1CF-4142092C0F87}"/>
    <cellStyle name="SAPBEXstdDataEmph 6 22" xfId="28754" xr:uid="{85E0FC19-26F6-4346-85D4-6397CCBA85E5}"/>
    <cellStyle name="SAPBEXstdDataEmph 6 23" xfId="28169" xr:uid="{4BAA1738-727A-4F5F-B3E6-0FBE7A5F4925}"/>
    <cellStyle name="SAPBEXstdDataEmph 6 24" xfId="29142" xr:uid="{558E34CF-ADA6-4FC9-B26F-A131C4EDF17A}"/>
    <cellStyle name="SAPBEXstdDataEmph 6 25" xfId="30071" xr:uid="{851A0F8D-C38C-4416-ADC6-0981AB172E5C}"/>
    <cellStyle name="SAPBEXstdDataEmph 6 26" xfId="30374" xr:uid="{9531AC45-5068-4CBC-90BB-CF5CE07E1F72}"/>
    <cellStyle name="SAPBEXstdDataEmph 6 27" xfId="30497" xr:uid="{A97C9357-46A5-4EEE-ABAC-81F3BBD42F94}"/>
    <cellStyle name="SAPBEXstdDataEmph 6 28" xfId="30838" xr:uid="{AFEDFA9C-3F7C-4284-92F5-6160B4BC7E27}"/>
    <cellStyle name="SAPBEXstdDataEmph 6 29" xfId="31002" xr:uid="{4AAA31D5-BC17-4EE4-B232-2206529D2240}"/>
    <cellStyle name="SAPBEXstdDataEmph 6 3" xfId="14392" xr:uid="{9793BACB-7D75-4C5C-A75A-05E89FBE92DC}"/>
    <cellStyle name="SAPBEXstdDataEmph 6 30" xfId="31164" xr:uid="{F3992688-12DF-41A4-BCD0-3F51E1553D38}"/>
    <cellStyle name="SAPBEXstdDataEmph 6 31" xfId="31271" xr:uid="{C4621A79-8B7D-4450-818B-B5B1BE0F37F0}"/>
    <cellStyle name="SAPBEXstdDataEmph 6 32" xfId="6879" xr:uid="{3A492AEE-9840-4648-870A-0259A2630DC7}"/>
    <cellStyle name="SAPBEXstdDataEmph 6 4" xfId="15148" xr:uid="{60EE5FDB-9277-4455-9A2B-B28601AC554B}"/>
    <cellStyle name="SAPBEXstdDataEmph 6 5" xfId="15195" xr:uid="{514BD3E5-15F4-4C74-B113-6D720664DA35}"/>
    <cellStyle name="SAPBEXstdDataEmph 6 6" xfId="16791" xr:uid="{CBBF1C26-0E74-4367-9BB8-0E1A3882ABB6}"/>
    <cellStyle name="SAPBEXstdDataEmph 6 7" xfId="17660" xr:uid="{FE1DE5A9-B9D4-467F-9BF6-EBBF9FEC67C7}"/>
    <cellStyle name="SAPBEXstdDataEmph 6 8" xfId="18512" xr:uid="{6AA4A916-530E-4589-AC86-FD5A069AEBEA}"/>
    <cellStyle name="SAPBEXstdDataEmph 6 9" xfId="19354" xr:uid="{156A2055-BD7F-4973-8361-DE8C40A80B47}"/>
    <cellStyle name="SAPBEXstdDataEmph 7" xfId="11070" xr:uid="{7EBE2F6D-F26B-4733-93CE-FD4955358AA9}"/>
    <cellStyle name="SAPBEXstdItem" xfId="4581" xr:uid="{E82E3502-8B50-40D0-AE68-C61E1D284F2B}"/>
    <cellStyle name="SAPBEXstdItem 2" xfId="4582" xr:uid="{4924A7DF-12B5-4C2B-A017-54DACC2DF741}"/>
    <cellStyle name="SAPBEXstdItem 2 2" xfId="4583" xr:uid="{9E0EB398-DFB4-43D4-AE7C-22AF062937BD}"/>
    <cellStyle name="SAPBEXstdItem 2 2 2" xfId="11081" xr:uid="{9FD6D701-B204-4B17-972A-03764ED95619}"/>
    <cellStyle name="SAPBEXstdItem 2 3" xfId="11080" xr:uid="{9AC11B80-0036-4434-862E-B5E18400345F}"/>
    <cellStyle name="SAPBEXstdItem 3" xfId="4584" xr:uid="{BC13BEA6-9597-46D2-8D97-2C795272F9B6}"/>
    <cellStyle name="SAPBEXstdItem 3 2" xfId="4585" xr:uid="{457BC213-162C-40D1-B370-FFC1CBA55117}"/>
    <cellStyle name="SAPBEXstdItem 3 2 2" xfId="11083" xr:uid="{02E3A17B-F65A-4E4C-8AC0-30686A52CAEB}"/>
    <cellStyle name="SAPBEXstdItem 3 3" xfId="11082" xr:uid="{60FA0D49-ADC9-491B-A47D-D529CAB48652}"/>
    <cellStyle name="SAPBEXstdItem 4" xfId="4586" xr:uid="{DB2AF533-834E-448E-8F07-C183B8C27D52}"/>
    <cellStyle name="SAPBEXstdItem 4 2" xfId="4587" xr:uid="{443DBF59-1BA8-4D0D-B397-851FD821C125}"/>
    <cellStyle name="SAPBEXstdItem 4 2 2" xfId="11085" xr:uid="{E6A01014-529A-4601-A7FD-430647973F35}"/>
    <cellStyle name="SAPBEXstdItem 4 3" xfId="11084" xr:uid="{C2E20462-C0E5-4759-A202-498EF0E543A9}"/>
    <cellStyle name="SAPBEXstdItem 5" xfId="4588" xr:uid="{7D334FDB-1527-4637-A200-1EC7420CDBF0}"/>
    <cellStyle name="SAPBEXstdItem 5 2" xfId="4589" xr:uid="{4EB77360-A714-41DD-B3A3-99D30C1FF586}"/>
    <cellStyle name="SAPBEXstdItem 5 2 2" xfId="11087" xr:uid="{5D75939E-6388-4783-BFEB-691ECD4E7E0F}"/>
    <cellStyle name="SAPBEXstdItem 5 3" xfId="11086" xr:uid="{080BBF13-75B9-4EA1-9DB3-4C9AF6BB0E10}"/>
    <cellStyle name="SAPBEXstdItem 6" xfId="5737" xr:uid="{5D434659-6A30-4E84-B4A0-658EFA6C5F95}"/>
    <cellStyle name="SAPBEXstdItem 6 10" xfId="20110" xr:uid="{B00AFF66-F627-40A5-8470-E8C97BFC88BE}"/>
    <cellStyle name="SAPBEXstdItem 6 11" xfId="20880" xr:uid="{431C2A31-67E0-4042-AE07-16B771270A58}"/>
    <cellStyle name="SAPBEXstdItem 6 12" xfId="21725" xr:uid="{6F0BA52F-8FD8-40DC-BF77-FE836D898A25}"/>
    <cellStyle name="SAPBEXstdItem 6 13" xfId="20247" xr:uid="{BB4A65A7-B031-447C-8E96-EE0E71EA444D}"/>
    <cellStyle name="SAPBEXstdItem 6 14" xfId="23389" xr:uid="{D46DEA2B-C3DA-42FF-8990-3CDE46177CCB}"/>
    <cellStyle name="SAPBEXstdItem 6 15" xfId="24190" xr:uid="{9D4F12C4-B0BF-49A6-B00A-78AA462D9F14}"/>
    <cellStyle name="SAPBEXstdItem 6 16" xfId="25019" xr:uid="{A2EDAD48-C987-494A-AD42-AB12C638D5CA}"/>
    <cellStyle name="SAPBEXstdItem 6 17" xfId="22805" xr:uid="{596E6C43-CE90-4D05-837F-6EFB8005EB17}"/>
    <cellStyle name="SAPBEXstdItem 6 18" xfId="26429" xr:uid="{3B82E8B7-47F9-4022-88D7-15C37DD9D561}"/>
    <cellStyle name="SAPBEXstdItem 6 19" xfId="26789" xr:uid="{26A2BCCD-57B9-49FC-B8A8-42866D16BD28}"/>
    <cellStyle name="SAPBEXstdItem 6 2" xfId="13463" xr:uid="{4997C1B1-6B1C-4764-887E-079E9423E68E}"/>
    <cellStyle name="SAPBEXstdItem 6 20" xfId="27492" xr:uid="{81C8A5D1-FD7C-43D5-909D-5B99F39FE8D0}"/>
    <cellStyle name="SAPBEXstdItem 6 21" xfId="28024" xr:uid="{7595A12C-C00C-4B7A-A110-85E786460AA8}"/>
    <cellStyle name="SAPBEXstdItem 6 22" xfId="28755" xr:uid="{1D25A93B-EAD6-4DB5-8BAA-3C66D48C3A80}"/>
    <cellStyle name="SAPBEXstdItem 6 23" xfId="28200" xr:uid="{ADA43FFA-BB60-4DC7-AB34-F2908A4D8843}"/>
    <cellStyle name="SAPBEXstdItem 6 24" xfId="28868" xr:uid="{A7D33935-6A5F-47B8-A167-9BE8759B3805}"/>
    <cellStyle name="SAPBEXstdItem 6 25" xfId="29698" xr:uid="{B04EF7FA-7C54-453A-B8B7-E8A77B6F5EC1}"/>
    <cellStyle name="SAPBEXstdItem 6 26" xfId="30375" xr:uid="{680A0A64-7022-430F-9C42-70A3C35D9160}"/>
    <cellStyle name="SAPBEXstdItem 6 27" xfId="30498" xr:uid="{6BEF0977-A7AD-4623-8840-E992DB700DC8}"/>
    <cellStyle name="SAPBEXstdItem 6 28" xfId="30839" xr:uid="{D266589F-FA43-40D2-B5ED-8F5BCE1FD773}"/>
    <cellStyle name="SAPBEXstdItem 6 29" xfId="31003" xr:uid="{1691A28A-A118-47EB-A762-912EF9768227}"/>
    <cellStyle name="SAPBEXstdItem 6 3" xfId="14393" xr:uid="{6359624D-CF73-4735-9984-9C68643083B0}"/>
    <cellStyle name="SAPBEXstdItem 6 30" xfId="31165" xr:uid="{FFF2C225-7D8B-4272-9E46-048F2981D8F5}"/>
    <cellStyle name="SAPBEXstdItem 6 31" xfId="31272" xr:uid="{884EBAC6-6F35-4052-A3AC-CC85E81C5E5C}"/>
    <cellStyle name="SAPBEXstdItem 6 32" xfId="6880" xr:uid="{973E4991-2D98-4793-9282-47DC3DAA90F8}"/>
    <cellStyle name="SAPBEXstdItem 6 4" xfId="15149" xr:uid="{4931173E-11F7-4B9F-9169-44B572C4FA8F}"/>
    <cellStyle name="SAPBEXstdItem 6 5" xfId="13537" xr:uid="{8BF1AEF3-AB95-4002-AB1F-F0535EB4B62A}"/>
    <cellStyle name="SAPBEXstdItem 6 6" xfId="16792" xr:uid="{6836EC63-1EE9-42A2-B18D-CE65707DAA53}"/>
    <cellStyle name="SAPBEXstdItem 6 7" xfId="17661" xr:uid="{9E89EF8C-8BD0-4619-BED1-074C0758E696}"/>
    <cellStyle name="SAPBEXstdItem 6 8" xfId="18513" xr:uid="{93CEB29C-EF26-4E5B-9CD0-434DD4560437}"/>
    <cellStyle name="SAPBEXstdItem 6 9" xfId="19355" xr:uid="{B0A77614-7176-42EE-B731-F85A5D8D41CF}"/>
    <cellStyle name="SAPBEXstdItem 7" xfId="11079" xr:uid="{B7D08EBA-E351-436C-8F96-F4575D2E7783}"/>
    <cellStyle name="SAPBEXstdItemX" xfId="4590" xr:uid="{5CF7A72A-3B7C-4D8D-A857-ABFB08A27462}"/>
    <cellStyle name="SAPBEXstdItemX 2" xfId="4591" xr:uid="{6631F257-162F-44A4-9674-CDD1DF971561}"/>
    <cellStyle name="SAPBEXstdItemX 2 2" xfId="4592" xr:uid="{7C838AC5-A97B-4B01-AB58-C34A0CE42EBD}"/>
    <cellStyle name="SAPBEXstdItemX 2 2 2" xfId="11090" xr:uid="{8D5B257F-06C0-458C-B9F7-B2979029B129}"/>
    <cellStyle name="SAPBEXstdItemX 2 3" xfId="11089" xr:uid="{ED60A7B8-F7BA-408F-84D5-247FCB050214}"/>
    <cellStyle name="SAPBEXstdItemX 3" xfId="4593" xr:uid="{E0B66492-4D46-4416-AF7E-60D8AB86752A}"/>
    <cellStyle name="SAPBEXstdItemX 3 2" xfId="4594" xr:uid="{F381528E-E558-4331-A53B-74A08D65B68E}"/>
    <cellStyle name="SAPBEXstdItemX 3 2 2" xfId="11092" xr:uid="{15CDEDC2-CBC3-4C1E-A562-5015EA58DD53}"/>
    <cellStyle name="SAPBEXstdItemX 3 3" xfId="11091" xr:uid="{68F9030D-D0A1-4ACB-AF26-74063D687795}"/>
    <cellStyle name="SAPBEXstdItemX 4" xfId="4595" xr:uid="{CEE4CFDE-722B-40AF-B7F0-63799451EB70}"/>
    <cellStyle name="SAPBEXstdItemX 4 2" xfId="4596" xr:uid="{EC525AEF-BDFC-41F4-AAF1-27F29CA40999}"/>
    <cellStyle name="SAPBEXstdItemX 4 2 2" xfId="11094" xr:uid="{DCA85E1B-B83F-4187-AECD-5341711B39EA}"/>
    <cellStyle name="SAPBEXstdItemX 4 3" xfId="11093" xr:uid="{60D7A47F-CE95-4EAB-A3C2-04256B18311C}"/>
    <cellStyle name="SAPBEXstdItemX 5" xfId="4597" xr:uid="{EB40626F-3AA8-4186-B2FA-8E42EF20CA25}"/>
    <cellStyle name="SAPBEXstdItemX 5 2" xfId="4598" xr:uid="{21DC9A55-5A50-4846-A19A-E0A95F7A9214}"/>
    <cellStyle name="SAPBEXstdItemX 5 2 2" xfId="11096" xr:uid="{CEF467ED-AFE3-43EB-B75A-B3E4E07BD14A}"/>
    <cellStyle name="SAPBEXstdItemX 5 3" xfId="11095" xr:uid="{96860747-BE17-47F7-892F-5C0EA4B39643}"/>
    <cellStyle name="SAPBEXstdItemX 6" xfId="5738" xr:uid="{4308DAB6-7EF6-47CC-B5D5-402E5D47CBB3}"/>
    <cellStyle name="SAPBEXstdItemX 6 10" xfId="20111" xr:uid="{C4B1D67D-082F-4868-990D-5CDD2B9F204F}"/>
    <cellStyle name="SAPBEXstdItemX 6 11" xfId="20881" xr:uid="{4B475932-D184-4966-9190-6C4E25C6FD23}"/>
    <cellStyle name="SAPBEXstdItemX 6 12" xfId="21726" xr:uid="{092DD620-8474-4C78-A139-BD15F90FE390}"/>
    <cellStyle name="SAPBEXstdItemX 6 13" xfId="21774" xr:uid="{29B8E22D-A6A9-443C-A67F-BE5EB30CBDBB}"/>
    <cellStyle name="SAPBEXstdItemX 6 14" xfId="23390" xr:uid="{8148BDB7-74A1-485B-B59B-8728ECC91B6B}"/>
    <cellStyle name="SAPBEXstdItemX 6 15" xfId="24191" xr:uid="{4C03489B-C8BA-4424-BADE-912558AC2415}"/>
    <cellStyle name="SAPBEXstdItemX 6 16" xfId="25020" xr:uid="{F4766D98-1A28-40D8-A520-1ED94791C01E}"/>
    <cellStyle name="SAPBEXstdItemX 6 17" xfId="25075" xr:uid="{77EE141B-09AA-4154-9B23-0F6623D153D3}"/>
    <cellStyle name="SAPBEXstdItemX 6 18" xfId="26430" xr:uid="{E11684C8-D529-4FAE-9ED2-16DC3B4ED071}"/>
    <cellStyle name="SAPBEXstdItemX 6 19" xfId="26790" xr:uid="{4ECB58C2-F83D-4ABB-A2E7-B7101753C674}"/>
    <cellStyle name="SAPBEXstdItemX 6 2" xfId="13464" xr:uid="{B18C86A2-A7E3-48C4-80ED-21438C27D7B1}"/>
    <cellStyle name="SAPBEXstdItemX 6 20" xfId="27493" xr:uid="{769A0929-92E3-47D1-8EF6-1BCFB5D9859B}"/>
    <cellStyle name="SAPBEXstdItemX 6 21" xfId="28025" xr:uid="{08F9B3DA-0EFA-4B71-8CDD-00A3ED544BC3}"/>
    <cellStyle name="SAPBEXstdItemX 6 22" xfId="28756" xr:uid="{1E8B1139-41E6-4D13-A356-EC9DB6C0F27E}"/>
    <cellStyle name="SAPBEXstdItemX 6 23" xfId="28201" xr:uid="{F8AD4F04-6041-46B5-9373-3F512D78169C}"/>
    <cellStyle name="SAPBEXstdItemX 6 24" xfId="25874" xr:uid="{9789790E-2648-45E6-B67C-B6F815DFF7AC}"/>
    <cellStyle name="SAPBEXstdItemX 6 25" xfId="30072" xr:uid="{B9FEA306-43E0-47CC-A109-2898175DAD0D}"/>
    <cellStyle name="SAPBEXstdItemX 6 26" xfId="30376" xr:uid="{13FC9982-4017-499E-8339-A754161F764D}"/>
    <cellStyle name="SAPBEXstdItemX 6 27" xfId="30499" xr:uid="{946C147D-C611-4F2F-9820-193C082AF44D}"/>
    <cellStyle name="SAPBEXstdItemX 6 28" xfId="30840" xr:uid="{BD54F267-4199-4B2B-AA1D-99F93B8CFC8C}"/>
    <cellStyle name="SAPBEXstdItemX 6 29" xfId="31004" xr:uid="{0846B5EE-9498-4303-A456-7A33D8E3F0FD}"/>
    <cellStyle name="SAPBEXstdItemX 6 3" xfId="14394" xr:uid="{051F3649-8198-496D-AEB1-FB53380B77DA}"/>
    <cellStyle name="SAPBEXstdItemX 6 30" xfId="31166" xr:uid="{7A0EE668-17F6-4634-BF83-5DC3F78DCB79}"/>
    <cellStyle name="SAPBEXstdItemX 6 31" xfId="31273" xr:uid="{72B8F743-599E-4529-906A-B6ADDE9D8289}"/>
    <cellStyle name="SAPBEXstdItemX 6 32" xfId="6881" xr:uid="{1503A21F-C383-4460-B306-3F6EFE3E8CEF}"/>
    <cellStyle name="SAPBEXstdItemX 6 4" xfId="15150" xr:uid="{82B8B63F-7322-476C-84A3-A389A353F7B6}"/>
    <cellStyle name="SAPBEXstdItemX 6 5" xfId="15196" xr:uid="{CBC85F2D-2274-46E1-BC72-63541EEB1004}"/>
    <cellStyle name="SAPBEXstdItemX 6 6" xfId="16793" xr:uid="{F4A9F443-27AD-4FF7-9177-CCAD7819739F}"/>
    <cellStyle name="SAPBEXstdItemX 6 7" xfId="17662" xr:uid="{20933539-B0E2-441E-B930-F2A01F652DA3}"/>
    <cellStyle name="SAPBEXstdItemX 6 8" xfId="18514" xr:uid="{1E66BF4D-F729-4CE2-8AA9-9EB0513B19D1}"/>
    <cellStyle name="SAPBEXstdItemX 6 9" xfId="19356" xr:uid="{A8C1205C-AAAB-4A24-AAAE-30C04285854F}"/>
    <cellStyle name="SAPBEXstdItemX 7" xfId="11088" xr:uid="{A6DB1E5A-D788-49B8-B17D-11183FF3D490}"/>
    <cellStyle name="SAPBEXtitle" xfId="4599" xr:uid="{DFF3CDA6-1820-4338-8699-87D27A60BDE0}"/>
    <cellStyle name="SAPBEXtitle 2" xfId="4600" xr:uid="{9EAFAF4F-321E-4CE1-855D-47D68B33F3AC}"/>
    <cellStyle name="SAPBEXtitle 2 2" xfId="4601" xr:uid="{D7717E46-C214-4B3C-930D-939EA8130407}"/>
    <cellStyle name="SAPBEXtitle 2 2 2" xfId="5741" xr:uid="{0FE6F8D6-E4A1-4A4B-BA27-DBA161311966}"/>
    <cellStyle name="SAPBEXtitle 2 2 3" xfId="11099" xr:uid="{4A70F53F-17D2-4D8E-9F75-A9AB6A8E0C06}"/>
    <cellStyle name="SAPBEXtitle 2 3" xfId="5740" xr:uid="{F36BB9FF-51D5-4532-968B-82C746295416}"/>
    <cellStyle name="SAPBEXtitle 2 4" xfId="11098" xr:uid="{D82EF55F-4432-4984-B0C3-82AE79191260}"/>
    <cellStyle name="SAPBEXtitle 3" xfId="4602" xr:uid="{8202AF96-E486-41DE-AA29-D5E7D5250E69}"/>
    <cellStyle name="SAPBEXtitle 3 2" xfId="11100" xr:uid="{04B0943F-02AE-4235-9B92-EECE7DB18119}"/>
    <cellStyle name="SAPBEXtitle 4" xfId="4603" xr:uid="{3B73B684-5F19-4FE0-A78F-C10DC9CEE70F}"/>
    <cellStyle name="SAPBEXtitle 4 2" xfId="11101" xr:uid="{3BA7191C-819F-4D10-A989-C8DB9B013844}"/>
    <cellStyle name="SAPBEXtitle 5" xfId="4604" xr:uid="{BFC956F4-5F2F-4F75-B1CB-B48785DCF73C}"/>
    <cellStyle name="SAPBEXtitle 5 2" xfId="11102" xr:uid="{1A3A5BDC-F01D-414A-86A7-9024DB9AE1FD}"/>
    <cellStyle name="SAPBEXtitle 6" xfId="5739" xr:uid="{36380526-1726-4F35-BD74-E48FDA8BC643}"/>
    <cellStyle name="SAPBEXtitle 7" xfId="11097" xr:uid="{78827F76-63FB-490C-BF90-720A081D2C18}"/>
    <cellStyle name="SAPBEXundefined" xfId="4605" xr:uid="{922EF187-CEC8-4C07-A950-296D934ACFC7}"/>
    <cellStyle name="SAPBEXundefined 2" xfId="4606" xr:uid="{7763DDB3-A9ED-495D-A91D-C7D66979AD5A}"/>
    <cellStyle name="SAPBEXundefined 2 2" xfId="4607" xr:uid="{C7857C2D-8CDF-4664-92D2-831A8D75BAFF}"/>
    <cellStyle name="SAPBEXundefined 2 2 2" xfId="11105" xr:uid="{CD2C3732-6DCE-4845-BCB7-455031C433C0}"/>
    <cellStyle name="SAPBEXundefined 2 3" xfId="11104" xr:uid="{A288E64A-E3D2-4459-A356-D08AC42F1EC4}"/>
    <cellStyle name="SAPBEXundefined 3" xfId="4608" xr:uid="{3E685CF1-2A94-44EF-8DE8-2F8C730135A2}"/>
    <cellStyle name="SAPBEXundefined 3 2" xfId="4609" xr:uid="{7BE4CBAE-FACE-4936-BC19-4E4247A02F51}"/>
    <cellStyle name="SAPBEXundefined 3 2 2" xfId="11107" xr:uid="{A111A8B7-78EA-4322-8718-DBEA104AFC5E}"/>
    <cellStyle name="SAPBEXundefined 3 3" xfId="11106" xr:uid="{C353F1AA-721E-4B51-86B1-F6FD7B4B2755}"/>
    <cellStyle name="SAPBEXundefined 4" xfId="4610" xr:uid="{CFFD4811-DC46-4C7E-9957-F8D3E0E50499}"/>
    <cellStyle name="SAPBEXundefined 4 2" xfId="4611" xr:uid="{B73C56D2-1D30-4C16-966C-B21CB844B6ED}"/>
    <cellStyle name="SAPBEXundefined 4 2 2" xfId="11109" xr:uid="{599291C6-1C3B-4EB9-B87D-46D6E49DC36F}"/>
    <cellStyle name="SAPBEXundefined 4 3" xfId="11108" xr:uid="{0BEDBA8E-88D8-46ED-BDFE-C7717ACAE575}"/>
    <cellStyle name="SAPBEXundefined 5" xfId="4612" xr:uid="{35CD5A9C-926A-430A-B19B-0859E66B7855}"/>
    <cellStyle name="SAPBEXundefined 5 2" xfId="4613" xr:uid="{6B10857E-8BE9-4235-9105-EFAC2420C044}"/>
    <cellStyle name="SAPBEXundefined 5 2 2" xfId="11111" xr:uid="{FB3FA63A-3D57-42F2-B1C0-B1EDDFD9E42A}"/>
    <cellStyle name="SAPBEXundefined 5 3" xfId="11110" xr:uid="{00C24F48-F905-44A3-973D-4B99122E3A35}"/>
    <cellStyle name="SAPBEXundefined 6" xfId="5742" xr:uid="{9D0A82D7-165D-4D63-B728-74DB70A7789A}"/>
    <cellStyle name="SAPBEXundefined 6 10" xfId="20115" xr:uid="{F4A0A937-4D50-4B2C-8137-37B2858F4BC5}"/>
    <cellStyle name="SAPBEXundefined 6 11" xfId="20885" xr:uid="{CAD6D797-457C-4FE7-BD7A-56FF5E7E8A53}"/>
    <cellStyle name="SAPBEXundefined 6 12" xfId="21729" xr:uid="{F0483DD8-EE5C-4478-9268-BD50932C3E4D}"/>
    <cellStyle name="SAPBEXundefined 6 13" xfId="21776" xr:uid="{013511B0-BAC6-469B-AACE-3A2CCAAA26EF}"/>
    <cellStyle name="SAPBEXundefined 6 14" xfId="23394" xr:uid="{7EF0BD2D-E19E-49AD-AADF-44AF93E3F15B}"/>
    <cellStyle name="SAPBEXundefined 6 15" xfId="24195" xr:uid="{614400E3-FE57-4C9E-81A0-F21CC1DAA8ED}"/>
    <cellStyle name="SAPBEXundefined 6 16" xfId="25023" xr:uid="{8C389C92-949E-4C46-BA6B-F4E75382856B}"/>
    <cellStyle name="SAPBEXundefined 6 17" xfId="25077" xr:uid="{187CF682-42F6-439A-AE34-024098971F88}"/>
    <cellStyle name="SAPBEXundefined 6 18" xfId="26434" xr:uid="{CFA9E8F1-ED50-4FF8-8628-FAFC4D946299}"/>
    <cellStyle name="SAPBEXundefined 6 19" xfId="26794" xr:uid="{4AA2310A-FA17-4776-8EBE-1BAF43DA3274}"/>
    <cellStyle name="SAPBEXundefined 6 2" xfId="13468" xr:uid="{42728B74-3A0A-4363-B1FD-69660D6434F4}"/>
    <cellStyle name="SAPBEXundefined 6 20" xfId="27497" xr:uid="{CA551857-9F99-4C43-AE75-015FC2FD81D2}"/>
    <cellStyle name="SAPBEXundefined 6 21" xfId="28029" xr:uid="{5275F414-AD99-4CFD-BD43-CE36A9445964}"/>
    <cellStyle name="SAPBEXundefined 6 22" xfId="28758" xr:uid="{0B9D4BA9-56A5-4D71-B84A-5773D542713F}"/>
    <cellStyle name="SAPBEXundefined 6 23" xfId="28203" xr:uid="{02FD9D75-8F90-42E7-B964-CC1544BC0FC2}"/>
    <cellStyle name="SAPBEXundefined 6 24" xfId="27659" xr:uid="{21029756-39E3-4793-A075-78EF07DDA7F1}"/>
    <cellStyle name="SAPBEXundefined 6 25" xfId="30074" xr:uid="{AFBBA7BB-27A0-408B-A6D8-03C7E9010005}"/>
    <cellStyle name="SAPBEXundefined 6 26" xfId="30378" xr:uid="{3A21F68C-3C68-4488-832D-2129CCE9730A}"/>
    <cellStyle name="SAPBEXundefined 6 27" xfId="30501" xr:uid="{F116AFBE-055D-45E3-B988-26705BACDBED}"/>
    <cellStyle name="SAPBEXundefined 6 28" xfId="30841" xr:uid="{9F6C1C3E-9D18-4F6F-AD90-6EA29D45BE54}"/>
    <cellStyle name="SAPBEXundefined 6 29" xfId="31008" xr:uid="{9295FDAA-3BF1-4B50-A32F-85879F2C5411}"/>
    <cellStyle name="SAPBEXundefined 6 3" xfId="14398" xr:uid="{E74D790D-6D61-45E4-9481-B1434A9827DD}"/>
    <cellStyle name="SAPBEXundefined 6 30" xfId="31167" xr:uid="{6FA8A95E-6EB5-4A20-9E6D-2F3C4A2C1E60}"/>
    <cellStyle name="SAPBEXundefined 6 31" xfId="31274" xr:uid="{CBCFCB3E-4A07-45E8-9A53-81ADE73B4415}"/>
    <cellStyle name="SAPBEXundefined 6 32" xfId="6882" xr:uid="{4C176F33-311C-4F73-A84D-737CD7B521E8}"/>
    <cellStyle name="SAPBEXundefined 6 4" xfId="15154" xr:uid="{A4018068-522F-44A9-B042-25EB70BC89F5}"/>
    <cellStyle name="SAPBEXundefined 6 5" xfId="15198" xr:uid="{0C9107EC-7C05-4655-8F22-1589688C404E}"/>
    <cellStyle name="SAPBEXundefined 6 6" xfId="16797" xr:uid="{4B40AC99-CB1F-4E15-BF19-8F26A40E8D3C}"/>
    <cellStyle name="SAPBEXundefined 6 7" xfId="17666" xr:uid="{EAB89F92-1A23-4FB6-8D3C-AFBF3BBA43AF}"/>
    <cellStyle name="SAPBEXundefined 6 8" xfId="18518" xr:uid="{5A9CB320-DE5A-4F04-8FB5-2C93FC00C1DE}"/>
    <cellStyle name="SAPBEXundefined 6 9" xfId="19360" xr:uid="{23BF24A0-8F9E-4CDB-9B69-F9E28FFC9EDF}"/>
    <cellStyle name="SAPBEXundefined 7" xfId="11103" xr:uid="{3B2EFB5F-322C-44C0-B769-D3EA04296371}"/>
    <cellStyle name="Style 21" xfId="4614" xr:uid="{63106CEB-2020-4D80-85E0-1CBE61217A0A}"/>
    <cellStyle name="Style 21 10" xfId="11112" xr:uid="{BFACD892-0399-4477-B958-3BB7C3682376}"/>
    <cellStyle name="Style 21 2" xfId="4615" xr:uid="{D939050B-9DE7-49A1-9DB9-4A06764D7A00}"/>
    <cellStyle name="Style 21 2 2" xfId="4616" xr:uid="{64E9FA79-5576-42C0-9820-C671288933A9}"/>
    <cellStyle name="Style 21 2 2 2" xfId="4617" xr:uid="{689483B1-888C-4F8B-9414-4A03F02453A6}"/>
    <cellStyle name="Style 21 2 2 2 2" xfId="11115" xr:uid="{80AAA51B-C655-4164-A4AB-8D24846E52B8}"/>
    <cellStyle name="Style 21 2 2 3" xfId="11114" xr:uid="{4B9E02B7-49DE-4C2E-9DA0-C13355F71CE5}"/>
    <cellStyle name="Style 21 2 3" xfId="11113" xr:uid="{6F05231C-44AD-484D-9EBC-12E75E80B97E}"/>
    <cellStyle name="Style 21 3" xfId="4618" xr:uid="{B0164CEC-D695-43FB-9CE0-6A4A3542398C}"/>
    <cellStyle name="Style 21 3 2" xfId="4619" xr:uid="{9F138398-A564-4B5B-99FF-FFF17B9D849C}"/>
    <cellStyle name="Style 21 3 2 2" xfId="11117" xr:uid="{FFED8CC1-FEF8-440C-BB16-98C166455F21}"/>
    <cellStyle name="Style 21 3 3" xfId="11116" xr:uid="{0EC4A22B-E9D0-43F4-BF3A-C1363ADDED01}"/>
    <cellStyle name="Style 21 4" xfId="4620" xr:uid="{5DF0108E-0F63-40EB-9C6F-306012850956}"/>
    <cellStyle name="Style 21 4 2" xfId="4621" xr:uid="{BB770DBE-1994-4245-A5A1-8E42B452A4D1}"/>
    <cellStyle name="Style 21 4 2 2" xfId="11119" xr:uid="{96FE4924-EC3F-42C5-AEBC-61B9B52838E2}"/>
    <cellStyle name="Style 21 4 3" xfId="11118" xr:uid="{292C96B5-DF24-4772-BA59-517C70488335}"/>
    <cellStyle name="Style 21 5" xfId="4622" xr:uid="{CA090883-1A38-4608-B79A-FAEF9F70DCCE}"/>
    <cellStyle name="Style 21 5 2" xfId="4623" xr:uid="{6EB57132-CCA6-4A51-9882-68F923377C8D}"/>
    <cellStyle name="Style 21 5 2 2" xfId="11121" xr:uid="{43007942-5FC4-4E77-AD02-F26CCE156900}"/>
    <cellStyle name="Style 21 5 3" xfId="11120" xr:uid="{96639413-3B91-4686-88F9-7C43045EA8DE}"/>
    <cellStyle name="Style 21 6" xfId="4624" xr:uid="{5829268E-C629-4DF2-B176-F2936F1C07F5}"/>
    <cellStyle name="Style 21 6 2" xfId="11122" xr:uid="{1C55ED9B-0353-4804-8945-F7D75983C794}"/>
    <cellStyle name="Style 21 7" xfId="4625" xr:uid="{6191491F-AAE8-488C-BB20-8C2C7A17C10C}"/>
    <cellStyle name="Style 21 7 2" xfId="11123" xr:uid="{65E604C0-5EBD-444F-9BC5-C7E1EF12BDB0}"/>
    <cellStyle name="Style 21 8" xfId="4626" xr:uid="{3116FF09-34BD-4E68-960E-D37390395E95}"/>
    <cellStyle name="Style 21 8 2" xfId="11124" xr:uid="{97C482D6-291D-4428-864C-852A6E8571B9}"/>
    <cellStyle name="Style 21 9" xfId="5743" xr:uid="{8A2A09B5-C314-4161-9C96-06646037B0AF}"/>
    <cellStyle name="Style 21 9 2" xfId="25230" xr:uid="{92F11E18-6CF9-4909-80C7-3E311287FFE6}"/>
    <cellStyle name="Style 21 9 2 2" xfId="44163" xr:uid="{1FE3259F-84DD-4C7A-96E6-755A9FEBA627}"/>
    <cellStyle name="Style 21 9 3" xfId="31275" xr:uid="{F58058A2-6C89-4FF0-B06B-691544739F40}"/>
    <cellStyle name="Style 21 9 3 2" xfId="47857" xr:uid="{82838395-FAE7-4E3A-A1FF-EC2972D779B2}"/>
    <cellStyle name="Style 21 9 4" xfId="6883" xr:uid="{1B6CBD98-3149-4DAF-AB2F-4155DE9F873D}"/>
    <cellStyle name="Style 21 9 5" xfId="31325" xr:uid="{A7D6BAD7-7A7E-4CB8-8E6F-76AF14991864}"/>
    <cellStyle name="Style 22" xfId="4627" xr:uid="{DAFE583F-F709-4297-8619-D4D8E0E4D7B0}"/>
    <cellStyle name="Style 22 10" xfId="11125" xr:uid="{79FD52A5-EFBC-453B-AE30-9F2EB404C452}"/>
    <cellStyle name="Style 22 2" xfId="4628" xr:uid="{BE905E9A-EFBB-4965-BA94-3DBFFA45F8D4}"/>
    <cellStyle name="Style 22 2 2" xfId="4629" xr:uid="{1920F441-8B37-4009-B9DD-F715B3901882}"/>
    <cellStyle name="Style 22 2 2 2" xfId="4630" xr:uid="{4373A1D0-BFEC-46D2-BFDA-2DC864C7EEFE}"/>
    <cellStyle name="Style 22 2 2 2 2" xfId="11128" xr:uid="{1C918CB2-1F3D-4869-8C0D-3A98135582BD}"/>
    <cellStyle name="Style 22 2 2 3" xfId="11127" xr:uid="{F5F3BB38-3390-4F63-A458-566670E957EF}"/>
    <cellStyle name="Style 22 2 3" xfId="11126" xr:uid="{EC5A6BCF-9334-47BB-BE5D-64CF9789618F}"/>
    <cellStyle name="Style 22 3" xfId="4631" xr:uid="{5A0FE48C-0EA8-4C0D-BD97-C77E97B5D461}"/>
    <cellStyle name="Style 22 3 2" xfId="4632" xr:uid="{6CF71638-A1DF-4AAC-9900-354BAE3FB5F1}"/>
    <cellStyle name="Style 22 3 2 2" xfId="11130" xr:uid="{B0E0ABBD-FA8F-4935-B8CB-04E91FC4642F}"/>
    <cellStyle name="Style 22 3 3" xfId="11129" xr:uid="{71B00359-5003-49C1-87C8-0F327B27410A}"/>
    <cellStyle name="Style 22 4" xfId="4633" xr:uid="{2C8DDE0A-823E-4D9A-874F-6D8E6006804C}"/>
    <cellStyle name="Style 22 4 2" xfId="4634" xr:uid="{68E226A2-5600-40AD-BB64-8821017D1AD5}"/>
    <cellStyle name="Style 22 4 2 2" xfId="11132" xr:uid="{72E436EF-1546-4059-982D-FE21874D558C}"/>
    <cellStyle name="Style 22 4 3" xfId="11131" xr:uid="{5B167BA9-D6D8-4A6D-8DE0-B1CA30C4F0E1}"/>
    <cellStyle name="Style 22 5" xfId="4635" xr:uid="{C4D2F759-96BE-482B-BB38-B48773E9A1BB}"/>
    <cellStyle name="Style 22 5 2" xfId="4636" xr:uid="{38D828CD-CBA7-467E-A4C0-0309FD74653F}"/>
    <cellStyle name="Style 22 5 2 2" xfId="11134" xr:uid="{400AB2CB-E22A-45D6-9945-11C094215C82}"/>
    <cellStyle name="Style 22 5 3" xfId="11133" xr:uid="{2ED57E9F-458C-4C78-954F-073ADB765D64}"/>
    <cellStyle name="Style 22 6" xfId="4637" xr:uid="{93D1A5A4-40B7-4D6E-BD8A-B742659D5FAF}"/>
    <cellStyle name="Style 22 6 2" xfId="11135" xr:uid="{28844CB4-FD8F-4EFB-8FCE-0D4FE6D2341D}"/>
    <cellStyle name="Style 22 7" xfId="4638" xr:uid="{AA9B113B-C076-4ECA-9720-E9770FC66388}"/>
    <cellStyle name="Style 22 7 2" xfId="11136" xr:uid="{F1675E5D-5BB6-4EBF-B08D-4862166CC0B1}"/>
    <cellStyle name="Style 22 8" xfId="4639" xr:uid="{9D00CE1F-41B6-4D02-A6F1-49AE1588C170}"/>
    <cellStyle name="Style 22 8 2" xfId="11137" xr:uid="{5DB531D2-55D4-403A-B7BA-5DEA09277264}"/>
    <cellStyle name="Style 22 9" xfId="5744" xr:uid="{85A0D2DA-3E09-4046-8A31-797982AD88B9}"/>
    <cellStyle name="Style 22 9 2" xfId="29381" xr:uid="{07BE4A22-C0DA-4470-8F42-1F9956CAEC57}"/>
    <cellStyle name="Style 22 9 2 2" xfId="46849" xr:uid="{5F663E07-04F9-4E42-8AFA-5C4D5901C528}"/>
    <cellStyle name="Style 22 9 3" xfId="31276" xr:uid="{8E82C847-66B2-4DAA-8ED6-672953B15236}"/>
    <cellStyle name="Style 22 9 3 2" xfId="47858" xr:uid="{8FF4543F-E188-433A-B101-090AACFA3ABB}"/>
    <cellStyle name="Style 22 9 4" xfId="6884" xr:uid="{8A23F94E-EA8F-45F7-BC39-B0043D6018E9}"/>
    <cellStyle name="Style 22 9 5" xfId="31326" xr:uid="{C37389B6-CD94-41C5-9992-21FB3F1FBC27}"/>
    <cellStyle name="Style 23" xfId="4640" xr:uid="{7BF10C24-96B3-4E98-A167-F05894686A7B}"/>
    <cellStyle name="Style 23 10" xfId="4641" xr:uid="{2222B69A-E87A-416B-A2EB-A49E59D4EDC4}"/>
    <cellStyle name="Style 23 10 2" xfId="11139" xr:uid="{E01972AF-A350-41B4-A12E-D472F700DEE3}"/>
    <cellStyle name="Style 23 11" xfId="5745" xr:uid="{30A9BF8F-4207-4330-B511-4887E7DC9B0C}"/>
    <cellStyle name="Style 23 12" xfId="11138" xr:uid="{F7FC2A3F-218D-4B62-BC64-5C305249219B}"/>
    <cellStyle name="Style 23 2" xfId="4642" xr:uid="{D7771262-BB24-4D9B-854B-B93730A4F961}"/>
    <cellStyle name="Style 23 2 2" xfId="4643" xr:uid="{E137ED63-865A-4697-A6A8-81C052657A94}"/>
    <cellStyle name="Style 23 2 2 2" xfId="4644" xr:uid="{D56441AF-C0B6-47C2-BCFD-633C5140ACA0}"/>
    <cellStyle name="Style 23 2 2 2 2" xfId="11142" xr:uid="{F95E36C5-E672-4B02-AA83-A28FC6D8F05C}"/>
    <cellStyle name="Style 23 2 2 3" xfId="4645" xr:uid="{450B14D0-54EC-42B2-94BB-1688886FDA79}"/>
    <cellStyle name="Style 23 2 2 3 2" xfId="11143" xr:uid="{5C61403B-5AFC-4E32-8A59-FA86F702B87F}"/>
    <cellStyle name="Style 23 2 2 4" xfId="11141" xr:uid="{52177BF8-46B1-4F3A-BB1F-D05117BA512C}"/>
    <cellStyle name="Style 23 2 3" xfId="4646" xr:uid="{C5C9DACA-4EB4-4AB5-A880-0B0711901778}"/>
    <cellStyle name="Style 23 2 3 2" xfId="11144" xr:uid="{AF715CED-D37B-49FA-918A-D1AB171A9E15}"/>
    <cellStyle name="Style 23 2 4" xfId="4647" xr:uid="{C53D7F3E-578E-43C3-9452-590C037EA0F5}"/>
    <cellStyle name="Style 23 2 4 2" xfId="11145" xr:uid="{50401C00-A4EE-49AF-A3D6-0AFDB848EFC2}"/>
    <cellStyle name="Style 23 2 5" xfId="5746" xr:uid="{1AE70F88-0104-439B-BD08-140D2F641E44}"/>
    <cellStyle name="Style 23 2 6" xfId="11140" xr:uid="{4829C928-045B-4A68-AA38-A25497CA8276}"/>
    <cellStyle name="Style 23 3" xfId="4648" xr:uid="{F7AE3828-475C-4A97-A81D-FFE2F70F101D}"/>
    <cellStyle name="Style 23 3 2" xfId="4649" xr:uid="{BA07A61E-ADCF-4C6E-B2A9-15926BB941CE}"/>
    <cellStyle name="Style 23 3 2 2" xfId="11147" xr:uid="{F870B49B-8556-4D8D-B35D-B465B1D403E8}"/>
    <cellStyle name="Style 23 3 3" xfId="4650" xr:uid="{5E2C31A0-366E-44B4-BD14-3688823C07BD}"/>
    <cellStyle name="Style 23 3 3 2" xfId="11148" xr:uid="{CD3A315E-CD77-4D71-BD7A-ECAE0190DBBD}"/>
    <cellStyle name="Style 23 3 4" xfId="11146" xr:uid="{D04B74A5-67F1-4368-9333-66F9BCC90C2E}"/>
    <cellStyle name="Style 23 4" xfId="4651" xr:uid="{55C3AFDF-0963-4D87-B4F9-1636FE2ACDDF}"/>
    <cellStyle name="Style 23 4 2" xfId="4652" xr:uid="{AC1F04DE-2BE4-4129-B5A4-1A312C4E0237}"/>
    <cellStyle name="Style 23 4 2 2" xfId="11150" xr:uid="{7A87A6A7-B2BA-4CC3-9A37-89BF3DEF33E0}"/>
    <cellStyle name="Style 23 4 3" xfId="4653" xr:uid="{BA5C9AB7-476B-4D4D-AB2C-682A5E842C72}"/>
    <cellStyle name="Style 23 4 3 2" xfId="11151" xr:uid="{CE395019-B230-42F6-B397-805EACED59DF}"/>
    <cellStyle name="Style 23 4 4" xfId="11149" xr:uid="{E50A5C8D-6227-4609-BA6D-B3D504B58723}"/>
    <cellStyle name="Style 23 5" xfId="4654" xr:uid="{A052A40E-17E8-48E9-A152-01F12383C3B2}"/>
    <cellStyle name="Style 23 5 2" xfId="4655" xr:uid="{69B2FD9C-9E75-4773-935E-D02C882A4A71}"/>
    <cellStyle name="Style 23 5 2 2" xfId="11153" xr:uid="{4BF3D3D3-9183-438B-B546-0D81B004CC2C}"/>
    <cellStyle name="Style 23 5 3" xfId="4656" xr:uid="{F2998786-CA29-4A59-83D4-2728A375221E}"/>
    <cellStyle name="Style 23 5 3 2" xfId="11154" xr:uid="{6D2B0519-59F2-4909-8870-6F381B26403A}"/>
    <cellStyle name="Style 23 5 4" xfId="11152" xr:uid="{4DC1D51A-F20D-4865-957D-70E7B00D2F4A}"/>
    <cellStyle name="Style 23 6" xfId="4657" xr:uid="{1909C8C4-5C61-44B6-9605-D99E639273B2}"/>
    <cellStyle name="Style 23 6 2" xfId="4658" xr:uid="{85D604EC-CAB4-40A8-95DA-B64990AF1790}"/>
    <cellStyle name="Style 23 6 2 2" xfId="11156" xr:uid="{7F31A871-3862-4229-9094-87D50F52CA62}"/>
    <cellStyle name="Style 23 6 3" xfId="4659" xr:uid="{0829A8A0-9728-4D70-AA04-39002DC34D54}"/>
    <cellStyle name="Style 23 6 3 2" xfId="11157" xr:uid="{7305D20D-3DAF-4973-A7E7-1E9A5E1CE0CE}"/>
    <cellStyle name="Style 23 6 4" xfId="11155" xr:uid="{1DC58769-59F7-4F37-884B-8A7727546DE4}"/>
    <cellStyle name="Style 23 7" xfId="4660" xr:uid="{4CFE7BA4-2CD1-4B6C-A22C-3CDED8A4278D}"/>
    <cellStyle name="Style 23 7 2" xfId="4661" xr:uid="{0337ECB0-9B73-4706-A394-428E1241334D}"/>
    <cellStyle name="Style 23 7 2 2" xfId="11159" xr:uid="{4847F64C-B3AF-4B3F-A00C-0E60CD11061C}"/>
    <cellStyle name="Style 23 7 3" xfId="4662" xr:uid="{413A9ABD-0D6D-4148-9341-0EDC14913638}"/>
    <cellStyle name="Style 23 7 3 2" xfId="11160" xr:uid="{20D9F34E-747D-4A64-9AFB-92C01D891B9F}"/>
    <cellStyle name="Style 23 7 4" xfId="11158" xr:uid="{86DEDFF5-E89E-408C-B593-4C1E1FF399F6}"/>
    <cellStyle name="Style 23 8" xfId="4663" xr:uid="{1AF76BDC-F193-496E-A24F-E074E6EF3E19}"/>
    <cellStyle name="Style 23 8 2" xfId="4664" xr:uid="{0CB34F0A-21AA-466D-A7C1-1760D605AABD}"/>
    <cellStyle name="Style 23 8 2 2" xfId="11162" xr:uid="{B7C2601F-4933-47B5-8F00-BCEEAC2B7DDB}"/>
    <cellStyle name="Style 23 8 3" xfId="4665" xr:uid="{8335D498-ADA4-4D44-823D-467CB727668F}"/>
    <cellStyle name="Style 23 8 3 2" xfId="11163" xr:uid="{3F2AAA5D-364C-4F0A-9440-CD7A593DA893}"/>
    <cellStyle name="Style 23 8 4" xfId="11161" xr:uid="{8750BC63-B59F-4F91-86BB-EB8B76FC9345}"/>
    <cellStyle name="Style 23 9" xfId="4666" xr:uid="{9CE7EC99-42C9-4108-96AB-F139DD560E2D}"/>
    <cellStyle name="Style 23 9 2" xfId="11164" xr:uid="{80B8683F-3538-49A3-A1BE-845A810C2470}"/>
    <cellStyle name="Style 24" xfId="4667" xr:uid="{2348C793-1142-46A5-9F59-BDC9084F2B52}"/>
    <cellStyle name="Style 24 10" xfId="4668" xr:uid="{2E5BD33F-55EE-43F3-BAC9-ADAF8D1E7AF6}"/>
    <cellStyle name="Style 24 10 2" xfId="11166" xr:uid="{9F785065-C3C8-486B-8D78-07958DE1EB58}"/>
    <cellStyle name="Style 24 11" xfId="5747" xr:uid="{070D90C6-7B59-4122-A552-989DBC8FB1B8}"/>
    <cellStyle name="Style 24 11 2" xfId="12214" xr:uid="{7808D921-A8A3-47D9-B17D-BE24DA786D30}"/>
    <cellStyle name="Style 24 11 2 2" xfId="34721" xr:uid="{48AE96FB-DB2C-4161-8DB2-E2603F59A099}"/>
    <cellStyle name="Style 24 11 3" xfId="31327" xr:uid="{CB406305-4C97-493C-9F6E-525E979E3FE2}"/>
    <cellStyle name="Style 24 12" xfId="11165" xr:uid="{67990C7F-4EE9-4B29-B198-CEADEF27DC67}"/>
    <cellStyle name="Style 24 2" xfId="4669" xr:uid="{CC3B9FA2-64C9-429B-904B-750548521967}"/>
    <cellStyle name="Style 24 2 2" xfId="4670" xr:uid="{C0344E07-80EA-4F59-8AD9-3A7D65599C4C}"/>
    <cellStyle name="Style 24 2 2 2" xfId="4671" xr:uid="{20DFDF76-A771-4112-96E9-140A65A5C423}"/>
    <cellStyle name="Style 24 2 2 2 2" xfId="11169" xr:uid="{9118BBF0-ADE6-4339-918D-A0523911DD14}"/>
    <cellStyle name="Style 24 2 2 3" xfId="4672" xr:uid="{24B5BF6C-C7FF-4ECC-9E35-5675A6A583B9}"/>
    <cellStyle name="Style 24 2 2 3 2" xfId="11170" xr:uid="{E67A4E0D-A8B6-4AD2-9CEA-E9D175618EC8}"/>
    <cellStyle name="Style 24 2 2 4" xfId="11168" xr:uid="{BBE0424D-6AB9-41EF-A81D-6E69CE70BFCB}"/>
    <cellStyle name="Style 24 2 3" xfId="4673" xr:uid="{FE31F50F-E0D8-4C73-B561-62A1BA8D393D}"/>
    <cellStyle name="Style 24 2 3 2" xfId="11171" xr:uid="{7CEFA346-B2A1-4723-B238-5AB99D44D465}"/>
    <cellStyle name="Style 24 2 4" xfId="4674" xr:uid="{CDD0A009-9ECF-427F-9C5C-37C0212C18C3}"/>
    <cellStyle name="Style 24 2 4 2" xfId="11172" xr:uid="{CEBDE16D-0723-41A2-9229-5EE6AE79DAC1}"/>
    <cellStyle name="Style 24 2 5" xfId="5748" xr:uid="{70B17F8E-1357-445E-A286-F21C7B1EE39A}"/>
    <cellStyle name="Style 24 2 5 2" xfId="12215" xr:uid="{B967E685-11BF-42E3-AB27-5429D7571431}"/>
    <cellStyle name="Style 24 2 5 2 2" xfId="34722" xr:uid="{F9C4881E-FF48-4B6C-B56B-C0996E18F401}"/>
    <cellStyle name="Style 24 2 5 3" xfId="31328" xr:uid="{85259270-B9ED-471A-BBB4-CF75CB99CFF9}"/>
    <cellStyle name="Style 24 2 6" xfId="11167" xr:uid="{46F3BBEA-9972-4550-B9B5-FCF64C7A67E9}"/>
    <cellStyle name="Style 24 3" xfId="4675" xr:uid="{11F7FA91-0E69-430F-86FA-ECB9736EB9AB}"/>
    <cellStyle name="Style 24 3 2" xfId="4676" xr:uid="{E13A0705-1446-424B-8B76-D2F0040135E7}"/>
    <cellStyle name="Style 24 3 2 2" xfId="11174" xr:uid="{6D3C928B-5D39-4817-B56D-7DD7B94BAAAA}"/>
    <cellStyle name="Style 24 3 3" xfId="4677" xr:uid="{827DE618-0232-4E6C-9041-FC584FF736ED}"/>
    <cellStyle name="Style 24 3 3 2" xfId="11175" xr:uid="{A7E6385B-82F5-4BED-91BF-23B3FF8C3418}"/>
    <cellStyle name="Style 24 3 4" xfId="11173" xr:uid="{677E323E-5759-4C1B-8BAB-FBA24E6E85A2}"/>
    <cellStyle name="Style 24 4" xfId="4678" xr:uid="{67D99C78-DC7E-44BD-B67C-BD020D7DE43F}"/>
    <cellStyle name="Style 24 4 2" xfId="4679" xr:uid="{D80CAE9A-0B8D-440A-84D9-16AC2011D598}"/>
    <cellStyle name="Style 24 4 2 2" xfId="11177" xr:uid="{73A1583E-6C16-4D60-B97D-9EEDCE0FEADB}"/>
    <cellStyle name="Style 24 4 3" xfId="4680" xr:uid="{E957F139-0F18-4721-AC1B-FAFCA63F6C8E}"/>
    <cellStyle name="Style 24 4 3 2" xfId="11178" xr:uid="{6F0574A3-C302-4C93-AEBE-2CB1EF002030}"/>
    <cellStyle name="Style 24 4 4" xfId="11176" xr:uid="{1324E47C-CF9E-4D54-8D3D-743B99DE914B}"/>
    <cellStyle name="Style 24 5" xfId="4681" xr:uid="{CB8E057F-2D59-4476-AC59-910548390519}"/>
    <cellStyle name="Style 24 5 2" xfId="4682" xr:uid="{D7D8A533-398D-473E-9B38-D81DA0EA828D}"/>
    <cellStyle name="Style 24 5 2 2" xfId="11180" xr:uid="{0C77FEB2-3505-47BE-8732-94D644403442}"/>
    <cellStyle name="Style 24 5 3" xfId="4683" xr:uid="{2F086AE3-9B9F-4485-9AC7-757BCDFD8720}"/>
    <cellStyle name="Style 24 5 3 2" xfId="11181" xr:uid="{54362480-193C-42AA-A1D1-BA78664C6A8F}"/>
    <cellStyle name="Style 24 5 4" xfId="11179" xr:uid="{42ACA4C5-AA30-40CF-98C6-B0E16310E052}"/>
    <cellStyle name="Style 24 6" xfId="4684" xr:uid="{E56DFC8C-977C-4FF3-ADB4-D0D41635739F}"/>
    <cellStyle name="Style 24 6 2" xfId="4685" xr:uid="{347C934E-58CA-437A-B5AC-8A8CEBD209A3}"/>
    <cellStyle name="Style 24 6 2 2" xfId="11183" xr:uid="{ABF7D15B-A2DB-40E1-BC8E-3271C084D018}"/>
    <cellStyle name="Style 24 6 3" xfId="4686" xr:uid="{5A0ED549-E8C3-42E2-A377-899EF28E5B84}"/>
    <cellStyle name="Style 24 6 3 2" xfId="11184" xr:uid="{DBA7F948-6F92-4EA3-B3BE-1BB6A0B0246B}"/>
    <cellStyle name="Style 24 6 4" xfId="11182" xr:uid="{4BAD176B-5EE4-4A96-ADC9-261981107F34}"/>
    <cellStyle name="Style 24 7" xfId="4687" xr:uid="{5D4E5ACE-73FB-4D62-86E8-0F3F31EB0CC0}"/>
    <cellStyle name="Style 24 7 2" xfId="4688" xr:uid="{A7E5E5D4-DC5F-4F33-BF70-A87D13350313}"/>
    <cellStyle name="Style 24 7 2 2" xfId="11186" xr:uid="{93EC087A-639A-4688-843F-6FC0600D7441}"/>
    <cellStyle name="Style 24 7 3" xfId="4689" xr:uid="{D27286B6-6EE0-4B0D-813D-73BEDD24A682}"/>
    <cellStyle name="Style 24 7 3 2" xfId="11187" xr:uid="{2E2465C5-0950-41F8-AFE8-692696444C5E}"/>
    <cellStyle name="Style 24 7 4" xfId="11185" xr:uid="{203E92CD-5290-4180-93E2-E17260DA0B99}"/>
    <cellStyle name="Style 24 8" xfId="4690" xr:uid="{5B3D8ECE-529A-4C43-AA83-3C5FBCC3CAF0}"/>
    <cellStyle name="Style 24 8 2" xfId="4691" xr:uid="{FD4F21A9-7446-4468-B570-C0B27903EC02}"/>
    <cellStyle name="Style 24 8 2 2" xfId="11189" xr:uid="{18B2D001-219C-49CE-92CD-B9EDB1E8B14B}"/>
    <cellStyle name="Style 24 8 3" xfId="4692" xr:uid="{A971FD88-CF94-4CEC-B7DE-3943E338A468}"/>
    <cellStyle name="Style 24 8 3 2" xfId="11190" xr:uid="{7ABEEC59-3EB4-4D6F-A722-09F00AF038CE}"/>
    <cellStyle name="Style 24 8 4" xfId="11188" xr:uid="{3BFB9BDA-86FF-41BB-8CC2-EC37FF8197B5}"/>
    <cellStyle name="Style 24 9" xfId="4693" xr:uid="{B8DA7634-93A0-45C6-B591-8884B977911B}"/>
    <cellStyle name="Style 24 9 2" xfId="11191" xr:uid="{1A964AAD-461B-463F-8556-EEB97AF44160}"/>
    <cellStyle name="Style 25" xfId="4694" xr:uid="{789EE555-4DFF-48E1-A1E1-F684AED9BD52}"/>
    <cellStyle name="Style 25 10" xfId="4695" xr:uid="{2365B918-725E-4AC2-86E3-FF5CC2A0F97D}"/>
    <cellStyle name="Style 25 10 2" xfId="11193" xr:uid="{A986E91F-EC84-4DFB-B0AD-DAE24A394919}"/>
    <cellStyle name="Style 25 11" xfId="5749" xr:uid="{2EE047FA-463D-4B4C-A820-A4682DC05A61}"/>
    <cellStyle name="Style 25 12" xfId="11192" xr:uid="{E6D8DCB7-7D8B-4C36-A032-942E57961B52}"/>
    <cellStyle name="Style 25 2" xfId="4696" xr:uid="{5ADE25A6-2B4A-40D0-901F-55A942A88E66}"/>
    <cellStyle name="Style 25 2 2" xfId="4697" xr:uid="{52B01517-B780-4759-8C65-1B7C279DCB34}"/>
    <cellStyle name="Style 25 2 2 2" xfId="4698" xr:uid="{7B6551DE-589E-44BA-A9BB-48F3331EAB8D}"/>
    <cellStyle name="Style 25 2 2 2 2" xfId="11196" xr:uid="{3DDF14DD-039A-41B1-B7EB-9308511166B1}"/>
    <cellStyle name="Style 25 2 2 3" xfId="4699" xr:uid="{31119CE2-2629-4C78-ABD8-FA08D3978A5D}"/>
    <cellStyle name="Style 25 2 2 3 2" xfId="11197" xr:uid="{92D27232-EDCD-4C71-AA88-FF4E897DE25D}"/>
    <cellStyle name="Style 25 2 2 4" xfId="11195" xr:uid="{A17D933D-6D26-4760-A22C-F41B09F99E35}"/>
    <cellStyle name="Style 25 2 3" xfId="4700" xr:uid="{83AEF027-DA95-4AEE-8C7E-5B27CFCF9DCB}"/>
    <cellStyle name="Style 25 2 3 2" xfId="11198" xr:uid="{61AEF3D6-2D5C-44B4-8094-9EAF55527E76}"/>
    <cellStyle name="Style 25 2 4" xfId="4701" xr:uid="{71DF67EF-CB93-4A5E-9680-FBE440DE0799}"/>
    <cellStyle name="Style 25 2 4 2" xfId="11199" xr:uid="{B77EF406-E67A-41A9-A92E-FDA891C39080}"/>
    <cellStyle name="Style 25 2 5" xfId="5750" xr:uid="{B8D4EA54-1416-48F3-AA29-B819634BEE4E}"/>
    <cellStyle name="Style 25 2 6" xfId="11194" xr:uid="{8DA8CF0F-F932-4CCF-9CE0-6E743AE59A4D}"/>
    <cellStyle name="Style 25 3" xfId="4702" xr:uid="{764F4381-46E5-48D5-AD5A-AF9E9560E63B}"/>
    <cellStyle name="Style 25 3 2" xfId="4703" xr:uid="{5F5440BE-E543-4F2E-97FB-DA680D233E66}"/>
    <cellStyle name="Style 25 3 2 2" xfId="11201" xr:uid="{F8A35761-6736-48BA-90D7-218363BA6130}"/>
    <cellStyle name="Style 25 3 3" xfId="4704" xr:uid="{B2EEC536-318E-4476-9126-49272C6944FC}"/>
    <cellStyle name="Style 25 3 3 2" xfId="11202" xr:uid="{18986B8B-D527-407A-8316-0F28BBFFB2B1}"/>
    <cellStyle name="Style 25 3 4" xfId="11200" xr:uid="{3215802B-9D9E-4D9A-9B1B-8C17CC9CB733}"/>
    <cellStyle name="Style 25 4" xfId="4705" xr:uid="{DF5476F5-0CB0-4546-856F-8609F9121693}"/>
    <cellStyle name="Style 25 4 2" xfId="4706" xr:uid="{485B83DF-E255-4B85-BC1A-83A76F85EDCF}"/>
    <cellStyle name="Style 25 4 2 2" xfId="11204" xr:uid="{54B144AA-4487-42EA-89ED-F8251805138F}"/>
    <cellStyle name="Style 25 4 3" xfId="4707" xr:uid="{45E221E9-3188-4D2E-9104-3807465E631F}"/>
    <cellStyle name="Style 25 4 3 2" xfId="11205" xr:uid="{778C5668-49BB-43A1-A25C-45D74624D6F3}"/>
    <cellStyle name="Style 25 4 4" xfId="11203" xr:uid="{D5040ACA-1355-4495-9068-3FB16F125732}"/>
    <cellStyle name="Style 25 5" xfId="4708" xr:uid="{0ECFF158-801E-483A-B7B6-165C8FED4781}"/>
    <cellStyle name="Style 25 5 2" xfId="4709" xr:uid="{5B31C6ED-D810-418B-9D3F-1E358E41A008}"/>
    <cellStyle name="Style 25 5 2 2" xfId="11207" xr:uid="{28521A3A-A7A4-45BF-855C-F22A5A18E9D0}"/>
    <cellStyle name="Style 25 5 3" xfId="4710" xr:uid="{AB047ADD-7F13-42A0-8614-90CB7B013C0D}"/>
    <cellStyle name="Style 25 5 3 2" xfId="11208" xr:uid="{0206964E-1C50-4FBF-8515-DABE066BC547}"/>
    <cellStyle name="Style 25 5 4" xfId="11206" xr:uid="{7C293D2D-4F98-4C75-979F-AD790593FBE1}"/>
    <cellStyle name="Style 25 6" xfId="4711" xr:uid="{664F7631-B4DC-4619-9AB0-B898BD6A959F}"/>
    <cellStyle name="Style 25 6 2" xfId="4712" xr:uid="{A85932B1-1404-4EC8-8C09-893990048902}"/>
    <cellStyle name="Style 25 6 2 2" xfId="11210" xr:uid="{84D57A55-432B-4195-8C48-C0C4B109DEC2}"/>
    <cellStyle name="Style 25 6 3" xfId="4713" xr:uid="{7BA05434-766E-487D-A744-A13FFD7F818C}"/>
    <cellStyle name="Style 25 6 3 2" xfId="11211" xr:uid="{59568D30-99D6-4A84-AE44-E49C11098F58}"/>
    <cellStyle name="Style 25 6 4" xfId="11209" xr:uid="{6219E103-1736-4BDD-9DDD-613B9FE56F27}"/>
    <cellStyle name="Style 25 7" xfId="4714" xr:uid="{6906AF2A-1FD1-40A3-A27C-8C2BD5F8E3EC}"/>
    <cellStyle name="Style 25 7 2" xfId="4715" xr:uid="{10DB4ACC-4971-4FD1-A601-773D0EF14600}"/>
    <cellStyle name="Style 25 7 2 2" xfId="11213" xr:uid="{6E9462CB-ECEB-4673-9C1E-FA30CEED0323}"/>
    <cellStyle name="Style 25 7 3" xfId="4716" xr:uid="{6CB0C370-48C4-4BD6-82A3-977DE895E7A1}"/>
    <cellStyle name="Style 25 7 3 2" xfId="11214" xr:uid="{880661AF-5019-4398-B4C6-2343B3B26146}"/>
    <cellStyle name="Style 25 7 4" xfId="11212" xr:uid="{512FB2F2-A23C-415C-9082-0508D5859C12}"/>
    <cellStyle name="Style 25 8" xfId="4717" xr:uid="{26331785-7AB5-465E-BA4B-79A8177022CF}"/>
    <cellStyle name="Style 25 8 2" xfId="4718" xr:uid="{BF8C5925-CF47-4820-BB76-E7A33BF391ED}"/>
    <cellStyle name="Style 25 8 2 2" xfId="11216" xr:uid="{F527EC00-A19E-40B0-B469-C88CE5FE8195}"/>
    <cellStyle name="Style 25 8 3" xfId="4719" xr:uid="{DE6EC4CF-2CDA-4B84-A470-D1A6BA7C5E35}"/>
    <cellStyle name="Style 25 8 3 2" xfId="11217" xr:uid="{74EA57B7-9492-4597-BA34-C554026CE1EC}"/>
    <cellStyle name="Style 25 8 4" xfId="11215" xr:uid="{1BF5B085-27CA-4951-B482-58AD8C2FEC3A}"/>
    <cellStyle name="Style 25 9" xfId="4720" xr:uid="{4190592D-CFF0-48E1-8004-A666D68A2166}"/>
    <cellStyle name="Style 25 9 2" xfId="11218" xr:uid="{0DF00AB3-B904-4DFC-BE57-4C65AA84A042}"/>
    <cellStyle name="Style 26" xfId="4721" xr:uid="{8BA83C34-4778-4CF5-98DF-448BD9A127BE}"/>
    <cellStyle name="Style 26 10" xfId="4722" xr:uid="{6227E5F3-E486-40D7-9512-F899579C6D0B}"/>
    <cellStyle name="Style 26 10 2" xfId="11220" xr:uid="{A0B3E05D-BC8C-4679-B27E-0132E96D63C7}"/>
    <cellStyle name="Style 26 11" xfId="5751" xr:uid="{49C3CBA7-2150-4C44-835F-3D9BBCDC3EFF}"/>
    <cellStyle name="Style 26 12" xfId="11219" xr:uid="{E474A57B-EF58-4AA6-B742-DB9B50C27618}"/>
    <cellStyle name="Style 26 2" xfId="4723" xr:uid="{1FCC73AC-D7FC-44C7-9C43-1B75AF60C379}"/>
    <cellStyle name="Style 26 2 2" xfId="4724" xr:uid="{6B6784D8-177C-4723-9D54-F6B089D46431}"/>
    <cellStyle name="Style 26 2 2 2" xfId="4725" xr:uid="{F833ABAA-34E1-4F23-B19C-2EBAD7319A71}"/>
    <cellStyle name="Style 26 2 2 2 2" xfId="11223" xr:uid="{AAE13154-D6AA-4EF0-BD00-24691F740E6F}"/>
    <cellStyle name="Style 26 2 2 3" xfId="4726" xr:uid="{523EED57-E611-4C6B-940B-9BB3A5B95786}"/>
    <cellStyle name="Style 26 2 2 3 2" xfId="11224" xr:uid="{989E039C-B05B-4D2A-8CFD-17C186FEF2A6}"/>
    <cellStyle name="Style 26 2 2 4" xfId="11222" xr:uid="{111DAFA3-B3A4-44CE-9908-121630E327FE}"/>
    <cellStyle name="Style 26 2 3" xfId="4727" xr:uid="{E3363312-053C-4C73-9EC8-8E1D13E465F6}"/>
    <cellStyle name="Style 26 2 3 2" xfId="11225" xr:uid="{A253BE94-4E02-4E7C-B1E5-9C4E9BB595B8}"/>
    <cellStyle name="Style 26 2 4" xfId="4728" xr:uid="{5C199DFF-6CCA-4A4D-80F7-7612B8CE0189}"/>
    <cellStyle name="Style 26 2 4 2" xfId="11226" xr:uid="{FE3DEBDB-607D-4FA5-B80B-AD244639CCD4}"/>
    <cellStyle name="Style 26 2 5" xfId="5752" xr:uid="{48DF5C1D-C107-4696-8656-2347659F91A8}"/>
    <cellStyle name="Style 26 2 6" xfId="11221" xr:uid="{E366AC04-2FEE-4F76-8D43-14C0E36F4BD8}"/>
    <cellStyle name="Style 26 3" xfId="4729" xr:uid="{DAA36A78-E80E-4517-9B8B-F3EB30CE78DB}"/>
    <cellStyle name="Style 26 3 2" xfId="4730" xr:uid="{54E747E5-4C26-4CB9-953D-051A302A83BE}"/>
    <cellStyle name="Style 26 3 2 2" xfId="11228" xr:uid="{9BCD5991-E6A2-4CFB-9B5B-46F8EE665F5A}"/>
    <cellStyle name="Style 26 3 3" xfId="4731" xr:uid="{084D7591-CA70-4877-A75C-89A9D0DA9BF0}"/>
    <cellStyle name="Style 26 3 3 2" xfId="11229" xr:uid="{EB3A255C-44F6-4398-9396-17C854806D39}"/>
    <cellStyle name="Style 26 3 4" xfId="11227" xr:uid="{30958FE4-8A89-4780-ADB3-0C8C12D88B74}"/>
    <cellStyle name="Style 26 4" xfId="4732" xr:uid="{839CEB13-BD6A-49E4-80E7-D8CA98D107E7}"/>
    <cellStyle name="Style 26 4 2" xfId="4733" xr:uid="{43BE73FE-51BA-400E-B14C-E626252AA657}"/>
    <cellStyle name="Style 26 4 2 2" xfId="11231" xr:uid="{E8A0705E-13C6-4E86-84B6-D24C267D6E73}"/>
    <cellStyle name="Style 26 4 3" xfId="4734" xr:uid="{23933A91-136D-48CB-9FE3-947719830564}"/>
    <cellStyle name="Style 26 4 3 2" xfId="11232" xr:uid="{17F00A5A-7908-4792-BDBE-6D3EED898661}"/>
    <cellStyle name="Style 26 4 4" xfId="11230" xr:uid="{0E7A00B4-4D4F-4F6C-B207-35BDE2FFAEC9}"/>
    <cellStyle name="Style 26 5" xfId="4735" xr:uid="{D17365CE-BE37-4149-A389-CFEE10920307}"/>
    <cellStyle name="Style 26 5 2" xfId="4736" xr:uid="{0017136C-CC53-429B-B05A-57AC1834B6B5}"/>
    <cellStyle name="Style 26 5 2 2" xfId="11234" xr:uid="{67B9FBB3-50FF-4588-A180-F2EFD6B2544A}"/>
    <cellStyle name="Style 26 5 3" xfId="4737" xr:uid="{6CEDEF7B-1844-4B85-AA11-8396ED9EE7A0}"/>
    <cellStyle name="Style 26 5 3 2" xfId="11235" xr:uid="{E25F847B-2883-429B-996A-D3C157B8DB8B}"/>
    <cellStyle name="Style 26 5 4" xfId="11233" xr:uid="{37054168-60F4-47F4-A294-C8CDAACBA31F}"/>
    <cellStyle name="Style 26 6" xfId="4738" xr:uid="{F6C12C91-2724-4BF1-9AE1-C29D5A781607}"/>
    <cellStyle name="Style 26 6 2" xfId="4739" xr:uid="{CCDC1C5F-87E4-4134-87B5-66EBF02B8098}"/>
    <cellStyle name="Style 26 6 2 2" xfId="11237" xr:uid="{8A62EFA5-4361-42F9-8892-70958057A49A}"/>
    <cellStyle name="Style 26 6 3" xfId="4740" xr:uid="{82DD4CF2-FCEB-4C55-B637-663712B42BC3}"/>
    <cellStyle name="Style 26 6 3 2" xfId="11238" xr:uid="{BE623C56-7A3C-42A2-B7D6-8E53B8168F96}"/>
    <cellStyle name="Style 26 6 4" xfId="11236" xr:uid="{1B9482C6-1DC6-4F8E-AB42-29FEDC98B066}"/>
    <cellStyle name="Style 26 7" xfId="4741" xr:uid="{A9C4039A-CDA5-46D9-BD3C-FF33965645EE}"/>
    <cellStyle name="Style 26 7 2" xfId="4742" xr:uid="{E65D2294-92BE-4E82-8E65-8E7BE07A69F8}"/>
    <cellStyle name="Style 26 7 2 2" xfId="11240" xr:uid="{696CAA2C-BBAD-4E1E-9602-E3C6E4B97676}"/>
    <cellStyle name="Style 26 7 3" xfId="4743" xr:uid="{BE64C002-0F57-4C43-B187-767B409F15EC}"/>
    <cellStyle name="Style 26 7 3 2" xfId="11241" xr:uid="{A7BB55DB-F425-4127-8639-900FAD98655F}"/>
    <cellStyle name="Style 26 7 4" xfId="11239" xr:uid="{051ACE97-3A30-45E3-9A03-CE9807FC5F14}"/>
    <cellStyle name="Style 26 8" xfId="4744" xr:uid="{484EBD1A-7512-4166-B625-F2D14E1E149E}"/>
    <cellStyle name="Style 26 8 2" xfId="4745" xr:uid="{C845C20D-7961-49E8-9D57-A4BEB5A64D7C}"/>
    <cellStyle name="Style 26 8 2 2" xfId="11243" xr:uid="{FD137C18-5B98-4B10-B3AA-76614FA7093F}"/>
    <cellStyle name="Style 26 8 3" xfId="4746" xr:uid="{74D0FD3C-31A5-4D77-8FC4-EFA1712428CA}"/>
    <cellStyle name="Style 26 8 3 2" xfId="11244" xr:uid="{6B4EC9C3-30AC-4A1A-B404-8F592072DA69}"/>
    <cellStyle name="Style 26 8 4" xfId="11242" xr:uid="{CC03FE2E-FFE7-429B-9779-E0CD03A0B7E6}"/>
    <cellStyle name="Style 26 9" xfId="4747" xr:uid="{1AE06C5B-39D9-4AD6-A38E-C70E4998AEDB}"/>
    <cellStyle name="Style 26 9 2" xfId="11245" xr:uid="{27D492FF-CED2-4557-BF79-639E6E78CE32}"/>
    <cellStyle name="Style 27" xfId="4748" xr:uid="{A1952CE2-7B35-4688-BA9C-E7751461E39A}"/>
    <cellStyle name="Style 27 10" xfId="4749" xr:uid="{351BD2F8-7123-416B-80F4-58DDDBCC4A5F}"/>
    <cellStyle name="Style 27 10 2" xfId="11247" xr:uid="{F3F2BEF3-28C3-491C-8ACA-E3B0E20ECE32}"/>
    <cellStyle name="Style 27 11" xfId="5753" xr:uid="{4B8CC472-2EC6-4D5E-9FBE-2B1BFAD99C2F}"/>
    <cellStyle name="Style 27 12" xfId="11246" xr:uid="{D892B3DB-FF9F-43A1-B781-1D58DD6E734B}"/>
    <cellStyle name="Style 27 2" xfId="4750" xr:uid="{13114D11-76A9-436A-8CDF-71D3F50A9E6B}"/>
    <cellStyle name="Style 27 2 2" xfId="4751" xr:uid="{E6978D6F-4709-4398-9759-9A177B20E8C3}"/>
    <cellStyle name="Style 27 2 2 2" xfId="4752" xr:uid="{75D141FC-232A-463E-BE4E-04E8113612BB}"/>
    <cellStyle name="Style 27 2 2 2 2" xfId="11250" xr:uid="{9D81276B-5F4C-4887-B0F2-4C6B551343C8}"/>
    <cellStyle name="Style 27 2 2 3" xfId="4753" xr:uid="{1AD433AB-1BED-4B67-BB77-05C13C87D2C7}"/>
    <cellStyle name="Style 27 2 2 3 2" xfId="11251" xr:uid="{972BF90A-6111-4656-82F0-A4490DABE89B}"/>
    <cellStyle name="Style 27 2 2 4" xfId="11249" xr:uid="{D3017E26-B26B-43CC-8A58-FC9EF4DA0FFA}"/>
    <cellStyle name="Style 27 2 3" xfId="4754" xr:uid="{E725DB0B-7E8B-4B99-9B1C-3FB80D58B432}"/>
    <cellStyle name="Style 27 2 3 2" xfId="11252" xr:uid="{548D1E7E-FF4A-443A-B6A9-21358E4AC18E}"/>
    <cellStyle name="Style 27 2 4" xfId="4755" xr:uid="{2DA90173-B0BF-4A49-8D69-6E1EE9B38B42}"/>
    <cellStyle name="Style 27 2 4 2" xfId="11253" xr:uid="{7A734142-1300-485E-BE11-7B5A0A18A64D}"/>
    <cellStyle name="Style 27 2 5" xfId="5754" xr:uid="{6137A076-B344-4BAA-BC4B-94A73A8FB884}"/>
    <cellStyle name="Style 27 2 6" xfId="11248" xr:uid="{B438BF34-00AB-45FE-B7D2-989E23F29874}"/>
    <cellStyle name="Style 27 3" xfId="4756" xr:uid="{C17FC32F-61B2-4CA8-A8F5-B64617DE483D}"/>
    <cellStyle name="Style 27 3 2" xfId="4757" xr:uid="{ABF79126-D9B0-45E3-BC6E-8CD8CC0C1890}"/>
    <cellStyle name="Style 27 3 2 2" xfId="11255" xr:uid="{5B132F68-71BF-4D3F-9BFF-EDFCF1E82B64}"/>
    <cellStyle name="Style 27 3 3" xfId="4758" xr:uid="{BD4258DF-87FA-4471-A63A-19A27F5F1A5A}"/>
    <cellStyle name="Style 27 3 3 2" xfId="11256" xr:uid="{47FB3D02-278F-4E16-B895-E36E322DC88C}"/>
    <cellStyle name="Style 27 3 4" xfId="11254" xr:uid="{FCF292E2-3C75-4BC8-9A88-A6A7891007C6}"/>
    <cellStyle name="Style 27 4" xfId="4759" xr:uid="{53362E55-A0F2-4487-A6FF-6EF14940B253}"/>
    <cellStyle name="Style 27 4 2" xfId="4760" xr:uid="{C8B42867-AEDB-4A95-985B-7955F7FB8B75}"/>
    <cellStyle name="Style 27 4 2 2" xfId="11258" xr:uid="{0871A6CD-C108-40E2-9450-16DB9CEAB2E9}"/>
    <cellStyle name="Style 27 4 3" xfId="4761" xr:uid="{E6D5C7AE-C410-4F25-A9CA-DE548E78F3EF}"/>
    <cellStyle name="Style 27 4 3 2" xfId="11259" xr:uid="{EF1E709E-0ED1-492B-B23C-C1C5AFDAC9FC}"/>
    <cellStyle name="Style 27 4 4" xfId="11257" xr:uid="{58854482-B609-4D18-BE16-CDA733F0DD80}"/>
    <cellStyle name="Style 27 5" xfId="4762" xr:uid="{1A60CF4D-5CE8-40DC-9A18-5DB168DE23FE}"/>
    <cellStyle name="Style 27 5 2" xfId="4763" xr:uid="{BC2165E4-CEFD-498F-8A88-0C45A690FA68}"/>
    <cellStyle name="Style 27 5 2 2" xfId="11261" xr:uid="{CE7CEA8F-29DF-4D3E-8FB5-46FDDF2BE40B}"/>
    <cellStyle name="Style 27 5 3" xfId="4764" xr:uid="{9B1712F1-0F4E-495A-87C8-1AE3C84E78E6}"/>
    <cellStyle name="Style 27 5 3 2" xfId="11262" xr:uid="{1F696028-BB80-479C-B01A-2A24AC3989DF}"/>
    <cellStyle name="Style 27 5 4" xfId="11260" xr:uid="{330CCEF2-366E-4A68-AA66-241A8A749F09}"/>
    <cellStyle name="Style 27 6" xfId="4765" xr:uid="{040B70B9-5432-4FA7-819F-5008190EEBB5}"/>
    <cellStyle name="Style 27 6 2" xfId="4766" xr:uid="{C1E433DD-3CFA-4948-8628-CAA1A93017B5}"/>
    <cellStyle name="Style 27 6 2 2" xfId="11264" xr:uid="{13445AA1-3E3B-41F7-AB0E-59B3B92E67B9}"/>
    <cellStyle name="Style 27 6 3" xfId="4767" xr:uid="{20F8DD77-3BB3-4BAE-8F2E-EDE4B90D07D1}"/>
    <cellStyle name="Style 27 6 3 2" xfId="11265" xr:uid="{E9038DE3-617F-411C-97E9-7D32B6B4B217}"/>
    <cellStyle name="Style 27 6 4" xfId="11263" xr:uid="{6B6090AE-5E2F-450F-A2FC-D0E1A287944E}"/>
    <cellStyle name="Style 27 7" xfId="4768" xr:uid="{12C3E631-B5CF-456B-B789-24992D5ECD00}"/>
    <cellStyle name="Style 27 7 2" xfId="4769" xr:uid="{030DE1C9-FE5D-4C22-9357-C9DDC70F9730}"/>
    <cellStyle name="Style 27 7 2 2" xfId="11267" xr:uid="{2FCE7FA3-3370-49FE-AE43-2FBC9244D0D6}"/>
    <cellStyle name="Style 27 7 3" xfId="4770" xr:uid="{DD33FB38-6A43-4B79-A232-AA6726999CFD}"/>
    <cellStyle name="Style 27 7 3 2" xfId="11268" xr:uid="{B7B36750-D0D3-4BFD-A65A-92CFD5FDC6FE}"/>
    <cellStyle name="Style 27 7 4" xfId="11266" xr:uid="{7843ACCB-E9BD-4781-A6C6-B37022982D69}"/>
    <cellStyle name="Style 27 8" xfId="4771" xr:uid="{1AE83E40-8154-4F3D-B738-E8823D204711}"/>
    <cellStyle name="Style 27 8 2" xfId="4772" xr:uid="{44E33C55-839C-481A-B9A7-53F8BFD207B8}"/>
    <cellStyle name="Style 27 8 2 2" xfId="11270" xr:uid="{53442773-2709-4749-9C18-96DFF0FAA0C4}"/>
    <cellStyle name="Style 27 8 3" xfId="4773" xr:uid="{DDA64C1B-E4DC-4F06-B7E9-0C0F21887D5D}"/>
    <cellStyle name="Style 27 8 3 2" xfId="11271" xr:uid="{AC5557D3-6FFC-4E4E-88EA-223E74ED9F28}"/>
    <cellStyle name="Style 27 8 4" xfId="11269" xr:uid="{95609D1F-F2C2-4E7F-8027-97553D7DE0E1}"/>
    <cellStyle name="Style 27 9" xfId="4774" xr:uid="{C8752E77-AE09-4950-8733-9738D91B5D8A}"/>
    <cellStyle name="Style 27 9 2" xfId="11272" xr:uid="{96A44322-D468-40BC-A82F-AA3902B672DE}"/>
    <cellStyle name="Style 28" xfId="4775" xr:uid="{19D4DBD2-53AB-4DD7-829D-8C214A4B6BB2}"/>
    <cellStyle name="Style 28 10" xfId="4776" xr:uid="{D19FDEB3-DA57-4D2E-B120-C40FB6354E67}"/>
    <cellStyle name="Style 28 10 2" xfId="11274" xr:uid="{63B10689-B99F-44F8-9810-6DBFD9ACD003}"/>
    <cellStyle name="Style 28 11" xfId="5755" xr:uid="{DA72E7C9-3E3F-4E54-B6B6-4E139CFB6F30}"/>
    <cellStyle name="Style 28 12" xfId="11273" xr:uid="{1FD1356D-E49E-449A-9186-3E0AFC21DFDD}"/>
    <cellStyle name="Style 28 2" xfId="4777" xr:uid="{697DD7F8-0E96-407C-B9CD-8C7FAAE3DA5B}"/>
    <cellStyle name="Style 28 2 2" xfId="4778" xr:uid="{A14CE6FE-9320-461C-AFB2-F67D6FA3BDB0}"/>
    <cellStyle name="Style 28 2 2 2" xfId="4779" xr:uid="{CA163344-1903-4573-9A2B-35B0D2B0E9A0}"/>
    <cellStyle name="Style 28 2 2 2 2" xfId="11277" xr:uid="{77873245-9E58-45C1-86B4-AB12F45CD0F4}"/>
    <cellStyle name="Style 28 2 2 3" xfId="4780" xr:uid="{27DA29EE-E0CB-4F53-B16D-42D796859FBA}"/>
    <cellStyle name="Style 28 2 2 3 2" xfId="11278" xr:uid="{03BEC10B-03E0-409A-9AD1-721EFC0F1896}"/>
    <cellStyle name="Style 28 2 2 4" xfId="11276" xr:uid="{1C1830E5-836A-47B4-B0DA-45D1991659ED}"/>
    <cellStyle name="Style 28 2 3" xfId="4781" xr:uid="{E50287C7-CECC-482D-945B-A64C12D7A02B}"/>
    <cellStyle name="Style 28 2 3 2" xfId="11279" xr:uid="{AAE66E19-78A8-4ECE-A1C6-C904684FE18E}"/>
    <cellStyle name="Style 28 2 4" xfId="4782" xr:uid="{0E6CD828-38EA-40E7-9F76-33FC50A006A1}"/>
    <cellStyle name="Style 28 2 4 2" xfId="11280" xr:uid="{5F867378-0005-4E57-A759-0C3BA8E99058}"/>
    <cellStyle name="Style 28 2 5" xfId="5756" xr:uid="{6AE453F2-E3D4-4250-82E5-C1774BB6841C}"/>
    <cellStyle name="Style 28 2 6" xfId="11275" xr:uid="{ECB3FA4D-7351-417E-9D73-D41C9C8FCCB0}"/>
    <cellStyle name="Style 28 3" xfId="4783" xr:uid="{B31B88AB-4C5B-494F-BD3E-301008668413}"/>
    <cellStyle name="Style 28 3 2" xfId="4784" xr:uid="{3B8D65B3-CEFB-4826-B714-BE2C08D14BFD}"/>
    <cellStyle name="Style 28 3 2 2" xfId="11282" xr:uid="{4C89599E-70A4-49B1-853F-952EEC426C3F}"/>
    <cellStyle name="Style 28 3 3" xfId="4785" xr:uid="{48C2CC28-AFF6-45BF-B0A8-9524D3170080}"/>
    <cellStyle name="Style 28 3 3 2" xfId="11283" xr:uid="{5354B565-2AD0-459F-A94C-EA03FDC2AD1B}"/>
    <cellStyle name="Style 28 3 4" xfId="11281" xr:uid="{0DD3764D-CE4D-4398-A36C-982B83DC768A}"/>
    <cellStyle name="Style 28 4" xfId="4786" xr:uid="{133A353B-3BE7-4F15-8564-EB21CD266282}"/>
    <cellStyle name="Style 28 4 2" xfId="4787" xr:uid="{CE03FB05-1141-4EA6-98A9-A967B2E02037}"/>
    <cellStyle name="Style 28 4 2 2" xfId="11285" xr:uid="{A0E8FCA9-458A-4F48-BEB4-5C30C37C3642}"/>
    <cellStyle name="Style 28 4 3" xfId="4788" xr:uid="{8C04A7DA-1062-4462-B66A-0F50FF6F3220}"/>
    <cellStyle name="Style 28 4 3 2" xfId="11286" xr:uid="{80F149F3-5A52-4095-8AD6-74382B4E6ECE}"/>
    <cellStyle name="Style 28 4 4" xfId="11284" xr:uid="{EC782DD0-2EB0-4E13-B0C4-82BD80347C0B}"/>
    <cellStyle name="Style 28 5" xfId="4789" xr:uid="{4F05019F-E8FC-49DF-AEE9-46ECCD5F8346}"/>
    <cellStyle name="Style 28 5 2" xfId="4790" xr:uid="{43BBFCD5-4499-469B-AA47-1EC520FB2CFC}"/>
    <cellStyle name="Style 28 5 2 2" xfId="11288" xr:uid="{3192B655-40B2-403F-935B-7D95A8C5D2CD}"/>
    <cellStyle name="Style 28 5 3" xfId="4791" xr:uid="{225F2492-45B5-4498-ADE8-CD1737B617AB}"/>
    <cellStyle name="Style 28 5 3 2" xfId="11289" xr:uid="{0A741410-5DC2-4C48-B871-F156E4BAF139}"/>
    <cellStyle name="Style 28 5 4" xfId="11287" xr:uid="{432F9B6B-E83D-4A7B-B5B4-894439B6FBD8}"/>
    <cellStyle name="Style 28 6" xfId="4792" xr:uid="{D22AD82D-813C-4C3C-AC11-AD72EB8D0B5B}"/>
    <cellStyle name="Style 28 6 2" xfId="4793" xr:uid="{A4527823-89C9-479B-8AEC-F3E91432C528}"/>
    <cellStyle name="Style 28 6 2 2" xfId="11291" xr:uid="{A0B375AC-FCE8-4333-8583-8D2D1B768D03}"/>
    <cellStyle name="Style 28 6 3" xfId="4794" xr:uid="{A76A0DD0-0A37-4D76-BB6B-CD95CFFCECB8}"/>
    <cellStyle name="Style 28 6 3 2" xfId="11292" xr:uid="{D441A58F-18AE-4393-9ED6-D288AB6A9700}"/>
    <cellStyle name="Style 28 6 4" xfId="11290" xr:uid="{19FBBF67-799E-44BF-89C1-78EED0E1ECCF}"/>
    <cellStyle name="Style 28 7" xfId="4795" xr:uid="{DB8A58AF-C48A-42AF-A95C-803B53454BF8}"/>
    <cellStyle name="Style 28 7 2" xfId="4796" xr:uid="{089F144A-B0E3-48F1-BF92-3C8490325DFF}"/>
    <cellStyle name="Style 28 7 2 2" xfId="11294" xr:uid="{17609291-972D-4B27-A029-3FC9F327668A}"/>
    <cellStyle name="Style 28 7 3" xfId="4797" xr:uid="{D420FBF0-FB3D-49BC-B382-282EFC2B9BC5}"/>
    <cellStyle name="Style 28 7 3 2" xfId="11295" xr:uid="{55E20DD5-B927-46D0-81AC-4248250C3AFA}"/>
    <cellStyle name="Style 28 7 4" xfId="11293" xr:uid="{4C9C0987-A20A-4D24-A0E4-874B759CA1E2}"/>
    <cellStyle name="Style 28 8" xfId="4798" xr:uid="{96E4A6FA-27E1-4ED9-A1BB-B79703F15EAC}"/>
    <cellStyle name="Style 28 8 2" xfId="4799" xr:uid="{0E1241C1-2115-4196-90F4-BA0CF55FC52D}"/>
    <cellStyle name="Style 28 8 2 2" xfId="11297" xr:uid="{292E059C-A01A-4785-8873-44E4E3F91260}"/>
    <cellStyle name="Style 28 8 3" xfId="4800" xr:uid="{997373AF-3115-4761-85A7-183446D07298}"/>
    <cellStyle name="Style 28 8 3 2" xfId="11298" xr:uid="{C3068373-6C23-4755-BF64-0714365D109E}"/>
    <cellStyle name="Style 28 8 4" xfId="11296" xr:uid="{274FC27E-AC8F-453C-AA1B-1F47C1F30529}"/>
    <cellStyle name="Style 28 9" xfId="4801" xr:uid="{EF38CB88-D751-4D2D-87F3-11AACF316DF1}"/>
    <cellStyle name="Style 28 9 2" xfId="11299" xr:uid="{E12C81CA-F763-428D-968E-CFBE85907AF0}"/>
    <cellStyle name="Style 29" xfId="4802" xr:uid="{8B33DED7-5C8E-4D35-BEA2-2E19A68B1A6F}"/>
    <cellStyle name="Style 29 10" xfId="4803" xr:uid="{D334BF64-F210-4AF8-BAB1-51B455C93289}"/>
    <cellStyle name="Style 29 10 2" xfId="11301" xr:uid="{522EB6B5-15D4-4FAE-A261-8527EE7DE6FF}"/>
    <cellStyle name="Style 29 11" xfId="5757" xr:uid="{8389C095-0703-40DA-9178-AB23CDEA02EB}"/>
    <cellStyle name="Style 29 12" xfId="11300" xr:uid="{3812FEAD-9B12-4EB5-A7F0-1442B6CFCB87}"/>
    <cellStyle name="Style 29 2" xfId="4804" xr:uid="{368B6C5B-E4C4-4979-870F-56C05965279F}"/>
    <cellStyle name="Style 29 2 2" xfId="4805" xr:uid="{54AD58C8-E235-443E-8681-87025471D3DC}"/>
    <cellStyle name="Style 29 2 2 2" xfId="4806" xr:uid="{19E7460C-B656-4297-9A61-A0DE4D15520F}"/>
    <cellStyle name="Style 29 2 2 2 2" xfId="11304" xr:uid="{CB2C358B-DF36-41C6-B318-97D414E04886}"/>
    <cellStyle name="Style 29 2 2 3" xfId="4807" xr:uid="{A4CF866B-35DE-4270-910D-2A6FD800D83F}"/>
    <cellStyle name="Style 29 2 2 3 2" xfId="11305" xr:uid="{A2AEFB32-5587-4FA8-A1BE-4B1DA408E4B2}"/>
    <cellStyle name="Style 29 2 2 4" xfId="11303" xr:uid="{8D075AEB-DD12-4AB9-A610-AADC05BC397F}"/>
    <cellStyle name="Style 29 2 3" xfId="4808" xr:uid="{8AAC8181-F526-49BE-BB10-A77F80F7692C}"/>
    <cellStyle name="Style 29 2 3 2" xfId="11306" xr:uid="{C41364A0-06F3-485C-A73C-9B4184F52DFF}"/>
    <cellStyle name="Style 29 2 4" xfId="4809" xr:uid="{6A91A885-1EC8-4511-BB40-D11359909840}"/>
    <cellStyle name="Style 29 2 4 2" xfId="11307" xr:uid="{B67B5594-16F0-4A11-A996-BB03FA1CEA4B}"/>
    <cellStyle name="Style 29 2 5" xfId="5758" xr:uid="{391FFD64-515A-4B40-BF08-84B4AAA05A01}"/>
    <cellStyle name="Style 29 2 6" xfId="11302" xr:uid="{CA4E8FF5-4015-4606-B248-5C78EC4F41E9}"/>
    <cellStyle name="Style 29 3" xfId="4810" xr:uid="{3FC57E90-EB79-4AE2-857C-1BE96FC92866}"/>
    <cellStyle name="Style 29 3 2" xfId="4811" xr:uid="{1FFCF17D-F3FA-4656-9B81-E21B8159EF9C}"/>
    <cellStyle name="Style 29 3 2 2" xfId="11309" xr:uid="{12B3221F-A22C-4B55-AF81-4BAE6EF5D6A6}"/>
    <cellStyle name="Style 29 3 3" xfId="4812" xr:uid="{C3C9A4E9-3551-4AFC-96A1-BC6A3D13DFA5}"/>
    <cellStyle name="Style 29 3 3 2" xfId="11310" xr:uid="{83443F99-D2D9-45D6-B594-E98F02F12105}"/>
    <cellStyle name="Style 29 3 4" xfId="11308" xr:uid="{845994AC-98B7-4602-ACDE-1D5355578900}"/>
    <cellStyle name="Style 29 4" xfId="4813" xr:uid="{392A67CF-6208-42BF-8BB2-FB06A2A7E47B}"/>
    <cellStyle name="Style 29 4 2" xfId="4814" xr:uid="{C53786A8-6A91-46D6-970B-1C4127D212FB}"/>
    <cellStyle name="Style 29 4 2 2" xfId="11312" xr:uid="{EAB05E72-3EC9-4214-A681-8DDBFDB13063}"/>
    <cellStyle name="Style 29 4 3" xfId="4815" xr:uid="{15D3523F-CB35-493F-B366-CEB8C5FAF260}"/>
    <cellStyle name="Style 29 4 3 2" xfId="11313" xr:uid="{17FBACD8-8DC4-46A5-AAF1-84837CFAEB1D}"/>
    <cellStyle name="Style 29 4 4" xfId="11311" xr:uid="{81127872-AC6A-4A1B-9EB2-0D6B1E2AA8D3}"/>
    <cellStyle name="Style 29 5" xfId="4816" xr:uid="{89A342F3-22C4-4C86-84C8-07F961DE9BBD}"/>
    <cellStyle name="Style 29 5 2" xfId="4817" xr:uid="{0FFFC495-4BBD-4F17-9637-F6DCCB4C247C}"/>
    <cellStyle name="Style 29 5 2 2" xfId="11315" xr:uid="{79370E2C-B0C8-4980-B615-2F45D7D17421}"/>
    <cellStyle name="Style 29 5 3" xfId="4818" xr:uid="{D5D949FB-3FC1-49CD-AE5A-31588D3555AC}"/>
    <cellStyle name="Style 29 5 3 2" xfId="11316" xr:uid="{80369EDD-C218-4307-B471-759A7ED1D0B7}"/>
    <cellStyle name="Style 29 5 4" xfId="11314" xr:uid="{5860EBD6-B6BF-44A5-81A4-8E23B926B6F9}"/>
    <cellStyle name="Style 29 6" xfId="4819" xr:uid="{D70E0B86-1E2F-4546-BBB4-31D0208BAF96}"/>
    <cellStyle name="Style 29 6 2" xfId="4820" xr:uid="{B2EE39AC-930A-4C92-9CFF-BCF7B1FAAAA1}"/>
    <cellStyle name="Style 29 6 2 2" xfId="11318" xr:uid="{1AA46E13-6F85-40CC-9C18-9991918A45AE}"/>
    <cellStyle name="Style 29 6 3" xfId="4821" xr:uid="{96CAEC95-4B2A-4931-BC99-8F1940B38CED}"/>
    <cellStyle name="Style 29 6 3 2" xfId="11319" xr:uid="{C20DC45B-44F4-4DBF-905C-80A8F832FA87}"/>
    <cellStyle name="Style 29 6 4" xfId="11317" xr:uid="{BF5D433B-5F43-4FD5-9A4B-4DF671D90612}"/>
    <cellStyle name="Style 29 7" xfId="4822" xr:uid="{32ECDED9-8C4A-4DAE-B68E-FEB61D92B7E0}"/>
    <cellStyle name="Style 29 7 2" xfId="4823" xr:uid="{2E2F81A2-5A96-4442-BC04-CC93372EC216}"/>
    <cellStyle name="Style 29 7 2 2" xfId="11321" xr:uid="{9A36943C-AD3D-462C-9C72-2FA39A358490}"/>
    <cellStyle name="Style 29 7 3" xfId="4824" xr:uid="{EA536B9D-4A66-4391-A696-52B39E4B914C}"/>
    <cellStyle name="Style 29 7 3 2" xfId="11322" xr:uid="{2444C472-6C47-403D-BA36-B4DA98B5F32B}"/>
    <cellStyle name="Style 29 7 4" xfId="11320" xr:uid="{A012077E-AA99-4F23-94BD-08CDAEE6B2CE}"/>
    <cellStyle name="Style 29 8" xfId="4825" xr:uid="{2CEBFF09-EE7E-492E-950A-42F55451F439}"/>
    <cellStyle name="Style 29 8 2" xfId="4826" xr:uid="{80FDC8DA-C1C2-430B-B70E-BEEFA76A30F7}"/>
    <cellStyle name="Style 29 8 2 2" xfId="11324" xr:uid="{71569DD6-3F99-452B-BCDC-7B70942DD340}"/>
    <cellStyle name="Style 29 8 3" xfId="4827" xr:uid="{4D22F71E-BA14-463A-87A6-F06811DC128B}"/>
    <cellStyle name="Style 29 8 3 2" xfId="11325" xr:uid="{EF2B016C-3093-463F-B4B1-B6F17214D45B}"/>
    <cellStyle name="Style 29 8 4" xfId="11323" xr:uid="{4D9E661C-F936-494F-9CB6-E8CC40868276}"/>
    <cellStyle name="Style 29 9" xfId="4828" xr:uid="{66451757-7C26-45E5-91C9-34559D06C1E4}"/>
    <cellStyle name="Style 29 9 2" xfId="11326" xr:uid="{9759F6A6-A790-476C-B5F9-FD2C23C1D135}"/>
    <cellStyle name="Style 30" xfId="4829" xr:uid="{3BC2D7E0-CBBC-475E-8EE9-73D9F511FD63}"/>
    <cellStyle name="Style 30 10" xfId="4830" xr:uid="{2F31D342-873F-40A2-8EC4-D5B772BE8B4D}"/>
    <cellStyle name="Style 30 10 2" xfId="11328" xr:uid="{DE44EBC0-B4EF-4D85-9832-058DC9BA28BC}"/>
    <cellStyle name="Style 30 11" xfId="5759" xr:uid="{D5E39BAF-D917-4D6A-8565-F107536A7E9E}"/>
    <cellStyle name="Style 30 12" xfId="11327" xr:uid="{45DA0378-7E3D-4FD4-BED7-7E025ACBA5A2}"/>
    <cellStyle name="Style 30 2" xfId="4831" xr:uid="{EBDAE4C7-F371-4F62-AC52-2F902117D111}"/>
    <cellStyle name="Style 30 2 2" xfId="4832" xr:uid="{7210EE09-F0B5-406C-9281-723575392A4C}"/>
    <cellStyle name="Style 30 2 2 2" xfId="4833" xr:uid="{1EF17933-987A-4B99-A716-2F282EA76DA4}"/>
    <cellStyle name="Style 30 2 2 2 2" xfId="11331" xr:uid="{F79328E7-479F-4D99-A94A-51F0C304AD06}"/>
    <cellStyle name="Style 30 2 2 3" xfId="4834" xr:uid="{EA39B476-D1F7-4C16-8D0E-CBDE5109531C}"/>
    <cellStyle name="Style 30 2 2 3 2" xfId="11332" xr:uid="{A387F588-5674-43E2-A4AC-507C1B257664}"/>
    <cellStyle name="Style 30 2 2 4" xfId="11330" xr:uid="{87908C8C-9C9E-4379-9C3F-2778B59BBEB2}"/>
    <cellStyle name="Style 30 2 3" xfId="4835" xr:uid="{249FE29A-775F-45CE-BF54-EBF669D19636}"/>
    <cellStyle name="Style 30 2 3 2" xfId="11333" xr:uid="{7E6DD0D9-9D98-4961-B53A-ABFBFBAA8184}"/>
    <cellStyle name="Style 30 2 4" xfId="4836" xr:uid="{1DF09200-664A-497F-AD80-ADA23F1F53E2}"/>
    <cellStyle name="Style 30 2 4 2" xfId="11334" xr:uid="{2679A238-89FE-4F1B-98E1-9D5C9EF226EE}"/>
    <cellStyle name="Style 30 2 5" xfId="5760" xr:uid="{80457692-793A-48F0-A00C-4EDC15879999}"/>
    <cellStyle name="Style 30 2 6" xfId="11329" xr:uid="{67CBC47E-A2A8-43B9-9804-2435C399DF49}"/>
    <cellStyle name="Style 30 3" xfId="4837" xr:uid="{C0971EC2-4E35-4267-BB2C-AF2BA32487B3}"/>
    <cellStyle name="Style 30 3 2" xfId="4838" xr:uid="{E38A840F-7458-410B-9F7E-C7476BD832AB}"/>
    <cellStyle name="Style 30 3 2 2" xfId="11336" xr:uid="{E6D4B541-9078-43DB-8B16-98A30AB4BA26}"/>
    <cellStyle name="Style 30 3 3" xfId="4839" xr:uid="{3E370719-AADC-42EE-9C00-F24AE1793821}"/>
    <cellStyle name="Style 30 3 3 2" xfId="11337" xr:uid="{35D3297D-4A77-41B4-98A9-03BEABDB26A7}"/>
    <cellStyle name="Style 30 3 4" xfId="11335" xr:uid="{4BEDA01E-0174-4597-907E-F1EC65B7780E}"/>
    <cellStyle name="Style 30 4" xfId="4840" xr:uid="{417F0888-F3E1-47E6-A827-356BC7645E25}"/>
    <cellStyle name="Style 30 4 2" xfId="4841" xr:uid="{195B9447-4D05-43F3-B506-1F4084663505}"/>
    <cellStyle name="Style 30 4 2 2" xfId="11339" xr:uid="{CA484BCC-EF29-4420-A4D2-31D1EF19DF09}"/>
    <cellStyle name="Style 30 4 3" xfId="4842" xr:uid="{934874AC-9AE5-44A3-B21B-478BB8CC435D}"/>
    <cellStyle name="Style 30 4 3 2" xfId="11340" xr:uid="{9EE7EB4B-60B6-4B1F-AB1F-AB83163745FD}"/>
    <cellStyle name="Style 30 4 4" xfId="11338" xr:uid="{D98A4049-3123-4107-B548-F1F3145D08B9}"/>
    <cellStyle name="Style 30 5" xfId="4843" xr:uid="{33A79C87-6EED-4F61-9DAC-7A526E807D6F}"/>
    <cellStyle name="Style 30 5 2" xfId="4844" xr:uid="{4B8829E0-2370-4D7A-92C4-62360F090D48}"/>
    <cellStyle name="Style 30 5 2 2" xfId="11342" xr:uid="{4E01B316-666B-4C5C-8E43-AC65C656CD79}"/>
    <cellStyle name="Style 30 5 3" xfId="4845" xr:uid="{C7FFE5C0-62F4-49A5-972F-B43770065E66}"/>
    <cellStyle name="Style 30 5 3 2" xfId="11343" xr:uid="{36304DE8-9CB5-470B-BAC2-6462BA31CA06}"/>
    <cellStyle name="Style 30 5 4" xfId="11341" xr:uid="{CD7247B8-888E-43D1-BB16-96DD388022DD}"/>
    <cellStyle name="Style 30 6" xfId="4846" xr:uid="{E20BD981-2F34-4BCE-BAAC-9CB76F2696D5}"/>
    <cellStyle name="Style 30 6 2" xfId="4847" xr:uid="{89AE18A1-6511-48B0-A6F2-F454027DEE84}"/>
    <cellStyle name="Style 30 6 2 2" xfId="11345" xr:uid="{474341D5-1F7A-43BF-A5A2-DBA4CE58A374}"/>
    <cellStyle name="Style 30 6 3" xfId="4848" xr:uid="{B649710F-662B-4343-8B14-79E33D3F0C10}"/>
    <cellStyle name="Style 30 6 3 2" xfId="11346" xr:uid="{732453FF-F9B7-44F3-8F81-635640D66796}"/>
    <cellStyle name="Style 30 6 4" xfId="11344" xr:uid="{8552559C-4D2D-407D-9A41-7C6833BD18E7}"/>
    <cellStyle name="Style 30 7" xfId="4849" xr:uid="{69174621-6714-45E6-84CE-2980BE78A94C}"/>
    <cellStyle name="Style 30 7 2" xfId="4850" xr:uid="{11B629DF-3C83-4CE6-ACEB-E6B0F935A6F6}"/>
    <cellStyle name="Style 30 7 2 2" xfId="11348" xr:uid="{F546D606-A856-436B-AA8F-519C2DA2E0F5}"/>
    <cellStyle name="Style 30 7 3" xfId="4851" xr:uid="{E7E24191-B69C-4C73-A0DC-BB285A89A864}"/>
    <cellStyle name="Style 30 7 3 2" xfId="11349" xr:uid="{79978ABC-05B4-4091-836E-B77BA68F6322}"/>
    <cellStyle name="Style 30 7 4" xfId="11347" xr:uid="{4D667F56-A35B-4404-961C-358CF3D46E52}"/>
    <cellStyle name="Style 30 8" xfId="4852" xr:uid="{B76A0955-DC37-4A6B-A3AD-224DFC592679}"/>
    <cellStyle name="Style 30 8 2" xfId="4853" xr:uid="{A63D38EA-0A43-4B46-84DC-B9705DC8A763}"/>
    <cellStyle name="Style 30 8 2 2" xfId="11351" xr:uid="{138FED6D-CE71-446F-86BB-9BD9E00E2B5C}"/>
    <cellStyle name="Style 30 8 3" xfId="4854" xr:uid="{3A500D23-3DFB-4317-8393-1CD93B57E37F}"/>
    <cellStyle name="Style 30 8 3 2" xfId="11352" xr:uid="{27809DCD-B7F8-4CF0-BC26-B8B0C7360895}"/>
    <cellStyle name="Style 30 8 4" xfId="11350" xr:uid="{3C3ADEB2-4C73-43FF-ACBD-6DDC54D2E242}"/>
    <cellStyle name="Style 30 9" xfId="4855" xr:uid="{B33C8824-8698-4FB9-BB24-D58CB53C9EFE}"/>
    <cellStyle name="Style 30 9 2" xfId="11353" xr:uid="{34F652BA-4C3D-4A68-827C-C7F2F05F9D2A}"/>
    <cellStyle name="Style 31" xfId="4856" xr:uid="{691E4262-7688-4E51-810A-01347724F31C}"/>
    <cellStyle name="Style 31 10" xfId="4857" xr:uid="{15CF6BFC-59B8-49D0-A88E-761B756B88F6}"/>
    <cellStyle name="Style 31 10 2" xfId="11355" xr:uid="{149FF509-D6D7-4ED5-AB6E-138ACDB9BDC0}"/>
    <cellStyle name="Style 31 11" xfId="5761" xr:uid="{411E0256-8738-44FE-85E3-65A47D443E13}"/>
    <cellStyle name="Style 31 12" xfId="11354" xr:uid="{684FACE5-5E81-4C37-92DD-243F19F2B16B}"/>
    <cellStyle name="Style 31 2" xfId="4858" xr:uid="{7526F253-7304-49FD-9351-6065CAD92EDA}"/>
    <cellStyle name="Style 31 2 2" xfId="4859" xr:uid="{45F390E7-6230-48D0-B3C2-53478DE2A0D3}"/>
    <cellStyle name="Style 31 2 2 2" xfId="4860" xr:uid="{09A12DA2-BEA6-40E1-A925-A277E2684FA5}"/>
    <cellStyle name="Style 31 2 2 2 2" xfId="11358" xr:uid="{DF069E4C-418F-42BB-B43E-909B16970C7F}"/>
    <cellStyle name="Style 31 2 2 3" xfId="4861" xr:uid="{1859E3B0-9742-456A-9F54-BA6D45BAC72C}"/>
    <cellStyle name="Style 31 2 2 3 2" xfId="11359" xr:uid="{4207A48A-8F1E-475A-BFCD-4220FD52EFED}"/>
    <cellStyle name="Style 31 2 2 4" xfId="11357" xr:uid="{71A15DF7-6CA1-409F-B775-C47A0D641091}"/>
    <cellStyle name="Style 31 2 3" xfId="4862" xr:uid="{FB7702F9-5558-4693-881E-B45169E60032}"/>
    <cellStyle name="Style 31 2 3 2" xfId="11360" xr:uid="{BDB5550F-D32B-4518-8368-8DE7AA927996}"/>
    <cellStyle name="Style 31 2 4" xfId="4863" xr:uid="{55A90B54-E3E6-43FE-A06E-BA501050853A}"/>
    <cellStyle name="Style 31 2 4 2" xfId="11361" xr:uid="{2A2F5EAF-6923-42E1-A6E1-C2483ABB4FF5}"/>
    <cellStyle name="Style 31 2 5" xfId="5762" xr:uid="{C45B615B-08FE-4FC7-A588-6F6DDA826F51}"/>
    <cellStyle name="Style 31 2 6" xfId="11356" xr:uid="{3080CD1F-9168-42A5-9777-7D0B8BF1583C}"/>
    <cellStyle name="Style 31 3" xfId="4864" xr:uid="{159C34A6-74E6-4E9F-99ED-22CA2F911AE7}"/>
    <cellStyle name="Style 31 3 2" xfId="4865" xr:uid="{261F5CA0-9DC7-4179-A8FC-FDE56DC648C8}"/>
    <cellStyle name="Style 31 3 2 2" xfId="11363" xr:uid="{A99D19D3-F373-4F6F-898D-C404B7E611B0}"/>
    <cellStyle name="Style 31 3 3" xfId="4866" xr:uid="{8CCE1F21-BE9E-44AD-88B3-A2EC2D100436}"/>
    <cellStyle name="Style 31 3 3 2" xfId="11364" xr:uid="{2178FDB4-DCCF-40E0-ADB7-7081183EBA13}"/>
    <cellStyle name="Style 31 3 4" xfId="11362" xr:uid="{A3E316B3-00FD-42EE-B241-2865203BF23F}"/>
    <cellStyle name="Style 31 4" xfId="4867" xr:uid="{898006AD-9290-4B95-9519-0F1AF16DBB53}"/>
    <cellStyle name="Style 31 4 2" xfId="4868" xr:uid="{50519413-B047-415F-9B6F-AD1F89EA5CE5}"/>
    <cellStyle name="Style 31 4 2 2" xfId="11366" xr:uid="{3543ADFA-D7EB-4474-A426-C9AF0AE7D50C}"/>
    <cellStyle name="Style 31 4 3" xfId="4869" xr:uid="{AD9EE247-6A8B-4FD6-B992-6515E1936D27}"/>
    <cellStyle name="Style 31 4 3 2" xfId="11367" xr:uid="{2939BE62-7E5D-4E3F-8C05-FB3D0283E072}"/>
    <cellStyle name="Style 31 4 4" xfId="11365" xr:uid="{D2DFFE26-7ED3-45AF-A04F-18A88F66CA7E}"/>
    <cellStyle name="Style 31 5" xfId="4870" xr:uid="{B0402EB4-021B-4FB6-8E56-B6C68C4962CD}"/>
    <cellStyle name="Style 31 5 2" xfId="4871" xr:uid="{8547CF68-CC90-42B4-90E2-8BA71C8BE975}"/>
    <cellStyle name="Style 31 5 2 2" xfId="11369" xr:uid="{E41E5615-F0DF-46F5-92FD-243BD076D3C7}"/>
    <cellStyle name="Style 31 5 3" xfId="4872" xr:uid="{91044205-741B-454A-A839-113B79571E56}"/>
    <cellStyle name="Style 31 5 3 2" xfId="11370" xr:uid="{CFC85E47-242D-4293-874E-38E6B049ED01}"/>
    <cellStyle name="Style 31 5 4" xfId="11368" xr:uid="{09D4371F-766E-4FCF-BE50-89075BE69812}"/>
    <cellStyle name="Style 31 6" xfId="4873" xr:uid="{E97DB123-276C-4A50-B160-52A356694631}"/>
    <cellStyle name="Style 31 6 2" xfId="4874" xr:uid="{F26F585A-29EE-472C-A4D0-946C3836F1FF}"/>
    <cellStyle name="Style 31 6 2 2" xfId="11372" xr:uid="{5728A5FD-5A0C-4198-B9BC-68851655FAAC}"/>
    <cellStyle name="Style 31 6 3" xfId="4875" xr:uid="{375AFE0B-ADD6-4938-BEA8-123667C36F20}"/>
    <cellStyle name="Style 31 6 3 2" xfId="11373" xr:uid="{1EAA0993-899E-4C65-862F-246312FF3434}"/>
    <cellStyle name="Style 31 6 4" xfId="11371" xr:uid="{25A20C2A-5B38-4D70-9EBC-AB9AAFF4FB48}"/>
    <cellStyle name="Style 31 7" xfId="4876" xr:uid="{A06086D3-AD56-4BAF-9DA5-351372355C68}"/>
    <cellStyle name="Style 31 7 2" xfId="4877" xr:uid="{4F0BC084-3A48-486D-A225-B36931818056}"/>
    <cellStyle name="Style 31 7 2 2" xfId="11375" xr:uid="{CA67C54E-B107-430D-8C20-3E5B693122FD}"/>
    <cellStyle name="Style 31 7 3" xfId="4878" xr:uid="{107A18E2-3AC4-4D8A-B418-C7280AD600CC}"/>
    <cellStyle name="Style 31 7 3 2" xfId="11376" xr:uid="{7652EEDA-858A-465A-8AD0-74F387C9CA7B}"/>
    <cellStyle name="Style 31 7 4" xfId="11374" xr:uid="{FB373D93-748B-4D99-AFB3-65D0C8C1E01E}"/>
    <cellStyle name="Style 31 8" xfId="4879" xr:uid="{87ACF620-6284-4D98-926E-E3284E8B7CAA}"/>
    <cellStyle name="Style 31 8 2" xfId="4880" xr:uid="{9066AB47-9B54-4D94-A978-FC825B152172}"/>
    <cellStyle name="Style 31 8 2 2" xfId="11378" xr:uid="{A8825FBB-52CF-4BC3-B20B-B2564F67EAA8}"/>
    <cellStyle name="Style 31 8 3" xfId="4881" xr:uid="{3F47DBC2-8F8B-46F7-9C8C-A04C2AA450D4}"/>
    <cellStyle name="Style 31 8 3 2" xfId="11379" xr:uid="{4454E902-C33E-4599-973B-1B0EA6A7C7B8}"/>
    <cellStyle name="Style 31 8 4" xfId="11377" xr:uid="{5E121C77-DA1D-4E0E-A062-71F44993F205}"/>
    <cellStyle name="Style 31 9" xfId="4882" xr:uid="{2784F956-281C-43BC-8720-2709AAB4C284}"/>
    <cellStyle name="Style 31 9 2" xfId="11380" xr:uid="{8AE3AE8B-DB30-471A-8A56-680DAC53BC32}"/>
    <cellStyle name="Style 32" xfId="4883" xr:uid="{645EA8A2-0B53-4592-9BF8-FBBC7A14393B}"/>
    <cellStyle name="Style 32 10" xfId="4884" xr:uid="{11710C1C-EA9D-46AC-AA8A-0C5B4DF33D2D}"/>
    <cellStyle name="Style 32 10 2" xfId="11382" xr:uid="{D26CAED0-15B1-4971-A4A5-5ABDD8D1B7E4}"/>
    <cellStyle name="Style 32 11" xfId="5763" xr:uid="{0FD3C5DF-8DD0-43B8-A1D2-787017623B83}"/>
    <cellStyle name="Style 32 12" xfId="11381" xr:uid="{02F79A5F-EE8A-4A36-BE28-8800EBCEBD65}"/>
    <cellStyle name="Style 32 2" xfId="4885" xr:uid="{5A279143-B278-40E9-92AC-F853EF8786C9}"/>
    <cellStyle name="Style 32 2 2" xfId="4886" xr:uid="{6B9F5744-7065-4DC3-8BC3-E0185DC6E92D}"/>
    <cellStyle name="Style 32 2 2 2" xfId="4887" xr:uid="{3D73DB5B-C1A8-4E01-9F91-C4B790845219}"/>
    <cellStyle name="Style 32 2 2 2 2" xfId="11385" xr:uid="{1E1FE389-E6DC-4F2B-BA6B-96ADB1C26FDF}"/>
    <cellStyle name="Style 32 2 2 3" xfId="4888" xr:uid="{24E30D6A-E44A-4EFF-A1AE-98C0C804F741}"/>
    <cellStyle name="Style 32 2 2 3 2" xfId="11386" xr:uid="{09F95C2E-0243-466D-886D-527619A698BD}"/>
    <cellStyle name="Style 32 2 2 4" xfId="11384" xr:uid="{1D49C988-0C87-42D7-A8CF-71FD72472B1D}"/>
    <cellStyle name="Style 32 2 3" xfId="4889" xr:uid="{087B00BA-E589-41BE-B6F1-0F8D50FB19EA}"/>
    <cellStyle name="Style 32 2 3 2" xfId="11387" xr:uid="{A6F5567C-4BBE-48AD-9425-15BA7A6F5ACC}"/>
    <cellStyle name="Style 32 2 4" xfId="4890" xr:uid="{47939DE8-EA95-43C7-BEFF-B3938E31E3B1}"/>
    <cellStyle name="Style 32 2 4 2" xfId="11388" xr:uid="{61C880E0-A21E-43A1-8B6D-D6E0050B9383}"/>
    <cellStyle name="Style 32 2 5" xfId="5764" xr:uid="{74AC64FB-9C2F-4A0D-AE96-5B2F29C9C6C1}"/>
    <cellStyle name="Style 32 2 6" xfId="11383" xr:uid="{C080C1B9-139B-4060-9134-7D669475D3BF}"/>
    <cellStyle name="Style 32 3" xfId="4891" xr:uid="{FE1BE73E-18E0-4BB2-BB40-57672BAE8F2C}"/>
    <cellStyle name="Style 32 3 2" xfId="4892" xr:uid="{71D4A2A2-D397-42CE-8CA0-D656CB340CD5}"/>
    <cellStyle name="Style 32 3 2 2" xfId="11390" xr:uid="{D57F56FA-1123-41F6-AD35-82821AB9EAFC}"/>
    <cellStyle name="Style 32 3 3" xfId="4893" xr:uid="{A36D9A6E-53FF-4A4A-9863-2AF30BD92653}"/>
    <cellStyle name="Style 32 3 3 2" xfId="11391" xr:uid="{E495E7DA-1220-468C-86EE-92252E7CE3CF}"/>
    <cellStyle name="Style 32 3 4" xfId="11389" xr:uid="{7219A009-45E6-461C-BA4C-43871FC2EC3D}"/>
    <cellStyle name="Style 32 4" xfId="4894" xr:uid="{4C2686BA-51EC-44F2-826B-7BC82538BF63}"/>
    <cellStyle name="Style 32 4 2" xfId="4895" xr:uid="{482229AC-AC13-4369-AE7C-F57A44B4204F}"/>
    <cellStyle name="Style 32 4 2 2" xfId="11393" xr:uid="{B40F5E00-780C-4694-B5BF-5CCD042604DA}"/>
    <cellStyle name="Style 32 4 3" xfId="4896" xr:uid="{F21ACC77-85A2-4F35-BCAF-43E126F2D849}"/>
    <cellStyle name="Style 32 4 3 2" xfId="11394" xr:uid="{2E0D59B9-DE0E-4168-A420-FC1174525DB1}"/>
    <cellStyle name="Style 32 4 4" xfId="11392" xr:uid="{CCA077D1-35AE-4A43-A6B3-C8391AF069FD}"/>
    <cellStyle name="Style 32 5" xfId="4897" xr:uid="{CB516068-8643-4C31-B010-EB768E4C79B3}"/>
    <cellStyle name="Style 32 5 2" xfId="4898" xr:uid="{BB9F4743-9C4F-413A-8E58-1DA762E2D73E}"/>
    <cellStyle name="Style 32 5 2 2" xfId="11396" xr:uid="{1DE580BA-D5DE-4685-A4FF-CA23EE4FE421}"/>
    <cellStyle name="Style 32 5 3" xfId="4899" xr:uid="{F2DAD8D7-E5F8-4BD2-BC10-9A7772DC94D4}"/>
    <cellStyle name="Style 32 5 3 2" xfId="11397" xr:uid="{1650F2D4-BF40-4E8C-96A7-0D322C9150AB}"/>
    <cellStyle name="Style 32 5 4" xfId="11395" xr:uid="{89E89C51-B9B0-4CAD-A2A8-A4409C1BA9A9}"/>
    <cellStyle name="Style 32 6" xfId="4900" xr:uid="{4FBBE477-0DE9-4289-AF32-8F9966057AEF}"/>
    <cellStyle name="Style 32 6 2" xfId="4901" xr:uid="{2A4B69F5-8C57-40D9-9063-B8F4EF4F1647}"/>
    <cellStyle name="Style 32 6 2 2" xfId="11399" xr:uid="{3DCDE15B-C7FB-45F0-8EB8-00372D3F59B8}"/>
    <cellStyle name="Style 32 6 3" xfId="4902" xr:uid="{018C2F07-6DA7-4248-9AED-3EBC51DA8A3B}"/>
    <cellStyle name="Style 32 6 3 2" xfId="11400" xr:uid="{4B6CC898-7B57-44D7-8642-06A1D3227050}"/>
    <cellStyle name="Style 32 6 4" xfId="11398" xr:uid="{CF534620-FD25-4C9F-8F36-B52BE0EEBEE8}"/>
    <cellStyle name="Style 32 7" xfId="4903" xr:uid="{335BD51E-4AEE-4029-9F1D-6E16B0C0B61A}"/>
    <cellStyle name="Style 32 7 2" xfId="4904" xr:uid="{7A9C993A-788E-4EDD-8B94-C6CEE9578540}"/>
    <cellStyle name="Style 32 7 2 2" xfId="11402" xr:uid="{CE16D2AB-BDA7-4F2D-BA68-DE5BD1F81C3D}"/>
    <cellStyle name="Style 32 7 3" xfId="4905" xr:uid="{B3815F88-08FA-46C6-855D-FF1DFE291271}"/>
    <cellStyle name="Style 32 7 3 2" xfId="11403" xr:uid="{D2B15D54-2A83-479E-9F89-668A04407221}"/>
    <cellStyle name="Style 32 7 4" xfId="11401" xr:uid="{FE72E6A1-FE50-4701-A121-25848EF1E824}"/>
    <cellStyle name="Style 32 8" xfId="4906" xr:uid="{A2F8B9D8-AA12-42E1-AB6A-757F9622D40F}"/>
    <cellStyle name="Style 32 8 2" xfId="4907" xr:uid="{36EC1EBF-3572-45FE-A23F-19A9B770B5BB}"/>
    <cellStyle name="Style 32 8 2 2" xfId="11405" xr:uid="{88A69D55-9A22-4DDA-816D-1A1047040E64}"/>
    <cellStyle name="Style 32 8 3" xfId="4908" xr:uid="{A9E2F606-DFE6-40CD-8924-05B2927CD33D}"/>
    <cellStyle name="Style 32 8 3 2" xfId="11406" xr:uid="{1D8C2350-CC67-4D4E-AECB-134923B0C8F4}"/>
    <cellStyle name="Style 32 8 4" xfId="11404" xr:uid="{C25E22BF-380F-4A7C-A7C6-E9BE5B9362E5}"/>
    <cellStyle name="Style 32 9" xfId="4909" xr:uid="{D28BBC5F-4CF7-44F9-8F73-FD9926D83C88}"/>
    <cellStyle name="Style 32 9 2" xfId="11407" xr:uid="{C150A7AF-16A1-4934-9CE3-9904433A31EC}"/>
    <cellStyle name="Style 33" xfId="4910" xr:uid="{72B642B2-FB3D-42B0-9754-2F9873FD2549}"/>
    <cellStyle name="Style 33 10" xfId="4911" xr:uid="{B3140D5C-AF88-4A53-996B-6182CBC55B11}"/>
    <cellStyle name="Style 33 10 2" xfId="11409" xr:uid="{71E38848-EC84-4B8D-8809-324B89F53E23}"/>
    <cellStyle name="Style 33 11" xfId="5765" xr:uid="{0A08423B-4493-4B10-BC23-E538A5043666}"/>
    <cellStyle name="Style 33 12" xfId="11408" xr:uid="{23A32255-21F6-4A70-8264-63706431196D}"/>
    <cellStyle name="Style 33 2" xfId="4912" xr:uid="{EE9770DA-DC6B-4B18-ABE1-9F75BD9E68F6}"/>
    <cellStyle name="Style 33 2 2" xfId="4913" xr:uid="{5952CDCF-5895-49E1-BF5E-BCCF3B5C9C27}"/>
    <cellStyle name="Style 33 2 2 2" xfId="4914" xr:uid="{D63FB160-96C8-4BF2-83FF-53CCA5B953CE}"/>
    <cellStyle name="Style 33 2 2 2 2" xfId="11412" xr:uid="{A4EF5FA3-EC8A-42BA-B81F-967861F87172}"/>
    <cellStyle name="Style 33 2 2 3" xfId="4915" xr:uid="{3596F9AB-CF89-44CD-9BEC-0C1B0BBC726F}"/>
    <cellStyle name="Style 33 2 2 3 2" xfId="11413" xr:uid="{0788B1BD-E51E-48C8-A163-BD86A210CDF9}"/>
    <cellStyle name="Style 33 2 2 4" xfId="11411" xr:uid="{3C71137A-F0AA-4606-A1A3-CE6F9DB77357}"/>
    <cellStyle name="Style 33 2 3" xfId="4916" xr:uid="{7AA479EB-B85C-4BA7-98BC-C4669B4B98D2}"/>
    <cellStyle name="Style 33 2 3 2" xfId="11414" xr:uid="{C2E49371-F4D4-46DC-9DCC-3B86D79F4A97}"/>
    <cellStyle name="Style 33 2 4" xfId="4917" xr:uid="{C440A830-6EDD-48DC-A85F-F34F35510809}"/>
    <cellStyle name="Style 33 2 4 2" xfId="11415" xr:uid="{11AD3020-610D-4321-9E3A-1F33463324F2}"/>
    <cellStyle name="Style 33 2 5" xfId="5766" xr:uid="{DC8E7285-8DD2-4B27-8D9B-91067CB41913}"/>
    <cellStyle name="Style 33 2 6" xfId="11410" xr:uid="{BF59C58B-1AEF-4FA6-9A54-5DE4C2BEA546}"/>
    <cellStyle name="Style 33 3" xfId="4918" xr:uid="{61BC89B4-C475-4ACF-B441-1C142383A66E}"/>
    <cellStyle name="Style 33 3 2" xfId="4919" xr:uid="{82BE2915-428B-493A-8B72-EA7D1E3B5DD7}"/>
    <cellStyle name="Style 33 3 2 2" xfId="11417" xr:uid="{BC7DE237-2157-4222-A3C5-65E7B4C39580}"/>
    <cellStyle name="Style 33 3 3" xfId="4920" xr:uid="{F8C2BB52-B971-45B4-B163-2702545B8E51}"/>
    <cellStyle name="Style 33 3 3 2" xfId="11418" xr:uid="{B61A399F-880E-4F43-83D5-B04AE23A7B22}"/>
    <cellStyle name="Style 33 3 4" xfId="11416" xr:uid="{457A1CFA-ED8B-49B1-9244-8E62572BE41B}"/>
    <cellStyle name="Style 33 4" xfId="4921" xr:uid="{C6031240-5619-4684-80D6-96B6BC244811}"/>
    <cellStyle name="Style 33 4 2" xfId="4922" xr:uid="{A1916F6F-5E2E-46C4-858A-35DDEA9C2FE4}"/>
    <cellStyle name="Style 33 4 2 2" xfId="11420" xr:uid="{FDB90DEC-FD27-4699-B1BA-0CD8A5F981E7}"/>
    <cellStyle name="Style 33 4 3" xfId="4923" xr:uid="{3FEAFE50-22F7-4513-927A-7BC7F2F1441F}"/>
    <cellStyle name="Style 33 4 3 2" xfId="11421" xr:uid="{AA509860-11AB-45BC-B0BA-E58606DD47F0}"/>
    <cellStyle name="Style 33 4 4" xfId="11419" xr:uid="{AA2D527B-1380-4978-8905-417CD22F29EF}"/>
    <cellStyle name="Style 33 5" xfId="4924" xr:uid="{50E99633-3D05-46E9-9119-53C1A90D31D6}"/>
    <cellStyle name="Style 33 5 2" xfId="4925" xr:uid="{5E38D262-83BA-4AFA-827F-23799888A97C}"/>
    <cellStyle name="Style 33 5 2 2" xfId="11423" xr:uid="{164C151A-D005-43FD-87D6-94AA2C23D910}"/>
    <cellStyle name="Style 33 5 3" xfId="4926" xr:uid="{58071B87-C0BC-4C59-9A0F-AD091E47F4B0}"/>
    <cellStyle name="Style 33 5 3 2" xfId="11424" xr:uid="{C2AA2AC1-0548-42D8-9462-E96584EC53B7}"/>
    <cellStyle name="Style 33 5 4" xfId="11422" xr:uid="{C680F64B-9922-49BB-9222-C442B2294F3D}"/>
    <cellStyle name="Style 33 6" xfId="4927" xr:uid="{3B6E698E-1BDC-4D46-B693-CADF2E5CA944}"/>
    <cellStyle name="Style 33 6 2" xfId="4928" xr:uid="{B2B8D42A-B687-4E05-B5A5-3966F7FDB69E}"/>
    <cellStyle name="Style 33 6 2 2" xfId="11426" xr:uid="{9AD92432-BD72-4314-8768-051847AB494C}"/>
    <cellStyle name="Style 33 6 3" xfId="4929" xr:uid="{9B01CD39-C687-4DFC-81C2-39B14A92300F}"/>
    <cellStyle name="Style 33 6 3 2" xfId="11427" xr:uid="{571BC4A8-6ACA-4EED-958A-052DE10E8B42}"/>
    <cellStyle name="Style 33 6 4" xfId="11425" xr:uid="{ED25118A-B523-4EA0-AE4C-0E1D76595D9A}"/>
    <cellStyle name="Style 33 7" xfId="4930" xr:uid="{03BC46E3-EA8B-4ABF-8CF2-03515FCFD854}"/>
    <cellStyle name="Style 33 7 2" xfId="4931" xr:uid="{CD3C6F24-1626-469D-8510-E83AA9296391}"/>
    <cellStyle name="Style 33 7 2 2" xfId="11429" xr:uid="{0BCE20FF-1E42-4DC3-90DF-B921265DEC11}"/>
    <cellStyle name="Style 33 7 3" xfId="4932" xr:uid="{1323A9AB-5A23-4FE9-802B-80E5AA16D97B}"/>
    <cellStyle name="Style 33 7 3 2" xfId="11430" xr:uid="{4F17E538-2938-4183-BC19-FF430A55C0E1}"/>
    <cellStyle name="Style 33 7 4" xfId="11428" xr:uid="{352810EA-D39D-45DD-9DA6-D0F64BFA52F1}"/>
    <cellStyle name="Style 33 8" xfId="4933" xr:uid="{8A0BEC3E-B999-4598-B051-0569313522A1}"/>
    <cellStyle name="Style 33 8 2" xfId="4934" xr:uid="{3859193F-4DC1-438F-8844-83E2AF452E04}"/>
    <cellStyle name="Style 33 8 2 2" xfId="11432" xr:uid="{A9417257-AF2B-40C5-86BB-65DF63D201E6}"/>
    <cellStyle name="Style 33 8 3" xfId="4935" xr:uid="{875CCD2C-6977-44F3-BD97-582C1C773FCC}"/>
    <cellStyle name="Style 33 8 3 2" xfId="11433" xr:uid="{FEA68812-9103-496A-A4B9-F923E880610F}"/>
    <cellStyle name="Style 33 8 4" xfId="11431" xr:uid="{EEA0C2C5-87CD-4D8B-B6FC-AD8F31117BEF}"/>
    <cellStyle name="Style 33 9" xfId="4936" xr:uid="{CDB94ABA-127F-4984-8FBD-DA31C94B4729}"/>
    <cellStyle name="Style 33 9 2" xfId="11434" xr:uid="{B84FAF75-67A4-4208-9E97-CFADDA005956}"/>
    <cellStyle name="Style 34" xfId="4937" xr:uid="{E229239B-7E6A-4A74-8969-03D131BDF723}"/>
    <cellStyle name="Style 34 10" xfId="11435" xr:uid="{091F35F2-957E-40D8-97DE-3D0013616F23}"/>
    <cellStyle name="Style 34 2" xfId="4938" xr:uid="{DEDA21C6-0C1C-408D-B256-7ABD3BA011F1}"/>
    <cellStyle name="Style 34 2 2" xfId="4939" xr:uid="{E694257B-0726-4472-BC4E-4A0FC12D2D80}"/>
    <cellStyle name="Style 34 2 2 2" xfId="4940" xr:uid="{B4E53F53-449C-4DAE-97F2-E9F8AE042DFD}"/>
    <cellStyle name="Style 34 2 2 2 2" xfId="11438" xr:uid="{A0EDC726-5597-413D-B15F-AA1564EF4AD3}"/>
    <cellStyle name="Style 34 2 2 3" xfId="11437" xr:uid="{DD24060C-183C-4B86-9069-B6C49F8ED537}"/>
    <cellStyle name="Style 34 2 3" xfId="11436" xr:uid="{68E209F1-463F-42E8-8A8E-D6FC8B816F45}"/>
    <cellStyle name="Style 34 3" xfId="4941" xr:uid="{68B6A16A-DAB0-4190-A415-586DB601153D}"/>
    <cellStyle name="Style 34 3 2" xfId="4942" xr:uid="{DEDDAA4B-72D7-4C1C-98C8-BB1311A24A0D}"/>
    <cellStyle name="Style 34 3 2 2" xfId="11440" xr:uid="{9593C56C-EAF8-41A6-8B4D-27FD062DD05E}"/>
    <cellStyle name="Style 34 3 3" xfId="11439" xr:uid="{0DCE29F8-6D2B-426F-9C8D-228E46FFE047}"/>
    <cellStyle name="Style 34 4" xfId="4943" xr:uid="{5583B161-FE38-42DB-A0BE-AEBD3152C25B}"/>
    <cellStyle name="Style 34 4 2" xfId="4944" xr:uid="{D3C0C530-5F0B-4A55-9BFC-2ED0A6C4B8FE}"/>
    <cellStyle name="Style 34 4 2 2" xfId="11442" xr:uid="{41AB56E7-00A4-412C-BDCD-C08884B1912C}"/>
    <cellStyle name="Style 34 4 3" xfId="11441" xr:uid="{B760749B-20B9-48F9-A097-4FD625EFA0BD}"/>
    <cellStyle name="Style 34 5" xfId="4945" xr:uid="{2600B019-864F-46C6-B427-B9E3CC3041D8}"/>
    <cellStyle name="Style 34 5 2" xfId="4946" xr:uid="{9B8E201B-4509-484F-96EF-C1B0877D0333}"/>
    <cellStyle name="Style 34 5 2 2" xfId="11444" xr:uid="{505EE08E-0BCC-478A-AA4B-A18BED6DA3D2}"/>
    <cellStyle name="Style 34 5 3" xfId="11443" xr:uid="{57988607-1F82-4FE2-BADA-D86E36CBC792}"/>
    <cellStyle name="Style 34 6" xfId="4947" xr:uid="{25175918-6D43-48C3-B7F7-B06205D3D152}"/>
    <cellStyle name="Style 34 6 2" xfId="11445" xr:uid="{0CE13D9E-8CE1-4767-B92A-16D938CEB85C}"/>
    <cellStyle name="Style 34 7" xfId="4948" xr:uid="{6EA6101D-AE2F-43D7-AABC-B185E811C741}"/>
    <cellStyle name="Style 34 7 2" xfId="11446" xr:uid="{E73E7B0B-F22B-449E-8687-B4D68800E679}"/>
    <cellStyle name="Style 34 8" xfId="4949" xr:uid="{530361DC-BBFE-4695-82AD-9F250C601654}"/>
    <cellStyle name="Style 34 8 2" xfId="11447" xr:uid="{4591EE9D-6D3C-42BA-B369-4041B75E5F3D}"/>
    <cellStyle name="Style 34 9" xfId="5767" xr:uid="{AD9B7928-3919-4BEC-A130-21AECC6D390F}"/>
    <cellStyle name="Style 35" xfId="4950" xr:uid="{CBE79168-6FD5-48F1-87FC-2647B2345F79}"/>
    <cellStyle name="Style 35 10" xfId="11448" xr:uid="{D999049D-4A91-486F-B375-9D0EE3B21C59}"/>
    <cellStyle name="Style 35 2" xfId="4951" xr:uid="{4008ECB9-6095-45B9-B963-B091F08E03F7}"/>
    <cellStyle name="Style 35 2 2" xfId="4952" xr:uid="{90A49685-4E13-4D7B-A5D5-B4FF9654C56B}"/>
    <cellStyle name="Style 35 2 2 2" xfId="4953" xr:uid="{FE509B75-BCD2-4B6B-99F7-FD013C59BFA1}"/>
    <cellStyle name="Style 35 2 2 2 2" xfId="11451" xr:uid="{8270C321-F1DA-4897-B780-CEDF4BA30F92}"/>
    <cellStyle name="Style 35 2 2 3" xfId="11450" xr:uid="{31F396E6-3433-49B9-9B14-25068933F68F}"/>
    <cellStyle name="Style 35 2 3" xfId="11449" xr:uid="{0C338ADD-8981-42D1-870B-E35FD91AFBB8}"/>
    <cellStyle name="Style 35 3" xfId="4954" xr:uid="{E1858AD7-9930-411C-A406-0615A7062249}"/>
    <cellStyle name="Style 35 3 2" xfId="4955" xr:uid="{68D55BB5-D1C3-48CF-A53A-48A8487EF38E}"/>
    <cellStyle name="Style 35 3 2 2" xfId="11453" xr:uid="{860AA4C8-3F8F-427D-A146-42AB39A5A37E}"/>
    <cellStyle name="Style 35 3 3" xfId="11452" xr:uid="{E6490C33-0833-4672-976A-3488BF22D886}"/>
    <cellStyle name="Style 35 4" xfId="4956" xr:uid="{B5B1D395-2310-4368-AA10-86BEF441A661}"/>
    <cellStyle name="Style 35 4 2" xfId="4957" xr:uid="{F46FFDDA-F2D9-420C-BAF7-0EFE2CE60CF1}"/>
    <cellStyle name="Style 35 4 2 2" xfId="11455" xr:uid="{10E3AA31-A35D-4AF7-963F-5136EFA65E88}"/>
    <cellStyle name="Style 35 4 3" xfId="11454" xr:uid="{9D7EA607-19A9-47A5-95E2-913D4CA9C7DA}"/>
    <cellStyle name="Style 35 5" xfId="4958" xr:uid="{C8BE402E-75D3-41FC-98BC-B1AA54ED561E}"/>
    <cellStyle name="Style 35 5 2" xfId="4959" xr:uid="{9EF795EB-ECDE-4A1A-833A-B2EF0BAA2B84}"/>
    <cellStyle name="Style 35 5 2 2" xfId="11457" xr:uid="{2AC656AA-54BD-46C8-AE1D-0BAC47342789}"/>
    <cellStyle name="Style 35 5 3" xfId="11456" xr:uid="{DAF335DE-BEC5-4D0F-8097-63D61DA07F87}"/>
    <cellStyle name="Style 35 6" xfId="4960" xr:uid="{F656039E-8F58-472B-9DDA-DCC71CA00C49}"/>
    <cellStyle name="Style 35 6 2" xfId="11458" xr:uid="{B279A418-89D3-41EC-A217-DFB41B07E77E}"/>
    <cellStyle name="Style 35 7" xfId="4961" xr:uid="{A319B0D2-3BB3-477F-89B4-7C222DBDA231}"/>
    <cellStyle name="Style 35 7 2" xfId="11459" xr:uid="{16F94C3D-5A9C-41D9-A7ED-2806B24CD98D}"/>
    <cellStyle name="Style 35 8" xfId="4962" xr:uid="{B2BCCF49-7456-45F0-BE08-B6C7FA9B49A2}"/>
    <cellStyle name="Style 35 8 2" xfId="11460" xr:uid="{6C328321-28B9-4778-B746-F7ED51398E8E}"/>
    <cellStyle name="Style 35 9" xfId="5768" xr:uid="{6C875B76-95F8-4DE9-BB15-8C257755CAEA}"/>
    <cellStyle name="Style 36" xfId="4963" xr:uid="{7C104B9A-B9C7-44C9-AF28-B955037ECA17}"/>
    <cellStyle name="Style 36 10" xfId="11461" xr:uid="{318AF056-BD6D-4F71-8F9C-D88F64825982}"/>
    <cellStyle name="Style 36 2" xfId="4964" xr:uid="{C8ECE214-C638-4275-8C00-B9210C462294}"/>
    <cellStyle name="Style 36 2 2" xfId="4965" xr:uid="{2BEAACF0-2856-4BB0-B651-46336C83AEE1}"/>
    <cellStyle name="Style 36 2 2 2" xfId="4966" xr:uid="{F5947956-941A-4B77-9631-95B677710B65}"/>
    <cellStyle name="Style 36 2 2 2 2" xfId="11464" xr:uid="{F0BC5DB9-406E-44AA-BF2C-362DF7FC5D43}"/>
    <cellStyle name="Style 36 2 2 3" xfId="11463" xr:uid="{5D03D896-59E4-48E3-8CD8-8D0EBA02B01C}"/>
    <cellStyle name="Style 36 2 3" xfId="11462" xr:uid="{63B117C2-0222-4A92-9108-CD5B09E30462}"/>
    <cellStyle name="Style 36 3" xfId="4967" xr:uid="{94F665F7-95C2-4302-A9E7-899C47E94186}"/>
    <cellStyle name="Style 36 3 2" xfId="4968" xr:uid="{FE9D8465-2A41-4F3E-B91D-1D2F03A71B00}"/>
    <cellStyle name="Style 36 3 2 2" xfId="11466" xr:uid="{97179CD0-6515-43B9-999F-EECBF2607D80}"/>
    <cellStyle name="Style 36 3 3" xfId="11465" xr:uid="{BDC38A44-9297-477F-BA90-6C5359A21F3F}"/>
    <cellStyle name="Style 36 4" xfId="4969" xr:uid="{6CE20B16-93AD-4717-AE0E-CAA6B3A328FF}"/>
    <cellStyle name="Style 36 4 2" xfId="4970" xr:uid="{3CB66860-A8B3-45CE-9667-7479592D191C}"/>
    <cellStyle name="Style 36 4 2 2" xfId="11468" xr:uid="{9A1C070A-8FCD-405E-B976-46FA8BFBB189}"/>
    <cellStyle name="Style 36 4 3" xfId="11467" xr:uid="{BB1EFED3-9564-461E-925A-DFE06B56E97B}"/>
    <cellStyle name="Style 36 5" xfId="4971" xr:uid="{B21E9F66-C084-4172-BA00-79945FBEEF79}"/>
    <cellStyle name="Style 36 5 2" xfId="4972" xr:uid="{50EC0F56-2634-4B18-AE4C-AB2D0DC0DB4A}"/>
    <cellStyle name="Style 36 5 2 2" xfId="11470" xr:uid="{35EF06B0-54E5-4DF5-BA3F-56549CB1E577}"/>
    <cellStyle name="Style 36 5 3" xfId="11469" xr:uid="{D2641D78-A755-45C7-97D7-5A31F71EE8BB}"/>
    <cellStyle name="Style 36 6" xfId="4973" xr:uid="{25A7F3DD-295D-4F6E-AA0A-F13AEAFBC469}"/>
    <cellStyle name="Style 36 6 2" xfId="11471" xr:uid="{BD8A932E-3528-4E94-9E14-4CD7748EB162}"/>
    <cellStyle name="Style 36 7" xfId="4974" xr:uid="{A8721EC1-EC52-49E5-84D9-DEAEF4BEBF52}"/>
    <cellStyle name="Style 36 7 2" xfId="11472" xr:uid="{EF011701-8257-4FFE-92DD-618A0B61E54C}"/>
    <cellStyle name="Style 36 8" xfId="4975" xr:uid="{DD2EBD19-168F-483D-9254-21EB041FBC79}"/>
    <cellStyle name="Style 36 8 2" xfId="11473" xr:uid="{6812C175-8375-4373-B47F-D25CA158F9B9}"/>
    <cellStyle name="Style 36 9" xfId="5769" xr:uid="{A0C95B4C-3EB2-4B8F-972D-05C09E31200B}"/>
    <cellStyle name="Table" xfId="4976" xr:uid="{09E61335-BAC6-4A14-BAB1-F56574B926E8}"/>
    <cellStyle name="Table 10" xfId="11474" xr:uid="{8CFE2EF1-DCCA-49AE-A32B-B4CE02F2C810}"/>
    <cellStyle name="Table 2" xfId="4977" xr:uid="{D8AE7323-EDA7-4E1C-9501-4FFD19704666}"/>
    <cellStyle name="Table 2 2" xfId="4978" xr:uid="{013F2834-B3CE-4CBF-98D8-F00C24063F9D}"/>
    <cellStyle name="Table 2 2 2" xfId="4979" xr:uid="{6BFDC9E4-2A97-4584-BB61-4012D6A064C4}"/>
    <cellStyle name="Table 2 2 2 2" xfId="11477" xr:uid="{4FBA2339-7AB3-4BD7-B340-C65CEE041CAA}"/>
    <cellStyle name="Table 2 2 3" xfId="11476" xr:uid="{B47CAA35-2872-4F67-AC50-D577A2ED011A}"/>
    <cellStyle name="Table 2 3" xfId="5771" xr:uid="{6ACF0F19-040D-4254-9900-D00244AE6BA1}"/>
    <cellStyle name="Table 2 4" xfId="11475" xr:uid="{1FAB8F0B-C853-4EF3-B8E9-6ADB614ADE12}"/>
    <cellStyle name="Table 3" xfId="4980" xr:uid="{7E787109-6112-474F-BDA3-67096AFAB0C9}"/>
    <cellStyle name="Table 3 2" xfId="4981" xr:uid="{30F93EE1-64E7-4BEC-96BC-CFBD6C5B618D}"/>
    <cellStyle name="Table 3 2 2" xfId="11479" xr:uid="{56D03D9C-3D68-4D45-A684-8DCFA9269791}"/>
    <cellStyle name="Table 3 3" xfId="11478" xr:uid="{96636728-1A36-4D9C-9635-A52E142FD70F}"/>
    <cellStyle name="Table 4" xfId="4982" xr:uid="{2A6995D6-C176-4A98-A3A1-3253F69CD000}"/>
    <cellStyle name="Table 4 2" xfId="4983" xr:uid="{C1D23964-D057-4CB4-8C86-797400703202}"/>
    <cellStyle name="Table 4 2 2" xfId="11481" xr:uid="{4771A628-AEA4-4729-8B7F-4D65DA0B9B58}"/>
    <cellStyle name="Table 4 3" xfId="11480" xr:uid="{DB89597A-342F-46CF-837B-E3EE73136265}"/>
    <cellStyle name="Table 5" xfId="4984" xr:uid="{439284BE-1DBF-48AE-B551-4849D440E7F4}"/>
    <cellStyle name="Table 5 2" xfId="4985" xr:uid="{4C7B3979-206B-4A09-A257-91D49F46139D}"/>
    <cellStyle name="Table 5 2 2" xfId="11483" xr:uid="{CA8D6B28-264B-4DAF-8940-1FBAA5D1D379}"/>
    <cellStyle name="Table 5 3" xfId="11482" xr:uid="{899E692D-7302-42BC-9F56-B776970673B4}"/>
    <cellStyle name="Table 6" xfId="4986" xr:uid="{2518C5B1-F743-43A8-B982-31D0BFFC6154}"/>
    <cellStyle name="Table 6 2" xfId="11484" xr:uid="{1E7BA752-0BD5-497A-AB79-917CE3297D1C}"/>
    <cellStyle name="Table 7" xfId="4987" xr:uid="{3CC25C1F-FD6A-483A-9E33-7E6EAF36DE23}"/>
    <cellStyle name="Table 7 2" xfId="11485" xr:uid="{FA237436-1255-4077-B361-399DB45BD27A}"/>
    <cellStyle name="Table 8" xfId="4988" xr:uid="{35C59E1A-A50F-4B69-BD6E-38C9CD30D401}"/>
    <cellStyle name="Table 8 2" xfId="11486" xr:uid="{4AC7A9F2-B77C-460F-82B8-7893BFF815F4}"/>
    <cellStyle name="Table 9" xfId="5770" xr:uid="{B2F078ED-39BD-4A00-B159-E2CEEA3B0E41}"/>
    <cellStyle name="Table_Heat Rates" xfId="4989" xr:uid="{01B7FEFB-C54A-4C65-B47E-4769437875F3}"/>
    <cellStyle name="Times New Roman" xfId="4990" xr:uid="{6A24A152-E459-4F16-93B7-124D66CEA3D3}"/>
    <cellStyle name="Times New Roman 2" xfId="5772" xr:uid="{5FD26F68-0098-4EF1-95C5-24ABE78BA474}"/>
    <cellStyle name="Times New Roman 3" xfId="11487" xr:uid="{09A74E87-A202-4043-A36A-6175F215B001}"/>
    <cellStyle name="Title" xfId="70" builtinId="15" customBuiltin="1"/>
    <cellStyle name="Title 10" xfId="4992" xr:uid="{52C50BB0-6579-426A-AC3A-CC85EC8066F5}"/>
    <cellStyle name="Title 10 2" xfId="5774" xr:uid="{E5EC6B3B-840F-4F27-A2D7-B4F9A13FE5B3}"/>
    <cellStyle name="Title 10 3" xfId="11488" xr:uid="{8135752C-8E31-44E4-9E25-8F361E01CF66}"/>
    <cellStyle name="Title 11" xfId="4993" xr:uid="{C9AD4385-9B82-4B06-9E1A-F885FAFDF636}"/>
    <cellStyle name="Title 11 2" xfId="5775" xr:uid="{8794BCC1-63BC-46CD-8754-84680C305FA4}"/>
    <cellStyle name="Title 11 3" xfId="11489" xr:uid="{C997C148-342C-48C3-90F1-A961D791E0BC}"/>
    <cellStyle name="Title 12" xfId="4994" xr:uid="{B3B086AA-F29D-440D-906D-B8E604FDB407}"/>
    <cellStyle name="Title 12 2" xfId="5776" xr:uid="{297F8F57-E061-4D14-98A1-BA8BDFB2AE89}"/>
    <cellStyle name="Title 12 3" xfId="11490" xr:uid="{0DD89B30-2A09-4CDE-A4F8-C92D1D4B17B2}"/>
    <cellStyle name="Title 13" xfId="4995" xr:uid="{240FE544-79BC-4987-8C3F-1B4C531E530C}"/>
    <cellStyle name="Title 13 2" xfId="5777" xr:uid="{26B6483D-85A3-4BCD-9BE5-93DC319A650C}"/>
    <cellStyle name="Title 13 3" xfId="11491" xr:uid="{5AADAD30-736F-458C-BFDF-3C5B840A1C10}"/>
    <cellStyle name="Title 14" xfId="4996" xr:uid="{6F06DA23-A0C6-419E-BC1A-F0BB704A814E}"/>
    <cellStyle name="Title 14 2" xfId="5778" xr:uid="{FE7FFA5C-3563-4047-8F5C-DC8F649661F2}"/>
    <cellStyle name="Title 14 3" xfId="11492" xr:uid="{8F43E2E9-EE3C-4D70-B71F-C0AFA0A817D1}"/>
    <cellStyle name="Title 15" xfId="4997" xr:uid="{D054399C-FBCE-4F1A-8345-848130B36574}"/>
    <cellStyle name="Title 15 2" xfId="5779" xr:uid="{131EE4B7-2B7D-4182-A5A0-9A4332F475B8}"/>
    <cellStyle name="Title 15 3" xfId="11493" xr:uid="{C5CB51CE-88C9-4A8D-A9C5-0818D63CA5CD}"/>
    <cellStyle name="Title 16" xfId="4998" xr:uid="{76BC0993-85E1-4A4E-84ED-7D057FD2DB8B}"/>
    <cellStyle name="Title 16 2" xfId="5780" xr:uid="{2896702E-64D5-4511-9196-7254EF4C1279}"/>
    <cellStyle name="Title 16 3" xfId="11494" xr:uid="{2E332B27-EA98-4A9D-BC15-1D7C54002C3C}"/>
    <cellStyle name="Title 17" xfId="4999" xr:uid="{C7AF9F14-C68D-4006-84A2-7A06539551E6}"/>
    <cellStyle name="Title 17 2" xfId="5781" xr:uid="{D1CBD1A1-4E67-4523-A039-8FC9E3A03153}"/>
    <cellStyle name="Title 17 3" xfId="11495" xr:uid="{2B9A250A-DAE2-4819-BB57-5D4C26D20C30}"/>
    <cellStyle name="Title 18" xfId="5000" xr:uid="{6FE2F884-11F8-4036-A7A1-0DDD054FC6F5}"/>
    <cellStyle name="Title 18 2" xfId="5782" xr:uid="{4DEEB615-9DB6-4B03-8CF9-330134C3D197}"/>
    <cellStyle name="Title 18 3" xfId="11496" xr:uid="{26045156-FE9F-407A-8E64-C6B5ECF7D69D}"/>
    <cellStyle name="Title 19" xfId="5001" xr:uid="{2AF3D9B1-FAC9-496D-88F9-5BE8AA19532E}"/>
    <cellStyle name="Title 19 2" xfId="5783" xr:uid="{6610DE25-5372-4FF2-A1AF-871AB73AC1C8}"/>
    <cellStyle name="Title 19 3" xfId="11497" xr:uid="{097014A2-CBE5-41E1-A012-77065D39169F}"/>
    <cellStyle name="Title 2" xfId="71" xr:uid="{00000000-0005-0000-0000-000050000000}"/>
    <cellStyle name="Title 2 2" xfId="5784" xr:uid="{F1F767A3-6953-4C1F-B616-D76285A08DA9}"/>
    <cellStyle name="Title 2 3" xfId="5002" xr:uid="{A399E64A-0F12-4848-8567-ADCF0E8028F4}"/>
    <cellStyle name="Title 20" xfId="5003" xr:uid="{B570AC19-D3E2-4DEF-ABD1-C75700429BD4}"/>
    <cellStyle name="Title 20 2" xfId="5785" xr:uid="{311AB004-7337-425F-B746-7AC715A8F3E2}"/>
    <cellStyle name="Title 20 3" xfId="11498" xr:uid="{1C7DB995-4F22-4281-BA89-5538564B6ABC}"/>
    <cellStyle name="Title 21" xfId="5004" xr:uid="{6CF86316-34B2-463C-ABD8-F9844CE226FF}"/>
    <cellStyle name="Title 21 2" xfId="5786" xr:uid="{007BF28D-E7F7-406F-9973-957BA8D1592E}"/>
    <cellStyle name="Title 21 3" xfId="11499" xr:uid="{B1892DDF-B8BB-4AAA-8FF1-5CB052093F93}"/>
    <cellStyle name="Title 22" xfId="5005" xr:uid="{817F815B-3360-41EC-9CCA-A0647F31E115}"/>
    <cellStyle name="Title 22 2" xfId="5787" xr:uid="{198C87FF-439B-4A9D-8B2C-8FB9D0CB0160}"/>
    <cellStyle name="Title 22 3" xfId="11500" xr:uid="{1720331A-43B2-4026-A474-DCB0C4EE084D}"/>
    <cellStyle name="Title 23" xfId="5006" xr:uid="{4DB49DB2-FA7F-4B06-B75A-FF488C9CEF4D}"/>
    <cellStyle name="Title 23 2" xfId="5788" xr:uid="{B62B5C6F-A153-4387-9FB6-AD05C06F1734}"/>
    <cellStyle name="Title 23 3" xfId="11501" xr:uid="{CA0B4C3D-D657-4ADB-8DAA-B0962DF1D0F3}"/>
    <cellStyle name="Title 24" xfId="5007" xr:uid="{019EDE82-CC21-43F4-9C48-23E350DAB831}"/>
    <cellStyle name="Title 24 2" xfId="5789" xr:uid="{C4D337ED-70AB-4F3D-A4F8-A537437756F1}"/>
    <cellStyle name="Title 24 3" xfId="11502" xr:uid="{C14B17E8-77F8-4A1F-9438-F17497E628CD}"/>
    <cellStyle name="Title 25" xfId="5008" xr:uid="{83F44F1C-90A3-413D-8664-F99F8B105277}"/>
    <cellStyle name="Title 25 2" xfId="5790" xr:uid="{A36B0E4F-2E83-4F94-9242-2654232757C9}"/>
    <cellStyle name="Title 25 3" xfId="11503" xr:uid="{B61DA0F5-4636-46F7-8B57-6FE89F015E06}"/>
    <cellStyle name="Title 26" xfId="5009" xr:uid="{AB3A96E9-3193-47AA-B439-71CCEEE07E09}"/>
    <cellStyle name="Title 26 2" xfId="5791" xr:uid="{64C10B80-7219-48DC-B8B6-87FD71B844D5}"/>
    <cellStyle name="Title 26 3" xfId="11504" xr:uid="{CD820CD2-52B5-4C8D-9F92-17A6EE77525B}"/>
    <cellStyle name="Title 27" xfId="5010" xr:uid="{69D79E87-78DF-408F-B2F2-2A292D08F937}"/>
    <cellStyle name="Title 27 2" xfId="5792" xr:uid="{EE8E95A2-A2E4-41DF-B657-28ED6FA5C2B0}"/>
    <cellStyle name="Title 27 3" xfId="11505" xr:uid="{CC2D0DC6-9A2B-4484-8BFC-029FC7843F0F}"/>
    <cellStyle name="Title 28" xfId="5011" xr:uid="{E5D52CB4-2E0C-4CDC-945D-4EEEC75661BB}"/>
    <cellStyle name="Title 28 2" xfId="5793" xr:uid="{190E459E-3947-4D5C-8F02-A5F29C696067}"/>
    <cellStyle name="Title 28 3" xfId="11506" xr:uid="{3774A5A0-3B6A-4509-A089-266F8A89DD2C}"/>
    <cellStyle name="Title 29" xfId="5012" xr:uid="{7BCB0B1E-A6E3-4D8B-AC50-A069667B7EF8}"/>
    <cellStyle name="Title 29 2" xfId="5794" xr:uid="{2607CD84-E446-4063-A5D5-C17923865ACE}"/>
    <cellStyle name="Title 29 3" xfId="11507" xr:uid="{519BF5AB-E243-46FC-9767-E33C1926D0D6}"/>
    <cellStyle name="Title 3" xfId="5013" xr:uid="{4F48DCAF-991B-4E25-8C3E-B6DD7B02CD20}"/>
    <cellStyle name="Title 3 2" xfId="5795" xr:uid="{0F9AF979-2CF4-4A25-9933-5303E967364C}"/>
    <cellStyle name="Title 3 3" xfId="11508" xr:uid="{44DDA5E6-F338-49C6-B3AC-280403BBB878}"/>
    <cellStyle name="Title 30" xfId="5014" xr:uid="{20BE95D8-D6F2-4FC5-BA40-025703A504A7}"/>
    <cellStyle name="Title 30 2" xfId="5796" xr:uid="{21AC5C2F-F3D5-49F0-BAFA-C06848999412}"/>
    <cellStyle name="Title 30 3" xfId="11509" xr:uid="{E2089D64-8F5F-4585-8FA9-C0ABDAE82485}"/>
    <cellStyle name="Title 31" xfId="5015" xr:uid="{EC703095-6D48-4200-A254-43B550E4CB37}"/>
    <cellStyle name="Title 31 2" xfId="5797" xr:uid="{0EDD80FB-26C4-4099-BAC1-EAE9141ACEA9}"/>
    <cellStyle name="Title 31 3" xfId="11510" xr:uid="{7BC6CD0C-FE17-452A-B159-78B32193AB26}"/>
    <cellStyle name="Title 32" xfId="5016" xr:uid="{A7B80967-5019-4066-AE63-BA3BFAA899D9}"/>
    <cellStyle name="Title 32 2" xfId="5798" xr:uid="{F4AE570F-551B-4334-83B5-ECF15BB29797}"/>
    <cellStyle name="Title 32 3" xfId="11511" xr:uid="{07AC11AA-553F-4BCC-8002-C05CB6A2F440}"/>
    <cellStyle name="Title 33" xfId="5017" xr:uid="{907FEA95-9E12-438B-8C52-40E31E72AE1B}"/>
    <cellStyle name="Title 33 2" xfId="5799" xr:uid="{5495D8F7-4852-4834-962D-C58DD88E2B77}"/>
    <cellStyle name="Title 33 3" xfId="11512" xr:uid="{1F0C1E76-CC32-4B22-870E-5410D4587D64}"/>
    <cellStyle name="Title 34" xfId="5018" xr:uid="{CABA2295-1232-4CCB-9770-0EB99D95A775}"/>
    <cellStyle name="Title 34 2" xfId="5800" xr:uid="{74ADE61E-7FFC-48FF-B373-A702318344CC}"/>
    <cellStyle name="Title 34 3" xfId="11513" xr:uid="{286DE7F1-8720-4A4A-8D18-49B6FDC5A6EF}"/>
    <cellStyle name="Title 35" xfId="5019" xr:uid="{0EF34141-4A3F-4C2A-AF9A-A309BFAAB4C6}"/>
    <cellStyle name="Title 35 2" xfId="5801" xr:uid="{7E8AD916-4304-4CA2-B432-76DCD0938752}"/>
    <cellStyle name="Title 35 3" xfId="11514" xr:uid="{17EB0B52-FA64-44A9-B03F-0BFD91D3BEA6}"/>
    <cellStyle name="Title 36" xfId="5020" xr:uid="{C2C4A380-E163-493A-92A5-4F5C9D883FAB}"/>
    <cellStyle name="Title 36 2" xfId="5802" xr:uid="{C4020C73-5DFC-4E80-9993-6E73E9552F31}"/>
    <cellStyle name="Title 36 3" xfId="11515" xr:uid="{432654CA-05F1-429B-9594-32A2C7407F66}"/>
    <cellStyle name="Title 37" xfId="5021" xr:uid="{B25A4BDE-C01D-4E9F-B2D6-124C6D9F5328}"/>
    <cellStyle name="Title 37 2" xfId="5803" xr:uid="{0EEF0A56-2B78-4D99-A4B9-803B38B6C7FE}"/>
    <cellStyle name="Title 37 3" xfId="11516" xr:uid="{29F06D77-52E2-40AA-B601-2D7C430EE7FC}"/>
    <cellStyle name="Title 38" xfId="5022" xr:uid="{0DFF2F96-C9B8-4A63-982F-0053E256CBA6}"/>
    <cellStyle name="Title 38 2" xfId="5804" xr:uid="{9606F5F2-1F83-42E8-8527-CFC4292BE095}"/>
    <cellStyle name="Title 38 3" xfId="11517" xr:uid="{3DD41803-1B86-4C29-9BFF-1B51C9A19A33}"/>
    <cellStyle name="Title 39" xfId="5023" xr:uid="{9ABEF845-45A4-43BC-BEDB-7802C454B03E}"/>
    <cellStyle name="Title 39 2" xfId="5805" xr:uid="{179DB664-32D9-44B3-AA07-284848E3EA1B}"/>
    <cellStyle name="Title 39 3" xfId="11518" xr:uid="{C6D2505B-608A-43E8-BCAD-AA85EDE195F7}"/>
    <cellStyle name="Title 4" xfId="5024" xr:uid="{9B4B54A3-A3A7-4ACB-9CA9-705A07A780B9}"/>
    <cellStyle name="Title 4 2" xfId="5806" xr:uid="{AEB329D6-EAAB-48FC-895B-51DE15A8E0D4}"/>
    <cellStyle name="Title 4 3" xfId="11519" xr:uid="{E00C84CB-CB10-4671-ACC1-C3301B207A06}"/>
    <cellStyle name="Title 40" xfId="5025" xr:uid="{CC152192-EBD7-439A-9B80-63C15C6A6135}"/>
    <cellStyle name="Title 40 2" xfId="5807" xr:uid="{A09F97E3-C281-43DC-B3EF-E5106D737787}"/>
    <cellStyle name="Title 40 3" xfId="11520" xr:uid="{727200F8-F8B0-4FD1-A181-301D1C158A47}"/>
    <cellStyle name="Title 41" xfId="5026" xr:uid="{2A48EE9B-7B43-4440-B60F-5F56BDBB9B8D}"/>
    <cellStyle name="Title 41 2" xfId="5808" xr:uid="{FF3C3141-C790-46EC-99C5-F12BD2F5D0E4}"/>
    <cellStyle name="Title 41 3" xfId="11521" xr:uid="{1823D5B4-92BA-453C-ADC3-3E2863923CCF}"/>
    <cellStyle name="Title 42" xfId="5027" xr:uid="{6F775378-99FE-423A-8D0B-C141667E0781}"/>
    <cellStyle name="Title 42 2" xfId="5809" xr:uid="{A73FC80B-C5FE-4D19-99A7-A665FAE00A5F}"/>
    <cellStyle name="Title 42 3" xfId="11522" xr:uid="{80A7086B-88E0-4809-BBA6-324F1210AE6E}"/>
    <cellStyle name="Title 43" xfId="5028" xr:uid="{141BAB4E-B566-435C-861D-0BB44C006039}"/>
    <cellStyle name="Title 43 2" xfId="5810" xr:uid="{089340FB-0F1C-4233-AEEE-3C75C5F646B5}"/>
    <cellStyle name="Title 43 3" xfId="11523" xr:uid="{38110A73-7117-4D3E-81FF-859E4D45A1FD}"/>
    <cellStyle name="Title 44" xfId="5773" xr:uid="{5F0B32A0-EDE5-4B5F-9B7A-7B679C30DF69}"/>
    <cellStyle name="Title 45" xfId="4991" xr:uid="{DF4453FC-B9AD-41B4-894D-73B71EB9D718}"/>
    <cellStyle name="Title 5" xfId="5029" xr:uid="{EC1849A6-E537-4911-B6DB-1730AC582533}"/>
    <cellStyle name="Title 5 2" xfId="5811" xr:uid="{3A91A179-08EF-477E-A62A-D02DC10D81AC}"/>
    <cellStyle name="Title 5 3" xfId="11524" xr:uid="{F95AAEC5-8862-4858-BF53-89898C753293}"/>
    <cellStyle name="Title 6" xfId="5030" xr:uid="{9CDEE5D8-C4C2-4C56-BE57-E2611DCB56EE}"/>
    <cellStyle name="Title 6 2" xfId="5812" xr:uid="{AEBB960C-6B48-431F-A9B1-DBFDF3BF5553}"/>
    <cellStyle name="Title 6 3" xfId="11525" xr:uid="{90E452F9-F868-43E9-955B-59FA8EFCCEF3}"/>
    <cellStyle name="Title 7" xfId="5031" xr:uid="{90FAB7DB-5382-4FAF-AA78-53C22B350380}"/>
    <cellStyle name="Title 7 2" xfId="5813" xr:uid="{271EC7A6-2E9F-4617-9C78-BCD08237F7E0}"/>
    <cellStyle name="Title 7 3" xfId="11526" xr:uid="{F1E3E34E-5D4E-451C-BE24-986943A99480}"/>
    <cellStyle name="Title 8" xfId="5032" xr:uid="{DBE4A636-7F83-4D81-AAD0-B991098747DF}"/>
    <cellStyle name="Title 8 2" xfId="5814" xr:uid="{DDD6392F-E388-41DA-B9C7-348AE1B295A4}"/>
    <cellStyle name="Title 8 3" xfId="11527" xr:uid="{C9F8CC9A-31A8-4796-9C35-0118B8DF1231}"/>
    <cellStyle name="Title 9" xfId="5033" xr:uid="{A96F8655-3A26-4DC8-9A00-7587982373EE}"/>
    <cellStyle name="Title 9 2" xfId="5815" xr:uid="{D9BE9197-82EC-4F00-B956-16F4246EC36F}"/>
    <cellStyle name="Title 9 3" xfId="11528" xr:uid="{46E30EAF-5D1E-4F52-9AD9-30F54A8992C4}"/>
    <cellStyle name="Total" xfId="72" builtinId="25" customBuiltin="1"/>
    <cellStyle name="Total 10" xfId="5035" xr:uid="{F8C512FA-21A1-4DC5-837D-3CCD91B2D4A1}"/>
    <cellStyle name="Total 10 2" xfId="5817" xr:uid="{2CCEB505-7C65-4ADC-8DC9-80B06862531A}"/>
    <cellStyle name="Total 10 2 10" xfId="20185" xr:uid="{FADDFF53-AE6A-4457-94E8-EA410C74916F}"/>
    <cellStyle name="Total 10 2 11" xfId="20953" xr:uid="{FC64B0CD-6431-4485-B695-CE22E44E686C}"/>
    <cellStyle name="Total 10 2 12" xfId="21802" xr:uid="{84AAEAA3-9B9F-42A6-8635-F56260344E8D}"/>
    <cellStyle name="Total 10 2 13" xfId="21080" xr:uid="{18FC6FBA-3736-49C4-8B2F-4DE3D784DBF4}"/>
    <cellStyle name="Total 10 2 14" xfId="23464" xr:uid="{C458D5D2-0560-41DE-934A-1B686386FEBA}"/>
    <cellStyle name="Total 10 2 15" xfId="24263" xr:uid="{840F560D-C848-4157-AE40-BD475787D5A1}"/>
    <cellStyle name="Total 10 2 16" xfId="25095" xr:uid="{EC7E4546-1368-4F01-9424-F8BC56612823}"/>
    <cellStyle name="Total 10 2 17" xfId="24401" xr:uid="{2FE6E3DF-4644-44EB-8273-2AAA25B0BA1D}"/>
    <cellStyle name="Total 10 2 18" xfId="26481" xr:uid="{0FD15F8A-A27E-4018-99BF-ED958DFA7DC8}"/>
    <cellStyle name="Total 10 2 19" xfId="26843" xr:uid="{39EE0BB6-30CE-4820-930E-37AA1ECC442D}"/>
    <cellStyle name="Total 10 2 2" xfId="13539" xr:uid="{D175756C-EEE4-4167-B2E7-6F91BD9BF06F}"/>
    <cellStyle name="Total 10 2 20" xfId="27533" xr:uid="{898C10FE-E149-479C-A208-E9671DF89F3F}"/>
    <cellStyle name="Total 10 2 21" xfId="28083" xr:uid="{32B945F6-2B5A-45F5-B01C-7AC5A2C041A2}"/>
    <cellStyle name="Total 10 2 22" xfId="28811" xr:uid="{4F683AF0-0D39-4088-A693-7E68DA321492}"/>
    <cellStyle name="Total 10 2 23" xfId="28202" xr:uid="{17A87DAE-78C4-4CBB-83C7-F5021E4E564E}"/>
    <cellStyle name="Total 10 2 24" xfId="29132" xr:uid="{DC504F85-5872-46CD-BE87-EC194E706783}"/>
    <cellStyle name="Total 10 2 25" xfId="30094" xr:uid="{41F652B3-521C-499E-8C89-315D28F01C75}"/>
    <cellStyle name="Total 10 2 26" xfId="30387" xr:uid="{B8E74A7B-54E4-4EE2-9FAA-D114F78D393D}"/>
    <cellStyle name="Total 10 2 27" xfId="30511" xr:uid="{AE3E959A-53F1-4317-839E-BCBD61DE5F0D}"/>
    <cellStyle name="Total 10 2 28" xfId="30843" xr:uid="{DBBBA809-C8DB-4D26-B4A4-2B1D22D6ABDC}"/>
    <cellStyle name="Total 10 2 29" xfId="31013" xr:uid="{444B1FD5-C7C2-428B-B556-AA5A398F9C7D}"/>
    <cellStyle name="Total 10 2 3" xfId="14472" xr:uid="{362647CF-F8BA-4533-8D8F-50E9C6F0FE3C}"/>
    <cellStyle name="Total 10 2 30" xfId="31169" xr:uid="{8F3122BB-832B-4272-9CFA-FD8B65073BE1}"/>
    <cellStyle name="Total 10 2 31" xfId="31278" xr:uid="{2611A5CE-32C2-46FB-961D-329ED0037300}"/>
    <cellStyle name="Total 10 2 32" xfId="6886" xr:uid="{055590BA-5E26-4A5A-AA16-A0DA263B9B64}"/>
    <cellStyle name="Total 10 2 4" xfId="15229" xr:uid="{B59425C7-395C-4C09-A649-BF3514BCC919}"/>
    <cellStyle name="Total 10 2 5" xfId="12857" xr:uid="{F27481FA-8116-4850-9574-3C85779C783C}"/>
    <cellStyle name="Total 10 2 6" xfId="16872" xr:uid="{8EB2604A-05FE-485E-9319-9876D13F986C}"/>
    <cellStyle name="Total 10 2 7" xfId="17737" xr:uid="{08D76EEC-DD2E-4CAB-A2F7-7BA3E4490FFB}"/>
    <cellStyle name="Total 10 2 8" xfId="18585" xr:uid="{FF656EF0-8AD4-41FC-B2E5-4A2D352953F0}"/>
    <cellStyle name="Total 10 2 9" xfId="19432" xr:uid="{6E6A3567-58C4-46C7-8833-85C76B10A9D6}"/>
    <cellStyle name="Total 10 3" xfId="11529" xr:uid="{E14D4A94-3D28-4BE8-90D7-60BF5DF3198B}"/>
    <cellStyle name="Total 11" xfId="5036" xr:uid="{2304C612-9A3A-42D2-BC14-7049DA61886D}"/>
    <cellStyle name="Total 11 2" xfId="5818" xr:uid="{495EBED5-568A-4455-8E68-D1007A57D58A}"/>
    <cellStyle name="Total 11 2 10" xfId="20186" xr:uid="{9DFCAB3F-2C05-4B9E-81C5-24F3B3F1607C}"/>
    <cellStyle name="Total 11 2 11" xfId="20954" xr:uid="{0DB79689-592B-47A0-B718-757CB896C587}"/>
    <cellStyle name="Total 11 2 12" xfId="21803" xr:uid="{E43A7C38-4550-4C09-BC64-AF7EABDF8AA5}"/>
    <cellStyle name="Total 11 2 13" xfId="21081" xr:uid="{7D673866-21E3-406F-9ED8-FDEC30F85256}"/>
    <cellStyle name="Total 11 2 14" xfId="23465" xr:uid="{9A6848B7-B967-41C7-AF40-F0C2641507B4}"/>
    <cellStyle name="Total 11 2 15" xfId="24264" xr:uid="{301DB106-E63F-4DFB-95A5-508F1AEB734F}"/>
    <cellStyle name="Total 11 2 16" xfId="25096" xr:uid="{63DC4826-00B1-4621-9E31-923E82C47206}"/>
    <cellStyle name="Total 11 2 17" xfId="24402" xr:uid="{58261808-7F62-4F0A-8929-3D3D0C32CF7C}"/>
    <cellStyle name="Total 11 2 18" xfId="26482" xr:uid="{1EBA515D-6CBD-4B94-B18C-0A4624F3791B}"/>
    <cellStyle name="Total 11 2 19" xfId="26844" xr:uid="{3A135BF9-F48F-4815-A520-EEA0709843F5}"/>
    <cellStyle name="Total 11 2 2" xfId="13540" xr:uid="{B366F9B2-18FC-45D8-8DAE-436B57F77909}"/>
    <cellStyle name="Total 11 2 20" xfId="27534" xr:uid="{711284E6-D86C-4EA6-A0CE-BE7964577BDC}"/>
    <cellStyle name="Total 11 2 21" xfId="28084" xr:uid="{52D21BF1-C5C4-4CEB-87C8-FB2B9D956E05}"/>
    <cellStyle name="Total 11 2 22" xfId="28812" xr:uid="{221F1E1B-6EDF-445C-9F97-CC1336E872C7}"/>
    <cellStyle name="Total 11 2 23" xfId="28230" xr:uid="{A0A726DC-B303-4437-8538-F9DD3F795A71}"/>
    <cellStyle name="Total 11 2 24" xfId="25231" xr:uid="{ABBE607C-408F-4D54-BDEE-E9A74A68F372}"/>
    <cellStyle name="Total 11 2 25" xfId="30073" xr:uid="{4F9178A6-E96F-4E22-8633-B1C7997CA0B6}"/>
    <cellStyle name="Total 11 2 26" xfId="30388" xr:uid="{FB46E915-DD6E-4845-8A2C-794FB49B4B1B}"/>
    <cellStyle name="Total 11 2 27" xfId="30512" xr:uid="{F2B57326-5F64-4877-85C6-8B2E0AA9090A}"/>
    <cellStyle name="Total 11 2 28" xfId="30844" xr:uid="{85E9505C-2CFD-47E3-9BC0-B95A5665CFF5}"/>
    <cellStyle name="Total 11 2 29" xfId="31014" xr:uid="{1FEECA12-2C2B-4D35-8115-FB36D1D972F4}"/>
    <cellStyle name="Total 11 2 3" xfId="14473" xr:uid="{424C78C4-8C13-4ED0-8392-1ABC4F2C6E88}"/>
    <cellStyle name="Total 11 2 30" xfId="31170" xr:uid="{C717619D-590C-49A2-8F8C-B11A934CBF0B}"/>
    <cellStyle name="Total 11 2 31" xfId="31279" xr:uid="{90C94750-3CB7-4C1A-8514-002393D6642D}"/>
    <cellStyle name="Total 11 2 32" xfId="6887" xr:uid="{6EF8CEB2-94E0-4FC6-89E5-BE9ED9C0EABB}"/>
    <cellStyle name="Total 11 2 4" xfId="15230" xr:uid="{E105465D-B1CE-4818-8AF0-26816EBD4CCD}"/>
    <cellStyle name="Total 11 2 5" xfId="13583" xr:uid="{98DED548-942A-4428-9BA2-121DBD81F5B9}"/>
    <cellStyle name="Total 11 2 6" xfId="16873" xr:uid="{3B51AE36-C87C-484A-B651-79D9F604FB76}"/>
    <cellStyle name="Total 11 2 7" xfId="17738" xr:uid="{88333C6F-7B6E-44FA-B4E8-C25063FE51B2}"/>
    <cellStyle name="Total 11 2 8" xfId="18586" xr:uid="{2BFF0F28-1B0E-42AE-8E1B-F5810EA068A2}"/>
    <cellStyle name="Total 11 2 9" xfId="19433" xr:uid="{A3B06599-B536-4AFB-8DA3-DABA34E59888}"/>
    <cellStyle name="Total 11 3" xfId="11530" xr:uid="{4607ACC5-2D23-4C39-BE82-CF753B850808}"/>
    <cellStyle name="Total 12" xfId="5037" xr:uid="{98DF7713-80EE-4AD3-B0B4-B9B33E400828}"/>
    <cellStyle name="Total 12 2" xfId="5819" xr:uid="{6076BD10-DD6B-4A9C-814B-B930F17910BF}"/>
    <cellStyle name="Total 12 2 10" xfId="20187" xr:uid="{075DBFCE-9282-473D-A4BF-9571D17BD0BB}"/>
    <cellStyle name="Total 12 2 11" xfId="20955" xr:uid="{CEA30F54-EC22-4EF6-A037-589213474728}"/>
    <cellStyle name="Total 12 2 12" xfId="21804" xr:uid="{9CF73653-C4B8-4387-B1E0-D1AF73C8CF3E}"/>
    <cellStyle name="Total 12 2 13" xfId="21082" xr:uid="{7A2B2AB0-D46A-4F3C-B33C-D6E713AB3BB5}"/>
    <cellStyle name="Total 12 2 14" xfId="23466" xr:uid="{6289EED0-4055-4D0C-8D60-961DBB95E113}"/>
    <cellStyle name="Total 12 2 15" xfId="24265" xr:uid="{AF97CDCD-A71C-4D72-9341-88155F178557}"/>
    <cellStyle name="Total 12 2 16" xfId="25097" xr:uid="{830D9A06-C0D8-48EB-B9AB-9207C0D66B02}"/>
    <cellStyle name="Total 12 2 17" xfId="24403" xr:uid="{C21C3A66-91D9-4D3C-9FB7-AC9690C7F020}"/>
    <cellStyle name="Total 12 2 18" xfId="26483" xr:uid="{1AA8BBDD-8E6D-4B65-8561-8C329D51DD33}"/>
    <cellStyle name="Total 12 2 19" xfId="26845" xr:uid="{16EEFCC2-BF13-4AAE-B1E7-53F239D5FBF6}"/>
    <cellStyle name="Total 12 2 2" xfId="13541" xr:uid="{462EF0B3-1A92-495E-BC62-947175E8A6B5}"/>
    <cellStyle name="Total 12 2 20" xfId="27535" xr:uid="{3C921BFE-016D-4365-82F7-FF3C9F154EAA}"/>
    <cellStyle name="Total 12 2 21" xfId="28085" xr:uid="{C1F498A0-E20B-4D72-81DE-FBA19F9B46F1}"/>
    <cellStyle name="Total 12 2 22" xfId="28813" xr:uid="{6A23EAD8-8456-44AC-9477-76EEE0E97656}"/>
    <cellStyle name="Total 12 2 23" xfId="28877" xr:uid="{1BA4CA04-AE30-417A-AD5C-3EB4F5E2B6B1}"/>
    <cellStyle name="Total 12 2 24" xfId="29131" xr:uid="{EA232DB8-45D7-40C1-B4D0-AFFFCEE0A795}"/>
    <cellStyle name="Total 12 2 25" xfId="29699" xr:uid="{CEBC5EE2-0C34-45FD-9B0E-EB22B225828F}"/>
    <cellStyle name="Total 12 2 26" xfId="30389" xr:uid="{CDC06A46-6F42-4E5B-8C4A-47D885467C99}"/>
    <cellStyle name="Total 12 2 27" xfId="30513" xr:uid="{172090D9-21FE-49E5-8DB9-D07FB44FDB14}"/>
    <cellStyle name="Total 12 2 28" xfId="30845" xr:uid="{1F6309EC-0B70-4EE3-9BCF-E0444E1C8047}"/>
    <cellStyle name="Total 12 2 29" xfId="31015" xr:uid="{A529FD55-E05F-4DB8-8617-1C89673D2080}"/>
    <cellStyle name="Total 12 2 3" xfId="14474" xr:uid="{21842E1D-A432-4546-8939-33D1A43CE81B}"/>
    <cellStyle name="Total 12 2 30" xfId="31171" xr:uid="{7EBD8AE6-ADA1-4257-8451-B045E9726ECB}"/>
    <cellStyle name="Total 12 2 31" xfId="31280" xr:uid="{CA3F5771-BF43-4A49-9957-97E70CC5C905}"/>
    <cellStyle name="Total 12 2 32" xfId="6888" xr:uid="{949F6605-7ADB-4941-9BCD-FB758D8E27BD}"/>
    <cellStyle name="Total 12 2 4" xfId="15231" xr:uid="{529357CF-4502-4ADA-BACA-D6E69CDEAF65}"/>
    <cellStyle name="Total 12 2 5" xfId="12858" xr:uid="{18E8932E-D94D-4DCE-B1BA-81CC98CDFD92}"/>
    <cellStyle name="Total 12 2 6" xfId="16874" xr:uid="{C326824B-31CE-45B2-B333-79F1B8EC0C1A}"/>
    <cellStyle name="Total 12 2 7" xfId="17739" xr:uid="{D65DC061-DEDE-4830-AB0E-9A0284C3E910}"/>
    <cellStyle name="Total 12 2 8" xfId="18587" xr:uid="{F0160153-058D-4967-95B2-192C22455B35}"/>
    <cellStyle name="Total 12 2 9" xfId="19434" xr:uid="{3B83E7EA-6DE4-4981-B786-E67B8E288133}"/>
    <cellStyle name="Total 12 3" xfId="11531" xr:uid="{7E473830-46FE-48BE-9B3D-DD48BB6D1727}"/>
    <cellStyle name="Total 13" xfId="5038" xr:uid="{0E43FA9E-FBC8-446C-A01C-55230C2E63B9}"/>
    <cellStyle name="Total 13 2" xfId="5820" xr:uid="{3C6CF896-9DDE-4177-A20B-83FA8438F37D}"/>
    <cellStyle name="Total 13 2 10" xfId="20188" xr:uid="{BB4B0380-4C58-4A80-8ECE-B2EB8C6165AE}"/>
    <cellStyle name="Total 13 2 11" xfId="20956" xr:uid="{E48BC29A-27A9-4E97-A242-0CA92AB96AAD}"/>
    <cellStyle name="Total 13 2 12" xfId="21805" xr:uid="{654714F9-2BBD-41F1-AF1F-3F76C3597DAC}"/>
    <cellStyle name="Total 13 2 13" xfId="21083" xr:uid="{456AC559-B6B9-4CCD-92FA-69E35CC14C7B}"/>
    <cellStyle name="Total 13 2 14" xfId="23467" xr:uid="{E72B8247-A953-4096-8DE6-32A8C82C00FA}"/>
    <cellStyle name="Total 13 2 15" xfId="24266" xr:uid="{95BC16FD-980A-49AE-901D-E55F494C6417}"/>
    <cellStyle name="Total 13 2 16" xfId="25098" xr:uid="{6D2EC161-2347-4664-9F5A-730F0651BFDC}"/>
    <cellStyle name="Total 13 2 17" xfId="24404" xr:uid="{0CF4E607-D4A6-4725-B961-F1F64783822F}"/>
    <cellStyle name="Total 13 2 18" xfId="26484" xr:uid="{310025DF-0CAE-4066-9060-52D9E1FF3B32}"/>
    <cellStyle name="Total 13 2 19" xfId="26846" xr:uid="{D2DCF613-30F1-4A1F-82FB-16D054E2C647}"/>
    <cellStyle name="Total 13 2 2" xfId="13542" xr:uid="{9F01CC8F-549F-485F-B021-7EF677FB98DE}"/>
    <cellStyle name="Total 13 2 20" xfId="27536" xr:uid="{4DB24257-1F0E-408E-8071-C669235771EB}"/>
    <cellStyle name="Total 13 2 21" xfId="28086" xr:uid="{1B9CF262-4EE5-41D9-B992-639FFA49958C}"/>
    <cellStyle name="Total 13 2 22" xfId="28814" xr:uid="{5F90FB64-8F16-44D4-BACB-547F525583B9}"/>
    <cellStyle name="Total 13 2 23" xfId="28231" xr:uid="{3282C572-8495-42AA-A87F-D2431063B5AF}"/>
    <cellStyle name="Total 13 2 24" xfId="27654" xr:uid="{EBEB3D42-3FC2-41C8-AC3C-CDD4FB334EBD}"/>
    <cellStyle name="Total 13 2 25" xfId="29720" xr:uid="{D9C0C839-0923-4C80-8505-A9A262DB5413}"/>
    <cellStyle name="Total 13 2 26" xfId="30390" xr:uid="{B55B238B-8D95-4264-9C5B-7C090A892DF0}"/>
    <cellStyle name="Total 13 2 27" xfId="30514" xr:uid="{E4298C5B-4517-4715-8273-414ED26C9A44}"/>
    <cellStyle name="Total 13 2 28" xfId="30846" xr:uid="{F92CC0A9-15A1-4DFE-AD18-DF2E8183E3D9}"/>
    <cellStyle name="Total 13 2 29" xfId="31016" xr:uid="{EE90A77B-2678-4611-9E7A-84FA4E5174C2}"/>
    <cellStyle name="Total 13 2 3" xfId="14475" xr:uid="{4C3B285E-B426-44EB-95AA-09B22748ECFC}"/>
    <cellStyle name="Total 13 2 30" xfId="31172" xr:uid="{ED9A9687-768A-4E7E-B207-264C5F9B9E75}"/>
    <cellStyle name="Total 13 2 31" xfId="31281" xr:uid="{2A85041B-F7F4-498A-8FC7-113EF3D82577}"/>
    <cellStyle name="Total 13 2 32" xfId="6889" xr:uid="{40E09F21-2430-4595-893B-1EBFD02E012B}"/>
    <cellStyle name="Total 13 2 4" xfId="15232" xr:uid="{8CF46EAB-14C2-4C34-99D8-D0629D6CB368}"/>
    <cellStyle name="Total 13 2 5" xfId="13584" xr:uid="{BDFA45C3-0888-4E39-857E-34F3C9AF92CE}"/>
    <cellStyle name="Total 13 2 6" xfId="16875" xr:uid="{E6A516FF-A0F7-42F6-8E30-CA2ADF637FFA}"/>
    <cellStyle name="Total 13 2 7" xfId="17740" xr:uid="{0BBB6D4D-F738-48E4-9006-A629A682AF4A}"/>
    <cellStyle name="Total 13 2 8" xfId="18588" xr:uid="{718CFBD5-05B4-40B2-BA62-C6FDAF0E7E48}"/>
    <cellStyle name="Total 13 2 9" xfId="19435" xr:uid="{603B1232-B424-4A24-B7F5-955F0C634B3E}"/>
    <cellStyle name="Total 13 3" xfId="11532" xr:uid="{869D906C-CFF5-45D7-8902-D966F27127B5}"/>
    <cellStyle name="Total 14" xfId="5039" xr:uid="{15D4ECB3-6310-4F6E-A520-F10B9B7A1F74}"/>
    <cellStyle name="Total 14 2" xfId="5821" xr:uid="{A3E48088-BDFC-45D0-989B-A39CD40BE1A2}"/>
    <cellStyle name="Total 14 2 10" xfId="20189" xr:uid="{3D9BB6B5-CC47-4346-88DA-DF5643201D4B}"/>
    <cellStyle name="Total 14 2 11" xfId="20957" xr:uid="{CAADAB28-09C1-4397-AACE-D590DD3A7AF9}"/>
    <cellStyle name="Total 14 2 12" xfId="21806" xr:uid="{082029EA-F76B-4EB8-89E6-9F96361CEE9D}"/>
    <cellStyle name="Total 14 2 13" xfId="21084" xr:uid="{6A464752-5E7B-4820-AB32-77DFF8E7361B}"/>
    <cellStyle name="Total 14 2 14" xfId="23468" xr:uid="{4E05D4AB-1922-4CAE-896D-E29FC24CC5DE}"/>
    <cellStyle name="Total 14 2 15" xfId="24267" xr:uid="{F5BFC8EC-D0B1-4AA6-859F-D72C407E8EF0}"/>
    <cellStyle name="Total 14 2 16" xfId="25099" xr:uid="{590FDB26-06AA-4D19-9DA3-E510F2AF6EC6}"/>
    <cellStyle name="Total 14 2 17" xfId="24405" xr:uid="{BE277DB0-F450-4957-9993-B732798C851D}"/>
    <cellStyle name="Total 14 2 18" xfId="26485" xr:uid="{02C5DB19-6050-4C8F-8F1C-7FC2933D0EA5}"/>
    <cellStyle name="Total 14 2 19" xfId="26847" xr:uid="{6AADB826-6D2E-4BDB-8D59-A97F698F8EE5}"/>
    <cellStyle name="Total 14 2 2" xfId="13543" xr:uid="{7BC376A0-4AB4-456B-BF8C-A9A89DF966BC}"/>
    <cellStyle name="Total 14 2 20" xfId="27537" xr:uid="{A8DA1E89-17F3-4C0D-B080-E1D857A977E6}"/>
    <cellStyle name="Total 14 2 21" xfId="28087" xr:uid="{E4287EF6-878E-4A33-BA54-8D88096C14FA}"/>
    <cellStyle name="Total 14 2 22" xfId="28815" xr:uid="{D22343C7-D3A0-45AF-A191-2958751DFD3B}"/>
    <cellStyle name="Total 14 2 23" xfId="29458" xr:uid="{59215B1D-E759-4448-86E3-40623B3F7A7E}"/>
    <cellStyle name="Total 14 2 24" xfId="29130" xr:uid="{C324E8F6-ACCF-42F4-BF78-4FC9BEF14455}"/>
    <cellStyle name="Total 14 2 25" xfId="30095" xr:uid="{08D89B19-EC33-45A5-828B-2D39FFBBEEAF}"/>
    <cellStyle name="Total 14 2 26" xfId="30391" xr:uid="{B4F6024D-0278-494F-83A5-C2B2372B5D28}"/>
    <cellStyle name="Total 14 2 27" xfId="30515" xr:uid="{F80A8DBF-9184-4EA7-BCEF-BC36856D9080}"/>
    <cellStyle name="Total 14 2 28" xfId="30847" xr:uid="{B06E63E7-C46D-4A7F-BA50-C852EF318201}"/>
    <cellStyle name="Total 14 2 29" xfId="31017" xr:uid="{678BA2D3-CFC3-4A30-9B90-ADDCF5F87F80}"/>
    <cellStyle name="Total 14 2 3" xfId="14476" xr:uid="{E10A5829-401D-45C2-9C38-2E48E4388B28}"/>
    <cellStyle name="Total 14 2 30" xfId="31173" xr:uid="{43706D18-694F-4B82-A4CE-CB09F7947E6A}"/>
    <cellStyle name="Total 14 2 31" xfId="31282" xr:uid="{B20FCF9E-2416-407E-B0E7-4D61E6487779}"/>
    <cellStyle name="Total 14 2 32" xfId="6890" xr:uid="{3A044079-45C5-44E4-AAC7-1CF88C0CF3BC}"/>
    <cellStyle name="Total 14 2 4" xfId="15233" xr:uid="{926F36FA-4E8A-40D2-95E2-C52848F6A69A}"/>
    <cellStyle name="Total 14 2 5" xfId="12859" xr:uid="{AABBDD73-81CE-4E0C-A98B-FF46C1B8D9A6}"/>
    <cellStyle name="Total 14 2 6" xfId="16876" xr:uid="{84F85576-4D03-47AA-9B58-BD36C91C4E2E}"/>
    <cellStyle name="Total 14 2 7" xfId="17741" xr:uid="{8E64F38C-E977-435A-BB90-A0B3BF31A1EE}"/>
    <cellStyle name="Total 14 2 8" xfId="18589" xr:uid="{0590315F-9810-4B9F-9346-F6A023622F35}"/>
    <cellStyle name="Total 14 2 9" xfId="19436" xr:uid="{07BD629E-09AD-498C-B88E-4E3483DE70CD}"/>
    <cellStyle name="Total 14 3" xfId="11533" xr:uid="{E111FFC4-FA16-48D0-ADD5-25BAC983B57F}"/>
    <cellStyle name="Total 15" xfId="5040" xr:uid="{55B54866-A024-44E8-AD8A-C6C571EDD359}"/>
    <cellStyle name="Total 15 2" xfId="5822" xr:uid="{6CDC9368-5F06-4DDF-8398-527B779E1486}"/>
    <cellStyle name="Total 15 2 10" xfId="20190" xr:uid="{2A15B284-DD51-4C96-B2A3-687B198C26FD}"/>
    <cellStyle name="Total 15 2 11" xfId="20958" xr:uid="{084B922E-1B63-4AB3-A8E6-E136D3BFFD58}"/>
    <cellStyle name="Total 15 2 12" xfId="21807" xr:uid="{2F672896-8E9F-4A39-9A51-BB79BC2DCEA9}"/>
    <cellStyle name="Total 15 2 13" xfId="21085" xr:uid="{2E77B083-0094-47A8-9D4E-B24C5C3C82B8}"/>
    <cellStyle name="Total 15 2 14" xfId="23469" xr:uid="{FD17EBCA-A988-4B54-B778-C4BEB08075B9}"/>
    <cellStyle name="Total 15 2 15" xfId="24268" xr:uid="{5352EB02-1731-48CA-B2BA-D7C2A0F9ABE4}"/>
    <cellStyle name="Total 15 2 16" xfId="25100" xr:uid="{8C597E1A-B5C7-4144-A6EA-5F48C7B0B0EA}"/>
    <cellStyle name="Total 15 2 17" xfId="25132" xr:uid="{1B089297-5FB2-4E0A-A1CA-21804DC97B03}"/>
    <cellStyle name="Total 15 2 18" xfId="26486" xr:uid="{1DF97A8A-BB9A-416C-B6A1-1073480F8115}"/>
    <cellStyle name="Total 15 2 19" xfId="26848" xr:uid="{57BAECD1-F483-4AEF-A54E-42D93571501E}"/>
    <cellStyle name="Total 15 2 2" xfId="13544" xr:uid="{1699F41F-6650-41B6-9CBD-62E2114C0B12}"/>
    <cellStyle name="Total 15 2 20" xfId="27538" xr:uid="{968B12B7-227A-4EE2-8B60-AF72443455D6}"/>
    <cellStyle name="Total 15 2 21" xfId="28088" xr:uid="{6CB58C7B-C42F-4D5F-BA20-BE7F75CD7890}"/>
    <cellStyle name="Total 15 2 22" xfId="28816" xr:uid="{CDE33DD2-7984-4661-A2F2-ECA84A0E171B}"/>
    <cellStyle name="Total 15 2 23" xfId="29459" xr:uid="{B8176195-9CCA-46B4-A537-5089974C99DF}"/>
    <cellStyle name="Total 15 2 24" xfId="26518" xr:uid="{43784A83-6F8E-4B5A-996D-5E082BCA69D7}"/>
    <cellStyle name="Total 15 2 25" xfId="29721" xr:uid="{30E50C71-B961-4E1B-8AE0-C199928F8198}"/>
    <cellStyle name="Total 15 2 26" xfId="30392" xr:uid="{A55C700D-CD36-4FCD-A948-206C44D46061}"/>
    <cellStyle name="Total 15 2 27" xfId="30516" xr:uid="{09073DFA-0814-4331-8032-A975CEBBCA54}"/>
    <cellStyle name="Total 15 2 28" xfId="30848" xr:uid="{EE69DD55-DEFE-44CF-AE0B-B477B72C144A}"/>
    <cellStyle name="Total 15 2 29" xfId="31018" xr:uid="{04AF970E-92A3-486C-B832-D0B304A2B44F}"/>
    <cellStyle name="Total 15 2 3" xfId="14477" xr:uid="{0810F680-47F7-48C5-8736-43A7E8223A6B}"/>
    <cellStyle name="Total 15 2 30" xfId="31174" xr:uid="{D6FFAF38-910F-4DF4-9FC1-BFC9E2552F8B}"/>
    <cellStyle name="Total 15 2 31" xfId="31283" xr:uid="{0B09A32C-5796-4F95-824F-0C70E265B9BB}"/>
    <cellStyle name="Total 15 2 32" xfId="6891" xr:uid="{2E7AD659-D999-4729-AE55-037AAFB326CA}"/>
    <cellStyle name="Total 15 2 4" xfId="15234" xr:uid="{E3FB898D-38FE-461D-8D18-0FB4EE9BE49C}"/>
    <cellStyle name="Total 15 2 5" xfId="13585" xr:uid="{F5D8A55E-B20F-4F47-8672-C71D6FDBEE7F}"/>
    <cellStyle name="Total 15 2 6" xfId="16877" xr:uid="{FEA5A593-4EC9-434C-86EC-F1EB82DF9E4C}"/>
    <cellStyle name="Total 15 2 7" xfId="17742" xr:uid="{A37F5440-7551-4047-A91D-B21796095C6A}"/>
    <cellStyle name="Total 15 2 8" xfId="18590" xr:uid="{0E60C3B9-197E-4560-A666-B66841CDC95E}"/>
    <cellStyle name="Total 15 2 9" xfId="19437" xr:uid="{A017B9E8-63BC-41EF-B5D3-ECBDCBCD7459}"/>
    <cellStyle name="Total 15 3" xfId="11534" xr:uid="{0E2FA67C-61DD-4F92-8C5D-3F6CDB0BD907}"/>
    <cellStyle name="Total 16" xfId="5041" xr:uid="{4C736D28-66EB-4D03-AA29-C3E22C5247AB}"/>
    <cellStyle name="Total 16 2" xfId="5823" xr:uid="{6671FF6B-0AD2-46C8-8B2B-14AEFF82E85A}"/>
    <cellStyle name="Total 16 2 10" xfId="20191" xr:uid="{01F9A789-D57F-47B9-ADF5-7FB78BCBCE60}"/>
    <cellStyle name="Total 16 2 11" xfId="20959" xr:uid="{4BD0DA3B-2D58-4239-8134-3E33ED0A3174}"/>
    <cellStyle name="Total 16 2 12" xfId="21808" xr:uid="{9BD69476-5FF2-4265-BA65-3C8C21D82313}"/>
    <cellStyle name="Total 16 2 13" xfId="21086" xr:uid="{1F338EB5-1F6A-4381-AEF4-B11D376DAE70}"/>
    <cellStyle name="Total 16 2 14" xfId="23470" xr:uid="{49AAC9EE-AC47-4C94-AA82-8FCD0048C3DB}"/>
    <cellStyle name="Total 16 2 15" xfId="24269" xr:uid="{7CCD9F34-3500-4F72-96C5-F4CA6456668E}"/>
    <cellStyle name="Total 16 2 16" xfId="25101" xr:uid="{7E5C1913-DE88-42E1-8CA6-4E3455802F88}"/>
    <cellStyle name="Total 16 2 17" xfId="24368" xr:uid="{8DEB7A32-6BE3-4E36-8AE7-AF4D979785E4}"/>
    <cellStyle name="Total 16 2 18" xfId="26487" xr:uid="{29EE04B8-18B2-419E-9027-C7A3D255D941}"/>
    <cellStyle name="Total 16 2 19" xfId="26849" xr:uid="{A4EF3E27-5021-4634-A518-94DB05BEB1A2}"/>
    <cellStyle name="Total 16 2 2" xfId="13545" xr:uid="{6E68600A-811B-434A-B91F-793B646BAC30}"/>
    <cellStyle name="Total 16 2 20" xfId="27539" xr:uid="{50781D92-7F1C-4A49-AEE8-1A9E49C90281}"/>
    <cellStyle name="Total 16 2 21" xfId="28089" xr:uid="{49C1A71A-37AC-4A5C-B6EA-9EB950ED5CB3}"/>
    <cellStyle name="Total 16 2 22" xfId="28817" xr:uid="{AF683FE8-69B5-4A98-BA48-711B6A5E7E25}"/>
    <cellStyle name="Total 16 2 23" xfId="29460" xr:uid="{EF08C878-4370-4969-8F20-28FCEC0D4548}"/>
    <cellStyle name="Total 16 2 24" xfId="29129" xr:uid="{B9AC2BD3-9355-4F03-9E9A-D9E75B51C36E}"/>
    <cellStyle name="Total 16 2 25" xfId="30096" xr:uid="{61B23614-1075-4AA7-A4ED-C197F8BC6B98}"/>
    <cellStyle name="Total 16 2 26" xfId="30393" xr:uid="{72B30C33-E7D8-4B4C-8283-E5CD96F16B4A}"/>
    <cellStyle name="Total 16 2 27" xfId="30517" xr:uid="{E9913992-7085-4BA8-8C35-D842C3088E4F}"/>
    <cellStyle name="Total 16 2 28" xfId="30849" xr:uid="{7B2D140D-E526-4902-A497-D580E462518F}"/>
    <cellStyle name="Total 16 2 29" xfId="31019" xr:uid="{6A05B835-D413-4640-83A4-824669F27F36}"/>
    <cellStyle name="Total 16 2 3" xfId="14478" xr:uid="{6B0DF84D-E4E1-4158-8B6D-F77B2194CEAD}"/>
    <cellStyle name="Total 16 2 30" xfId="31175" xr:uid="{AF6FFEAD-6505-443C-A181-3EB2EA74DC75}"/>
    <cellStyle name="Total 16 2 31" xfId="31284" xr:uid="{87276658-1852-4447-BC81-754F63AECD15}"/>
    <cellStyle name="Total 16 2 32" xfId="6892" xr:uid="{22DC3684-3117-4D2A-B825-297C0F4D4A47}"/>
    <cellStyle name="Total 16 2 4" xfId="15235" xr:uid="{B0FCD79C-76B5-4475-AEE8-BCCD71FF6F02}"/>
    <cellStyle name="Total 16 2 5" xfId="12860" xr:uid="{FF94C82F-4D7E-46EC-9E47-025BEDD36A98}"/>
    <cellStyle name="Total 16 2 6" xfId="16878" xr:uid="{C251532A-975E-4508-A6A8-CC1FCFF127BB}"/>
    <cellStyle name="Total 16 2 7" xfId="17743" xr:uid="{89186786-0D31-4AC1-AC79-7B17F860F1AA}"/>
    <cellStyle name="Total 16 2 8" xfId="18591" xr:uid="{DAAD7FC9-6766-4AC8-8BA8-2802EE1C9DFA}"/>
    <cellStyle name="Total 16 2 9" xfId="19438" xr:uid="{F2C8754B-109B-4E5B-B0A9-9907B1D9289C}"/>
    <cellStyle name="Total 16 3" xfId="11535" xr:uid="{0B7FD3D0-9057-44C8-8324-454AB37B4FBB}"/>
    <cellStyle name="Total 17" xfId="5042" xr:uid="{6AE40D55-7AF9-4C46-8F94-405656A2D702}"/>
    <cellStyle name="Total 17 2" xfId="5824" xr:uid="{0781B52C-2CAA-40CD-867E-EC3192563EB6}"/>
    <cellStyle name="Total 17 2 10" xfId="20192" xr:uid="{D90BB484-38A7-4F2C-A841-269757F4672C}"/>
    <cellStyle name="Total 17 2 11" xfId="20960" xr:uid="{F12C848D-0928-47DF-9607-72A24D6D870E}"/>
    <cellStyle name="Total 17 2 12" xfId="21809" xr:uid="{1FF712A1-C1BC-4864-814F-778038EA518F}"/>
    <cellStyle name="Total 17 2 13" xfId="21087" xr:uid="{CEF57263-BB1B-4C02-8D6D-112EFF1AA672}"/>
    <cellStyle name="Total 17 2 14" xfId="23471" xr:uid="{663E01DD-5B33-4A58-86B7-588CF155B913}"/>
    <cellStyle name="Total 17 2 15" xfId="24270" xr:uid="{C365E8F8-052B-4446-8239-26C750A11BE5}"/>
    <cellStyle name="Total 17 2 16" xfId="25102" xr:uid="{81811474-2482-4FBE-8BA6-2870B4AE989C}"/>
    <cellStyle name="Total 17 2 17" xfId="24406" xr:uid="{74F581BF-66A8-4FC1-9AA7-AD695F79F8BA}"/>
    <cellStyle name="Total 17 2 18" xfId="26488" xr:uid="{6290335C-4FF8-456E-AF7E-013CC2D7BA93}"/>
    <cellStyle name="Total 17 2 19" xfId="26850" xr:uid="{FC681C5C-3403-42EF-86A4-7F9EDB35789E}"/>
    <cellStyle name="Total 17 2 2" xfId="13546" xr:uid="{531E26A8-0855-4B8C-A890-2081BCF619AA}"/>
    <cellStyle name="Total 17 2 20" xfId="27540" xr:uid="{49B529FF-A1FA-41D6-8219-21EEAE5760A1}"/>
    <cellStyle name="Total 17 2 21" xfId="28090" xr:uid="{35EE3977-66D6-4821-BAC7-4BF56B9D5960}"/>
    <cellStyle name="Total 17 2 22" xfId="28818" xr:uid="{6F75749C-E384-4599-9A31-B7CF6165E9D0}"/>
    <cellStyle name="Total 17 2 23" xfId="29461" xr:uid="{C2B26B02-F6FA-4E7A-95FE-9E902DA8FC29}"/>
    <cellStyle name="Total 17 2 24" xfId="27653" xr:uid="{834D1652-2B28-4BFF-93B3-F52720D0BA42}"/>
    <cellStyle name="Total 17 2 25" xfId="29722" xr:uid="{8D19DB40-F860-4C06-9AAC-76FD67C1A6B6}"/>
    <cellStyle name="Total 17 2 26" xfId="30394" xr:uid="{41CD7BE9-E158-4885-B8C1-11B6A1B97033}"/>
    <cellStyle name="Total 17 2 27" xfId="30518" xr:uid="{87BB9418-7F78-466E-BC8E-1B11571698D0}"/>
    <cellStyle name="Total 17 2 28" xfId="30850" xr:uid="{F5624D64-C544-4548-9DA1-952A4E8D0736}"/>
    <cellStyle name="Total 17 2 29" xfId="31020" xr:uid="{3E523EA9-8F7D-4128-82DB-871FA9A9C2D8}"/>
    <cellStyle name="Total 17 2 3" xfId="14479" xr:uid="{8FA0C0A9-01AC-474B-8315-B53F272690E0}"/>
    <cellStyle name="Total 17 2 30" xfId="31176" xr:uid="{25F91793-82EB-4992-8AC8-5A01CA59CA55}"/>
    <cellStyle name="Total 17 2 31" xfId="31285" xr:uid="{08522892-416D-4EF4-8E8F-DFABBFE0117D}"/>
    <cellStyle name="Total 17 2 32" xfId="6893" xr:uid="{961463D5-83E2-4C9D-B845-0C6B4B97A8BA}"/>
    <cellStyle name="Total 17 2 4" xfId="15236" xr:uid="{CA348890-44D5-4A4F-8021-3E7BF5525E08}"/>
    <cellStyle name="Total 17 2 5" xfId="13586" xr:uid="{D6F9D5EA-11B7-4EBF-A8EE-5C51CCAED27F}"/>
    <cellStyle name="Total 17 2 6" xfId="16879" xr:uid="{16EC27BF-78EE-42D5-B1A3-7433CCCD2955}"/>
    <cellStyle name="Total 17 2 7" xfId="17744" xr:uid="{9BDA5506-386C-43D6-A75C-7A6C70465563}"/>
    <cellStyle name="Total 17 2 8" xfId="18592" xr:uid="{C899660C-FF57-468E-B3E2-259A2E157E89}"/>
    <cellStyle name="Total 17 2 9" xfId="19439" xr:uid="{B0B55753-2156-4CE7-87E6-4A784B59AD77}"/>
    <cellStyle name="Total 17 3" xfId="11536" xr:uid="{85409D29-B77C-4BE1-A8E2-BD4A5E14BF59}"/>
    <cellStyle name="Total 18" xfId="5043" xr:uid="{D39D3151-6099-48A9-970B-E1FB79C770A9}"/>
    <cellStyle name="Total 18 2" xfId="5825" xr:uid="{DED2D129-1B93-453C-879E-22038B6BDC6E}"/>
    <cellStyle name="Total 18 2 10" xfId="20193" xr:uid="{09395085-695B-4782-B5B0-4CC83FF9E614}"/>
    <cellStyle name="Total 18 2 11" xfId="20961" xr:uid="{7FF60112-B90F-4E3A-84EB-2A5691E6B566}"/>
    <cellStyle name="Total 18 2 12" xfId="21810" xr:uid="{D8B9E64D-9511-4E5D-B860-F2FDC5005EF2}"/>
    <cellStyle name="Total 18 2 13" xfId="21088" xr:uid="{34B8F083-56D6-4E60-B05F-2A48844A77C2}"/>
    <cellStyle name="Total 18 2 14" xfId="23472" xr:uid="{9309F1F7-82E8-4499-8EF9-68909380BCE0}"/>
    <cellStyle name="Total 18 2 15" xfId="24271" xr:uid="{E5C3D403-79E2-4B35-BC74-CF2A9838876D}"/>
    <cellStyle name="Total 18 2 16" xfId="25103" xr:uid="{67366B68-DDFC-4DB8-BE36-1E9AB5BB4559}"/>
    <cellStyle name="Total 18 2 17" xfId="24407" xr:uid="{134E2170-0F87-4639-AF32-3BBE738E5D2D}"/>
    <cellStyle name="Total 18 2 18" xfId="26489" xr:uid="{4B737BFD-B352-4907-A046-FF515A043014}"/>
    <cellStyle name="Total 18 2 19" xfId="26851" xr:uid="{8BF9F30C-508B-49A3-8A2D-B7B030428394}"/>
    <cellStyle name="Total 18 2 2" xfId="13547" xr:uid="{331BE07C-D948-4BE5-BDA8-68BB0CAEFC2A}"/>
    <cellStyle name="Total 18 2 20" xfId="27541" xr:uid="{D01E7726-3E36-43EB-896B-069B7853098A}"/>
    <cellStyle name="Total 18 2 21" xfId="28091" xr:uid="{B2F33BE9-EB3C-4DA5-8F90-6E8523CED0DA}"/>
    <cellStyle name="Total 18 2 22" xfId="28819" xr:uid="{ACB3A4E6-0E7C-4279-A0F8-1FABB792B201}"/>
    <cellStyle name="Total 18 2 23" xfId="29462" xr:uid="{D7A1E7E2-5846-4D12-AF11-64534423FCF1}"/>
    <cellStyle name="Total 18 2 24" xfId="29128" xr:uid="{87729245-625D-43AF-BFA1-29CEC67C761F}"/>
    <cellStyle name="Total 18 2 25" xfId="30097" xr:uid="{7328C0BB-3162-42D3-B8F6-3CFE9C14CF8B}"/>
    <cellStyle name="Total 18 2 26" xfId="30395" xr:uid="{A6E19079-0B98-4FE4-A0EB-1BB757BA31E8}"/>
    <cellStyle name="Total 18 2 27" xfId="30519" xr:uid="{EBB31AF9-6C38-4F55-8D46-5C93CE48513B}"/>
    <cellStyle name="Total 18 2 28" xfId="30851" xr:uid="{EB9FED5B-D4A8-4D99-AE45-024CB634E17A}"/>
    <cellStyle name="Total 18 2 29" xfId="31021" xr:uid="{9D36FE0A-B584-4CC5-8A9C-DFDD263A857C}"/>
    <cellStyle name="Total 18 2 3" xfId="14480" xr:uid="{1482F961-CB34-426B-920D-EE6A5E99D6F1}"/>
    <cellStyle name="Total 18 2 30" xfId="31177" xr:uid="{464F0A54-7E61-401F-AA6F-B57D9F9B0F69}"/>
    <cellStyle name="Total 18 2 31" xfId="31286" xr:uid="{046BE5F8-B1A7-49DA-94D8-954DC89D534B}"/>
    <cellStyle name="Total 18 2 32" xfId="6894" xr:uid="{E72C6ADD-BA29-45D1-B2DD-B492AC46C764}"/>
    <cellStyle name="Total 18 2 4" xfId="15237" xr:uid="{20482E52-A116-4974-B16C-5E73536B6317}"/>
    <cellStyle name="Total 18 2 5" xfId="12861" xr:uid="{4909B0A4-C59C-4D22-8658-0091D9DD2787}"/>
    <cellStyle name="Total 18 2 6" xfId="16880" xr:uid="{C4BDF730-3E49-4359-A6A1-912248C26E97}"/>
    <cellStyle name="Total 18 2 7" xfId="17745" xr:uid="{BFC63B30-9E94-4C50-B55D-A8B14EF2CE55}"/>
    <cellStyle name="Total 18 2 8" xfId="18593" xr:uid="{54039517-D746-4583-B67B-17D8C61AD2B6}"/>
    <cellStyle name="Total 18 2 9" xfId="19440" xr:uid="{7516754A-1A4F-424E-ABBC-EE47998E0E22}"/>
    <cellStyle name="Total 18 3" xfId="11537" xr:uid="{6520A00F-0E79-441D-A8A1-AE733084464E}"/>
    <cellStyle name="Total 19" xfId="5044" xr:uid="{A9FDFE63-A19D-478F-B7FD-CC2BAD6BC0CE}"/>
    <cellStyle name="Total 19 2" xfId="5826" xr:uid="{4ADEEF17-3E37-4144-B902-5652A7DD5AD0}"/>
    <cellStyle name="Total 19 2 10" xfId="20194" xr:uid="{FC5CE1FD-4C22-4243-9E5A-905C794D82F4}"/>
    <cellStyle name="Total 19 2 11" xfId="20962" xr:uid="{955680A0-6FAF-42E3-8F9E-9895F0BEEF16}"/>
    <cellStyle name="Total 19 2 12" xfId="21811" xr:uid="{0BC9DCC6-73B5-4DB1-AA9D-FDFF42AB7A9E}"/>
    <cellStyle name="Total 19 2 13" xfId="21089" xr:uid="{33A908AF-E049-47D5-AE4D-9B4A037B4CB7}"/>
    <cellStyle name="Total 19 2 14" xfId="23473" xr:uid="{448B7BF7-DD8A-4E80-BCDA-9DFB6DAE9794}"/>
    <cellStyle name="Total 19 2 15" xfId="24272" xr:uid="{5F11525D-FCE7-4CAC-89A4-452A9195AA86}"/>
    <cellStyle name="Total 19 2 16" xfId="25104" xr:uid="{4D8C4F71-70DE-4A3C-99D0-84C16545224E}"/>
    <cellStyle name="Total 19 2 17" xfId="24408" xr:uid="{23DD1600-09E7-462B-BAE0-21F54B0A7CD4}"/>
    <cellStyle name="Total 19 2 18" xfId="26490" xr:uid="{D358D50C-2BF0-458A-BEBE-6FE23136CBC7}"/>
    <cellStyle name="Total 19 2 19" xfId="26852" xr:uid="{F758259F-CA80-4A6C-B79A-19BEFC93036C}"/>
    <cellStyle name="Total 19 2 2" xfId="13548" xr:uid="{36B2EDC6-8902-454F-A9F3-B11C3F92457E}"/>
    <cellStyle name="Total 19 2 20" xfId="27542" xr:uid="{9C8101A7-AC48-4877-9366-BA5AC8F9B20E}"/>
    <cellStyle name="Total 19 2 21" xfId="28092" xr:uid="{E7D78C95-E789-4CBE-A1BA-306DD76A7EA1}"/>
    <cellStyle name="Total 19 2 22" xfId="28820" xr:uid="{F95B8903-C79E-4559-975D-0EFB770E88D0}"/>
    <cellStyle name="Total 19 2 23" xfId="29463" xr:uid="{5AF23061-E523-4097-9DE6-547140F850AA}"/>
    <cellStyle name="Total 19 2 24" xfId="25861" xr:uid="{0406DC14-DD54-4B38-BDA1-56CAFD6DC81C}"/>
    <cellStyle name="Total 19 2 25" xfId="29723" xr:uid="{A04BE118-4914-4AD3-BDF3-801C2B007404}"/>
    <cellStyle name="Total 19 2 26" xfId="30396" xr:uid="{54C1557B-C864-43FA-BE9C-7EF020710525}"/>
    <cellStyle name="Total 19 2 27" xfId="30520" xr:uid="{B0B7B741-A6C0-4968-87F8-8A0B4C1190AB}"/>
    <cellStyle name="Total 19 2 28" xfId="30852" xr:uid="{2F0153F9-A220-462E-B8BD-15784292EF47}"/>
    <cellStyle name="Total 19 2 29" xfId="31022" xr:uid="{C60F7FF8-BD61-4DD5-916E-0EC7975F7AFA}"/>
    <cellStyle name="Total 19 2 3" xfId="14481" xr:uid="{1A68AEF7-2B2B-4FB3-BF03-AAFC8628FFA7}"/>
    <cellStyle name="Total 19 2 30" xfId="31178" xr:uid="{98DC9283-7314-4F0D-87C8-5831CB7416E6}"/>
    <cellStyle name="Total 19 2 31" xfId="31287" xr:uid="{91EA2FA4-AE88-40AC-BF4F-718300482D5D}"/>
    <cellStyle name="Total 19 2 32" xfId="6895" xr:uid="{BF29B2F0-7951-404F-A30F-D74E3A60C6D4}"/>
    <cellStyle name="Total 19 2 4" xfId="15238" xr:uid="{978E4D71-F244-4F4F-852C-97AD45FC6BD6}"/>
    <cellStyle name="Total 19 2 5" xfId="13587" xr:uid="{E8542CAA-47DE-4F90-B0CD-2F8A4C843D4A}"/>
    <cellStyle name="Total 19 2 6" xfId="16881" xr:uid="{200840C7-BD5A-466E-A7AA-2D2A70E4F454}"/>
    <cellStyle name="Total 19 2 7" xfId="17746" xr:uid="{17DD9386-4EE9-4420-8BC5-59C19C562724}"/>
    <cellStyle name="Total 19 2 8" xfId="18594" xr:uid="{EE2D7CBC-B86E-46CA-833D-7017289E7BA8}"/>
    <cellStyle name="Total 19 2 9" xfId="19441" xr:uid="{646CD313-75F0-4972-BA7A-A4FA2CB92B91}"/>
    <cellStyle name="Total 19 3" xfId="11538" xr:uid="{A4C4C6C5-A29E-469F-BB53-92F1DC157CEC}"/>
    <cellStyle name="Total 2" xfId="73" xr:uid="{00000000-0005-0000-0000-000052000000}"/>
    <cellStyle name="Total 2 2" xfId="5046" xr:uid="{BD2C110D-BCE1-4644-8F3F-B8A07E1A57BF}"/>
    <cellStyle name="Total 2 2 2" xfId="11539" xr:uid="{9564C8CB-7330-429B-8454-6FB067A179A4}"/>
    <cellStyle name="Total 2 3" xfId="5827" xr:uid="{C052A1B0-91D1-4AD3-820E-01F3273D0C2A}"/>
    <cellStyle name="Total 2 3 10" xfId="20195" xr:uid="{7F116B2B-751D-49D0-9C23-A94EEEE6851A}"/>
    <cellStyle name="Total 2 3 11" xfId="20963" xr:uid="{E471A398-C23C-4628-8A2B-0AFD6F561578}"/>
    <cellStyle name="Total 2 3 12" xfId="21812" xr:uid="{AAE3B9E2-D131-4593-84C8-8719D17B2D00}"/>
    <cellStyle name="Total 2 3 13" xfId="21090" xr:uid="{3AA06157-15E0-4041-9BB8-6F0012BE4A1A}"/>
    <cellStyle name="Total 2 3 14" xfId="23474" xr:uid="{8EF4E78F-11B5-4372-8FCE-CF5710ED4FDA}"/>
    <cellStyle name="Total 2 3 15" xfId="24273" xr:uid="{606B1146-6D7D-4B03-A544-AB2F8092FC15}"/>
    <cellStyle name="Total 2 3 16" xfId="25105" xr:uid="{5D717880-A5AC-4B16-898B-A8E2C47BAA04}"/>
    <cellStyle name="Total 2 3 17" xfId="24409" xr:uid="{4211355E-8189-4886-895B-D336D9667E25}"/>
    <cellStyle name="Total 2 3 18" xfId="26491" xr:uid="{08AAAC5B-B13B-400A-9FA3-8C77B0843617}"/>
    <cellStyle name="Total 2 3 19" xfId="26853" xr:uid="{31D05087-D322-482B-9094-32DF7E3F440E}"/>
    <cellStyle name="Total 2 3 2" xfId="13549" xr:uid="{CFF45E9A-49BB-4373-A9C5-7A1AB7FBFB69}"/>
    <cellStyle name="Total 2 3 20" xfId="27543" xr:uid="{B22DB3F1-EF3B-49C8-B1D8-71108D94713D}"/>
    <cellStyle name="Total 2 3 21" xfId="28093" xr:uid="{1FC3299F-8E71-43C1-AAED-FA9CAB01DEB2}"/>
    <cellStyle name="Total 2 3 22" xfId="28821" xr:uid="{EEDEC4F7-0C58-4A62-A187-4910D9A43CC9}"/>
    <cellStyle name="Total 2 3 23" xfId="29464" xr:uid="{B5920165-3E46-43AC-B48F-4B1D4DCEC6CD}"/>
    <cellStyle name="Total 2 3 24" xfId="29127" xr:uid="{3737D658-1B5F-4280-A2A3-C0F7CC3B02B8}"/>
    <cellStyle name="Total 2 3 25" xfId="30098" xr:uid="{4F04D76A-FC1A-4647-ADF8-FF4E2E944376}"/>
    <cellStyle name="Total 2 3 26" xfId="30397" xr:uid="{4FFCE641-1180-49FD-B72F-0A02E739A2FA}"/>
    <cellStyle name="Total 2 3 27" xfId="30521" xr:uid="{27876429-D0C8-40BB-A5CC-7CDBD1B03D7E}"/>
    <cellStyle name="Total 2 3 28" xfId="30853" xr:uid="{A731ECE1-DCE1-4BE8-8F2A-C3F242669D8D}"/>
    <cellStyle name="Total 2 3 29" xfId="31023" xr:uid="{18836210-A03B-4BF9-8013-F0634419F421}"/>
    <cellStyle name="Total 2 3 3" xfId="14482" xr:uid="{C557C953-95FE-4ADD-8F9B-3A2AB39BC542}"/>
    <cellStyle name="Total 2 3 30" xfId="31179" xr:uid="{3775D49F-0C12-4B77-9CA2-BF6E8100A93D}"/>
    <cellStyle name="Total 2 3 31" xfId="31288" xr:uid="{DECF6104-F0E3-4894-B78E-646FE3DF906C}"/>
    <cellStyle name="Total 2 3 32" xfId="6896" xr:uid="{BCF26854-1D0D-40F6-8DBE-224967BE76CA}"/>
    <cellStyle name="Total 2 3 4" xfId="15239" xr:uid="{29359932-0F1A-4B8C-A413-CD2C807E1987}"/>
    <cellStyle name="Total 2 3 5" xfId="12862" xr:uid="{F648A5F1-5EB4-4BD1-A622-5A01477B9884}"/>
    <cellStyle name="Total 2 3 6" xfId="16882" xr:uid="{EE74703D-4E4A-4FD1-BDCE-AB105B1D7BC1}"/>
    <cellStyle name="Total 2 3 7" xfId="17747" xr:uid="{F277E18D-B396-4D77-9ECA-4321B637CE05}"/>
    <cellStyle name="Total 2 3 8" xfId="18595" xr:uid="{B326B84A-A2B0-43F8-9D0E-469D480F0EB3}"/>
    <cellStyle name="Total 2 3 9" xfId="19442" xr:uid="{306685AA-7CE9-472E-B77D-6D6DE5307B77}"/>
    <cellStyle name="Total 2 4" xfId="5045" xr:uid="{124087FA-ABD3-42E7-85AD-8F91EB6C1F73}"/>
    <cellStyle name="Total 20" xfId="5047" xr:uid="{FD4E6F7B-329A-4950-9B24-DFCCA25D6EED}"/>
    <cellStyle name="Total 20 2" xfId="5828" xr:uid="{BC50B7B3-3137-4472-A6B1-C21C22541AA9}"/>
    <cellStyle name="Total 20 2 10" xfId="20196" xr:uid="{107B82B0-8B15-4EEF-BA31-AD6D5C579E78}"/>
    <cellStyle name="Total 20 2 11" xfId="20964" xr:uid="{60DF6E6E-9EE3-422E-8CC2-CA3A45EBB36A}"/>
    <cellStyle name="Total 20 2 12" xfId="21813" xr:uid="{9E81AEAD-04D2-4854-BAEC-CDB4F6761001}"/>
    <cellStyle name="Total 20 2 13" xfId="21091" xr:uid="{CE696554-6C28-47F7-8CC9-7DDAB602C0B1}"/>
    <cellStyle name="Total 20 2 14" xfId="23475" xr:uid="{31D504B5-FF9C-4D8D-85A7-64798EF65DC8}"/>
    <cellStyle name="Total 20 2 15" xfId="24274" xr:uid="{E9D7A6B3-F17C-4983-9C32-6725B0A09933}"/>
    <cellStyle name="Total 20 2 16" xfId="25106" xr:uid="{41E01CD6-4AD0-4C71-B1C4-C7A573EC4643}"/>
    <cellStyle name="Total 20 2 17" xfId="24410" xr:uid="{BF62E03A-D681-42B9-B767-66A34C6C911C}"/>
    <cellStyle name="Total 20 2 18" xfId="26492" xr:uid="{B380037D-A525-4988-B5E0-15ABD8F91C31}"/>
    <cellStyle name="Total 20 2 19" xfId="26854" xr:uid="{7C6B36A5-57E8-40CF-8144-1A237D49B78B}"/>
    <cellStyle name="Total 20 2 2" xfId="13550" xr:uid="{10B517F8-E1D4-468E-A837-955CED435C66}"/>
    <cellStyle name="Total 20 2 20" xfId="27544" xr:uid="{E84A793F-4084-46D4-B09F-8AAF1D4DEEFE}"/>
    <cellStyle name="Total 20 2 21" xfId="28094" xr:uid="{5FF44D09-C173-4887-98F7-7F6E16B00AF1}"/>
    <cellStyle name="Total 20 2 22" xfId="28822" xr:uid="{DAB79A98-D156-4643-BD8B-F904680CAA82}"/>
    <cellStyle name="Total 20 2 23" xfId="29465" xr:uid="{A1DE56B7-1600-422B-8CF4-54778F95EBD0}"/>
    <cellStyle name="Total 20 2 24" xfId="27652" xr:uid="{3C536AE1-4671-446B-BC5B-8156EADBB7D8}"/>
    <cellStyle name="Total 20 2 25" xfId="29724" xr:uid="{4D9C784A-E2B9-4E4F-9CF7-33ACF98A1D09}"/>
    <cellStyle name="Total 20 2 26" xfId="30398" xr:uid="{2B46E08B-7DEB-4F5E-94DA-2504D9F75923}"/>
    <cellStyle name="Total 20 2 27" xfId="30522" xr:uid="{F7243171-1669-411D-A332-8AD2456EE203}"/>
    <cellStyle name="Total 20 2 28" xfId="30854" xr:uid="{C81296F9-B4A0-4A12-936A-FBCEC0ED15A1}"/>
    <cellStyle name="Total 20 2 29" xfId="31024" xr:uid="{D7BAD86C-FFFA-4DC5-B6DC-6A975609C7F8}"/>
    <cellStyle name="Total 20 2 3" xfId="14483" xr:uid="{0DFE138F-4D66-449B-A141-BB8CCC3736A2}"/>
    <cellStyle name="Total 20 2 30" xfId="31180" xr:uid="{45B3D56C-9A36-45AD-9479-C9AA1A1F1E5C}"/>
    <cellStyle name="Total 20 2 31" xfId="31289" xr:uid="{F09344D2-2B23-42A4-8DB2-D1B040E1065F}"/>
    <cellStyle name="Total 20 2 32" xfId="6897" xr:uid="{A58AD0D0-8C5F-45BA-B73C-A763C1CF2BD1}"/>
    <cellStyle name="Total 20 2 4" xfId="15240" xr:uid="{DB9C7664-FF41-4C0C-A0E0-C85A461BFB97}"/>
    <cellStyle name="Total 20 2 5" xfId="13588" xr:uid="{24B583C6-4523-41A4-B786-B879919913C6}"/>
    <cellStyle name="Total 20 2 6" xfId="16883" xr:uid="{4B0AB478-3849-4B93-B578-4DC0B4B7B655}"/>
    <cellStyle name="Total 20 2 7" xfId="17748" xr:uid="{AB30C5D0-BFFD-4CE0-9A3E-5DE36C4477B8}"/>
    <cellStyle name="Total 20 2 8" xfId="18596" xr:uid="{76A366CE-7F32-4B5D-BF59-1BEF54E4FEE3}"/>
    <cellStyle name="Total 20 2 9" xfId="19443" xr:uid="{632403BE-91C7-4930-A303-5490F88BD6B1}"/>
    <cellStyle name="Total 20 3" xfId="11540" xr:uid="{5714BC7F-54A2-4C5E-B2A8-D8F90401B9AB}"/>
    <cellStyle name="Total 21" xfId="5048" xr:uid="{24D7110D-B4CE-47DC-AD34-90049D01FDC8}"/>
    <cellStyle name="Total 21 2" xfId="5829" xr:uid="{B89764DF-1BAC-4E60-A326-CD6EF0CBB2C0}"/>
    <cellStyle name="Total 21 2 10" xfId="20197" xr:uid="{242A5B0A-55E1-450A-BD6D-2FC2FB301C3B}"/>
    <cellStyle name="Total 21 2 11" xfId="20965" xr:uid="{2428B947-15F2-42E3-8206-1ECCB9783CC2}"/>
    <cellStyle name="Total 21 2 12" xfId="21814" xr:uid="{8B4360B0-3333-4BB0-BC10-AE9C86BB677B}"/>
    <cellStyle name="Total 21 2 13" xfId="21092" xr:uid="{58FA3735-DDE9-4895-A491-CD6167AAA8C7}"/>
    <cellStyle name="Total 21 2 14" xfId="23476" xr:uid="{3F6DCC3C-3A42-4488-BAEE-9AF1644C6ACE}"/>
    <cellStyle name="Total 21 2 15" xfId="24275" xr:uid="{BF8598EF-2943-4F6E-B9E5-E527DE8B09F9}"/>
    <cellStyle name="Total 21 2 16" xfId="25107" xr:uid="{FBA828B8-469D-425E-8970-5BF7392BA7EC}"/>
    <cellStyle name="Total 21 2 17" xfId="24412" xr:uid="{4A369FF8-77CF-46D0-BB08-69F081329153}"/>
    <cellStyle name="Total 21 2 18" xfId="26493" xr:uid="{460BE8A7-1DD4-407E-A335-B54432095A75}"/>
    <cellStyle name="Total 21 2 19" xfId="26855" xr:uid="{66731F10-953D-47A6-95BB-15F26575A885}"/>
    <cellStyle name="Total 21 2 2" xfId="13551" xr:uid="{2EDE684E-4551-4EAF-BB08-3B1D7EA13064}"/>
    <cellStyle name="Total 21 2 20" xfId="27545" xr:uid="{C3744D18-3FF7-4DD7-85C2-88838FC01386}"/>
    <cellStyle name="Total 21 2 21" xfId="28095" xr:uid="{0AF7101D-4BB8-4ABC-93B4-C1DA3E5082B6}"/>
    <cellStyle name="Total 21 2 22" xfId="28823" xr:uid="{ACD161CB-30E6-4CF9-95AF-F406DC8AAE07}"/>
    <cellStyle name="Total 21 2 23" xfId="29466" xr:uid="{8C5D31E9-C6C5-44B0-8C13-5FC2CE415205}"/>
    <cellStyle name="Total 21 2 24" xfId="29126" xr:uid="{DAB685A6-DBCA-4B8B-A855-473D9DB01B0F}"/>
    <cellStyle name="Total 21 2 25" xfId="30099" xr:uid="{9BD48267-7109-4EAD-81D8-96D912111B54}"/>
    <cellStyle name="Total 21 2 26" xfId="30399" xr:uid="{B2A53CB6-16D2-421C-8274-A8123B8FE0BB}"/>
    <cellStyle name="Total 21 2 27" xfId="30523" xr:uid="{863B3676-ECC8-41DB-931D-158AFF342E46}"/>
    <cellStyle name="Total 21 2 28" xfId="30855" xr:uid="{327C064C-5D5B-4879-81F7-26C4AE21E72F}"/>
    <cellStyle name="Total 21 2 29" xfId="31025" xr:uid="{16CD9411-7144-49D6-9F21-4EF3A818EEDF}"/>
    <cellStyle name="Total 21 2 3" xfId="14484" xr:uid="{B4ED92B7-F2A8-4FA9-9090-0C0DE10BE7F1}"/>
    <cellStyle name="Total 21 2 30" xfId="31181" xr:uid="{675846FD-5777-4F51-A4C5-C9440E91A673}"/>
    <cellStyle name="Total 21 2 31" xfId="31290" xr:uid="{EDA758DF-9737-4D95-8C38-D236716839D4}"/>
    <cellStyle name="Total 21 2 32" xfId="6898" xr:uid="{0B503AC1-ED9E-427B-A5A1-7636BDFE7676}"/>
    <cellStyle name="Total 21 2 4" xfId="15241" xr:uid="{CF19B6AE-5B21-4E1E-9C5C-976696F5EF6C}"/>
    <cellStyle name="Total 21 2 5" xfId="12863" xr:uid="{65A241E8-F444-4F94-B2AB-5597216D7AB8}"/>
    <cellStyle name="Total 21 2 6" xfId="16884" xr:uid="{ADAE329C-9898-4BCB-A461-AF5B3CBFE30E}"/>
    <cellStyle name="Total 21 2 7" xfId="17749" xr:uid="{DD238D04-C040-41DE-B530-9F8D884608F2}"/>
    <cellStyle name="Total 21 2 8" xfId="18597" xr:uid="{F22965A1-4DD9-4395-97B7-DA70632013AC}"/>
    <cellStyle name="Total 21 2 9" xfId="19444" xr:uid="{F59141D8-B0CE-464F-9FF1-F3625BF2A609}"/>
    <cellStyle name="Total 21 3" xfId="11541" xr:uid="{7974CDB3-2CC1-4DF7-80F5-FBB8CB025D04}"/>
    <cellStyle name="Total 22" xfId="5049" xr:uid="{A1B7F2AD-0E62-4A23-9138-33FE8227CBF1}"/>
    <cellStyle name="Total 22 2" xfId="5830" xr:uid="{94844F9F-B9EB-4318-9FD7-AF762F0C6357}"/>
    <cellStyle name="Total 22 2 10" xfId="20198" xr:uid="{22080518-C7CF-4009-8691-8AEA9BEE4595}"/>
    <cellStyle name="Total 22 2 11" xfId="20966" xr:uid="{C832F1A4-7E23-4BCE-8A0C-6DEE5DFF5D19}"/>
    <cellStyle name="Total 22 2 12" xfId="21815" xr:uid="{F9CA1472-E618-4926-AE9D-A37831D646A5}"/>
    <cellStyle name="Total 22 2 13" xfId="21093" xr:uid="{97D3B500-47D8-42E0-B7F5-6939C22EDEC9}"/>
    <cellStyle name="Total 22 2 14" xfId="23477" xr:uid="{1E9D48B7-F8DA-42F1-B137-D705CAC1C15E}"/>
    <cellStyle name="Total 22 2 15" xfId="24276" xr:uid="{5BDD90B9-2C0F-41BB-996F-AED5E7A9D5BC}"/>
    <cellStyle name="Total 22 2 16" xfId="25108" xr:uid="{85F6C4B9-69E1-478A-9728-970E3AFB5C64}"/>
    <cellStyle name="Total 22 2 17" xfId="25139" xr:uid="{1D25E9F7-D010-416C-8650-2643D73FEDE7}"/>
    <cellStyle name="Total 22 2 18" xfId="26494" xr:uid="{53144D20-8110-4D90-8C5E-B67072FACC4D}"/>
    <cellStyle name="Total 22 2 19" xfId="26856" xr:uid="{975168DC-0B97-48B2-8281-D46BC139F7B9}"/>
    <cellStyle name="Total 22 2 2" xfId="13552" xr:uid="{164D945A-69B9-407D-A0D3-96B0079C9B60}"/>
    <cellStyle name="Total 22 2 20" xfId="27546" xr:uid="{B3DDD339-9FD5-409D-86D6-7CE589F3BC9C}"/>
    <cellStyle name="Total 22 2 21" xfId="28096" xr:uid="{F9D89396-80B5-4FF7-9B54-AA2A1724249D}"/>
    <cellStyle name="Total 22 2 22" xfId="28824" xr:uid="{F5225F27-5FE6-43CA-B8B8-AE6DC6CE4B10}"/>
    <cellStyle name="Total 22 2 23" xfId="29467" xr:uid="{847B0F1B-A92F-4B48-B209-673F0DB597AC}"/>
    <cellStyle name="Total 22 2 24" xfId="25232" xr:uid="{BC74023A-A63F-4264-AA0A-55E086983DEE}"/>
    <cellStyle name="Total 22 2 25" xfId="29725" xr:uid="{2D4972C1-9343-4AD5-BE4D-2E2D4F2EE3DE}"/>
    <cellStyle name="Total 22 2 26" xfId="30400" xr:uid="{94B80000-AC2C-4F2C-8DDE-E812B7DAEAC6}"/>
    <cellStyle name="Total 22 2 27" xfId="30524" xr:uid="{C2858A98-5F96-4639-8276-15B366EC8F54}"/>
    <cellStyle name="Total 22 2 28" xfId="30856" xr:uid="{DFAE5142-8DA4-4120-9DA7-4FCEBD06A48B}"/>
    <cellStyle name="Total 22 2 29" xfId="31026" xr:uid="{03738FC8-9BA9-4728-AB53-FCA2B4FC31CE}"/>
    <cellStyle name="Total 22 2 3" xfId="14485" xr:uid="{8C770024-4D03-435B-94AD-BD9C62ACBA4F}"/>
    <cellStyle name="Total 22 2 30" xfId="31182" xr:uid="{0D1784CB-CEF9-489E-AFC3-416626C31E50}"/>
    <cellStyle name="Total 22 2 31" xfId="31291" xr:uid="{7FEBC6E7-FD70-4499-9DAB-11EF854A2567}"/>
    <cellStyle name="Total 22 2 32" xfId="6899" xr:uid="{5EC28321-C9B6-45ED-975B-6C102C05DD52}"/>
    <cellStyle name="Total 22 2 4" xfId="15242" xr:uid="{AF3826BD-809C-4768-B5B5-C111B5D744E2}"/>
    <cellStyle name="Total 22 2 5" xfId="13589" xr:uid="{A92AFD99-69D7-4333-9B31-9DFF9FA7A772}"/>
    <cellStyle name="Total 22 2 6" xfId="16885" xr:uid="{1A22B836-C48F-4554-A926-534DB7B1A06A}"/>
    <cellStyle name="Total 22 2 7" xfId="17750" xr:uid="{96EA3406-D023-4F4E-AAF9-4D080E7E9BA6}"/>
    <cellStyle name="Total 22 2 8" xfId="18598" xr:uid="{0EFC752F-C06D-4175-9C2E-817126AA1161}"/>
    <cellStyle name="Total 22 2 9" xfId="19445" xr:uid="{9C072D15-62FF-4238-96D3-1C09A66658B0}"/>
    <cellStyle name="Total 22 3" xfId="11542" xr:uid="{0C68ADC2-0D68-4741-BE16-46D110629C97}"/>
    <cellStyle name="Total 23" xfId="5050" xr:uid="{525330C8-A8E0-4512-AF5D-6F5D892F61F3}"/>
    <cellStyle name="Total 23 2" xfId="5831" xr:uid="{1F53E53C-A130-42C0-8563-3D5BC1CD9EFD}"/>
    <cellStyle name="Total 23 2 10" xfId="20199" xr:uid="{F840D587-5E17-4E58-BBFF-EDB8BB9BC812}"/>
    <cellStyle name="Total 23 2 11" xfId="20967" xr:uid="{49DD8D67-0BFD-4A61-B079-B73E9FDCAA47}"/>
    <cellStyle name="Total 23 2 12" xfId="21816" xr:uid="{6E4835D7-AC18-4A23-AF19-0F816F9A9E81}"/>
    <cellStyle name="Total 23 2 13" xfId="21094" xr:uid="{DFD40561-80F2-42CB-BF6B-BCA1D3F61AEA}"/>
    <cellStyle name="Total 23 2 14" xfId="23478" xr:uid="{27E42291-DACA-47A1-9B61-4D3849507988}"/>
    <cellStyle name="Total 23 2 15" xfId="24277" xr:uid="{72EFAC94-C806-42E4-94B4-3E25128445C2}"/>
    <cellStyle name="Total 23 2 16" xfId="25109" xr:uid="{8BC3731A-F87E-4B24-B4F6-D257BD9BB745}"/>
    <cellStyle name="Total 23 2 17" xfId="24413" xr:uid="{8895BE46-10F6-4737-9BAE-D417121EE7F1}"/>
    <cellStyle name="Total 23 2 18" xfId="26495" xr:uid="{6B0E2177-A586-4A16-9E66-BEB1A48F2038}"/>
    <cellStyle name="Total 23 2 19" xfId="26857" xr:uid="{EC60E060-E088-468C-8870-0BFC1868D428}"/>
    <cellStyle name="Total 23 2 2" xfId="13553" xr:uid="{1FD3772F-86A1-4EC9-8A43-8383DC9EDA49}"/>
    <cellStyle name="Total 23 2 20" xfId="27547" xr:uid="{AFCABC82-D64B-438B-BB12-C60684888F7B}"/>
    <cellStyle name="Total 23 2 21" xfId="28097" xr:uid="{BE1257DD-94C3-4965-8151-26156FBE132D}"/>
    <cellStyle name="Total 23 2 22" xfId="28825" xr:uid="{056B3CCC-9AE6-4D37-8872-840CE993A69E}"/>
    <cellStyle name="Total 23 2 23" xfId="29468" xr:uid="{C5CF0F4E-FDEB-4553-BB7A-24CEA01E1F99}"/>
    <cellStyle name="Total 23 2 24" xfId="29125" xr:uid="{AA7D3F62-F816-43D5-8E7A-D366552A4A22}"/>
    <cellStyle name="Total 23 2 25" xfId="30101" xr:uid="{E332068C-EBDF-4CDA-9701-3049E16DA362}"/>
    <cellStyle name="Total 23 2 26" xfId="30401" xr:uid="{65DF7772-8C29-4AFE-99D1-D518B944F14D}"/>
    <cellStyle name="Total 23 2 27" xfId="30525" xr:uid="{C58CBB2D-6477-41F7-8849-B9B6E3166CDA}"/>
    <cellStyle name="Total 23 2 28" xfId="30857" xr:uid="{75F341BE-0057-44C3-B5E1-19B1E008122D}"/>
    <cellStyle name="Total 23 2 29" xfId="31027" xr:uid="{7F3F1D11-E75C-4841-8C20-63142DAE232C}"/>
    <cellStyle name="Total 23 2 3" xfId="14486" xr:uid="{66B367B5-D803-4C8F-B58C-09A841FEFF61}"/>
    <cellStyle name="Total 23 2 30" xfId="31183" xr:uid="{1CA469DE-EDE6-4FEF-960A-854C8948BDFE}"/>
    <cellStyle name="Total 23 2 31" xfId="31292" xr:uid="{8E9D1EF0-A4A8-4DF2-AD94-E5BC4F89E05F}"/>
    <cellStyle name="Total 23 2 32" xfId="6900" xr:uid="{71B52BD8-9E76-4FFE-ACC8-A07CE5FD53C5}"/>
    <cellStyle name="Total 23 2 4" xfId="15243" xr:uid="{FC26E5B2-F227-45AE-8B0D-3A84DCC4EE11}"/>
    <cellStyle name="Total 23 2 5" xfId="12864" xr:uid="{C0590CED-A078-46F6-84C8-CC4DF42DCEE6}"/>
    <cellStyle name="Total 23 2 6" xfId="16886" xr:uid="{3DC02B71-019E-4386-941C-FAAD8E02ACBC}"/>
    <cellStyle name="Total 23 2 7" xfId="17751" xr:uid="{3038101B-453D-44CF-86C0-8932D06F21D7}"/>
    <cellStyle name="Total 23 2 8" xfId="18599" xr:uid="{980AB466-3355-4397-A6C2-9F483F2E11C7}"/>
    <cellStyle name="Total 23 2 9" xfId="19446" xr:uid="{07ACED35-F99D-4AF9-A055-30EEB7573C6F}"/>
    <cellStyle name="Total 23 3" xfId="11543" xr:uid="{90ACC32B-6F4F-4543-BF60-6B0755B24252}"/>
    <cellStyle name="Total 24" xfId="5051" xr:uid="{B33166E9-F0D4-4BFD-AE17-E207A7D49C1D}"/>
    <cellStyle name="Total 24 2" xfId="5832" xr:uid="{E02AB642-3913-4428-B75B-714FEDDB911C}"/>
    <cellStyle name="Total 24 2 10" xfId="20200" xr:uid="{98793419-0181-4371-BD95-B0FBC48FB405}"/>
    <cellStyle name="Total 24 2 11" xfId="20968" xr:uid="{4875517D-58A2-4131-AB9F-E5F05C3D9136}"/>
    <cellStyle name="Total 24 2 12" xfId="21817" xr:uid="{F15DF2E6-A289-43D9-8ADC-87D2944F7DCC}"/>
    <cellStyle name="Total 24 2 13" xfId="21095" xr:uid="{CCB24197-E415-4789-A09A-6F00874C054B}"/>
    <cellStyle name="Total 24 2 14" xfId="23479" xr:uid="{D8B70A45-BBA8-4844-99B4-6C97793E14F6}"/>
    <cellStyle name="Total 24 2 15" xfId="24278" xr:uid="{EDB8194E-6C8A-46D3-A500-42CB5AC639B9}"/>
    <cellStyle name="Total 24 2 16" xfId="25110" xr:uid="{B4D9C850-0449-418C-9295-47C9FEEFE8FC}"/>
    <cellStyle name="Total 24 2 17" xfId="25140" xr:uid="{494627B2-34FB-43E1-A412-88DB6CAF83C2}"/>
    <cellStyle name="Total 24 2 18" xfId="26496" xr:uid="{658910A9-80F3-4796-88D7-48D7B598313F}"/>
    <cellStyle name="Total 24 2 19" xfId="26858" xr:uid="{3CC72991-12D9-40EA-AF4F-211776E1C9EA}"/>
    <cellStyle name="Total 24 2 2" xfId="13554" xr:uid="{93524671-FBA9-4A72-B62C-35CBA7BF8028}"/>
    <cellStyle name="Total 24 2 20" xfId="27548" xr:uid="{03444765-6D6D-4E29-8771-F11F65FF8C65}"/>
    <cellStyle name="Total 24 2 21" xfId="28098" xr:uid="{F03CE532-8675-4D76-949A-DB04A979790A}"/>
    <cellStyle name="Total 24 2 22" xfId="28826" xr:uid="{1CA3D0B4-A7FC-4191-B0B6-9D038F6AB12C}"/>
    <cellStyle name="Total 24 2 23" xfId="29469" xr:uid="{0497BBA8-6B79-4B1D-8BBD-C33832BD5739}"/>
    <cellStyle name="Total 24 2 24" xfId="27651" xr:uid="{192AB182-09B0-45F6-93C1-0E9C2AAEE4A2}"/>
    <cellStyle name="Total 24 2 25" xfId="29726" xr:uid="{0F90DA10-1A40-4CC7-8BAE-9575F9FAB607}"/>
    <cellStyle name="Total 24 2 26" xfId="30402" xr:uid="{2103D6AB-6231-4BFD-B9E4-4853F50BEF3C}"/>
    <cellStyle name="Total 24 2 27" xfId="30526" xr:uid="{86A707EF-6FB4-48B8-96A7-101030F9DD8A}"/>
    <cellStyle name="Total 24 2 28" xfId="30858" xr:uid="{CD7E7127-FDC3-4AD6-828E-29A868EC2309}"/>
    <cellStyle name="Total 24 2 29" xfId="31028" xr:uid="{165F4013-391D-4AC2-9E90-C693D32EE6B0}"/>
    <cellStyle name="Total 24 2 3" xfId="14487" xr:uid="{27F43F29-F862-459C-9242-72077B59CB1F}"/>
    <cellStyle name="Total 24 2 30" xfId="31184" xr:uid="{74E81CBF-7CFD-4B29-BBBB-EE2F69668F5C}"/>
    <cellStyle name="Total 24 2 31" xfId="31293" xr:uid="{BDC790EE-8CEF-4FE7-B41C-CA77E5FAFE5A}"/>
    <cellStyle name="Total 24 2 32" xfId="6901" xr:uid="{79904854-F581-4339-B9AF-603D67A53566}"/>
    <cellStyle name="Total 24 2 4" xfId="15244" xr:uid="{E4836BF5-DADA-4FFB-B6F6-2E45F3630A25}"/>
    <cellStyle name="Total 24 2 5" xfId="13590" xr:uid="{7BA2E0F6-3F00-4A0B-8DBF-2CD86532BE4D}"/>
    <cellStyle name="Total 24 2 6" xfId="16887" xr:uid="{5F899890-1659-44CC-9E36-12C8E67017D8}"/>
    <cellStyle name="Total 24 2 7" xfId="17752" xr:uid="{832D34DE-8008-48C2-816A-87F76325ABF4}"/>
    <cellStyle name="Total 24 2 8" xfId="18600" xr:uid="{A47E44FF-A439-418C-A725-4F1A0FF350FE}"/>
    <cellStyle name="Total 24 2 9" xfId="19447" xr:uid="{9A69187B-BAF0-4ED9-80B7-6B55D1536139}"/>
    <cellStyle name="Total 24 3" xfId="11544" xr:uid="{27130BE2-EF00-4147-8B46-92DF98554B72}"/>
    <cellStyle name="Total 25" xfId="5052" xr:uid="{DAAC5019-6E88-4F08-BB69-607BD3F5A420}"/>
    <cellStyle name="Total 25 2" xfId="5833" xr:uid="{EAB58748-962D-4DDC-BD5E-728A4CE7E576}"/>
    <cellStyle name="Total 25 2 10" xfId="20201" xr:uid="{E39647FA-FE1C-4CA8-B448-262902E26CF9}"/>
    <cellStyle name="Total 25 2 11" xfId="20969" xr:uid="{AE6E3902-F250-46A5-8758-E7A3FAC010F8}"/>
    <cellStyle name="Total 25 2 12" xfId="21818" xr:uid="{1C993A32-125C-4ACB-A843-76434AACDE67}"/>
    <cellStyle name="Total 25 2 13" xfId="21096" xr:uid="{4F089DF3-6B06-4307-8D9F-8CB21F24D377}"/>
    <cellStyle name="Total 25 2 14" xfId="23480" xr:uid="{0F187D84-A319-43FF-9D40-AEF3EB618001}"/>
    <cellStyle name="Total 25 2 15" xfId="24279" xr:uid="{44CF38E0-AF96-4A3E-B1E6-0548524E7886}"/>
    <cellStyle name="Total 25 2 16" xfId="25111" xr:uid="{E2460AAE-C88F-42D5-9168-9B35B13ECAB8}"/>
    <cellStyle name="Total 25 2 17" xfId="24414" xr:uid="{7634224F-A307-423B-8B10-A1726A72DE30}"/>
    <cellStyle name="Total 25 2 18" xfId="26497" xr:uid="{4FD5C58D-8645-4DC0-931F-F5D7619735AF}"/>
    <cellStyle name="Total 25 2 19" xfId="26859" xr:uid="{4560337F-28A2-4ECA-819F-99A9DCC653E4}"/>
    <cellStyle name="Total 25 2 2" xfId="13555" xr:uid="{A880C32D-482E-4A3E-9F81-C13E385080DF}"/>
    <cellStyle name="Total 25 2 20" xfId="27549" xr:uid="{A8D0E30C-013F-4D1C-8BBA-48A560FEC4BA}"/>
    <cellStyle name="Total 25 2 21" xfId="28099" xr:uid="{0F2CB6CB-15E9-4E30-A81E-F72B073C1A8B}"/>
    <cellStyle name="Total 25 2 22" xfId="28827" xr:uid="{6E6447FC-924D-4054-A937-7FEF9F411C7B}"/>
    <cellStyle name="Total 25 2 23" xfId="29470" xr:uid="{8C357D21-AAC3-40A4-B2D8-9E97F15AC32B}"/>
    <cellStyle name="Total 25 2 24" xfId="29124" xr:uid="{3250FAE0-B47C-46F6-A64D-2C821280B3B4}"/>
    <cellStyle name="Total 25 2 25" xfId="30102" xr:uid="{C2ECE737-1258-4B92-9FCC-D7B34FE7F865}"/>
    <cellStyle name="Total 25 2 26" xfId="30403" xr:uid="{A2E3566C-6FD0-40FF-BF06-81F7F4C5AF29}"/>
    <cellStyle name="Total 25 2 27" xfId="30527" xr:uid="{04127558-678E-44CA-83D6-0B40D541C0A5}"/>
    <cellStyle name="Total 25 2 28" xfId="30859" xr:uid="{B91B7551-2A71-4439-B021-C1DD801C8402}"/>
    <cellStyle name="Total 25 2 29" xfId="31029" xr:uid="{508E280B-0A18-40F7-99F7-5B3C17F3F321}"/>
    <cellStyle name="Total 25 2 3" xfId="14488" xr:uid="{2B334F88-5E08-4739-B706-E22D0408C502}"/>
    <cellStyle name="Total 25 2 30" xfId="31185" xr:uid="{9CC6FB83-2CBB-4A78-8253-2C2553E4F812}"/>
    <cellStyle name="Total 25 2 31" xfId="31294" xr:uid="{DEB9CA66-3B08-4570-82B3-9BD82F7BFD3E}"/>
    <cellStyle name="Total 25 2 32" xfId="6902" xr:uid="{EAD2448F-8506-4DC8-BC7D-822244FA5B2E}"/>
    <cellStyle name="Total 25 2 4" xfId="15245" xr:uid="{1FDC7AA7-4CB2-47C7-A26C-CBF6D655605D}"/>
    <cellStyle name="Total 25 2 5" xfId="12865" xr:uid="{6B4A38D1-D3CA-4660-BA91-338350308498}"/>
    <cellStyle name="Total 25 2 6" xfId="16888" xr:uid="{A3EB795F-9D4B-40B1-8E9E-249930449C90}"/>
    <cellStyle name="Total 25 2 7" xfId="17753" xr:uid="{850ABF76-2EDD-42D6-A2B3-468E8F5A44BE}"/>
    <cellStyle name="Total 25 2 8" xfId="18601" xr:uid="{606596C1-8D3A-4138-AA20-0B48D91E1414}"/>
    <cellStyle name="Total 25 2 9" xfId="19448" xr:uid="{06D63FEE-35B0-4927-8966-D6C2CA1CBAF3}"/>
    <cellStyle name="Total 25 3" xfId="11545" xr:uid="{D29C4988-3754-4E64-A762-BA258BDF98AF}"/>
    <cellStyle name="Total 26" xfId="5053" xr:uid="{DDFC1ABA-0F2C-4937-8C8C-2FE1813C071C}"/>
    <cellStyle name="Total 26 2" xfId="5834" xr:uid="{2FAC61EE-2A03-4B20-BBCD-CE252781E662}"/>
    <cellStyle name="Total 26 2 10" xfId="20202" xr:uid="{F8C596F7-0CC4-4249-BFA4-C36DC609C826}"/>
    <cellStyle name="Total 26 2 11" xfId="20970" xr:uid="{AF4E9BD7-7153-4C9E-8607-3DE91F2413F9}"/>
    <cellStyle name="Total 26 2 12" xfId="21819" xr:uid="{F25FB906-0AF5-433A-B3C2-C988460CF846}"/>
    <cellStyle name="Total 26 2 13" xfId="21839" xr:uid="{D359653D-DBCD-474F-9C65-71EDA0501627}"/>
    <cellStyle name="Total 26 2 14" xfId="23481" xr:uid="{359619D3-F1EB-4CF1-974B-82D5C52FE9B4}"/>
    <cellStyle name="Total 26 2 15" xfId="24280" xr:uid="{87BA4E67-30F0-4C0D-A7FD-C24741D33F63}"/>
    <cellStyle name="Total 26 2 16" xfId="25112" xr:uid="{74FCA7BD-A9D0-4A0C-B452-72EFEDF5EC46}"/>
    <cellStyle name="Total 26 2 17" xfId="25141" xr:uid="{E4851BCC-A408-48B8-9E5D-A66E59D481DD}"/>
    <cellStyle name="Total 26 2 18" xfId="26498" xr:uid="{F641BAB5-F0AC-4679-96C3-CFF4E89A20C7}"/>
    <cellStyle name="Total 26 2 19" xfId="26860" xr:uid="{190EB582-938A-4C13-BDD8-3D34D3D49B10}"/>
    <cellStyle name="Total 26 2 2" xfId="13556" xr:uid="{8552A51B-E0A7-4582-9E98-82F7CF888EC2}"/>
    <cellStyle name="Total 26 2 20" xfId="27550" xr:uid="{156B497F-2C0C-4942-85A9-FA3AB09702D9}"/>
    <cellStyle name="Total 26 2 21" xfId="28100" xr:uid="{A71DF37A-3A83-4F04-8CF9-1AFBB8B70EFC}"/>
    <cellStyle name="Total 26 2 22" xfId="28828" xr:uid="{94238204-7A8C-4309-8CBC-6CA487ABD5A6}"/>
    <cellStyle name="Total 26 2 23" xfId="29471" xr:uid="{19B2067D-7375-4612-AAD6-CD8539C5AB79}"/>
    <cellStyle name="Total 26 2 24" xfId="25878" xr:uid="{198AF77B-9144-4D8E-94AA-ABEC322C57BF}"/>
    <cellStyle name="Total 26 2 25" xfId="29727" xr:uid="{D7ACB8D5-B6AC-4E51-AE5A-A3126F6284CE}"/>
    <cellStyle name="Total 26 2 26" xfId="30404" xr:uid="{586FE9A8-6DFF-4B3C-B026-D974DC9CF267}"/>
    <cellStyle name="Total 26 2 27" xfId="30528" xr:uid="{660B437F-8E87-41E9-B91C-CD173E0FB9F0}"/>
    <cellStyle name="Total 26 2 28" xfId="30860" xr:uid="{69C00D82-E5A4-4D63-A7E3-D6487E58BC3F}"/>
    <cellStyle name="Total 26 2 29" xfId="31030" xr:uid="{EC79D2DA-6848-4142-B528-5E25E843AD9A}"/>
    <cellStyle name="Total 26 2 3" xfId="14489" xr:uid="{4B0433E5-2A11-4183-BFB6-496587FFE5AF}"/>
    <cellStyle name="Total 26 2 30" xfId="31186" xr:uid="{E0CF26A3-88B5-4ADD-9BFE-2752AE6D33E2}"/>
    <cellStyle name="Total 26 2 31" xfId="31295" xr:uid="{AFD78E40-D57E-40B8-BB65-9717D8947A0D}"/>
    <cellStyle name="Total 26 2 32" xfId="6903" xr:uid="{D202603B-94C4-4116-94E2-BF7873F2E588}"/>
    <cellStyle name="Total 26 2 4" xfId="15246" xr:uid="{5D40A6CD-4925-4EEC-98C6-3ED4919280F3}"/>
    <cellStyle name="Total 26 2 5" xfId="13591" xr:uid="{985E0C36-B138-46F6-ABAA-D0AB44E976B0}"/>
    <cellStyle name="Total 26 2 6" xfId="16889" xr:uid="{2898531A-F0E5-4A79-AB68-2B79C261B5C5}"/>
    <cellStyle name="Total 26 2 7" xfId="17754" xr:uid="{516D1134-AF09-4909-8E37-3FD8E4F98BBC}"/>
    <cellStyle name="Total 26 2 8" xfId="18602" xr:uid="{7786B8F4-FE87-4B29-9846-0DD9F51E85F7}"/>
    <cellStyle name="Total 26 2 9" xfId="19449" xr:uid="{09097690-2D07-41DE-BA21-3B7B8BF87254}"/>
    <cellStyle name="Total 26 3" xfId="11546" xr:uid="{F4B9667E-82CE-4538-90DD-E000A58CDD0F}"/>
    <cellStyle name="Total 27" xfId="5054" xr:uid="{93F6494D-C969-485A-97CA-AAE187FAEFE0}"/>
    <cellStyle name="Total 27 2" xfId="5835" xr:uid="{30A8B6D4-591D-4924-99AB-C093B74A26F5}"/>
    <cellStyle name="Total 27 2 10" xfId="20203" xr:uid="{6B85C1ED-C989-49CD-8828-743BACEDFC21}"/>
    <cellStyle name="Total 27 2 11" xfId="20971" xr:uid="{1A991AC9-EBA4-42F9-92FD-3DBB2C1092C4}"/>
    <cellStyle name="Total 27 2 12" xfId="21820" xr:uid="{9F3055D0-E61E-41BF-A6FC-AD43691D5F23}"/>
    <cellStyle name="Total 27 2 13" xfId="21058" xr:uid="{F3C3C023-534B-4CC3-972B-7FE8CB7E2B11}"/>
    <cellStyle name="Total 27 2 14" xfId="23482" xr:uid="{1384AD73-6A97-4B4F-926A-6096BB2975E8}"/>
    <cellStyle name="Total 27 2 15" xfId="24281" xr:uid="{B2BB1FD8-8F0F-4D9F-86C3-5662399D3C18}"/>
    <cellStyle name="Total 27 2 16" xfId="25113" xr:uid="{0D40ED74-1D0F-4534-980A-550AEB3D9985}"/>
    <cellStyle name="Total 27 2 17" xfId="24415" xr:uid="{1E0A6BBD-50DA-4E7F-AC34-A8DE6953757C}"/>
    <cellStyle name="Total 27 2 18" xfId="26499" xr:uid="{A0061F13-CDE3-447B-925A-4D6EADA3BF4A}"/>
    <cellStyle name="Total 27 2 19" xfId="26861" xr:uid="{2C26E4BE-BCD5-4D6D-B372-482F0B2865DF}"/>
    <cellStyle name="Total 27 2 2" xfId="13557" xr:uid="{7B16B6B5-3726-4996-9E01-B1C1C0F86F6C}"/>
    <cellStyle name="Total 27 2 20" xfId="27551" xr:uid="{85291F33-6FDF-42C4-B0F4-6D00D4F89BB4}"/>
    <cellStyle name="Total 27 2 21" xfId="28101" xr:uid="{A4C0A421-6BB3-4721-AA9A-2937B56453FD}"/>
    <cellStyle name="Total 27 2 22" xfId="28829" xr:uid="{1D13C997-4741-4CD2-8B64-19396404B89F}"/>
    <cellStyle name="Total 27 2 23" xfId="29472" xr:uid="{DC8400E9-6545-4F96-92D3-243E8726E020}"/>
    <cellStyle name="Total 27 2 24" xfId="29123" xr:uid="{DDF96C54-F8B5-4EA8-ABE2-87119E3C3DFB}"/>
    <cellStyle name="Total 27 2 25" xfId="30103" xr:uid="{4381A875-1848-41C3-A2E3-A13AB174E4AE}"/>
    <cellStyle name="Total 27 2 26" xfId="30405" xr:uid="{31781178-018C-46F6-8F10-9EEA8E77A785}"/>
    <cellStyle name="Total 27 2 27" xfId="30529" xr:uid="{9E956EEA-ACC6-4F4E-92C0-11E5AB90E6A2}"/>
    <cellStyle name="Total 27 2 28" xfId="30861" xr:uid="{FE6D0A16-B0B1-4B8B-97A7-70C43FAA9B7C}"/>
    <cellStyle name="Total 27 2 29" xfId="31031" xr:uid="{D6F614B7-572E-4500-9138-57C73EAA64E0}"/>
    <cellStyle name="Total 27 2 3" xfId="14490" xr:uid="{C41C75E5-8778-4896-B1EA-1EA1940690DC}"/>
    <cellStyle name="Total 27 2 30" xfId="31187" xr:uid="{3EC47D78-12E0-414C-934C-3D68D436E789}"/>
    <cellStyle name="Total 27 2 31" xfId="31296" xr:uid="{47396A36-055A-4C18-A180-CBF2A30BB9AA}"/>
    <cellStyle name="Total 27 2 32" xfId="6904" xr:uid="{6D93AF3B-42F5-454D-B665-8E0994C7B37C}"/>
    <cellStyle name="Total 27 2 4" xfId="15247" xr:uid="{5056DFEF-DD1F-47A2-B673-CE3E9C703708}"/>
    <cellStyle name="Total 27 2 5" xfId="12866" xr:uid="{175C471D-E6DB-48C2-A2A6-9C4F2B67571C}"/>
    <cellStyle name="Total 27 2 6" xfId="16890" xr:uid="{07C8437A-C678-44C6-8242-A970822322DA}"/>
    <cellStyle name="Total 27 2 7" xfId="17755" xr:uid="{F9A3B82C-EC6D-481D-A153-80AD24DB850D}"/>
    <cellStyle name="Total 27 2 8" xfId="18603" xr:uid="{70920B6D-D256-4C9F-9FEA-52420353ED60}"/>
    <cellStyle name="Total 27 2 9" xfId="19450" xr:uid="{45A78B75-B56A-4B1B-A54F-14B80C610FBD}"/>
    <cellStyle name="Total 27 3" xfId="11547" xr:uid="{9F09253B-35DD-429E-804A-E0EE2FCB5279}"/>
    <cellStyle name="Total 28" xfId="5055" xr:uid="{514C72EA-0E8E-46A9-B40A-B2F29784809A}"/>
    <cellStyle name="Total 28 2" xfId="5836" xr:uid="{CC2C7739-0737-4311-A1B6-905B98A17B62}"/>
    <cellStyle name="Total 28 2 10" xfId="20204" xr:uid="{F563FFCB-BEE9-4997-BB4D-31873FD53738}"/>
    <cellStyle name="Total 28 2 11" xfId="20972" xr:uid="{4BBE45E0-C973-42DD-95B8-79ADB0ABF902}"/>
    <cellStyle name="Total 28 2 12" xfId="21821" xr:uid="{0645C823-BEDE-47A7-B530-DA7FDDE6D891}"/>
    <cellStyle name="Total 28 2 13" xfId="21097" xr:uid="{B0B3CE9B-FE9F-4E9D-94F2-ED4E2FE55684}"/>
    <cellStyle name="Total 28 2 14" xfId="23483" xr:uid="{5DDE027A-5C2F-4715-B9C3-6A0B2E6CA8F6}"/>
    <cellStyle name="Total 28 2 15" xfId="24282" xr:uid="{B956D505-341A-4936-BA30-DEDCD065EEEC}"/>
    <cellStyle name="Total 28 2 16" xfId="25114" xr:uid="{6E00F913-CB70-48BF-AF71-0DC5A48120CA}"/>
    <cellStyle name="Total 28 2 17" xfId="25142" xr:uid="{27147E63-218F-483B-8682-99AE285C86C3}"/>
    <cellStyle name="Total 28 2 18" xfId="26500" xr:uid="{B9DD0772-3938-409C-9F5E-3A6DCBCE16F3}"/>
    <cellStyle name="Total 28 2 19" xfId="26862" xr:uid="{46504019-D344-4A73-A97E-A4CBC9C27046}"/>
    <cellStyle name="Total 28 2 2" xfId="13558" xr:uid="{3C946DAC-F3BE-48F7-854D-AEBBA0418CB1}"/>
    <cellStyle name="Total 28 2 20" xfId="27552" xr:uid="{25DBBDDB-0842-4932-94FC-A1F7AEBE9954}"/>
    <cellStyle name="Total 28 2 21" xfId="28102" xr:uid="{55FEB43D-6205-47EE-829E-C1BC29FAE02B}"/>
    <cellStyle name="Total 28 2 22" xfId="28830" xr:uid="{491188CA-EC8E-48F4-9A47-DAF5D7443A66}"/>
    <cellStyle name="Total 28 2 23" xfId="29473" xr:uid="{1DFAC80B-7CD7-43B8-A13E-E99CB509CDC8}"/>
    <cellStyle name="Total 28 2 24" xfId="28765" xr:uid="{7BD78915-4763-471F-9EA3-1696B9EB6DF9}"/>
    <cellStyle name="Total 28 2 25" xfId="29728" xr:uid="{5DAFAEDB-71E1-4725-B019-B2D54A42BEA7}"/>
    <cellStyle name="Total 28 2 26" xfId="30406" xr:uid="{7DD96E5D-6BDC-4CDF-B034-AE01DCFB46AF}"/>
    <cellStyle name="Total 28 2 27" xfId="30530" xr:uid="{90175DB1-9D55-4FF2-A733-7383CCD061B9}"/>
    <cellStyle name="Total 28 2 28" xfId="30862" xr:uid="{7BE3A8E5-52B5-43BD-AD1C-1C9263A10E93}"/>
    <cellStyle name="Total 28 2 29" xfId="31032" xr:uid="{C87FA1BE-D2C8-43CD-85A1-A484C4220276}"/>
    <cellStyle name="Total 28 2 3" xfId="14491" xr:uid="{0844E066-AF60-44F8-9A03-9D15535588DE}"/>
    <cellStyle name="Total 28 2 30" xfId="31188" xr:uid="{5D0D1CB4-61C1-477C-8C04-D4774504DD52}"/>
    <cellStyle name="Total 28 2 31" xfId="31297" xr:uid="{D8CEF4D7-6F19-44E2-90F1-2C06686FBF05}"/>
    <cellStyle name="Total 28 2 32" xfId="6905" xr:uid="{93C7C5D4-E965-4607-A1F5-E034B548F0AE}"/>
    <cellStyle name="Total 28 2 4" xfId="15248" xr:uid="{364A3996-C995-47EB-9613-2EB09CA401E0}"/>
    <cellStyle name="Total 28 2 5" xfId="13592" xr:uid="{6A2AF710-D626-418B-9BDB-393C60CCA25E}"/>
    <cellStyle name="Total 28 2 6" xfId="16891" xr:uid="{05047C22-59E1-48C6-A968-08496896DADD}"/>
    <cellStyle name="Total 28 2 7" xfId="17756" xr:uid="{D4EF7743-DB6C-4F58-8F77-13F68BD9F19D}"/>
    <cellStyle name="Total 28 2 8" xfId="18604" xr:uid="{6FC6C2E6-CDA9-428E-B905-E6EF1EDCD213}"/>
    <cellStyle name="Total 28 2 9" xfId="19451" xr:uid="{22AB207B-C71C-44A6-A2CA-7B5ACE192BB5}"/>
    <cellStyle name="Total 28 3" xfId="11548" xr:uid="{546C1F4B-55EB-4FC6-8E7E-9CB524A2F43F}"/>
    <cellStyle name="Total 29" xfId="5056" xr:uid="{F6C1911C-E702-419C-ABEE-4599F20B9F86}"/>
    <cellStyle name="Total 29 2" xfId="5837" xr:uid="{41A6BD6B-810D-417E-8315-F0ADCC6DA36C}"/>
    <cellStyle name="Total 29 2 10" xfId="20205" xr:uid="{CBAA7D1D-396E-46F3-8268-935D0C41253F}"/>
    <cellStyle name="Total 29 2 11" xfId="20973" xr:uid="{F739B553-CDC1-407F-989C-E6EFD28288E2}"/>
    <cellStyle name="Total 29 2 12" xfId="21822" xr:uid="{970A9A0D-0ACE-4441-8239-6C2F682CEBC9}"/>
    <cellStyle name="Total 29 2 13" xfId="21098" xr:uid="{3DD1F3AD-0422-46F5-B277-8C759E898EA5}"/>
    <cellStyle name="Total 29 2 14" xfId="23484" xr:uid="{909D751E-A6DF-4FEA-BC61-9969F39A2798}"/>
    <cellStyle name="Total 29 2 15" xfId="24283" xr:uid="{7F1DE91A-16C7-46DC-8516-535729B5BE8F}"/>
    <cellStyle name="Total 29 2 16" xfId="25115" xr:uid="{8A25FD37-3E2C-4D21-A75A-CB4C6AD0991A}"/>
    <cellStyle name="Total 29 2 17" xfId="24416" xr:uid="{5F97068C-A893-4783-94A1-844442B50B55}"/>
    <cellStyle name="Total 29 2 18" xfId="26501" xr:uid="{3FADFC86-A958-4C37-B1D7-58EFAACCD2DB}"/>
    <cellStyle name="Total 29 2 19" xfId="26863" xr:uid="{0A3B032F-1BA1-420D-9895-CC2A6911B8C1}"/>
    <cellStyle name="Total 29 2 2" xfId="13559" xr:uid="{64BE4718-5CA5-4EA9-B321-2D7DEE5BD73D}"/>
    <cellStyle name="Total 29 2 20" xfId="27553" xr:uid="{DC4824DC-CCC7-45BB-956F-A9D8677F31D1}"/>
    <cellStyle name="Total 29 2 21" xfId="28103" xr:uid="{71EA5D04-927C-4B4A-815F-82CB5FBB0645}"/>
    <cellStyle name="Total 29 2 22" xfId="28831" xr:uid="{77C8AAA6-2276-43F2-B185-67BD0CCE6457}"/>
    <cellStyle name="Total 29 2 23" xfId="29474" xr:uid="{49211BB8-FF7E-4BED-82C9-A379E4DF2046}"/>
    <cellStyle name="Total 29 2 24" xfId="29122" xr:uid="{FF6A0AB4-BC62-4E0A-9A2F-02B3C9B7BECE}"/>
    <cellStyle name="Total 29 2 25" xfId="30104" xr:uid="{44C5E028-A567-4F83-9DC9-32270DCB3CD9}"/>
    <cellStyle name="Total 29 2 26" xfId="30407" xr:uid="{4A228DD0-757C-44AD-95EB-465889D3CE6D}"/>
    <cellStyle name="Total 29 2 27" xfId="30531" xr:uid="{D2AA037C-2425-4EF2-BD1D-D0746B64A21C}"/>
    <cellStyle name="Total 29 2 28" xfId="30863" xr:uid="{B75511CF-A224-4974-8B2F-D822047D696C}"/>
    <cellStyle name="Total 29 2 29" xfId="31033" xr:uid="{2F7F1416-5D0C-4613-8B42-5E68BAD108BD}"/>
    <cellStyle name="Total 29 2 3" xfId="14492" xr:uid="{AEBB316D-77F3-4F82-A8B9-E01EC46B8B41}"/>
    <cellStyle name="Total 29 2 30" xfId="31189" xr:uid="{907E7F0A-DCBD-4D93-9E3E-E58B523B353A}"/>
    <cellStyle name="Total 29 2 31" xfId="31298" xr:uid="{D0480D5C-10A6-4DF5-A30C-06997643DF5A}"/>
    <cellStyle name="Total 29 2 32" xfId="6906" xr:uid="{E1486036-721E-4007-83A7-4028887FECE0}"/>
    <cellStyle name="Total 29 2 4" xfId="15249" xr:uid="{B9EFC77D-D255-4A42-A125-4D3E4C04159E}"/>
    <cellStyle name="Total 29 2 5" xfId="12867" xr:uid="{64E7AE8F-755E-42BA-8E33-B524A4999409}"/>
    <cellStyle name="Total 29 2 6" xfId="16892" xr:uid="{71257164-172C-4894-AF76-E3174F7BFA37}"/>
    <cellStyle name="Total 29 2 7" xfId="17757" xr:uid="{4F1C5654-052D-4DEE-8403-205B630B2C8F}"/>
    <cellStyle name="Total 29 2 8" xfId="18605" xr:uid="{D28AF177-D19E-4509-BD44-67B839ABAF1B}"/>
    <cellStyle name="Total 29 2 9" xfId="19452" xr:uid="{6C5777A3-269E-4DCC-82C3-C86D6D6C2E6B}"/>
    <cellStyle name="Total 29 3" xfId="11549" xr:uid="{411479F0-9D26-4551-AE33-A802C31C4E02}"/>
    <cellStyle name="Total 3" xfId="5057" xr:uid="{729CB258-E8A3-49A2-9D77-8153B8D48C82}"/>
    <cellStyle name="Total 3 2" xfId="5838" xr:uid="{EF9F09C8-1CBD-4B77-9F90-4B676F2930D5}"/>
    <cellStyle name="Total 3 2 10" xfId="20206" xr:uid="{015C7976-4499-4112-9E73-CF01C926CA92}"/>
    <cellStyle name="Total 3 2 11" xfId="20974" xr:uid="{7488A55E-B02B-44C9-BD0E-7E4B3DD1004E}"/>
    <cellStyle name="Total 3 2 12" xfId="21823" xr:uid="{04D4BDAD-09FA-4EAC-9B33-9D1FE0345C49}"/>
    <cellStyle name="Total 3 2 13" xfId="21099" xr:uid="{7ED16FFE-3CBF-4458-B67B-AACF841E5F90}"/>
    <cellStyle name="Total 3 2 14" xfId="23485" xr:uid="{03E86867-2C29-4724-93B1-5F9AB8CD243B}"/>
    <cellStyle name="Total 3 2 15" xfId="24284" xr:uid="{D8036DBF-4FEC-4823-8AEA-3D5EF4A5F146}"/>
    <cellStyle name="Total 3 2 16" xfId="25116" xr:uid="{676C9E4D-9D84-4DDF-9F43-829D08790CF1}"/>
    <cellStyle name="Total 3 2 17" xfId="25143" xr:uid="{E83DA55F-D429-493B-B086-DE435AEDAED6}"/>
    <cellStyle name="Total 3 2 18" xfId="26502" xr:uid="{9E3633D8-D57F-40F5-BDCB-1AB38B13CF9D}"/>
    <cellStyle name="Total 3 2 19" xfId="26864" xr:uid="{21C3CC6A-883E-4699-B9C1-6C602E7CFF0B}"/>
    <cellStyle name="Total 3 2 2" xfId="13560" xr:uid="{0FD60474-23D3-4367-A10D-FB5D00712DE0}"/>
    <cellStyle name="Total 3 2 20" xfId="27554" xr:uid="{2DDC4545-1505-4658-A02D-531B888B886B}"/>
    <cellStyle name="Total 3 2 21" xfId="28104" xr:uid="{406A2E30-98A7-46A9-95E7-2D9F638871E7}"/>
    <cellStyle name="Total 3 2 22" xfId="28832" xr:uid="{102580AA-F0FF-455E-A639-48165B4E36B0}"/>
    <cellStyle name="Total 3 2 23" xfId="29475" xr:uid="{A05C0962-EFAA-4EA3-AB14-603B7B584ACB}"/>
    <cellStyle name="Total 3 2 24" xfId="27650" xr:uid="{B9024DF2-9E81-4B1D-BD63-FF7779C61284}"/>
    <cellStyle name="Total 3 2 25" xfId="29729" xr:uid="{302510F5-A918-452A-BDA5-4282312CB26B}"/>
    <cellStyle name="Total 3 2 26" xfId="30408" xr:uid="{F86E6556-9410-4429-90D8-A7599484343D}"/>
    <cellStyle name="Total 3 2 27" xfId="30532" xr:uid="{A533686D-66EB-476A-A168-2DB78B47C3D7}"/>
    <cellStyle name="Total 3 2 28" xfId="30864" xr:uid="{53B61878-53DA-4ACA-9513-E68B3379EE95}"/>
    <cellStyle name="Total 3 2 29" xfId="31034" xr:uid="{206A531A-EE8E-4A1C-87C2-98E630F86BA9}"/>
    <cellStyle name="Total 3 2 3" xfId="14493" xr:uid="{9E1EB935-3514-4DB5-8E96-25B4797951A5}"/>
    <cellStyle name="Total 3 2 30" xfId="31190" xr:uid="{3E1F6EE4-140D-40EA-9BB8-7A0629B0ED6A}"/>
    <cellStyle name="Total 3 2 31" xfId="31299" xr:uid="{41932FAF-5AD5-423C-AB08-D74C9D707982}"/>
    <cellStyle name="Total 3 2 32" xfId="6907" xr:uid="{7BC02D4F-7762-4EEF-BCFB-81C6AB5CD31B}"/>
    <cellStyle name="Total 3 2 4" xfId="15250" xr:uid="{C2DE09B1-587C-441A-9EF6-6CD66CE82E9D}"/>
    <cellStyle name="Total 3 2 5" xfId="13593" xr:uid="{4F0062AC-4721-47D3-B77D-3197F8238644}"/>
    <cellStyle name="Total 3 2 6" xfId="16893" xr:uid="{D40CF7FF-24E3-4C2F-AA49-D38643C58E04}"/>
    <cellStyle name="Total 3 2 7" xfId="17758" xr:uid="{2A2CF1DF-4DC1-48CC-B5C9-1B55D7F5CD62}"/>
    <cellStyle name="Total 3 2 8" xfId="18606" xr:uid="{C2C5FA25-B681-42B3-9036-1C004E50A5D7}"/>
    <cellStyle name="Total 3 2 9" xfId="19453" xr:uid="{F8813AAF-E8D3-43A3-AC15-CE0A17B5560B}"/>
    <cellStyle name="Total 3 3" xfId="11550" xr:uid="{0CF7F7C3-001C-4C86-A262-260FABE26CB0}"/>
    <cellStyle name="Total 30" xfId="5058" xr:uid="{ABD6ECE6-DCF7-4CA0-A9F2-FD17D3FEB784}"/>
    <cellStyle name="Total 30 2" xfId="5839" xr:uid="{067CF2DE-25C8-4043-8E69-932FEAE2D973}"/>
    <cellStyle name="Total 30 2 10" xfId="20207" xr:uid="{501E7315-A58A-4FD5-AF9F-21383826B3FF}"/>
    <cellStyle name="Total 30 2 11" xfId="20975" xr:uid="{7F74AF49-6021-411E-B52D-9A388C765B3D}"/>
    <cellStyle name="Total 30 2 12" xfId="21824" xr:uid="{1B6A9732-F215-4F76-A0F4-002740CC67A0}"/>
    <cellStyle name="Total 30 2 13" xfId="21100" xr:uid="{3BF41A5E-420A-4FA6-8AF2-043D01C9BDD6}"/>
    <cellStyle name="Total 30 2 14" xfId="23486" xr:uid="{C877ED61-6630-4560-90B3-CF758E363FC1}"/>
    <cellStyle name="Total 30 2 15" xfId="24285" xr:uid="{1DC42CD9-78D5-4DF0-99BF-8B5E0790EC53}"/>
    <cellStyle name="Total 30 2 16" xfId="25117" xr:uid="{113F9F1C-F716-4722-8C59-BCBC8101184A}"/>
    <cellStyle name="Total 30 2 17" xfId="24417" xr:uid="{627C1F95-379A-43DD-9325-0D19F042B7B7}"/>
    <cellStyle name="Total 30 2 18" xfId="26503" xr:uid="{3C8CA669-8177-4C8A-8587-2CA64647620F}"/>
    <cellStyle name="Total 30 2 19" xfId="26865" xr:uid="{61B8886F-5D09-41A0-A487-42729AF661F5}"/>
    <cellStyle name="Total 30 2 2" xfId="13561" xr:uid="{321F7F37-86CB-48CA-BA27-C6596DF2DF24}"/>
    <cellStyle name="Total 30 2 20" xfId="27555" xr:uid="{6CC82857-75B2-46FF-A20C-05F08A2DEB82}"/>
    <cellStyle name="Total 30 2 21" xfId="28105" xr:uid="{D8E20954-6018-4C4D-AEDC-3A494A9E353E}"/>
    <cellStyle name="Total 30 2 22" xfId="28833" xr:uid="{8FAE89FB-845B-4619-B90E-570E958F1A08}"/>
    <cellStyle name="Total 30 2 23" xfId="29476" xr:uid="{EF32241C-2E14-404C-900C-3AD03CB2B353}"/>
    <cellStyle name="Total 30 2 24" xfId="29121" xr:uid="{54FEEEA0-F8E6-45CA-A67A-57F5AD6FB05A}"/>
    <cellStyle name="Total 30 2 25" xfId="30105" xr:uid="{BB7B66B4-03E7-4471-A912-124BA76836C7}"/>
    <cellStyle name="Total 30 2 26" xfId="30409" xr:uid="{60A3CE70-33FD-40AC-87EB-B262A81241B1}"/>
    <cellStyle name="Total 30 2 27" xfId="30533" xr:uid="{99CCED3B-735D-402B-B3C0-41DFDD3220F2}"/>
    <cellStyle name="Total 30 2 28" xfId="30865" xr:uid="{D7294861-6352-481E-A659-756BA07FB686}"/>
    <cellStyle name="Total 30 2 29" xfId="31035" xr:uid="{7E22E84F-0F1E-4518-9ADE-3D8F5E0A4F04}"/>
    <cellStyle name="Total 30 2 3" xfId="14494" xr:uid="{571C651A-959C-42D8-B624-A692268E5290}"/>
    <cellStyle name="Total 30 2 30" xfId="31191" xr:uid="{1408FDC3-8199-4B1F-BDE5-C17A328AFFA9}"/>
    <cellStyle name="Total 30 2 31" xfId="31300" xr:uid="{D47E278B-45E3-407E-B814-903E65ED7DD6}"/>
    <cellStyle name="Total 30 2 32" xfId="6908" xr:uid="{F72B28CD-725C-4305-9FE7-FB97D1C4978F}"/>
    <cellStyle name="Total 30 2 4" xfId="15251" xr:uid="{780A9F47-3BD5-46AE-8D96-B3C11879DAD0}"/>
    <cellStyle name="Total 30 2 5" xfId="12868" xr:uid="{D2F4A662-2BDE-4DCD-939F-74BCDA522880}"/>
    <cellStyle name="Total 30 2 6" xfId="16894" xr:uid="{5F69065D-CCDB-4ECE-A395-9DD963C82C48}"/>
    <cellStyle name="Total 30 2 7" xfId="17759" xr:uid="{52281CAE-808B-4E05-BA62-67DCF33F535A}"/>
    <cellStyle name="Total 30 2 8" xfId="18607" xr:uid="{53A05979-4E3A-4668-AAEE-9D723FAE9795}"/>
    <cellStyle name="Total 30 2 9" xfId="19454" xr:uid="{FFA3057F-4AF2-400E-B112-2C8601E5294E}"/>
    <cellStyle name="Total 30 3" xfId="11551" xr:uid="{AA872C6C-5DF1-40D2-814C-DAC40462D9F8}"/>
    <cellStyle name="Total 31" xfId="5059" xr:uid="{0B5EF8AB-BB36-4976-BC07-4038FE9B1D87}"/>
    <cellStyle name="Total 31 2" xfId="5840" xr:uid="{664472F7-8D6D-4793-A321-5C9C2A3DC487}"/>
    <cellStyle name="Total 31 2 10" xfId="20208" xr:uid="{1C2D28DA-1083-4E66-BCC4-0F5A2FE0ABC0}"/>
    <cellStyle name="Total 31 2 11" xfId="20976" xr:uid="{127A717B-1B84-44B8-888D-385638095FC5}"/>
    <cellStyle name="Total 31 2 12" xfId="21825" xr:uid="{AEA9C8D8-F01C-4E00-B0EE-2E5BEB481E0E}"/>
    <cellStyle name="Total 31 2 13" xfId="21101" xr:uid="{37B5C01C-0593-409A-8331-761A5C6C29AA}"/>
    <cellStyle name="Total 31 2 14" xfId="23487" xr:uid="{F321C521-8046-445A-AC19-7D10B11ED6F2}"/>
    <cellStyle name="Total 31 2 15" xfId="24286" xr:uid="{4735F8EC-AAC4-45E1-B981-C786D63CD239}"/>
    <cellStyle name="Total 31 2 16" xfId="25118" xr:uid="{7AEC2547-4E2D-42E8-A630-7340BB9DB2C3}"/>
    <cellStyle name="Total 31 2 17" xfId="25144" xr:uid="{6F5F6E4D-2FBB-4A08-B09D-43785ACCB4E5}"/>
    <cellStyle name="Total 31 2 18" xfId="26504" xr:uid="{1340681D-08D2-4448-9392-F8EEAA7EBCF1}"/>
    <cellStyle name="Total 31 2 19" xfId="26866" xr:uid="{AE3875E2-CDDD-4C65-A36F-9C81D4F2048C}"/>
    <cellStyle name="Total 31 2 2" xfId="13562" xr:uid="{C5E951DB-DCF8-4A37-A8AA-7472DF447035}"/>
    <cellStyle name="Total 31 2 20" xfId="27556" xr:uid="{B613AFC0-2875-45F4-9BFC-ED7379078514}"/>
    <cellStyle name="Total 31 2 21" xfId="28106" xr:uid="{4D6C650F-C842-4607-A778-AF65A9B5231F}"/>
    <cellStyle name="Total 31 2 22" xfId="28834" xr:uid="{024CA65F-2BDD-42B2-9E18-F9725A8A2007}"/>
    <cellStyle name="Total 31 2 23" xfId="29477" xr:uid="{24FB17DE-A07D-4F18-B4F1-CE61350A0414}"/>
    <cellStyle name="Total 31 2 24" xfId="25233" xr:uid="{11D12D86-E690-42E1-AFBB-1A389EEB3F22}"/>
    <cellStyle name="Total 31 2 25" xfId="29730" xr:uid="{3DAC12DD-3E87-4CE4-BB6D-6FCFF6C7BD35}"/>
    <cellStyle name="Total 31 2 26" xfId="30410" xr:uid="{0E774F26-8DE3-4A3E-AE0C-97542EB98DB7}"/>
    <cellStyle name="Total 31 2 27" xfId="30534" xr:uid="{66BCED07-C154-42EE-9109-08EC29C70C9B}"/>
    <cellStyle name="Total 31 2 28" xfId="30866" xr:uid="{6FE77DA6-B1A8-41AB-8DFD-C649CCFA1D61}"/>
    <cellStyle name="Total 31 2 29" xfId="31036" xr:uid="{75148A88-56DE-4028-AED8-1E64C6228467}"/>
    <cellStyle name="Total 31 2 3" xfId="14495" xr:uid="{0A3B126C-2A11-49C2-96B9-1CE634663184}"/>
    <cellStyle name="Total 31 2 30" xfId="31192" xr:uid="{FA569F22-53EE-43D0-B0C0-A81DBC95B8D0}"/>
    <cellStyle name="Total 31 2 31" xfId="31301" xr:uid="{2B1D1A77-8B4A-4102-BCD3-A05AAD25B6F4}"/>
    <cellStyle name="Total 31 2 32" xfId="6909" xr:uid="{AA0E709E-D7CA-4A93-9926-2F579870169C}"/>
    <cellStyle name="Total 31 2 4" xfId="15252" xr:uid="{FDE48C39-8BBE-4DB6-AC4B-8FBF5A6F5173}"/>
    <cellStyle name="Total 31 2 5" xfId="13594" xr:uid="{258E794B-405C-4A5B-A7D3-3844CB54644B}"/>
    <cellStyle name="Total 31 2 6" xfId="16895" xr:uid="{33C90A57-CFFF-4EF2-8E0D-13B837861A5B}"/>
    <cellStyle name="Total 31 2 7" xfId="17760" xr:uid="{7BFC7BEA-FB45-46E6-9601-24276A411C18}"/>
    <cellStyle name="Total 31 2 8" xfId="18608" xr:uid="{BFCE0365-6C76-46B7-A166-0CD39C3820C0}"/>
    <cellStyle name="Total 31 2 9" xfId="19455" xr:uid="{25FC6598-AC68-477A-AF85-A133542C2698}"/>
    <cellStyle name="Total 31 3" xfId="11552" xr:uid="{F3A49FC5-929C-4EAD-9CC0-F668C9B22A3A}"/>
    <cellStyle name="Total 32" xfId="5060" xr:uid="{C15E9448-E168-4F8D-BF7E-2BE338B5A835}"/>
    <cellStyle name="Total 32 2" xfId="5841" xr:uid="{23CF4164-6E64-4E65-B43F-4A0F62098D05}"/>
    <cellStyle name="Total 32 2 10" xfId="20209" xr:uid="{4A38892C-90E9-4C18-890B-38BE611522F3}"/>
    <cellStyle name="Total 32 2 11" xfId="20977" xr:uid="{8F729E3B-6AD4-429F-90F2-05CAE12398D8}"/>
    <cellStyle name="Total 32 2 12" xfId="21826" xr:uid="{69857E21-6FF3-432E-A320-A9E4C4699C81}"/>
    <cellStyle name="Total 32 2 13" xfId="21103" xr:uid="{BBDC255D-5B75-42C5-86A4-5A70AEE04DA7}"/>
    <cellStyle name="Total 32 2 14" xfId="23488" xr:uid="{412DEF9B-0846-46BA-AF43-FFAFFFBD36A6}"/>
    <cellStyle name="Total 32 2 15" xfId="24287" xr:uid="{CB9B54F0-AB70-4746-AF83-5F6A4A1E12BE}"/>
    <cellStyle name="Total 32 2 16" xfId="25119" xr:uid="{7A4E789B-1ED5-4B17-8B3E-DBC1E288CFD4}"/>
    <cellStyle name="Total 32 2 17" xfId="24418" xr:uid="{84076F41-64BC-4ED5-A1BD-6BB816903A13}"/>
    <cellStyle name="Total 32 2 18" xfId="26505" xr:uid="{E66A96B8-9EEA-431C-B138-499A593F7478}"/>
    <cellStyle name="Total 32 2 19" xfId="26867" xr:uid="{2E0F33B3-C4C6-4012-A73A-542F0147EFD8}"/>
    <cellStyle name="Total 32 2 2" xfId="13563" xr:uid="{B75D3287-B9B6-4FE2-BF71-AEA46D7A757D}"/>
    <cellStyle name="Total 32 2 20" xfId="27557" xr:uid="{AE78AD3B-6FD6-4537-8EFE-321DDA0176F0}"/>
    <cellStyle name="Total 32 2 21" xfId="28107" xr:uid="{DBD59F4E-2982-48AF-BC7D-4B4E67A0C501}"/>
    <cellStyle name="Total 32 2 22" xfId="28835" xr:uid="{55F85398-23BC-4759-811A-51EC0685F682}"/>
    <cellStyle name="Total 32 2 23" xfId="29478" xr:uid="{0DDA6072-EBC2-4054-9FE0-4968F8844584}"/>
    <cellStyle name="Total 32 2 24" xfId="29120" xr:uid="{4E6EC332-F25E-4E9A-BDA4-C77765E69108}"/>
    <cellStyle name="Total 32 2 25" xfId="30106" xr:uid="{65A2BE06-44BB-47A2-A35C-70E858645A8E}"/>
    <cellStyle name="Total 32 2 26" xfId="30411" xr:uid="{AE824066-8954-4336-BB02-51FBC07D3CFA}"/>
    <cellStyle name="Total 32 2 27" xfId="30535" xr:uid="{3B235BF9-4F1F-459A-B094-C30ADB073BA9}"/>
    <cellStyle name="Total 32 2 28" xfId="30867" xr:uid="{CEE30D61-397C-46B4-8DC6-BF5E19958FF8}"/>
    <cellStyle name="Total 32 2 29" xfId="31037" xr:uid="{2E7C6B4F-5438-4A80-A95C-C00F8ABEF2BF}"/>
    <cellStyle name="Total 32 2 3" xfId="14496" xr:uid="{915D928A-0D9D-49A0-8270-EE40CFF8CB47}"/>
    <cellStyle name="Total 32 2 30" xfId="31193" xr:uid="{7EFE18FE-BEDC-401F-883D-9F8096A2AAAA}"/>
    <cellStyle name="Total 32 2 31" xfId="31302" xr:uid="{85E4958E-2FBD-46EA-8755-C6B701A9A9D8}"/>
    <cellStyle name="Total 32 2 32" xfId="6910" xr:uid="{3CD97146-9E96-4BDF-B9D1-D3299AAE5374}"/>
    <cellStyle name="Total 32 2 4" xfId="15253" xr:uid="{D6701CC7-15C7-42AD-A307-16BA2E98EA86}"/>
    <cellStyle name="Total 32 2 5" xfId="12869" xr:uid="{0271F047-D576-41AC-89EA-D45A8A7AB37C}"/>
    <cellStyle name="Total 32 2 6" xfId="16896" xr:uid="{C7FFBBEF-B0B6-421E-A782-A84574FB7586}"/>
    <cellStyle name="Total 32 2 7" xfId="17761" xr:uid="{4581731C-AF8C-4E21-AC30-EBAF9D83AD33}"/>
    <cellStyle name="Total 32 2 8" xfId="18609" xr:uid="{82C7A8A6-AF41-4576-A6D2-012D180A1045}"/>
    <cellStyle name="Total 32 2 9" xfId="19456" xr:uid="{CBA7E910-932A-4111-A4AC-08D50B6CCB1E}"/>
    <cellStyle name="Total 32 3" xfId="11553" xr:uid="{9901DA32-8186-4C08-BBF2-7DB1D450FCD5}"/>
    <cellStyle name="Total 33" xfId="5061" xr:uid="{76081DD0-80F6-444A-9859-5B6D08900012}"/>
    <cellStyle name="Total 33 2" xfId="5842" xr:uid="{D2FE8264-1773-4C4B-8BA4-249BE784D818}"/>
    <cellStyle name="Total 33 2 10" xfId="20210" xr:uid="{F24FFB2B-9BA6-49B7-8A15-5DCF5BB5F523}"/>
    <cellStyle name="Total 33 2 11" xfId="20978" xr:uid="{B555C1F5-B421-48FD-A586-545CFA462302}"/>
    <cellStyle name="Total 33 2 12" xfId="21827" xr:uid="{904D1076-9ACC-4DD0-8D8B-BA8EFD02F603}"/>
    <cellStyle name="Total 33 2 13" xfId="21846" xr:uid="{B2C13EBE-EED2-4C0F-BFC4-CECEED8E4D2B}"/>
    <cellStyle name="Total 33 2 14" xfId="23489" xr:uid="{2D55AAB7-6AE6-486C-8287-A900E834EB8F}"/>
    <cellStyle name="Total 33 2 15" xfId="24288" xr:uid="{8800F350-9C94-4AA6-9382-218268B240DB}"/>
    <cellStyle name="Total 33 2 16" xfId="25120" xr:uid="{DA790639-5B5C-48A0-8AF5-B15C0EC90E34}"/>
    <cellStyle name="Total 33 2 17" xfId="25145" xr:uid="{7A96A855-291D-4728-9476-E6CECA546D0C}"/>
    <cellStyle name="Total 33 2 18" xfId="26506" xr:uid="{4BDC8A94-BB50-4F5F-B837-16493E21714A}"/>
    <cellStyle name="Total 33 2 19" xfId="26868" xr:uid="{7B2F18A7-DEB0-4DC8-9BEF-264C5E1B2F3D}"/>
    <cellStyle name="Total 33 2 2" xfId="13564" xr:uid="{FD33E0CD-4479-4105-B21E-D13BDF77814A}"/>
    <cellStyle name="Total 33 2 20" xfId="27558" xr:uid="{670F1EB0-224B-4D11-98F0-5E75FA34CDD1}"/>
    <cellStyle name="Total 33 2 21" xfId="28108" xr:uid="{F888DD2C-2AFB-4BEF-AE26-EBC67310E42F}"/>
    <cellStyle name="Total 33 2 22" xfId="28836" xr:uid="{207C32DA-E5D2-4F71-8DAC-3DF0474A2970}"/>
    <cellStyle name="Total 33 2 23" xfId="29479" xr:uid="{5CA5BB04-D404-479C-88FC-3B274B5BDEB5}"/>
    <cellStyle name="Total 33 2 24" xfId="27649" xr:uid="{798F323B-8B4F-45A4-A52F-FEAF54CE8AAE}"/>
    <cellStyle name="Total 33 2 25" xfId="29731" xr:uid="{8AFB70B4-FA6B-4C52-A233-B36D56364861}"/>
    <cellStyle name="Total 33 2 26" xfId="30412" xr:uid="{A77B07FB-1D0C-458C-9CC3-48403A1FA8CB}"/>
    <cellStyle name="Total 33 2 27" xfId="30536" xr:uid="{A8969674-51A9-4706-BBF9-A587F82E631D}"/>
    <cellStyle name="Total 33 2 28" xfId="30868" xr:uid="{709518E3-21E1-42A9-BC16-E4F77CE0B0D7}"/>
    <cellStyle name="Total 33 2 29" xfId="31038" xr:uid="{230E3A34-36FB-4883-878E-7171CD25190A}"/>
    <cellStyle name="Total 33 2 3" xfId="14497" xr:uid="{E51883A1-59C8-4707-9C2A-850762DBD850}"/>
    <cellStyle name="Total 33 2 30" xfId="31194" xr:uid="{52051DCD-038D-497A-8103-BD9D39EA679D}"/>
    <cellStyle name="Total 33 2 31" xfId="31303" xr:uid="{76DC9020-C4B8-4C19-9CDB-21B026C62DC4}"/>
    <cellStyle name="Total 33 2 32" xfId="6911" xr:uid="{24DF6F1E-6F60-433C-8C8D-ACAA52A8CE73}"/>
    <cellStyle name="Total 33 2 4" xfId="15254" xr:uid="{3F89AA05-13BC-41A1-9FBA-42F41069D97E}"/>
    <cellStyle name="Total 33 2 5" xfId="15266" xr:uid="{7CC6091F-A06B-416C-8E45-0AC4FC891EDD}"/>
    <cellStyle name="Total 33 2 6" xfId="16897" xr:uid="{5CEF08D7-68AA-48ED-ADB4-FE3FE88FE81A}"/>
    <cellStyle name="Total 33 2 7" xfId="17762" xr:uid="{15577C7A-F634-4D6C-ACC4-25A346C04183}"/>
    <cellStyle name="Total 33 2 8" xfId="18610" xr:uid="{C2948403-DB5A-4A8D-92ED-8223025F5EDF}"/>
    <cellStyle name="Total 33 2 9" xfId="19457" xr:uid="{6BBC587F-1A86-454D-8587-14D651C831DD}"/>
    <cellStyle name="Total 33 3" xfId="11554" xr:uid="{AD86FA98-8A17-43E1-ABED-ED8EFDAB267E}"/>
    <cellStyle name="Total 34" xfId="5062" xr:uid="{8AE94888-4423-4C8B-94AC-D024F2F6B8C5}"/>
    <cellStyle name="Total 34 2" xfId="5843" xr:uid="{FE1848A5-6CA9-4F29-9BEC-7D9A6B02DDFB}"/>
    <cellStyle name="Total 34 2 10" xfId="20211" xr:uid="{969F3354-C5C0-4576-BB13-AA7E9B3DA738}"/>
    <cellStyle name="Total 34 2 11" xfId="20979" xr:uid="{FD41FD9C-4AE6-41CC-898E-D1AC693325E6}"/>
    <cellStyle name="Total 34 2 12" xfId="21828" xr:uid="{E1B5D76E-485F-4FA8-9F4D-EA58962B495D}"/>
    <cellStyle name="Total 34 2 13" xfId="21104" xr:uid="{3DDD8599-4997-4366-B12A-461A36A06FE1}"/>
    <cellStyle name="Total 34 2 14" xfId="23490" xr:uid="{527DC10E-52E7-447C-BEB9-EB63477C4269}"/>
    <cellStyle name="Total 34 2 15" xfId="24289" xr:uid="{E05B521D-C4D7-4F5A-9653-E47EC2830318}"/>
    <cellStyle name="Total 34 2 16" xfId="25121" xr:uid="{2AECD14F-5627-4C72-8AD0-B6AC442B074C}"/>
    <cellStyle name="Total 34 2 17" xfId="24419" xr:uid="{8E6E7D39-E650-49AB-9527-7501E550FB19}"/>
    <cellStyle name="Total 34 2 18" xfId="26507" xr:uid="{709F3CCF-FA88-44C7-B1DB-00AEE508BD51}"/>
    <cellStyle name="Total 34 2 19" xfId="26869" xr:uid="{EDBEC25B-6B7B-4DB0-AE03-C511842BCEAD}"/>
    <cellStyle name="Total 34 2 2" xfId="13565" xr:uid="{6099897A-B95A-488D-BFF3-53A0E7A2474F}"/>
    <cellStyle name="Total 34 2 20" xfId="27559" xr:uid="{874F26C2-507A-4E4A-98AA-B8FE0C8748E9}"/>
    <cellStyle name="Total 34 2 21" xfId="28109" xr:uid="{CA799CB7-BFE8-4A18-95D1-E95D08FE9136}"/>
    <cellStyle name="Total 34 2 22" xfId="28837" xr:uid="{5A218563-C2AB-4F0D-9DD9-226FA983138D}"/>
    <cellStyle name="Total 34 2 23" xfId="29480" xr:uid="{0FA1C3C1-EFD7-4701-BAD5-3E5A8BEADB85}"/>
    <cellStyle name="Total 34 2 24" xfId="29119" xr:uid="{AECF3679-7D19-4A49-A699-FAF66E94596E}"/>
    <cellStyle name="Total 34 2 25" xfId="30107" xr:uid="{71F8029F-4A69-4EA5-8C36-842B6A1CD66C}"/>
    <cellStyle name="Total 34 2 26" xfId="30413" xr:uid="{997A9F48-2910-4932-879B-524ECCA14289}"/>
    <cellStyle name="Total 34 2 27" xfId="30537" xr:uid="{C0A3701C-1BD8-4442-AC01-B4E0C8953525}"/>
    <cellStyle name="Total 34 2 28" xfId="30869" xr:uid="{D539B5B9-B629-41BE-9FD0-D187E403FF56}"/>
    <cellStyle name="Total 34 2 29" xfId="31039" xr:uid="{C3FB8751-B6B5-4509-AFFF-65FD1AA069EA}"/>
    <cellStyle name="Total 34 2 3" xfId="14498" xr:uid="{291E6083-643E-442A-953E-5EEAE4766866}"/>
    <cellStyle name="Total 34 2 30" xfId="31195" xr:uid="{94796228-E44C-4492-BAC7-AB72A60BAD96}"/>
    <cellStyle name="Total 34 2 31" xfId="31304" xr:uid="{83FCD9B0-0C85-4F19-89FD-D04ED12968F5}"/>
    <cellStyle name="Total 34 2 32" xfId="6912" xr:uid="{5BD35FCC-E856-4442-B832-79DA00B381F4}"/>
    <cellStyle name="Total 34 2 4" xfId="15255" xr:uid="{49DB8872-DAED-4BA0-8DFD-115E55DD3D2D}"/>
    <cellStyle name="Total 34 2 5" xfId="12843" xr:uid="{84DE4A36-6B5E-41FF-9E28-FA432F5AE415}"/>
    <cellStyle name="Total 34 2 6" xfId="16898" xr:uid="{154F0C17-B0C7-4E2F-BF8E-682ED2648371}"/>
    <cellStyle name="Total 34 2 7" xfId="17763" xr:uid="{DAD2E1C3-FA44-451D-8772-00F070D0A030}"/>
    <cellStyle name="Total 34 2 8" xfId="18611" xr:uid="{AE97643A-FE9F-418D-B20B-2DA8D1DB4448}"/>
    <cellStyle name="Total 34 2 9" xfId="19458" xr:uid="{CDFCD5C4-405E-48F8-B08D-AC42947428A0}"/>
    <cellStyle name="Total 34 3" xfId="11555" xr:uid="{FF1FACF9-A295-4BD9-9602-3B9F8BABD01D}"/>
    <cellStyle name="Total 35" xfId="5063" xr:uid="{FC4A6A06-926A-41E1-9F09-9DF078080467}"/>
    <cellStyle name="Total 35 2" xfId="5844" xr:uid="{DAF4537E-2A69-4176-9825-3439267A1F20}"/>
    <cellStyle name="Total 35 2 10" xfId="20212" xr:uid="{9BE3052D-6407-4B8E-94CB-377B9D949FEF}"/>
    <cellStyle name="Total 35 2 11" xfId="20980" xr:uid="{54983337-FEE0-4F6E-8257-8498E70F00AB}"/>
    <cellStyle name="Total 35 2 12" xfId="21829" xr:uid="{7E890DE0-A960-4F5D-A6A3-5C1EF11A7ECF}"/>
    <cellStyle name="Total 35 2 13" xfId="21847" xr:uid="{2DD99D42-72F8-4E13-8897-285B4CE6008E}"/>
    <cellStyle name="Total 35 2 14" xfId="23491" xr:uid="{70CE86D5-8FC4-400F-8E1D-ABAB202A2AA4}"/>
    <cellStyle name="Total 35 2 15" xfId="24290" xr:uid="{70901740-E100-439C-8C90-9B5C24A18A12}"/>
    <cellStyle name="Total 35 2 16" xfId="25122" xr:uid="{02CEC889-85F9-4514-A439-987F5964C52E}"/>
    <cellStyle name="Total 35 2 17" xfId="25146" xr:uid="{61531849-1B1A-4BE5-9B06-825D2AD2EF64}"/>
    <cellStyle name="Total 35 2 18" xfId="26508" xr:uid="{E90DFECA-4DF7-4CE4-BC08-90BA134B29CF}"/>
    <cellStyle name="Total 35 2 19" xfId="26870" xr:uid="{EDDD49AC-6DC4-4D0E-91B1-BF951B072DFE}"/>
    <cellStyle name="Total 35 2 2" xfId="13566" xr:uid="{28B03097-A9EF-4815-99F8-9B7A0A9A5BD6}"/>
    <cellStyle name="Total 35 2 20" xfId="27560" xr:uid="{E1C446DD-C322-446A-8A72-8F0820FD3D4D}"/>
    <cellStyle name="Total 35 2 21" xfId="28110" xr:uid="{DCD6CD12-D766-40FA-9BA1-1BE99860BD68}"/>
    <cellStyle name="Total 35 2 22" xfId="28838" xr:uid="{85C022A7-CC66-4D49-9CA9-79040FCBE11C}"/>
    <cellStyle name="Total 35 2 23" xfId="29481" xr:uid="{BB05CA11-93EA-4691-972E-E7C146409926}"/>
    <cellStyle name="Total 35 2 24" xfId="25879" xr:uid="{618595A2-9312-46B1-8732-14FBEF751AAB}"/>
    <cellStyle name="Total 35 2 25" xfId="29732" xr:uid="{0379A7B5-A00C-4C4C-B9E5-2A27E909651A}"/>
    <cellStyle name="Total 35 2 26" xfId="30414" xr:uid="{D10FC7C5-72BE-4F64-A441-D06A095F6501}"/>
    <cellStyle name="Total 35 2 27" xfId="30538" xr:uid="{4D47ECE0-C770-423B-8FBD-503A8F30D220}"/>
    <cellStyle name="Total 35 2 28" xfId="30870" xr:uid="{1A9B66C6-EF02-4AE9-B6E8-903B61D413A3}"/>
    <cellStyle name="Total 35 2 29" xfId="31040" xr:uid="{6AD25BE1-EA6B-4089-90A5-F6883309208F}"/>
    <cellStyle name="Total 35 2 3" xfId="14499" xr:uid="{9458D384-9671-4A87-A180-ABE1BCB67061}"/>
    <cellStyle name="Total 35 2 30" xfId="31196" xr:uid="{052BD98A-E376-495B-A0DA-9F72DA0A456B}"/>
    <cellStyle name="Total 35 2 31" xfId="31305" xr:uid="{36E38378-A5CF-49DE-A4E4-24D0A4148BBB}"/>
    <cellStyle name="Total 35 2 32" xfId="6913" xr:uid="{AA5DB68E-9FA7-45CF-B5E4-2E588664EA28}"/>
    <cellStyle name="Total 35 2 4" xfId="15256" xr:uid="{916C64B5-E816-4C0F-9B6E-04A6392F6FFB}"/>
    <cellStyle name="Total 35 2 5" xfId="13595" xr:uid="{CC0EC374-8FD6-4E0B-BD74-7F651D57C478}"/>
    <cellStyle name="Total 35 2 6" xfId="16899" xr:uid="{456A62A7-7356-41C2-A113-4DEC824BFFE9}"/>
    <cellStyle name="Total 35 2 7" xfId="17764" xr:uid="{6C9C5A5C-EE10-4649-BB31-A52CA7ABF73C}"/>
    <cellStyle name="Total 35 2 8" xfId="18612" xr:uid="{A08178C5-A2FD-4B11-ADA5-8304EB506956}"/>
    <cellStyle name="Total 35 2 9" xfId="19459" xr:uid="{9467EC4D-7312-4707-8459-5CEE25B560A9}"/>
    <cellStyle name="Total 35 3" xfId="11556" xr:uid="{9243EEF8-243F-4D40-BB03-F3DEF4957EA9}"/>
    <cellStyle name="Total 36" xfId="5064" xr:uid="{1B77377B-F186-44E0-BBCD-EA5C4F6A2B75}"/>
    <cellStyle name="Total 36 2" xfId="5845" xr:uid="{154B3D42-1EE3-441E-9D71-E3E841564496}"/>
    <cellStyle name="Total 36 2 10" xfId="20213" xr:uid="{91E2E775-6879-4DC8-AE8C-A97A6E2B8BF3}"/>
    <cellStyle name="Total 36 2 11" xfId="20981" xr:uid="{79DCEC66-5FA8-4F2C-9489-E6B6F98EB1F8}"/>
    <cellStyle name="Total 36 2 12" xfId="21830" xr:uid="{A11CAA30-87EC-407F-BE4B-346EEADE54DC}"/>
    <cellStyle name="Total 36 2 13" xfId="21105" xr:uid="{9E789E54-4D63-484B-82C3-21A9B7BEA4C8}"/>
    <cellStyle name="Total 36 2 14" xfId="23492" xr:uid="{EA030889-F894-49F4-9BC9-714AC12EF8BD}"/>
    <cellStyle name="Total 36 2 15" xfId="24291" xr:uid="{2AB1A171-A0BD-4D3E-A8B4-AF9E256BB607}"/>
    <cellStyle name="Total 36 2 16" xfId="25123" xr:uid="{B9458F42-973C-41CE-8D70-AEF1AE8D8CD6}"/>
    <cellStyle name="Total 36 2 17" xfId="24420" xr:uid="{B1C3756A-255E-4153-B22B-98DDF5CAC38F}"/>
    <cellStyle name="Total 36 2 18" xfId="26509" xr:uid="{FE38EDB5-046E-4A03-8505-CB0F9D6F466D}"/>
    <cellStyle name="Total 36 2 19" xfId="26871" xr:uid="{91D30339-A46D-49EE-BDC6-03F3896BDA98}"/>
    <cellStyle name="Total 36 2 2" xfId="13567" xr:uid="{CC778224-5D68-4D18-983B-88203AA67C13}"/>
    <cellStyle name="Total 36 2 20" xfId="27561" xr:uid="{FDA59875-FD9C-484C-8B14-E798EB1285BD}"/>
    <cellStyle name="Total 36 2 21" xfId="28111" xr:uid="{4F65FE48-47DE-432E-AAF8-049340FFF90F}"/>
    <cellStyle name="Total 36 2 22" xfId="28839" xr:uid="{7177C95C-EF57-4457-AE50-BDA993EA8D73}"/>
    <cellStyle name="Total 36 2 23" xfId="29482" xr:uid="{8AF725FA-8B90-44EE-89C9-055EF39DDFB7}"/>
    <cellStyle name="Total 36 2 24" xfId="29118" xr:uid="{3FAAD8F1-A5FD-4BF8-837E-7F16FB8F60D3}"/>
    <cellStyle name="Total 36 2 25" xfId="30108" xr:uid="{7CE73E3A-1C4C-47C7-922F-412398124366}"/>
    <cellStyle name="Total 36 2 26" xfId="30415" xr:uid="{022632BB-F4B7-44CB-8C2E-9CB50F3A2D46}"/>
    <cellStyle name="Total 36 2 27" xfId="30539" xr:uid="{4AD71F36-9378-4DD2-927B-54BC76D3A6A2}"/>
    <cellStyle name="Total 36 2 28" xfId="30871" xr:uid="{3B266D49-87C4-411B-8A2D-F227F4DFE0B7}"/>
    <cellStyle name="Total 36 2 29" xfId="31041" xr:uid="{E688930C-193C-4592-A33F-279950AB8F8F}"/>
    <cellStyle name="Total 36 2 3" xfId="14500" xr:uid="{1EF31D02-96B6-471F-8D95-E90D55206196}"/>
    <cellStyle name="Total 36 2 30" xfId="31197" xr:uid="{50103065-0837-4973-A9B6-5C65ABC017BD}"/>
    <cellStyle name="Total 36 2 31" xfId="31306" xr:uid="{D4166A37-3445-43D2-AA07-E4A983270844}"/>
    <cellStyle name="Total 36 2 32" xfId="6914" xr:uid="{DDF001C6-147D-4C4E-AB87-B71C39EA8469}"/>
    <cellStyle name="Total 36 2 4" xfId="15257" xr:uid="{2BA87771-7873-4574-BD5A-DC0B1D6AE7DA}"/>
    <cellStyle name="Total 36 2 5" xfId="12870" xr:uid="{4C52816D-36BB-4587-8BE5-D60B22E1A6E5}"/>
    <cellStyle name="Total 36 2 6" xfId="16900" xr:uid="{7DD7B969-B358-4AB2-8607-5F6612A4E68F}"/>
    <cellStyle name="Total 36 2 7" xfId="17765" xr:uid="{D8CA892B-C37B-454D-8905-F7C7FB8B90B9}"/>
    <cellStyle name="Total 36 2 8" xfId="18613" xr:uid="{910FB84A-C8CF-49CE-8591-FE0612F01EA3}"/>
    <cellStyle name="Total 36 2 9" xfId="19460" xr:uid="{6624E6AC-B7EA-4397-9434-0262ED9C1CE0}"/>
    <cellStyle name="Total 36 3" xfId="11557" xr:uid="{B0330E7C-4E2D-482C-AB49-0FF4EEF6D5CF}"/>
    <cellStyle name="Total 37" xfId="5065" xr:uid="{96A24E57-0F59-4680-B666-C6E2A4978A01}"/>
    <cellStyle name="Total 37 2" xfId="5846" xr:uid="{E69CC569-3AB4-4514-BA5F-C22FEB0ABADD}"/>
    <cellStyle name="Total 37 2 10" xfId="20214" xr:uid="{E4E1EC25-394E-40CD-85CA-C9ECF15F0A1E}"/>
    <cellStyle name="Total 37 2 11" xfId="20982" xr:uid="{5ED5F325-A083-4022-B702-C1C758763618}"/>
    <cellStyle name="Total 37 2 12" xfId="21831" xr:uid="{F641603C-3A6F-46A1-A963-5833AB767F22}"/>
    <cellStyle name="Total 37 2 13" xfId="21848" xr:uid="{C8087F59-CC07-4034-9A3E-5FB39A5C4455}"/>
    <cellStyle name="Total 37 2 14" xfId="23493" xr:uid="{1C7E7B2F-27AC-456A-880F-89CD63F58884}"/>
    <cellStyle name="Total 37 2 15" xfId="24292" xr:uid="{0A340086-9990-4961-9075-DDF84483574B}"/>
    <cellStyle name="Total 37 2 16" xfId="25124" xr:uid="{4D9E33DB-F92F-4C1E-897C-17823C94D53C}"/>
    <cellStyle name="Total 37 2 17" xfId="25147" xr:uid="{334438CC-B2DB-459A-AB4A-2D7063D01474}"/>
    <cellStyle name="Total 37 2 18" xfId="26510" xr:uid="{BDAE74D4-AA37-44C6-BA83-C17FDD0A09E6}"/>
    <cellStyle name="Total 37 2 19" xfId="26872" xr:uid="{F7A3C8FB-AA67-459D-A270-B9C6CAB94654}"/>
    <cellStyle name="Total 37 2 2" xfId="13568" xr:uid="{1544A1E8-7D0D-479F-BC6C-BAD26B107029}"/>
    <cellStyle name="Total 37 2 20" xfId="27562" xr:uid="{E60E6D27-5027-44D3-8C2C-4019F735FCA6}"/>
    <cellStyle name="Total 37 2 21" xfId="28112" xr:uid="{04C927C9-1601-4244-A568-ABEEB0718E83}"/>
    <cellStyle name="Total 37 2 22" xfId="28840" xr:uid="{214A9607-756F-48FE-A244-E3710639DDA7}"/>
    <cellStyle name="Total 37 2 23" xfId="29483" xr:uid="{C6FD5293-262C-437A-BF9D-261523048F07}"/>
    <cellStyle name="Total 37 2 24" xfId="27648" xr:uid="{E57A53C9-C651-4A0F-813E-5B449E731714}"/>
    <cellStyle name="Total 37 2 25" xfId="29733" xr:uid="{03C0D9BF-78DC-4231-BCAC-C6195825BD09}"/>
    <cellStyle name="Total 37 2 26" xfId="30416" xr:uid="{49497CF5-22CB-458D-BD42-2DFF5A91106F}"/>
    <cellStyle name="Total 37 2 27" xfId="30540" xr:uid="{DBA34BD7-96EA-4FC5-9E9A-C3069547FC51}"/>
    <cellStyle name="Total 37 2 28" xfId="30872" xr:uid="{60BAAE46-14FD-493A-9FFF-7C5FD9A83F63}"/>
    <cellStyle name="Total 37 2 29" xfId="31042" xr:uid="{466BA949-F110-473F-BF20-A95FBFAB6BD9}"/>
    <cellStyle name="Total 37 2 3" xfId="14501" xr:uid="{BDCBD2D6-E153-4D9F-B62F-C5A74425DAD6}"/>
    <cellStyle name="Total 37 2 30" xfId="31198" xr:uid="{08DCDA80-1E82-4487-8BD1-68E79085181B}"/>
    <cellStyle name="Total 37 2 31" xfId="31307" xr:uid="{7A93E685-14D5-4C13-A5F2-6E08DDCA1EC2}"/>
    <cellStyle name="Total 37 2 32" xfId="6915" xr:uid="{2F9A5476-9D93-4BB4-A55D-18A3941C39BD}"/>
    <cellStyle name="Total 37 2 4" xfId="15258" xr:uid="{F5862013-320E-4C03-BF05-72A1A91D9A28}"/>
    <cellStyle name="Total 37 2 5" xfId="13596" xr:uid="{4750FCE8-FE8E-442A-B355-B99438E41D60}"/>
    <cellStyle name="Total 37 2 6" xfId="16901" xr:uid="{F6CDCF3C-D52B-4D1D-AE04-98F9B588B8B0}"/>
    <cellStyle name="Total 37 2 7" xfId="17766" xr:uid="{B2AA78E3-C0A4-4ED7-B137-33A9586B6AB1}"/>
    <cellStyle name="Total 37 2 8" xfId="18614" xr:uid="{87FCA8D8-8EE4-46EC-900F-BBA281B37F1C}"/>
    <cellStyle name="Total 37 2 9" xfId="19461" xr:uid="{79146AA8-8DE3-4BB0-8475-B52A0343023D}"/>
    <cellStyle name="Total 37 3" xfId="11558" xr:uid="{B8DFEEF2-8073-43F2-BDE2-815F0E408C47}"/>
    <cellStyle name="Total 38" xfId="5066" xr:uid="{3561E60E-1525-4DB1-B10E-2BEEEC86D7F9}"/>
    <cellStyle name="Total 38 2" xfId="5847" xr:uid="{07350C6C-28EB-4E3F-91A8-856700105105}"/>
    <cellStyle name="Total 38 2 10" xfId="20215" xr:uid="{602120F0-9BC3-4725-A526-524EED966193}"/>
    <cellStyle name="Total 38 2 11" xfId="20983" xr:uid="{23FB1725-38B1-484D-8314-0E45C22CB09A}"/>
    <cellStyle name="Total 38 2 12" xfId="21832" xr:uid="{EA4221C4-5301-4243-9FAB-2406801DA9C9}"/>
    <cellStyle name="Total 38 2 13" xfId="21106" xr:uid="{5CE448EA-267C-44E1-B418-CE4946B09C24}"/>
    <cellStyle name="Total 38 2 14" xfId="23494" xr:uid="{076E10A3-E5D7-4B82-B25D-8633F032E15F}"/>
    <cellStyle name="Total 38 2 15" xfId="24293" xr:uid="{A1CE3B3E-096B-42FA-B16E-4EE820A9F7E5}"/>
    <cellStyle name="Total 38 2 16" xfId="25125" xr:uid="{23EE12E3-026E-449E-A65A-C16DE771128B}"/>
    <cellStyle name="Total 38 2 17" xfId="24421" xr:uid="{690C6E6E-18E5-49F6-A22A-2D424427EFF4}"/>
    <cellStyle name="Total 38 2 18" xfId="26511" xr:uid="{56289230-D055-4868-B534-1AE733F6560F}"/>
    <cellStyle name="Total 38 2 19" xfId="26873" xr:uid="{055E66B8-98AA-4D4C-878F-66DB4FEB6B12}"/>
    <cellStyle name="Total 38 2 2" xfId="13569" xr:uid="{14AA3CF7-44CC-46E1-8CE3-BC1279BAC993}"/>
    <cellStyle name="Total 38 2 20" xfId="27563" xr:uid="{F1096DEE-17AA-4389-B2EA-9639FD6483A5}"/>
    <cellStyle name="Total 38 2 21" xfId="28113" xr:uid="{4C0DC185-6E05-4872-9D26-F671737F7DBD}"/>
    <cellStyle name="Total 38 2 22" xfId="28841" xr:uid="{DE20338B-B54E-4A12-9782-93EA9845E129}"/>
    <cellStyle name="Total 38 2 23" xfId="29484" xr:uid="{30424034-046B-4DD3-B3E3-4A6AD8AC6FB9}"/>
    <cellStyle name="Total 38 2 24" xfId="25880" xr:uid="{70F3AF07-6157-4FA7-9186-5B99E2C7B133}"/>
    <cellStyle name="Total 38 2 25" xfId="30109" xr:uid="{F5F14B45-6290-4712-A18F-788F864C2669}"/>
    <cellStyle name="Total 38 2 26" xfId="30417" xr:uid="{592C3350-D4CD-4055-8D65-B7760A8F7994}"/>
    <cellStyle name="Total 38 2 27" xfId="30541" xr:uid="{97BD9BCC-F76B-4DD7-B6D2-2B80656C3D73}"/>
    <cellStyle name="Total 38 2 28" xfId="30873" xr:uid="{2F5394BE-04D4-4B2A-8944-97B040E5F683}"/>
    <cellStyle name="Total 38 2 29" xfId="31043" xr:uid="{038EC9F3-748A-417D-B38B-C37546126006}"/>
    <cellStyle name="Total 38 2 3" xfId="14502" xr:uid="{260D30B3-E4B6-4750-AC59-15AA4EE085FC}"/>
    <cellStyle name="Total 38 2 30" xfId="31199" xr:uid="{61CA9793-7487-4CE4-8153-D5B757533A64}"/>
    <cellStyle name="Total 38 2 31" xfId="31308" xr:uid="{DCECBFD1-1443-4208-B791-5506BFDE7192}"/>
    <cellStyle name="Total 38 2 32" xfId="6916" xr:uid="{55FF82F4-2732-4A95-871A-F753B1C9AD7B}"/>
    <cellStyle name="Total 38 2 4" xfId="15259" xr:uid="{1291E135-549D-4672-9915-88C036495841}"/>
    <cellStyle name="Total 38 2 5" xfId="12871" xr:uid="{451FCA48-D9C6-4CAB-A048-D3392ABA37FA}"/>
    <cellStyle name="Total 38 2 6" xfId="16902" xr:uid="{270BD1C0-2B7D-4082-8A42-50EC98DA84AB}"/>
    <cellStyle name="Total 38 2 7" xfId="17767" xr:uid="{5C7E0256-4F96-4E50-8BA4-1AD62A708A29}"/>
    <cellStyle name="Total 38 2 8" xfId="18615" xr:uid="{94656555-F908-40BC-949F-C017B9286C42}"/>
    <cellStyle name="Total 38 2 9" xfId="19462" xr:uid="{D29A40B8-4CC4-4B35-BF6B-BDB435FF4160}"/>
    <cellStyle name="Total 38 3" xfId="11559" xr:uid="{EC4F26B5-F631-4F1C-950F-1656CD116222}"/>
    <cellStyle name="Total 39" xfId="5067" xr:uid="{4967CDB5-1C31-4CC7-91F1-F494C8AF2782}"/>
    <cellStyle name="Total 39 2" xfId="5848" xr:uid="{A9DC7285-6628-4F90-B8B6-12DAAC5C43B5}"/>
    <cellStyle name="Total 39 2 10" xfId="20216" xr:uid="{8809B99C-E539-420A-A24E-DD2647CE8FB8}"/>
    <cellStyle name="Total 39 2 11" xfId="20984" xr:uid="{F6BAE221-BC5D-4C85-B354-0F6C39BBB6DE}"/>
    <cellStyle name="Total 39 2 12" xfId="21833" xr:uid="{E1AEC561-31C2-49F3-9D90-EE93E5EE33BC}"/>
    <cellStyle name="Total 39 2 13" xfId="21849" xr:uid="{F9F87AE1-0E90-4B62-931B-6F83B0D2314B}"/>
    <cellStyle name="Total 39 2 14" xfId="23495" xr:uid="{819BDE29-300B-4148-85EA-CB1AAE6DB7E9}"/>
    <cellStyle name="Total 39 2 15" xfId="24294" xr:uid="{B9B8CC41-C5B7-4220-9FBD-24AF4D68FB89}"/>
    <cellStyle name="Total 39 2 16" xfId="25126" xr:uid="{14702AE8-3F5E-4D8D-8D88-0DCA85B51485}"/>
    <cellStyle name="Total 39 2 17" xfId="25148" xr:uid="{8B17E91E-03D0-4F66-B96C-730974EE86E7}"/>
    <cellStyle name="Total 39 2 18" xfId="26512" xr:uid="{98B896F8-468F-4DD7-B087-392D799CE2B5}"/>
    <cellStyle name="Total 39 2 19" xfId="26874" xr:uid="{24577460-D091-48F1-8D2A-47A7CF0B6B66}"/>
    <cellStyle name="Total 39 2 2" xfId="13570" xr:uid="{3729105F-8234-4C34-B9D3-9B4733D7E9B8}"/>
    <cellStyle name="Total 39 2 20" xfId="27564" xr:uid="{E8E49F46-2168-4ED6-BEDE-9B5B220C4512}"/>
    <cellStyle name="Total 39 2 21" xfId="28114" xr:uid="{3B21888A-8E77-455E-A705-FBC7673E8401}"/>
    <cellStyle name="Total 39 2 22" xfId="28842" xr:uid="{C944E9B9-38BD-4C04-B7A8-7B7A0AC236D5}"/>
    <cellStyle name="Total 39 2 23" xfId="29485" xr:uid="{6294EBE3-17B0-4152-9FA6-C5CA2BD7EA83}"/>
    <cellStyle name="Total 39 2 24" xfId="28766" xr:uid="{9B23CC4B-432F-4589-9902-E381851F9EA0}"/>
    <cellStyle name="Total 39 2 25" xfId="29734" xr:uid="{9AC6EE8F-319F-40FA-BDAA-9CD001C81392}"/>
    <cellStyle name="Total 39 2 26" xfId="30418" xr:uid="{1482892B-05C8-408A-ADE2-3082F9C815FD}"/>
    <cellStyle name="Total 39 2 27" xfId="30542" xr:uid="{EA871755-4FAF-439D-884B-FB9853C76B2D}"/>
    <cellStyle name="Total 39 2 28" xfId="30874" xr:uid="{DD6073BC-6426-45E8-8718-B0D3F349BC75}"/>
    <cellStyle name="Total 39 2 29" xfId="31044" xr:uid="{9DB69743-63ED-48CA-A952-917F4942AB2E}"/>
    <cellStyle name="Total 39 2 3" xfId="14503" xr:uid="{83170987-B9F5-40ED-AE09-30E22D4C004F}"/>
    <cellStyle name="Total 39 2 30" xfId="31200" xr:uid="{5D348C2B-D2C2-40A0-B796-F03AA5AA0F7D}"/>
    <cellStyle name="Total 39 2 31" xfId="31309" xr:uid="{5C6E1992-1CDF-4992-90F0-84BB5F37038E}"/>
    <cellStyle name="Total 39 2 32" xfId="6917" xr:uid="{47193A04-373E-48D4-AAB1-F7ABD8D73132}"/>
    <cellStyle name="Total 39 2 4" xfId="15260" xr:uid="{2CAC8619-021E-4538-A16A-B2BCCDA8470A}"/>
    <cellStyle name="Total 39 2 5" xfId="13597" xr:uid="{036894F9-F77D-4DBB-BEEA-F9F76223389A}"/>
    <cellStyle name="Total 39 2 6" xfId="16903" xr:uid="{7629E047-316E-48E8-9C10-EC5CDBA17F37}"/>
    <cellStyle name="Total 39 2 7" xfId="17768" xr:uid="{9DFE08DD-573E-4DEB-B6F0-5509DCD02786}"/>
    <cellStyle name="Total 39 2 8" xfId="18616" xr:uid="{497F09EE-3AEC-4DEC-A52E-000DC3D5735A}"/>
    <cellStyle name="Total 39 2 9" xfId="19463" xr:uid="{245EF058-6905-4607-A9FC-EA62997CF2BA}"/>
    <cellStyle name="Total 39 3" xfId="11560" xr:uid="{BB5B5D36-5335-4399-833C-E0B95BD70EA7}"/>
    <cellStyle name="Total 4" xfId="5068" xr:uid="{94C5D816-ED77-4AAA-9824-B8D40F29D38D}"/>
    <cellStyle name="Total 4 2" xfId="5849" xr:uid="{0EC73DA3-DD1F-4C86-9F92-E0155C46C859}"/>
    <cellStyle name="Total 4 2 10" xfId="20217" xr:uid="{7FFA055B-2254-476D-B6EA-FF9FC7924975}"/>
    <cellStyle name="Total 4 2 11" xfId="20985" xr:uid="{CD001E28-B1DA-458A-82A3-75A502707680}"/>
    <cellStyle name="Total 4 2 12" xfId="21834" xr:uid="{D9FA3442-B3B7-417E-8A72-7536970651FC}"/>
    <cellStyle name="Total 4 2 13" xfId="21107" xr:uid="{B481F36B-327F-4B87-87E1-99A6402853FF}"/>
    <cellStyle name="Total 4 2 14" xfId="23496" xr:uid="{8C8B0D54-08E7-4FC7-AFFD-7ED38D6EF531}"/>
    <cellStyle name="Total 4 2 15" xfId="24295" xr:uid="{36009F7D-777D-4195-8EAB-FAA9F07B54E5}"/>
    <cellStyle name="Total 4 2 16" xfId="25127" xr:uid="{F612EA2D-CF27-46E5-9ADA-55DB1BDDDE95}"/>
    <cellStyle name="Total 4 2 17" xfId="24422" xr:uid="{4415C88A-82C4-4A0E-8A61-618DDC6A1658}"/>
    <cellStyle name="Total 4 2 18" xfId="26513" xr:uid="{E82E16E7-E175-4EFB-AF1D-C1471F684BDC}"/>
    <cellStyle name="Total 4 2 19" xfId="26875" xr:uid="{940E8537-C10B-4817-9AF6-73B5F3752E4D}"/>
    <cellStyle name="Total 4 2 2" xfId="13571" xr:uid="{844C520B-5DFA-406D-9621-863CF2D3CC15}"/>
    <cellStyle name="Total 4 2 20" xfId="27565" xr:uid="{514172FE-FCB5-4A3D-BBDB-1DF63C9FDFEB}"/>
    <cellStyle name="Total 4 2 21" xfId="28115" xr:uid="{6E807E58-5A1A-4D7E-B52F-028DA2110B68}"/>
    <cellStyle name="Total 4 2 22" xfId="28843" xr:uid="{CEB7CEA1-B449-451C-82D7-3263B1B59B17}"/>
    <cellStyle name="Total 4 2 23" xfId="29486" xr:uid="{76F6A289-D30E-4A55-9615-3CFE00CF027A}"/>
    <cellStyle name="Total 4 2 24" xfId="29117" xr:uid="{BE085F74-4D2A-43BA-9950-4BB0BFEAEE73}"/>
    <cellStyle name="Total 4 2 25" xfId="30110" xr:uid="{363104DC-F494-4869-94B9-8DC2CF4BF4CB}"/>
    <cellStyle name="Total 4 2 26" xfId="30419" xr:uid="{80809F7A-F744-47FF-8EC6-F987DD3692B7}"/>
    <cellStyle name="Total 4 2 27" xfId="30543" xr:uid="{386FDDE9-8469-4590-9699-BA8BB63D63E8}"/>
    <cellStyle name="Total 4 2 28" xfId="30875" xr:uid="{F8ADD2D3-1D7F-4CD7-B94D-9B68C54EC7BC}"/>
    <cellStyle name="Total 4 2 29" xfId="31045" xr:uid="{3FCE3A14-AC86-4C48-8C5A-213EEBBA577F}"/>
    <cellStyle name="Total 4 2 3" xfId="14504" xr:uid="{A8953DA2-E351-433C-9B2E-F259002680BA}"/>
    <cellStyle name="Total 4 2 30" xfId="31201" xr:uid="{8C6D5F0C-F1F4-4D32-A7F5-3C064AAF9786}"/>
    <cellStyle name="Total 4 2 31" xfId="31310" xr:uid="{ECC963C5-0E92-466F-8F4B-C60F6155960C}"/>
    <cellStyle name="Total 4 2 32" xfId="6918" xr:uid="{C9AF4289-BF6E-4CB7-8DC7-9CFC376AE39E}"/>
    <cellStyle name="Total 4 2 4" xfId="15261" xr:uid="{58D844F0-9418-42B8-AF92-BC301B917D10}"/>
    <cellStyle name="Total 4 2 5" xfId="13598" xr:uid="{C43553E4-3893-4138-B62C-CA8595A224FC}"/>
    <cellStyle name="Total 4 2 6" xfId="16904" xr:uid="{08F42F29-BE0F-4FF4-92C6-AC152333CB94}"/>
    <cellStyle name="Total 4 2 7" xfId="17769" xr:uid="{D093B860-DE15-44AF-9153-71C76CAF7EA1}"/>
    <cellStyle name="Total 4 2 8" xfId="18617" xr:uid="{C9ABB198-73D1-4B85-AF4B-FF7BE5DC1BD6}"/>
    <cellStyle name="Total 4 2 9" xfId="19464" xr:uid="{0846AB0B-4B77-44BF-BA17-8952814D1D82}"/>
    <cellStyle name="Total 4 3" xfId="11561" xr:uid="{26364E05-9241-4DF0-9C9B-4C7F03ADDB24}"/>
    <cellStyle name="Total 40" xfId="5069" xr:uid="{9C51F8B7-2AAC-4A6B-AAC2-59235517A971}"/>
    <cellStyle name="Total 40 2" xfId="5850" xr:uid="{58399110-9C51-4904-BEAB-678733517C51}"/>
    <cellStyle name="Total 40 2 10" xfId="20218" xr:uid="{1DF13E11-C0A8-47B6-8F66-4427DF782B03}"/>
    <cellStyle name="Total 40 2 11" xfId="20986" xr:uid="{416E703E-CB5A-4F1D-A46E-761965FC2E1B}"/>
    <cellStyle name="Total 40 2 12" xfId="21835" xr:uid="{27C75EFF-497B-4F75-ADC4-B66546BB2E46}"/>
    <cellStyle name="Total 40 2 13" xfId="21850" xr:uid="{D83A2838-842D-4660-9DBD-6878E269F639}"/>
    <cellStyle name="Total 40 2 14" xfId="23497" xr:uid="{3D9A0339-2249-448C-BB11-235FA2D90434}"/>
    <cellStyle name="Total 40 2 15" xfId="24296" xr:uid="{79E278DC-DC57-4130-8D25-27DB01F47414}"/>
    <cellStyle name="Total 40 2 16" xfId="25128" xr:uid="{5AAFD6C8-11B2-4283-9CBF-4960EB66F7B4}"/>
    <cellStyle name="Total 40 2 17" xfId="25149" xr:uid="{81446BD3-EE6D-44D8-B1DA-D885341E4113}"/>
    <cellStyle name="Total 40 2 18" xfId="26514" xr:uid="{BF6B63D9-4B04-44EF-B0DF-27A7092A09F7}"/>
    <cellStyle name="Total 40 2 19" xfId="26876" xr:uid="{E8CC4214-5CBC-4CA7-8545-DFE4DF4C9046}"/>
    <cellStyle name="Total 40 2 2" xfId="13572" xr:uid="{72069C11-9DC4-46B9-B8DE-564F0CCFDE56}"/>
    <cellStyle name="Total 40 2 20" xfId="27566" xr:uid="{8A9DFB83-B707-49E9-BC8E-F29DA7506BE5}"/>
    <cellStyle name="Total 40 2 21" xfId="28116" xr:uid="{CA33B912-BE65-4185-AF16-50B414E0FC2A}"/>
    <cellStyle name="Total 40 2 22" xfId="28844" xr:uid="{14403F6F-A759-4B68-9F4E-179732F9D21C}"/>
    <cellStyle name="Total 40 2 23" xfId="29487" xr:uid="{BC3A37B4-618D-403A-902F-C1159FBE9C13}"/>
    <cellStyle name="Total 40 2 24" xfId="25884" xr:uid="{071135A3-04D7-4B92-9314-5012D72F3BF0}"/>
    <cellStyle name="Total 40 2 25" xfId="29735" xr:uid="{E164A7B0-F883-4292-A374-BBB0B80CBC72}"/>
    <cellStyle name="Total 40 2 26" xfId="30420" xr:uid="{96CABE9D-9001-4454-A308-4974687EC4F3}"/>
    <cellStyle name="Total 40 2 27" xfId="30544" xr:uid="{38800C73-B6B2-4A40-871E-579934DF19FD}"/>
    <cellStyle name="Total 40 2 28" xfId="30876" xr:uid="{B29D2CF2-474B-415D-BE28-08B89BDF9AE1}"/>
    <cellStyle name="Total 40 2 29" xfId="31046" xr:uid="{031D4C1A-DDB4-4929-AF22-E56C57079C5F}"/>
    <cellStyle name="Total 40 2 3" xfId="14505" xr:uid="{55CCA832-3685-4888-B868-4BFFC72F7B04}"/>
    <cellStyle name="Total 40 2 30" xfId="31202" xr:uid="{2C143E33-3D06-4C43-9F9C-E2EDD32A7D43}"/>
    <cellStyle name="Total 40 2 31" xfId="31311" xr:uid="{A60AD91D-A37A-402D-B5E5-CFA5003426E0}"/>
    <cellStyle name="Total 40 2 32" xfId="6919" xr:uid="{D8051EF1-8D07-4887-A5A5-27628B54A249}"/>
    <cellStyle name="Total 40 2 4" xfId="15262" xr:uid="{A38F2AFC-1A5B-4358-A49E-FB49A6FBD77F}"/>
    <cellStyle name="Total 40 2 5" xfId="15273" xr:uid="{800EDE43-FD6B-465A-9F81-B6119E2E6E3E}"/>
    <cellStyle name="Total 40 2 6" xfId="16905" xr:uid="{5EE1BC9D-E78D-4C8A-9136-958CEB9A4129}"/>
    <cellStyle name="Total 40 2 7" xfId="17770" xr:uid="{C95E0D8D-D1CE-4816-9891-9EABB537B90C}"/>
    <cellStyle name="Total 40 2 8" xfId="18618" xr:uid="{807FCFA1-9BEF-4C7C-B3B2-9A4F4A61E305}"/>
    <cellStyle name="Total 40 2 9" xfId="19465" xr:uid="{1E93C4B0-0C19-4977-93FF-BACB8BA3E677}"/>
    <cellStyle name="Total 40 3" xfId="11562" xr:uid="{848CE5E8-13AE-45AB-9E01-864720AA693A}"/>
    <cellStyle name="Total 41" xfId="5070" xr:uid="{7D56C22D-7561-45D3-85C8-0A528D46DB2F}"/>
    <cellStyle name="Total 41 2" xfId="5851" xr:uid="{85C3B9D0-7297-4901-92C9-5F5637E9BC28}"/>
    <cellStyle name="Total 41 2 10" xfId="20219" xr:uid="{536498BE-C6BA-4818-AD78-FCD039F13828}"/>
    <cellStyle name="Total 41 2 11" xfId="20987" xr:uid="{7C709EF1-1BB5-4182-A264-61C50682C8F7}"/>
    <cellStyle name="Total 41 2 12" xfId="21836" xr:uid="{4069DD1C-2A87-4C59-A5EC-116AF69E807A}"/>
    <cellStyle name="Total 41 2 13" xfId="21108" xr:uid="{EBDFF8AF-1940-4F49-A766-88B66AE59C97}"/>
    <cellStyle name="Total 41 2 14" xfId="23498" xr:uid="{510A18D8-3A0A-47AC-B237-59391CB02953}"/>
    <cellStyle name="Total 41 2 15" xfId="24297" xr:uid="{DAE49CF8-E697-44DB-9C0A-8A3D607ABBA0}"/>
    <cellStyle name="Total 41 2 16" xfId="25129" xr:uid="{AD2FFDC0-F526-4848-B461-20F765867583}"/>
    <cellStyle name="Total 41 2 17" xfId="24423" xr:uid="{3D0E33D2-AF10-4A09-8B83-B2AB295B0651}"/>
    <cellStyle name="Total 41 2 18" xfId="26515" xr:uid="{A43464D2-5356-4CF1-A55D-C3D44D3D0D0B}"/>
    <cellStyle name="Total 41 2 19" xfId="26877" xr:uid="{4B263E43-DE38-4AE6-9FEC-7C681242AD25}"/>
    <cellStyle name="Total 41 2 2" xfId="13573" xr:uid="{F3D91128-9A70-4CF1-B717-D8F88D1C65D6}"/>
    <cellStyle name="Total 41 2 20" xfId="27567" xr:uid="{3D86337C-3ACF-4251-84DE-172DA1E3D595}"/>
    <cellStyle name="Total 41 2 21" xfId="28117" xr:uid="{63466E28-AED7-42B6-89BF-D0F25A84204B}"/>
    <cellStyle name="Total 41 2 22" xfId="28845" xr:uid="{CF99CF9C-DC30-4BE6-9B35-6832A7E04739}"/>
    <cellStyle name="Total 41 2 23" xfId="29488" xr:uid="{3FB1CA18-2CFB-4B1F-8808-C0C7F8DFCB77}"/>
    <cellStyle name="Total 41 2 24" xfId="29491" xr:uid="{FB6988A7-A1AC-47C2-AF01-DEB65EEAEAE2}"/>
    <cellStyle name="Total 41 2 25" xfId="30111" xr:uid="{A8EF7216-B6C3-42D5-9142-1AD7825F8925}"/>
    <cellStyle name="Total 41 2 26" xfId="30421" xr:uid="{7F47553F-E0B1-42D7-9797-2C060251FF13}"/>
    <cellStyle name="Total 41 2 27" xfId="30545" xr:uid="{D3595F5B-196A-4C9D-8A43-346725C15759}"/>
    <cellStyle name="Total 41 2 28" xfId="30877" xr:uid="{85ACBAF0-EBCE-43A6-802D-FA5269B1705A}"/>
    <cellStyle name="Total 41 2 29" xfId="31047" xr:uid="{2854956B-22C9-4CB3-8357-36BA7B9CE464}"/>
    <cellStyle name="Total 41 2 3" xfId="14506" xr:uid="{2739DD24-4FFF-44FA-B71A-9C66260AFF8C}"/>
    <cellStyle name="Total 41 2 30" xfId="31203" xr:uid="{B53945DC-5A99-4AE5-A572-6F318A7FBA94}"/>
    <cellStyle name="Total 41 2 31" xfId="31312" xr:uid="{41D7BB87-5B40-4D2A-8D75-6B44C4995CF3}"/>
    <cellStyle name="Total 41 2 32" xfId="6920" xr:uid="{2BA0F704-6C22-4BAE-8CFF-AD0A112DC44B}"/>
    <cellStyle name="Total 41 2 4" xfId="15263" xr:uid="{6F027B94-46B7-4E7B-AB0D-3C1D1CDF7AB3}"/>
    <cellStyle name="Total 41 2 5" xfId="12873" xr:uid="{7F0942D1-5F0C-4685-913F-F9ECE2B16165}"/>
    <cellStyle name="Total 41 2 6" xfId="16906" xr:uid="{43186F3D-A118-4516-950C-742C545A14FB}"/>
    <cellStyle name="Total 41 2 7" xfId="17771" xr:uid="{F6B290FF-2B9D-4106-906D-E4199BBBF973}"/>
    <cellStyle name="Total 41 2 8" xfId="18619" xr:uid="{5596C105-0BA6-4734-8A6E-89DE0E104652}"/>
    <cellStyle name="Total 41 2 9" xfId="19466" xr:uid="{1F711276-0D7B-4709-9D7D-F738EF7E2AE9}"/>
    <cellStyle name="Total 41 3" xfId="11563" xr:uid="{B1CC4E55-F631-48A1-A52D-400B16D0C3C1}"/>
    <cellStyle name="Total 42" xfId="5071" xr:uid="{56790CF3-7F4D-4F56-9165-F0A52A796CDC}"/>
    <cellStyle name="Total 42 2" xfId="5852" xr:uid="{89880090-090B-43DE-8037-5623CE289739}"/>
    <cellStyle name="Total 42 2 10" xfId="20220" xr:uid="{E99E8E9F-F325-42AC-9BD6-21785D897483}"/>
    <cellStyle name="Total 42 2 11" xfId="20988" xr:uid="{56CA1798-C2FE-49EA-8C8E-97E1A36BBDC1}"/>
    <cellStyle name="Total 42 2 12" xfId="21837" xr:uid="{6C9E557D-28BC-4F61-822B-A0F85B3AE503}"/>
    <cellStyle name="Total 42 2 13" xfId="21851" xr:uid="{669EB239-BEB4-4F46-8810-879F3E7CE33F}"/>
    <cellStyle name="Total 42 2 14" xfId="23499" xr:uid="{77EFAF4D-1B7A-4F3B-A820-CF81493E7E0D}"/>
    <cellStyle name="Total 42 2 15" xfId="24298" xr:uid="{DC9C2930-24C7-42EB-AB0C-CF66F76A3801}"/>
    <cellStyle name="Total 42 2 16" xfId="25130" xr:uid="{DD975E20-4DF7-4AE8-8194-7446B064123C}"/>
    <cellStyle name="Total 42 2 17" xfId="25150" xr:uid="{1D7AF264-6B1A-413A-9B0C-9CD295E2B34E}"/>
    <cellStyle name="Total 42 2 18" xfId="26516" xr:uid="{B3731ADC-5F65-4810-A8D3-81B878DD13B3}"/>
    <cellStyle name="Total 42 2 19" xfId="26878" xr:uid="{EA272A34-8C33-4360-8814-40C039C466BA}"/>
    <cellStyle name="Total 42 2 2" xfId="13574" xr:uid="{227FE680-E4E0-4480-9E9E-53B0EB46E646}"/>
    <cellStyle name="Total 42 2 20" xfId="27568" xr:uid="{A6F0F374-DDB2-48BA-BCD7-E925CCA464EA}"/>
    <cellStyle name="Total 42 2 21" xfId="28118" xr:uid="{8BEA7886-2400-4AF1-B3D8-D30E4BC26C14}"/>
    <cellStyle name="Total 42 2 22" xfId="28846" xr:uid="{4ADD2F88-C21F-4666-8CCD-52ED5E95403B}"/>
    <cellStyle name="Total 42 2 23" xfId="29489" xr:uid="{08BFE91C-7C22-4B83-B05D-74F5487C5A4A}"/>
    <cellStyle name="Total 42 2 24" xfId="29133" xr:uid="{E0C012CF-3E5C-4EF9-80E9-19F52F21376B}"/>
    <cellStyle name="Total 42 2 25" xfId="29736" xr:uid="{0903D05F-2A15-435C-9552-AAFFFABBBC6C}"/>
    <cellStyle name="Total 42 2 26" xfId="30422" xr:uid="{CEDBCFC7-319F-4435-963A-23DFEE7365E9}"/>
    <cellStyle name="Total 42 2 27" xfId="30546" xr:uid="{CEC45B3D-C2A9-4BAD-9B35-A8D411980384}"/>
    <cellStyle name="Total 42 2 28" xfId="30878" xr:uid="{1A2ADD53-1061-46FF-9EEE-7C88BE27DE19}"/>
    <cellStyle name="Total 42 2 29" xfId="31048" xr:uid="{301331F3-B749-482F-88F1-AA666F32EBCE}"/>
    <cellStyle name="Total 42 2 3" xfId="14507" xr:uid="{F26AD5F9-6AC4-4850-A814-66558FBF7CF4}"/>
    <cellStyle name="Total 42 2 30" xfId="31204" xr:uid="{71E834D4-19B5-4F1A-A9B4-4DE583088075}"/>
    <cellStyle name="Total 42 2 31" xfId="31313" xr:uid="{8E224BB9-B348-4192-AC34-AFAE7FA1EE9C}"/>
    <cellStyle name="Total 42 2 32" xfId="6921" xr:uid="{FB80089E-DF8B-4CBA-821C-C7FC804818FB}"/>
    <cellStyle name="Total 42 2 4" xfId="15264" xr:uid="{40A7BA03-7CE6-4347-B870-C4840073BB0F}"/>
    <cellStyle name="Total 42 2 5" xfId="15274" xr:uid="{44BCA5AB-B803-4E5B-9349-0F524E129130}"/>
    <cellStyle name="Total 42 2 6" xfId="16907" xr:uid="{1A36055D-4311-48E1-81E6-DD4A94B04B4B}"/>
    <cellStyle name="Total 42 2 7" xfId="17772" xr:uid="{876532F2-3418-4B01-98C3-33937968B847}"/>
    <cellStyle name="Total 42 2 8" xfId="18620" xr:uid="{B5D6910F-5B51-42C3-940D-012374D2FC15}"/>
    <cellStyle name="Total 42 2 9" xfId="19467" xr:uid="{5504C395-03AB-46ED-90FB-F1B249CEAF43}"/>
    <cellStyle name="Total 42 3" xfId="11564" xr:uid="{EE5BE0C3-36E4-4A69-A94A-A3E5EE2BA200}"/>
    <cellStyle name="Total 43" xfId="5072" xr:uid="{26CB1F83-0CF9-4B18-9DAB-D58B1E5D5695}"/>
    <cellStyle name="Total 43 2" xfId="5853" xr:uid="{5287D896-95DC-4329-842A-C98EE35B4D88}"/>
    <cellStyle name="Total 43 2 10" xfId="20221" xr:uid="{82E6C5D3-25A2-4067-91BE-B7672EDD9F53}"/>
    <cellStyle name="Total 43 2 11" xfId="20989" xr:uid="{01D8E29D-1161-4FE2-9D2D-4F5575710C2A}"/>
    <cellStyle name="Total 43 2 12" xfId="21838" xr:uid="{412034B5-ADB9-46A1-AFD4-202E0CDA71E7}"/>
    <cellStyle name="Total 43 2 13" xfId="21109" xr:uid="{36043D42-19CC-4689-911B-1D1BC1FD9FA1}"/>
    <cellStyle name="Total 43 2 14" xfId="23500" xr:uid="{3BDE4BE1-4722-4FB8-80F1-C97DE48CFDB1}"/>
    <cellStyle name="Total 43 2 15" xfId="24299" xr:uid="{CB8B82FA-6079-4F89-B2E5-A54A6DD31B86}"/>
    <cellStyle name="Total 43 2 16" xfId="25131" xr:uid="{8E7FC701-53D8-4DD5-A478-1C397EC79FF0}"/>
    <cellStyle name="Total 43 2 17" xfId="24424" xr:uid="{C2A79CD4-4F42-46BB-B07D-AB198EBA5E85}"/>
    <cellStyle name="Total 43 2 18" xfId="26517" xr:uid="{88C130FC-3BF6-4E3B-831C-1A87175885BD}"/>
    <cellStyle name="Total 43 2 19" xfId="26879" xr:uid="{ACC5037B-CC96-40BE-A0E5-E7721C40B914}"/>
    <cellStyle name="Total 43 2 2" xfId="13575" xr:uid="{2990D1F1-C25C-4AE4-BC11-96676A6E0D93}"/>
    <cellStyle name="Total 43 2 20" xfId="27569" xr:uid="{F32EA41E-6C96-4E45-BDEB-385198AB0760}"/>
    <cellStyle name="Total 43 2 21" xfId="28119" xr:uid="{9A49CF4B-9353-485D-8353-BA66F656996D}"/>
    <cellStyle name="Total 43 2 22" xfId="28847" xr:uid="{7069699E-4B14-4B9A-9E9C-87EADA2C5DE4}"/>
    <cellStyle name="Total 43 2 23" xfId="29490" xr:uid="{A35F35D0-C658-464B-B3A4-3917FE5CC7F6}"/>
    <cellStyle name="Total 43 2 24" xfId="29116" xr:uid="{9A818675-A5A9-4ECD-BF87-1D8B1A4DDFE4}"/>
    <cellStyle name="Total 43 2 25" xfId="30112" xr:uid="{43936B0E-EC94-4AC1-B24D-42AEE51CFD91}"/>
    <cellStyle name="Total 43 2 26" xfId="30423" xr:uid="{76065063-7176-4666-AEE0-1E2C2F0A43BA}"/>
    <cellStyle name="Total 43 2 27" xfId="30547" xr:uid="{49EF4927-F3D1-47AA-A21A-BFBC2F649898}"/>
    <cellStyle name="Total 43 2 28" xfId="30879" xr:uid="{F5EA90FE-C6B2-435B-B895-E483531EA99F}"/>
    <cellStyle name="Total 43 2 29" xfId="31049" xr:uid="{3A74A2C3-3151-44CC-A789-984FB24AE983}"/>
    <cellStyle name="Total 43 2 3" xfId="14508" xr:uid="{D3F872A6-F503-4E2C-BF17-3D7D19783756}"/>
    <cellStyle name="Total 43 2 30" xfId="31205" xr:uid="{DD93B990-8526-4248-AB72-9E153C62389F}"/>
    <cellStyle name="Total 43 2 31" xfId="31314" xr:uid="{214536A2-46E8-4D88-8BA6-1F46350FA3A8}"/>
    <cellStyle name="Total 43 2 32" xfId="6922" xr:uid="{A154725A-081D-40FA-A690-0AA741A2C672}"/>
    <cellStyle name="Total 43 2 4" xfId="15265" xr:uid="{2F459E16-99FA-4AEB-A542-28EB9C4176C6}"/>
    <cellStyle name="Total 43 2 5" xfId="13599" xr:uid="{A01F80F1-52B9-4439-845B-BB8BBF298C8A}"/>
    <cellStyle name="Total 43 2 6" xfId="16908" xr:uid="{48061032-FA9F-4C57-9D61-CB19A18983BB}"/>
    <cellStyle name="Total 43 2 7" xfId="17773" xr:uid="{86EE0CBE-9A63-4329-B415-4747ECE965E1}"/>
    <cellStyle name="Total 43 2 8" xfId="18621" xr:uid="{C2FE8DC3-0107-4780-A16C-F983317C0222}"/>
    <cellStyle name="Total 43 2 9" xfId="19468" xr:uid="{3D273349-D108-40DE-9414-D6BDB9369D13}"/>
    <cellStyle name="Total 43 3" xfId="11565" xr:uid="{8E38E18F-5763-4CE4-A877-13FAAC68B2A1}"/>
    <cellStyle name="Total 44" xfId="5073" xr:uid="{002A886B-3CF9-4B8A-BB9B-D99CADA8C410}"/>
    <cellStyle name="Total 44 2" xfId="5854" xr:uid="{80B190BE-C287-4955-BF87-516313AC5138}"/>
    <cellStyle name="Total 44 2 2" xfId="12314" xr:uid="{BF8C7134-1C53-4533-BD0B-12846DA15633}"/>
    <cellStyle name="Total 44 2 3" xfId="25151" xr:uid="{FE26145C-43CD-4B2C-B288-BC138BCFC22F}"/>
    <cellStyle name="Total 44 2 4" xfId="26880" xr:uid="{C69EF0F5-CA26-40C2-92E4-98798F35AC31}"/>
    <cellStyle name="Total 44 2 5" xfId="31329" xr:uid="{6EF3F39A-CCCE-4749-9F44-192C6C22BC55}"/>
    <cellStyle name="Total 44 3" xfId="11566" xr:uid="{2736B559-C9E5-4247-8538-74048F3398D7}"/>
    <cellStyle name="Total 45" xfId="5816" xr:uid="{72A5FDB7-0722-4F36-A182-0D89988245B5}"/>
    <cellStyle name="Total 45 10" xfId="20184" xr:uid="{C759F3AF-0F6B-4671-9E4F-12B44AE535D2}"/>
    <cellStyle name="Total 45 11" xfId="20952" xr:uid="{FFBD319C-85D2-41FC-900C-6A1D784ED6E3}"/>
    <cellStyle name="Total 45 12" xfId="21801" xr:uid="{0E958479-B1A4-4327-A279-EE952C667D88}"/>
    <cellStyle name="Total 45 13" xfId="21079" xr:uid="{344BD83D-567A-4AF4-BAD6-B2CE1BE844AD}"/>
    <cellStyle name="Total 45 14" xfId="23463" xr:uid="{31DB91DA-0163-4D94-B767-2D8C59DE0E49}"/>
    <cellStyle name="Total 45 15" xfId="24262" xr:uid="{67E80659-DD58-4393-B703-9CA0EFAB826E}"/>
    <cellStyle name="Total 45 16" xfId="25094" xr:uid="{D0AEF5D2-4124-414F-B611-277E4B21FE53}"/>
    <cellStyle name="Total 45 17" xfId="24400" xr:uid="{4131D0B5-BDB4-4864-8982-5436E55BD5EA}"/>
    <cellStyle name="Total 45 18" xfId="26480" xr:uid="{6F421575-1F1F-4B9F-8E02-7FE71183A4D1}"/>
    <cellStyle name="Total 45 19" xfId="26842" xr:uid="{541DAFF5-E2A9-49D3-B10A-141DAFAC0940}"/>
    <cellStyle name="Total 45 2" xfId="13538" xr:uid="{5569B74B-1F78-4E3D-8D36-F781DFF73927}"/>
    <cellStyle name="Total 45 20" xfId="27532" xr:uid="{AAB9245B-D13F-4E7E-8EE3-7D795CB06DF0}"/>
    <cellStyle name="Total 45 21" xfId="28082" xr:uid="{775111B5-26BA-4CF5-90EB-40C58AA127B9}"/>
    <cellStyle name="Total 45 22" xfId="28810" xr:uid="{79891F81-483B-4EF1-8F5A-EDA27C3B2252}"/>
    <cellStyle name="Total 45 23" xfId="28854" xr:uid="{F003E50F-600E-41E9-B679-FC97B36E7634}"/>
    <cellStyle name="Total 45 24" xfId="27655" xr:uid="{D8B4B201-E5FC-46F3-99F1-178EDD0952A8}"/>
    <cellStyle name="Total 45 25" xfId="29719" xr:uid="{9A3F28D3-A99A-4BA4-AA70-C432794CEC2E}"/>
    <cellStyle name="Total 45 26" xfId="30386" xr:uid="{C4E46B7A-71CE-4A30-8367-5685A2055DC7}"/>
    <cellStyle name="Total 45 27" xfId="30510" xr:uid="{B44BAD65-8868-4038-9D55-C7183596AAA4}"/>
    <cellStyle name="Total 45 28" xfId="30842" xr:uid="{6922A4FD-96DF-4FA2-AFF9-50338A6249A1}"/>
    <cellStyle name="Total 45 29" xfId="31012" xr:uid="{AAAD3794-C127-481B-8238-9D5FC5F47780}"/>
    <cellStyle name="Total 45 3" xfId="14471" xr:uid="{073533D3-1524-4790-8628-AF686F75FCCD}"/>
    <cellStyle name="Total 45 30" xfId="31168" xr:uid="{44952491-E6FA-4569-A68B-F730FA6DFC2F}"/>
    <cellStyle name="Total 45 31" xfId="31277" xr:uid="{82B0CFA9-05AA-4C48-B095-457784958DF6}"/>
    <cellStyle name="Total 45 32" xfId="6885" xr:uid="{8A9A5213-1DFC-42C7-89D9-87EFD70F0D83}"/>
    <cellStyle name="Total 45 4" xfId="15228" xr:uid="{18E6F193-F6F9-471A-9407-1AD7D7C50912}"/>
    <cellStyle name="Total 45 5" xfId="12855" xr:uid="{3A901680-1675-4DF4-A16B-5112C66D1B9F}"/>
    <cellStyle name="Total 45 6" xfId="16871" xr:uid="{316B6289-8B9C-4667-A365-B31535B86ADF}"/>
    <cellStyle name="Total 45 7" xfId="17736" xr:uid="{680E88E7-994F-403C-98B1-02348E7E01BA}"/>
    <cellStyle name="Total 45 8" xfId="18584" xr:uid="{36C60F6D-AA8E-4386-86F1-0E812723F7E0}"/>
    <cellStyle name="Total 45 9" xfId="19431" xr:uid="{F5512AF9-CDC0-43C0-8BB6-BF5379082703}"/>
    <cellStyle name="Total 46" xfId="5034" xr:uid="{30852B34-4CD2-443E-9FEA-19A78DCB67E5}"/>
    <cellStyle name="Total 5" xfId="5074" xr:uid="{8A140B62-DB96-4506-B6E3-DC9271CB1931}"/>
    <cellStyle name="Total 5 2" xfId="5855" xr:uid="{30940DB9-8697-4CDE-948F-3695202A53E3}"/>
    <cellStyle name="Total 5 2 10" xfId="20223" xr:uid="{4771CC10-7748-4BE7-BA11-34A84A61258A}"/>
    <cellStyle name="Total 5 2 11" xfId="20991" xr:uid="{B993509E-DF43-4FBB-9F92-C68C105009AD}"/>
    <cellStyle name="Total 5 2 12" xfId="21840" xr:uid="{FFDC12B4-704E-4867-8F26-584465ABA130}"/>
    <cellStyle name="Total 5 2 13" xfId="21110" xr:uid="{EBC220B4-C5E9-4BCF-9FDF-CA8E1D05C482}"/>
    <cellStyle name="Total 5 2 14" xfId="23502" xr:uid="{6FACDCC7-C571-427E-8093-B9631332D3F5}"/>
    <cellStyle name="Total 5 2 15" xfId="24301" xr:uid="{8C77C0A6-59AA-44DF-B358-D851936848C2}"/>
    <cellStyle name="Total 5 2 16" xfId="25133" xr:uid="{8280ABA0-022A-4669-BF4E-65440CD494B8}"/>
    <cellStyle name="Total 5 2 17" xfId="24425" xr:uid="{5ADAFFE5-E7A9-4923-99AB-841ABBA149A8}"/>
    <cellStyle name="Total 5 2 18" xfId="26519" xr:uid="{D8C90C67-B133-4C87-9881-B4F7D90C6AFE}"/>
    <cellStyle name="Total 5 2 19" xfId="26881" xr:uid="{99E3E472-220D-4D2E-99BB-E1D21FDB0327}"/>
    <cellStyle name="Total 5 2 2" xfId="13577" xr:uid="{1CCCD57E-B040-48DE-9BD3-8A1BFE940FBD}"/>
    <cellStyle name="Total 5 2 20" xfId="27571" xr:uid="{B596AF34-4D95-4C52-8D5B-4EA506C0977B}"/>
    <cellStyle name="Total 5 2 21" xfId="28121" xr:uid="{EC194C71-5A0C-415E-8964-F1D536228E0A}"/>
    <cellStyle name="Total 5 2 22" xfId="28849" xr:uid="{F5C5C595-78B3-4482-A8CD-D93D65A8838A}"/>
    <cellStyle name="Total 5 2 23" xfId="29492" xr:uid="{24457E5B-5C7F-4B6F-9397-586D737F0F07}"/>
    <cellStyle name="Total 5 2 24" xfId="29115" xr:uid="{C709BA2E-6909-4486-9AF5-271D9F690BB9}"/>
    <cellStyle name="Total 5 2 25" xfId="30113" xr:uid="{B334FA2B-A219-4BA5-A9FF-D849002BEF69}"/>
    <cellStyle name="Total 5 2 26" xfId="30424" xr:uid="{BD8B5C6D-74EF-4A54-AF82-4B0D9671DC46}"/>
    <cellStyle name="Total 5 2 27" xfId="30548" xr:uid="{582C7315-9FC7-4146-93E1-E1344A42E0C0}"/>
    <cellStyle name="Total 5 2 28" xfId="30880" xr:uid="{EF12938F-5852-4668-AE72-BB9AD10D98BA}"/>
    <cellStyle name="Total 5 2 29" xfId="31050" xr:uid="{8C6C331E-6AB0-43C7-BB35-7E32F914D1FE}"/>
    <cellStyle name="Total 5 2 3" xfId="14510" xr:uid="{B7E3B29B-CBF3-43E3-A563-AC5514D0EF5E}"/>
    <cellStyle name="Total 5 2 30" xfId="31206" xr:uid="{730D1A09-625E-4B38-BE15-CDF146B90F70}"/>
    <cellStyle name="Total 5 2 31" xfId="31315" xr:uid="{D89A8CE6-6F87-41BF-8351-40B1E1D499EC}"/>
    <cellStyle name="Total 5 2 32" xfId="6923" xr:uid="{998AC917-ACD2-473A-92BF-A6DA0A67588B}"/>
    <cellStyle name="Total 5 2 4" xfId="15267" xr:uid="{8305D894-B556-4736-8E32-870DB487FE00}"/>
    <cellStyle name="Total 5 2 5" xfId="12874" xr:uid="{0C91AF8C-61D1-4A77-BBC3-CE42160C4473}"/>
    <cellStyle name="Total 5 2 6" xfId="16910" xr:uid="{02DB32A6-DDBE-4079-9C92-F388BAC3EE5D}"/>
    <cellStyle name="Total 5 2 7" xfId="17775" xr:uid="{E4901701-7C6A-4AC9-A7E9-8249CB55BCA1}"/>
    <cellStyle name="Total 5 2 8" xfId="18623" xr:uid="{E9120A41-C19D-4AE8-83D7-3C534A99713F}"/>
    <cellStyle name="Total 5 2 9" xfId="19470" xr:uid="{1420DBF7-1B36-46AC-BD77-EC0F9F610F6C}"/>
    <cellStyle name="Total 5 3" xfId="11567" xr:uid="{5E491777-5056-419E-B296-FB36BB62B294}"/>
    <cellStyle name="Total 6" xfId="5075" xr:uid="{AC94C440-13D7-41A2-92D0-E04D673B0078}"/>
    <cellStyle name="Total 6 2" xfId="5856" xr:uid="{65869781-275C-478D-9BC1-B8309693CE14}"/>
    <cellStyle name="Total 6 2 10" xfId="20224" xr:uid="{753A06E0-7B52-4BAB-9520-479142F2E8F7}"/>
    <cellStyle name="Total 6 2 11" xfId="20992" xr:uid="{AF72AB2A-E2D8-4F13-9486-7475DFC9ABC1}"/>
    <cellStyle name="Total 6 2 12" xfId="21841" xr:uid="{7B35D8A9-9A5E-4C1F-8C67-3CDAE36A2D63}"/>
    <cellStyle name="Total 6 2 13" xfId="21853" xr:uid="{F11CB72E-FB36-4875-9A07-D82D8CFF8C2D}"/>
    <cellStyle name="Total 6 2 14" xfId="23503" xr:uid="{B70E6CBE-3EA8-44D3-8E0B-609EA0ABF138}"/>
    <cellStyle name="Total 6 2 15" xfId="24302" xr:uid="{82A27742-A0B5-4E36-A4A8-637282A362CC}"/>
    <cellStyle name="Total 6 2 16" xfId="25134" xr:uid="{D5C73AC1-4FCC-4200-9A6D-ACFB7E84EB70}"/>
    <cellStyle name="Total 6 2 17" xfId="25152" xr:uid="{1C4C0047-3D14-4464-A0B0-54E1EA09C507}"/>
    <cellStyle name="Total 6 2 18" xfId="26520" xr:uid="{BC5BAD9F-647F-49F5-90EA-6658637016B2}"/>
    <cellStyle name="Total 6 2 19" xfId="26882" xr:uid="{8F7EDEE7-E471-461B-96F9-0BF16189E98E}"/>
    <cellStyle name="Total 6 2 2" xfId="13578" xr:uid="{D784EAF9-6912-4D38-A353-CF5993F87F18}"/>
    <cellStyle name="Total 6 2 20" xfId="27572" xr:uid="{A4AAB6BE-56A2-45B5-8372-FC5E52A908D6}"/>
    <cellStyle name="Total 6 2 21" xfId="28122" xr:uid="{C090600E-E73B-4B9B-AD9C-7146EECDC923}"/>
    <cellStyle name="Total 6 2 22" xfId="28850" xr:uid="{BAAFEEED-1A88-4410-A2A2-06CBB83AF695}"/>
    <cellStyle name="Total 6 2 23" xfId="29493" xr:uid="{C70B405B-65E6-482C-8DE4-EF61750A9F10}"/>
    <cellStyle name="Total 6 2 24" xfId="26524" xr:uid="{727D27B4-91E1-407E-89D1-4B985A4430A5}"/>
    <cellStyle name="Total 6 2 25" xfId="29737" xr:uid="{590B4D70-D5EF-4E80-B555-F029F9725832}"/>
    <cellStyle name="Total 6 2 26" xfId="30425" xr:uid="{D92FF712-0AB4-45AC-90FA-C5363A4165D4}"/>
    <cellStyle name="Total 6 2 27" xfId="30549" xr:uid="{B4C60261-A2D5-4B06-9A43-21415CC057F6}"/>
    <cellStyle name="Total 6 2 28" xfId="30881" xr:uid="{43D79389-3CD2-480C-9334-4D3DE73C4BA5}"/>
    <cellStyle name="Total 6 2 29" xfId="31051" xr:uid="{2ECCC831-F1A1-4FCD-9A9F-FCFA85C16336}"/>
    <cellStyle name="Total 6 2 3" xfId="14511" xr:uid="{DFA0F93F-070A-4B48-8CB0-6621A00734AB}"/>
    <cellStyle name="Total 6 2 30" xfId="31207" xr:uid="{F393A0D7-BB52-40E0-8020-8CB7C8EEE646}"/>
    <cellStyle name="Total 6 2 31" xfId="31316" xr:uid="{8F45171C-09A3-424E-A988-8F3DD549122B}"/>
    <cellStyle name="Total 6 2 32" xfId="6924" xr:uid="{39FD0FC2-17FC-4F68-858C-DC2AFE2804B9}"/>
    <cellStyle name="Total 6 2 4" xfId="15268" xr:uid="{2FEAA4C4-73D3-4B25-B1D0-D5EB39A290D1}"/>
    <cellStyle name="Total 6 2 5" xfId="15276" xr:uid="{DA64FAB5-9987-4107-9C53-2C12E8BD41AC}"/>
    <cellStyle name="Total 6 2 6" xfId="16911" xr:uid="{07AD3744-EED8-49EC-A516-6438CFB0936E}"/>
    <cellStyle name="Total 6 2 7" xfId="17776" xr:uid="{A4FCDC47-20DF-44C4-A7F5-217DD614DFEC}"/>
    <cellStyle name="Total 6 2 8" xfId="18624" xr:uid="{2406F99C-BE74-4EE6-840D-9ED1E5FC9B3B}"/>
    <cellStyle name="Total 6 2 9" xfId="19471" xr:uid="{D459824C-D2A1-4D53-8645-F36100E2C03F}"/>
    <cellStyle name="Total 6 3" xfId="11568" xr:uid="{1CEB4A99-3B5C-41AD-967D-5BAA8CA63FC2}"/>
    <cellStyle name="Total 7" xfId="5076" xr:uid="{6F5D2DE1-1E5F-4A6F-BBB4-7F0C716D3FD0}"/>
    <cellStyle name="Total 7 2" xfId="5857" xr:uid="{F1C97B4E-2547-436B-855A-9B51ABE20C0B}"/>
    <cellStyle name="Total 7 2 10" xfId="20225" xr:uid="{E4C83AF4-33C6-4E1B-BA06-6E1D59704D42}"/>
    <cellStyle name="Total 7 2 11" xfId="20993" xr:uid="{328103D9-4CAC-4CF1-81DA-C43FF6EFE45B}"/>
    <cellStyle name="Total 7 2 12" xfId="21842" xr:uid="{20E8A63C-9E87-4CE2-8FE5-E029BF3D2F93}"/>
    <cellStyle name="Total 7 2 13" xfId="21111" xr:uid="{DB1E4488-5EF4-47CB-B712-C5E93B88B09D}"/>
    <cellStyle name="Total 7 2 14" xfId="23504" xr:uid="{21902C8E-DE94-419E-B585-5AD342FD054F}"/>
    <cellStyle name="Total 7 2 15" xfId="24303" xr:uid="{A1B83DF7-F5C0-4008-BEC4-2C65ED8A83A5}"/>
    <cellStyle name="Total 7 2 16" xfId="25135" xr:uid="{6370BF2A-9AA4-4F41-9E81-262BD339171C}"/>
    <cellStyle name="Total 7 2 17" xfId="24426" xr:uid="{32717974-B8AD-484F-BDF6-FBCF4CD2AB9D}"/>
    <cellStyle name="Total 7 2 18" xfId="26521" xr:uid="{CADEEB6F-F54D-4098-B7C2-E85B0AB46829}"/>
    <cellStyle name="Total 7 2 19" xfId="26883" xr:uid="{C6A5CD0B-59AD-49F2-A8A4-312D73856A37}"/>
    <cellStyle name="Total 7 2 2" xfId="13579" xr:uid="{65058945-E778-4F5D-83C1-028F0D699454}"/>
    <cellStyle name="Total 7 2 20" xfId="27573" xr:uid="{4D0A611D-C818-4043-B9D0-0CD32C68986D}"/>
    <cellStyle name="Total 7 2 21" xfId="28123" xr:uid="{13876BA7-A538-4C57-8933-6712FB4F6F3E}"/>
    <cellStyle name="Total 7 2 22" xfId="28851" xr:uid="{90A331A7-10F5-4CB7-BCBF-A617F691CB28}"/>
    <cellStyle name="Total 7 2 23" xfId="29494" xr:uid="{639EB64A-8923-40A9-A14E-C269000E1E5F}"/>
    <cellStyle name="Total 7 2 24" xfId="29114" xr:uid="{17F9A0B1-8612-44F7-9130-104BAE911483}"/>
    <cellStyle name="Total 7 2 25" xfId="30114" xr:uid="{B5776521-9BD6-442A-B113-09DC38FE501C}"/>
    <cellStyle name="Total 7 2 26" xfId="30426" xr:uid="{CA0EB144-8E0C-4509-BC11-067EA8A0E27C}"/>
    <cellStyle name="Total 7 2 27" xfId="30550" xr:uid="{4EEF6165-CDD6-4E9E-B980-E8B1F4969F11}"/>
    <cellStyle name="Total 7 2 28" xfId="30882" xr:uid="{DB4EC82B-2B60-478B-A72D-DC5CF1CBD969}"/>
    <cellStyle name="Total 7 2 29" xfId="31052" xr:uid="{703002CE-6469-49BF-B566-BE279EF3FF23}"/>
    <cellStyle name="Total 7 2 3" xfId="14512" xr:uid="{7F0313A8-8684-4B6F-8C30-1ECE503C8C74}"/>
    <cellStyle name="Total 7 2 30" xfId="31208" xr:uid="{C4A91216-8618-4D7E-861C-6C607ED841D3}"/>
    <cellStyle name="Total 7 2 31" xfId="31317" xr:uid="{DB739E81-9912-4FF3-95DA-59936F68A812}"/>
    <cellStyle name="Total 7 2 32" xfId="6925" xr:uid="{1F3290B9-B424-44B1-8952-D68EF34D118D}"/>
    <cellStyle name="Total 7 2 4" xfId="15269" xr:uid="{7BE41FA2-32DA-45F2-97E0-E0040BEA05F6}"/>
    <cellStyle name="Total 7 2 5" xfId="13600" xr:uid="{AF8805CD-6411-481D-B3F6-4652A7F287DB}"/>
    <cellStyle name="Total 7 2 6" xfId="16912" xr:uid="{DCB6CF63-09C5-4887-8F2B-52AB189F0027}"/>
    <cellStyle name="Total 7 2 7" xfId="17777" xr:uid="{1E8754B2-FA55-47C5-BDC6-8E97003F6B20}"/>
    <cellStyle name="Total 7 2 8" xfId="18625" xr:uid="{AA876194-4CAD-4262-ABAE-78436C62EF22}"/>
    <cellStyle name="Total 7 2 9" xfId="19472" xr:uid="{65C6CF4D-3145-4860-BEF5-F6324E153133}"/>
    <cellStyle name="Total 7 3" xfId="11569" xr:uid="{CBA6CAB5-7F11-4879-B844-916654B9EE46}"/>
    <cellStyle name="Total 8" xfId="5077" xr:uid="{1A77EE24-8DA0-442D-8142-9FD4D7B6247C}"/>
    <cellStyle name="Total 8 2" xfId="5858" xr:uid="{551C842D-AD52-4F67-883E-BC93F0F66C0F}"/>
    <cellStyle name="Total 8 2 10" xfId="20226" xr:uid="{6FE05EE0-FD5F-45A1-A5C3-82EF5A5D989A}"/>
    <cellStyle name="Total 8 2 11" xfId="20994" xr:uid="{3110CD04-E36E-463D-AC4F-0671EBD9B9BE}"/>
    <cellStyle name="Total 8 2 12" xfId="21843" xr:uid="{6FF94D5E-F7AC-4DA7-AA47-B6D206A3BA01}"/>
    <cellStyle name="Total 8 2 13" xfId="21854" xr:uid="{76C424C8-6CB9-4AD8-ABD2-970561D2B726}"/>
    <cellStyle name="Total 8 2 14" xfId="23505" xr:uid="{503797CB-161A-4DE6-A810-3FA1AF3E34FC}"/>
    <cellStyle name="Total 8 2 15" xfId="24304" xr:uid="{0184FE52-7FD1-4274-B0F1-B9708129980C}"/>
    <cellStyle name="Total 8 2 16" xfId="25136" xr:uid="{8D1619D7-8264-42E6-A650-B611E87FFFBE}"/>
    <cellStyle name="Total 8 2 17" xfId="25153" xr:uid="{DE05455A-3B44-4554-99FF-10AD7BD85196}"/>
    <cellStyle name="Total 8 2 18" xfId="26522" xr:uid="{3DE26F06-8EC5-48DA-9083-24DD91CB2602}"/>
    <cellStyle name="Total 8 2 19" xfId="26884" xr:uid="{F27F6C9D-2079-4A0F-9137-630E059F72A3}"/>
    <cellStyle name="Total 8 2 2" xfId="13580" xr:uid="{F32DD268-6B9B-48A2-99E9-A6F1953D9694}"/>
    <cellStyle name="Total 8 2 20" xfId="27574" xr:uid="{D50807AA-5E88-4BC1-A589-66952F2967B7}"/>
    <cellStyle name="Total 8 2 21" xfId="28124" xr:uid="{60DF3CA7-3F67-4208-9D44-7998AFE5761F}"/>
    <cellStyle name="Total 8 2 22" xfId="28852" xr:uid="{00893D36-AE28-40FE-8699-4F7A39585B48}"/>
    <cellStyle name="Total 8 2 23" xfId="29495" xr:uid="{CF138AC6-A84E-4761-B1ED-B2D35029CBA1}"/>
    <cellStyle name="Total 8 2 24" xfId="29113" xr:uid="{62A6C98E-766C-4B74-A154-3D93088A416F}"/>
    <cellStyle name="Total 8 2 25" xfId="29738" xr:uid="{5199BFCB-DA6C-40C0-A72F-FE3FEC93AE9A}"/>
    <cellStyle name="Total 8 2 26" xfId="30427" xr:uid="{E3EA5659-3AFF-4E8F-B9DF-A38D37DB0CC8}"/>
    <cellStyle name="Total 8 2 27" xfId="30551" xr:uid="{955C40E5-5B12-47AB-8861-43042B2BB123}"/>
    <cellStyle name="Total 8 2 28" xfId="30883" xr:uid="{B19FD357-0F65-4645-8D1E-F87D190030F8}"/>
    <cellStyle name="Total 8 2 29" xfId="31053" xr:uid="{941F310B-CE23-446D-8607-96BEBBAD1246}"/>
    <cellStyle name="Total 8 2 3" xfId="14513" xr:uid="{3824BF51-A411-41DF-A221-1C15AF1175DB}"/>
    <cellStyle name="Total 8 2 30" xfId="31209" xr:uid="{7C9EAADD-8317-40D4-BF09-39853709D96D}"/>
    <cellStyle name="Total 8 2 31" xfId="31318" xr:uid="{38E797FE-C1F4-4ABC-88B2-D3548BD4FD1A}"/>
    <cellStyle name="Total 8 2 32" xfId="6926" xr:uid="{4AA187F8-FB3F-4594-A9C8-D2EF95D29FB3}"/>
    <cellStyle name="Total 8 2 4" xfId="15270" xr:uid="{AF095CEF-DB59-48F6-8424-33558827669F}"/>
    <cellStyle name="Total 8 2 5" xfId="15277" xr:uid="{5015A538-B8E9-41DB-B7D7-0B5F0242355E}"/>
    <cellStyle name="Total 8 2 6" xfId="16913" xr:uid="{EBC31722-EC08-43E7-AB65-692DF5BEC75E}"/>
    <cellStyle name="Total 8 2 7" xfId="17778" xr:uid="{B7441CC7-83DA-4ED9-BFFF-0154FA83A91D}"/>
    <cellStyle name="Total 8 2 8" xfId="18626" xr:uid="{902430D5-490E-4D1E-AEFA-83BF57462D1A}"/>
    <cellStyle name="Total 8 2 9" xfId="19473" xr:uid="{8D0C1D8E-42EB-464D-B6CB-7EB4CCA1A509}"/>
    <cellStyle name="Total 8 3" xfId="11570" xr:uid="{D188CA4D-9529-44E7-B462-FB8F857A28F4}"/>
    <cellStyle name="Total 9" xfId="5078" xr:uid="{D3057460-82B3-4823-9C37-CB789663532F}"/>
    <cellStyle name="Total 9 2" xfId="5859" xr:uid="{1FA10AF8-46C0-49A2-9A54-BA7ECEB5A02C}"/>
    <cellStyle name="Total 9 2 10" xfId="20227" xr:uid="{628BCDD7-264E-4890-83CD-BF0D91184B8C}"/>
    <cellStyle name="Total 9 2 11" xfId="20995" xr:uid="{C57D73A5-0BEE-4657-AD58-67272DC1C803}"/>
    <cellStyle name="Total 9 2 12" xfId="21844" xr:uid="{8184657E-984F-4926-AC34-A749E1CD5CA5}"/>
    <cellStyle name="Total 9 2 13" xfId="21112" xr:uid="{A79EE7EA-18EC-4137-860E-6D1C200E11AC}"/>
    <cellStyle name="Total 9 2 14" xfId="23506" xr:uid="{F4967BF9-5980-4B14-B7E2-421533A978C0}"/>
    <cellStyle name="Total 9 2 15" xfId="24305" xr:uid="{CFCBE6CD-3C76-47AF-B52E-0F862F0E2942}"/>
    <cellStyle name="Total 9 2 16" xfId="25137" xr:uid="{5954977C-CF2F-412B-8515-8482C48C5A94}"/>
    <cellStyle name="Total 9 2 17" xfId="24427" xr:uid="{268E12FC-171D-4F3D-9243-C550EE0FD544}"/>
    <cellStyle name="Total 9 2 18" xfId="26523" xr:uid="{4022B63E-6083-4819-89F3-FA64A200295F}"/>
    <cellStyle name="Total 9 2 19" xfId="26885" xr:uid="{293E2EED-94A0-4273-B00D-AAFD6428105C}"/>
    <cellStyle name="Total 9 2 2" xfId="13581" xr:uid="{AE2E1E3F-53D8-4237-98AB-018D436B3C1F}"/>
    <cellStyle name="Total 9 2 20" xfId="27575" xr:uid="{A4D9A320-8021-4992-AF74-A802D4DD4706}"/>
    <cellStyle name="Total 9 2 21" xfId="28125" xr:uid="{D736B4B5-87C9-46D2-9929-50E3EDF81208}"/>
    <cellStyle name="Total 9 2 22" xfId="28853" xr:uid="{67D37C30-7210-4720-B745-2604FE4FE24D}"/>
    <cellStyle name="Total 9 2 23" xfId="29496" xr:uid="{58762942-5F4C-47E2-8C30-554E4FCF6D4B}"/>
    <cellStyle name="Total 9 2 24" xfId="29497" xr:uid="{25812383-0C1C-4D98-841A-532A4F0B75FE}"/>
    <cellStyle name="Total 9 2 25" xfId="30115" xr:uid="{65C3D279-98BC-4282-9DE5-B6685E287722}"/>
    <cellStyle name="Total 9 2 26" xfId="30428" xr:uid="{C24BB99C-3AA7-489A-B922-34FF3B629C75}"/>
    <cellStyle name="Total 9 2 27" xfId="30552" xr:uid="{C85552DA-FFB8-4954-9DD5-8CBE97E00994}"/>
    <cellStyle name="Total 9 2 28" xfId="30884" xr:uid="{42E8DCE0-F73F-4762-B068-928F17C39095}"/>
    <cellStyle name="Total 9 2 29" xfId="31054" xr:uid="{35F49096-1345-45AE-807C-990E6C85B934}"/>
    <cellStyle name="Total 9 2 3" xfId="14514" xr:uid="{90094350-615B-4ADC-BB6C-B234FDD9F5F4}"/>
    <cellStyle name="Total 9 2 30" xfId="31210" xr:uid="{ED99B59A-5E0C-47F4-9487-D9FA5EF1BEC1}"/>
    <cellStyle name="Total 9 2 31" xfId="31319" xr:uid="{2BED7FBB-1557-4228-9BD8-1D84AD47F45D}"/>
    <cellStyle name="Total 9 2 32" xfId="6927" xr:uid="{12EEDD5E-CA3F-4C82-A0B6-738A4B84C8A7}"/>
    <cellStyle name="Total 9 2 4" xfId="15271" xr:uid="{0ADDDED6-2D6A-4E36-B092-B1812DE25F9D}"/>
    <cellStyle name="Total 9 2 5" xfId="12875" xr:uid="{C6FE355B-BB80-4C24-953A-F4EA5391B0B9}"/>
    <cellStyle name="Total 9 2 6" xfId="16914" xr:uid="{6011E7D3-E39E-4190-90BB-A3B3C832AC8F}"/>
    <cellStyle name="Total 9 2 7" xfId="17779" xr:uid="{86ECAD5D-BB28-472B-B0BA-94ACC1F1A12E}"/>
    <cellStyle name="Total 9 2 8" xfId="18627" xr:uid="{D7863522-2918-4C4A-ACAC-F8FB433936E6}"/>
    <cellStyle name="Total 9 2 9" xfId="19474" xr:uid="{88274B23-CB3D-4261-9D03-B1B4137AFF16}"/>
    <cellStyle name="Total 9 3" xfId="11571" xr:uid="{15D21372-FF82-4556-BC5C-4D1125D490E4}"/>
    <cellStyle name="Warning Text" xfId="74" builtinId="11" customBuiltin="1"/>
    <cellStyle name="Warning Text 10" xfId="5080" xr:uid="{0D8B393A-3732-4E5C-81C9-3A1E3A5107E7}"/>
    <cellStyle name="Warning Text 10 2" xfId="5861" xr:uid="{C0E179E3-13B9-4F5D-B1BB-0CBC4FD6E6AC}"/>
    <cellStyle name="Warning Text 10 3" xfId="11572" xr:uid="{B7415A32-B4DA-490C-A742-6AEA1768E9F6}"/>
    <cellStyle name="Warning Text 11" xfId="5081" xr:uid="{6E7590AA-7B2C-4338-BDFB-B9EF28067A5B}"/>
    <cellStyle name="Warning Text 11 2" xfId="5862" xr:uid="{57008466-BDC5-407B-A27B-5AFC303340B0}"/>
    <cellStyle name="Warning Text 11 3" xfId="11573" xr:uid="{E2B0B679-5A93-4CBC-AE61-6F4773D8EA90}"/>
    <cellStyle name="Warning Text 12" xfId="5082" xr:uid="{DD16382E-49DA-40E0-AE3B-335F99FE0566}"/>
    <cellStyle name="Warning Text 12 2" xfId="5863" xr:uid="{847C202E-4338-4DCA-AF12-68C418A000B9}"/>
    <cellStyle name="Warning Text 12 3" xfId="11574" xr:uid="{4D0261CB-62C4-4D40-819E-4E7D703B3191}"/>
    <cellStyle name="Warning Text 13" xfId="5083" xr:uid="{ABDD6237-EB56-4C6E-8D47-8A415BB2B670}"/>
    <cellStyle name="Warning Text 13 2" xfId="5864" xr:uid="{8D620FFB-96DD-45F1-A2FC-6C04ACC3A21D}"/>
    <cellStyle name="Warning Text 13 3" xfId="11575" xr:uid="{7089743D-2C1A-4CE0-B7B6-EF1BFFFF8DE7}"/>
    <cellStyle name="Warning Text 14" xfId="5084" xr:uid="{FAA1D1E4-9867-42C5-A600-379A2EAAFA55}"/>
    <cellStyle name="Warning Text 14 2" xfId="5865" xr:uid="{13BB706F-4F27-4653-BB41-5304410C98C7}"/>
    <cellStyle name="Warning Text 14 3" xfId="11576" xr:uid="{C97969B8-60C2-437F-87C0-386A85599C09}"/>
    <cellStyle name="Warning Text 15" xfId="5085" xr:uid="{4C1B5A6C-22EB-4DDD-ADF7-BAEFA7F306A8}"/>
    <cellStyle name="Warning Text 15 2" xfId="5866" xr:uid="{45A8DB23-9D97-4A06-B0D1-87D986F52F23}"/>
    <cellStyle name="Warning Text 15 3" xfId="11577" xr:uid="{5773CE9E-302A-4762-A87E-9C00A6B33827}"/>
    <cellStyle name="Warning Text 16" xfId="5086" xr:uid="{711AF764-4016-4D9C-95C8-AA210F966368}"/>
    <cellStyle name="Warning Text 16 2" xfId="5867" xr:uid="{0F9CE2BE-7F58-4E57-A0B9-D4DE0F9BBB95}"/>
    <cellStyle name="Warning Text 16 3" xfId="11578" xr:uid="{C6E2FB09-47B5-4E61-8815-359834C283A2}"/>
    <cellStyle name="Warning Text 17" xfId="5087" xr:uid="{F315A418-31D9-4473-B953-F3741B78B028}"/>
    <cellStyle name="Warning Text 17 2" xfId="5868" xr:uid="{F060823A-D1FE-44F1-9C6B-5049D92C0BCE}"/>
    <cellStyle name="Warning Text 17 3" xfId="11579" xr:uid="{0E89C42C-CE83-4903-B6E4-6A91907C29E9}"/>
    <cellStyle name="Warning Text 18" xfId="5088" xr:uid="{0E67548F-740E-4A13-9D81-CA76B331DAF1}"/>
    <cellStyle name="Warning Text 18 2" xfId="5869" xr:uid="{12652E97-3189-407C-916E-8DA75F6D823D}"/>
    <cellStyle name="Warning Text 18 3" xfId="11580" xr:uid="{144A2425-316B-46F0-9F5B-A335E26AA471}"/>
    <cellStyle name="Warning Text 19" xfId="5089" xr:uid="{43E33229-41C8-449F-A373-DF828836D409}"/>
    <cellStyle name="Warning Text 19 2" xfId="5870" xr:uid="{25EF9E32-7F94-43DB-B266-79D73ACD3B73}"/>
    <cellStyle name="Warning Text 19 3" xfId="11581" xr:uid="{C624E770-9CB7-4602-A3F6-24FD6CE65101}"/>
    <cellStyle name="Warning Text 2" xfId="75" xr:uid="{00000000-0005-0000-0000-000054000000}"/>
    <cellStyle name="Warning Text 2 2" xfId="5871" xr:uid="{45E02145-12D4-45FC-884B-5CC4BF4FD6B8}"/>
    <cellStyle name="Warning Text 2 3" xfId="5090" xr:uid="{84947B1E-23F8-4112-B335-395BB8F5D235}"/>
    <cellStyle name="Warning Text 20" xfId="5091" xr:uid="{419B90F7-A237-4C5B-B7E9-C7A325E82B24}"/>
    <cellStyle name="Warning Text 20 2" xfId="5872" xr:uid="{6EDC341F-0C73-40F8-8DE1-D04CF23A7137}"/>
    <cellStyle name="Warning Text 20 3" xfId="11582" xr:uid="{8E20EA88-FB21-4178-A82E-94C6E1C719B5}"/>
    <cellStyle name="Warning Text 21" xfId="5092" xr:uid="{1245842A-F497-433B-87CE-C631F92EBAD2}"/>
    <cellStyle name="Warning Text 21 2" xfId="5873" xr:uid="{DB80AEE3-E4A3-4805-AFF2-9D2378E91740}"/>
    <cellStyle name="Warning Text 21 3" xfId="11583" xr:uid="{2711DD3E-6769-4FA3-985E-7477B2144109}"/>
    <cellStyle name="Warning Text 22" xfId="5093" xr:uid="{33BCE8E4-AB2C-4B78-BBD8-F4371C77B3DB}"/>
    <cellStyle name="Warning Text 22 2" xfId="5874" xr:uid="{5BD877E3-7CB2-4280-A882-388FA97D0751}"/>
    <cellStyle name="Warning Text 22 3" xfId="11584" xr:uid="{27EE5392-105E-4366-A7ED-C9D66B6B730C}"/>
    <cellStyle name="Warning Text 23" xfId="5094" xr:uid="{FF630838-8367-45C6-8846-D840D54DBBCC}"/>
    <cellStyle name="Warning Text 23 2" xfId="5875" xr:uid="{6C91EEBE-1FFB-4F6C-B1DD-29D5E7F553C7}"/>
    <cellStyle name="Warning Text 23 3" xfId="11585" xr:uid="{A96A4E51-2FA7-420F-8E02-AAA0BE467990}"/>
    <cellStyle name="Warning Text 24" xfId="5095" xr:uid="{3CC49D24-B084-4EFD-B88C-BF3FDE7E19EE}"/>
    <cellStyle name="Warning Text 24 2" xfId="5876" xr:uid="{0368A660-4051-43A3-91E8-0203B46D8E9E}"/>
    <cellStyle name="Warning Text 24 3" xfId="11586" xr:uid="{72021612-84E0-43A2-8894-6DCAC10C8760}"/>
    <cellStyle name="Warning Text 25" xfId="5096" xr:uid="{B2676442-2B6B-4FD0-A640-AD7890E007B1}"/>
    <cellStyle name="Warning Text 25 2" xfId="5877" xr:uid="{B1752E02-AE31-4FE1-81B4-7413CAED9EA4}"/>
    <cellStyle name="Warning Text 25 3" xfId="11587" xr:uid="{9A32787E-5716-447B-86C9-09B57673406D}"/>
    <cellStyle name="Warning Text 26" xfId="5097" xr:uid="{37FF3E2A-E5B5-4DDF-A893-43433C437414}"/>
    <cellStyle name="Warning Text 26 2" xfId="5878" xr:uid="{B1A98E4C-8750-4764-9F13-EFA796E9033A}"/>
    <cellStyle name="Warning Text 26 3" xfId="11588" xr:uid="{B7EFB9E1-E7D0-473E-8D20-77A74EEE144B}"/>
    <cellStyle name="Warning Text 27" xfId="5098" xr:uid="{DDB21F02-3749-49E4-9BE5-2B2E154B893A}"/>
    <cellStyle name="Warning Text 27 2" xfId="5879" xr:uid="{004614E3-72AA-48AD-8CFA-529BF2E741B4}"/>
    <cellStyle name="Warning Text 27 3" xfId="11589" xr:uid="{B9C4A8F0-0783-4FB9-A0CC-45582B9D1894}"/>
    <cellStyle name="Warning Text 28" xfId="5099" xr:uid="{26E1ED43-0B8D-4316-A546-DFE6AD060438}"/>
    <cellStyle name="Warning Text 28 2" xfId="5880" xr:uid="{69F47A73-2C94-4F53-AEC9-261363AD1543}"/>
    <cellStyle name="Warning Text 28 3" xfId="11590" xr:uid="{23EBD776-A102-4A9F-B97B-9BB764CBE41B}"/>
    <cellStyle name="Warning Text 29" xfId="5100" xr:uid="{658E2DDD-85E8-4D93-B0A5-46C2BF1A4A1B}"/>
    <cellStyle name="Warning Text 29 2" xfId="5881" xr:uid="{086DE751-2548-483B-A3B3-C12A050380EC}"/>
    <cellStyle name="Warning Text 29 3" xfId="11591" xr:uid="{4867C0A7-4D9E-43B3-B420-9E56C9E241CC}"/>
    <cellStyle name="Warning Text 3" xfId="5101" xr:uid="{C262D507-6021-49EE-A26E-3727BCE1AB9A}"/>
    <cellStyle name="Warning Text 3 2" xfId="5882" xr:uid="{BD13B60D-2765-46D6-8CA5-048F7E937FCE}"/>
    <cellStyle name="Warning Text 3 3" xfId="11592" xr:uid="{6698D8B2-FE0A-4A2E-9B93-19E404700CDB}"/>
    <cellStyle name="Warning Text 30" xfId="5102" xr:uid="{9DBABC9C-C7E4-4AA7-B10A-7F6FD28C9DEE}"/>
    <cellStyle name="Warning Text 30 2" xfId="5883" xr:uid="{0E39E327-F159-4D8E-BCAF-CE8BEE9AFBD8}"/>
    <cellStyle name="Warning Text 30 3" xfId="11593" xr:uid="{E74E8F72-961F-4CD5-BE49-861060C3EE85}"/>
    <cellStyle name="Warning Text 31" xfId="5103" xr:uid="{FCE092E0-1BA0-46E0-9115-9E1DC250ECC0}"/>
    <cellStyle name="Warning Text 31 2" xfId="5884" xr:uid="{37325396-6F2C-4C9D-A2DB-23E5691CB173}"/>
    <cellStyle name="Warning Text 31 3" xfId="11594" xr:uid="{BA6C0CA0-73F9-4FE7-B297-AE6235A666C1}"/>
    <cellStyle name="Warning Text 32" xfId="5104" xr:uid="{A2E38788-E424-4C32-983A-939171040C88}"/>
    <cellStyle name="Warning Text 32 2" xfId="5885" xr:uid="{9AFB85F5-7930-4ED4-AC57-6DB03E541230}"/>
    <cellStyle name="Warning Text 32 3" xfId="11595" xr:uid="{8BA066A6-8BA6-4048-8577-E423B47A86CC}"/>
    <cellStyle name="Warning Text 33" xfId="5105" xr:uid="{D501FC14-70BF-453B-A78D-3A693E7CF184}"/>
    <cellStyle name="Warning Text 33 2" xfId="5886" xr:uid="{0415B231-3CB0-46F5-8EA0-2B3F67C43CE0}"/>
    <cellStyle name="Warning Text 33 3" xfId="11596" xr:uid="{BE24F703-C4D2-41B7-BB37-9A7490C8DE41}"/>
    <cellStyle name="Warning Text 34" xfId="5106" xr:uid="{839693A5-EF79-48D1-A1C0-30DFC2B34833}"/>
    <cellStyle name="Warning Text 34 2" xfId="5887" xr:uid="{65E280BF-A726-4AD7-8070-D867A3DD5EEA}"/>
    <cellStyle name="Warning Text 34 3" xfId="11597" xr:uid="{95EC7082-A130-408C-8B48-A8ABB30E42D5}"/>
    <cellStyle name="Warning Text 35" xfId="5107" xr:uid="{BC512E70-C930-4BDC-BBA6-04DE490A5E62}"/>
    <cellStyle name="Warning Text 35 2" xfId="5888" xr:uid="{3BDF7C4D-FE21-4EA6-A6FB-68A3D0EE4FEE}"/>
    <cellStyle name="Warning Text 35 3" xfId="11598" xr:uid="{67E1050B-5007-46AD-A6D4-B53D954FD478}"/>
    <cellStyle name="Warning Text 36" xfId="5108" xr:uid="{D444EFAB-100F-4D2F-9970-116CC6EFED54}"/>
    <cellStyle name="Warning Text 36 2" xfId="5889" xr:uid="{0CA60D1A-3D97-4DC2-8AC5-F30B7FBA1234}"/>
    <cellStyle name="Warning Text 36 3" xfId="11599" xr:uid="{CA626A4D-456E-4BE4-8F24-A4E1049DBA21}"/>
    <cellStyle name="Warning Text 37" xfId="5109" xr:uid="{FFEB5B17-3E0D-43CC-88B6-229A8EAEA1AA}"/>
    <cellStyle name="Warning Text 37 2" xfId="5890" xr:uid="{7891A372-57DC-41B4-B0C1-E666454BB383}"/>
    <cellStyle name="Warning Text 37 3" xfId="11600" xr:uid="{D7CD8D14-EBB5-46E9-B165-A33565EE347A}"/>
    <cellStyle name="Warning Text 38" xfId="5110" xr:uid="{C5D03A85-A829-4D67-8C05-D9749A38E7CF}"/>
    <cellStyle name="Warning Text 38 2" xfId="5891" xr:uid="{8DEBF1AC-5F88-4A55-867E-3E679F727F36}"/>
    <cellStyle name="Warning Text 38 3" xfId="11601" xr:uid="{4B86CE1A-CB4F-422D-A589-1899B00F3684}"/>
    <cellStyle name="Warning Text 39" xfId="5111" xr:uid="{4180B372-1F5D-4306-A334-C1383E870DC4}"/>
    <cellStyle name="Warning Text 39 2" xfId="5892" xr:uid="{7F6097BD-5590-41E1-9623-2E0FB1C114A3}"/>
    <cellStyle name="Warning Text 39 3" xfId="11602" xr:uid="{FE4AB2E2-C696-4A86-A8A9-1434391E9F20}"/>
    <cellStyle name="Warning Text 4" xfId="5112" xr:uid="{5F665CE0-7BCE-41B0-AC38-A2C49068C381}"/>
    <cellStyle name="Warning Text 4 2" xfId="5893" xr:uid="{A129807B-AC8B-4796-B291-FE0ED6687C29}"/>
    <cellStyle name="Warning Text 4 3" xfId="11603" xr:uid="{F0F3034D-5622-4FE3-A7B4-3C1A66D241AC}"/>
    <cellStyle name="Warning Text 40" xfId="5113" xr:uid="{5CBFB880-81A9-47B3-B046-3BD02AEDB264}"/>
    <cellStyle name="Warning Text 40 2" xfId="5894" xr:uid="{724B017E-3177-4D3D-92F4-9E7E5749475A}"/>
    <cellStyle name="Warning Text 40 3" xfId="11604" xr:uid="{4A969F81-3A7B-4ECF-9D76-48A7AEE26558}"/>
    <cellStyle name="Warning Text 41" xfId="5114" xr:uid="{9F8E8B7C-1928-4F75-89C2-76CF9532948D}"/>
    <cellStyle name="Warning Text 41 2" xfId="5895" xr:uid="{A8C550EA-79D4-46A6-88F3-B0E2A951A323}"/>
    <cellStyle name="Warning Text 41 3" xfId="11605" xr:uid="{F324EA65-0E65-431D-83AD-27E3E6AEFB13}"/>
    <cellStyle name="Warning Text 42" xfId="5115" xr:uid="{A2F01872-8B63-41DA-8E32-D7D985270A9D}"/>
    <cellStyle name="Warning Text 42 2" xfId="5896" xr:uid="{05C18D9D-DB49-4D50-BBD6-6EE2E4E984F0}"/>
    <cellStyle name="Warning Text 42 3" xfId="11606" xr:uid="{FB104D4C-E1CE-4CB5-8AEB-D4C132441278}"/>
    <cellStyle name="Warning Text 43" xfId="5116" xr:uid="{12381588-1498-49B7-92B7-0B0E445D199E}"/>
    <cellStyle name="Warning Text 43 2" xfId="5897" xr:uid="{E577520E-4045-4CBF-A545-B8F016EC9124}"/>
    <cellStyle name="Warning Text 43 3" xfId="11607" xr:uid="{3102255E-5FA7-4F8B-9E3A-3404E63DE455}"/>
    <cellStyle name="Warning Text 44" xfId="5860" xr:uid="{4BF2A6C0-6EE2-44D3-B279-630C9F42E3F1}"/>
    <cellStyle name="Warning Text 45" xfId="5079" xr:uid="{D99184C1-FF22-43B7-8AC4-CCD9B67C91B2}"/>
    <cellStyle name="Warning Text 5" xfId="5117" xr:uid="{1377DD7D-6AC0-4A07-93FC-08CA4696C1E3}"/>
    <cellStyle name="Warning Text 5 2" xfId="5898" xr:uid="{C48F5267-5E96-4EBE-B1B8-360A6C07504C}"/>
    <cellStyle name="Warning Text 5 3" xfId="11608" xr:uid="{BB8589C9-7DC7-467B-B24C-83F07514805C}"/>
    <cellStyle name="Warning Text 6" xfId="5118" xr:uid="{2D8721EF-31E7-4815-A182-D83490ED4089}"/>
    <cellStyle name="Warning Text 6 2" xfId="5899" xr:uid="{946DC9E9-4C42-451F-A3B8-5A7F36FBCFA8}"/>
    <cellStyle name="Warning Text 6 3" xfId="11609" xr:uid="{35BBCFC1-0083-4285-B97D-2E7A0A987E54}"/>
    <cellStyle name="Warning Text 7" xfId="5119" xr:uid="{F9A25287-EBA1-4A70-B16F-9ABB7C907DD4}"/>
    <cellStyle name="Warning Text 7 2" xfId="5900" xr:uid="{AB4D7BF8-91E0-45D9-8EA1-8CF307783E40}"/>
    <cellStyle name="Warning Text 7 3" xfId="11610" xr:uid="{F512CCBC-F731-4994-9E8E-A182630DD57E}"/>
    <cellStyle name="Warning Text 8" xfId="5120" xr:uid="{D9E23E38-5664-467A-8998-67521790950B}"/>
    <cellStyle name="Warning Text 8 2" xfId="5901" xr:uid="{37EA2EC2-CE2C-4830-8878-C5F4770862C7}"/>
    <cellStyle name="Warning Text 8 3" xfId="11611" xr:uid="{CB7C967D-3859-4C70-8908-B467276FAAC2}"/>
    <cellStyle name="Warning Text 9" xfId="5121" xr:uid="{747C5AC1-54E6-4B30-A72A-E1759414E35A}"/>
    <cellStyle name="Warning Text 9 2" xfId="5902" xr:uid="{C6DB7695-F324-4AB6-90FA-F2BD63418D6C}"/>
    <cellStyle name="Warning Text 9 3" xfId="11612" xr:uid="{B5C6F75D-4677-41B0-AB48-DD550FB8F642}"/>
  </cellStyles>
  <dxfs count="117">
    <dxf>
      <font>
        <color rgb="FF00B050"/>
      </font>
    </dxf>
    <dxf>
      <fill>
        <patternFill patternType="gray125"/>
      </fill>
    </dxf>
    <dxf>
      <fill>
        <patternFill patternType="gray125"/>
      </fill>
    </dxf>
    <dxf>
      <fill>
        <patternFill patternType="gray125"/>
      </fill>
    </dxf>
    <dxf>
      <fill>
        <patternFill patternType="gray125"/>
      </fill>
    </dxf>
    <dxf>
      <fill>
        <patternFill>
          <bgColor theme="0"/>
        </patternFill>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border>
        <left style="thin">
          <color auto="1"/>
        </left>
        <right style="thin">
          <color auto="1"/>
        </right>
        <top style="thin">
          <color auto="1"/>
        </top>
        <bottom style="thin">
          <color auto="1"/>
        </bottom>
      </border>
    </dxf>
    <dxf>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indexed="8"/>
        <name val="Calibri"/>
        <scheme val="none"/>
      </font>
      <fill>
        <patternFill patternType="solid">
          <fgColor indexed="64"/>
          <bgColor indexed="22"/>
        </patternFill>
      </fill>
      <alignment horizontal="center" vertical="center" textRotation="0" wrapText="0" indent="0" justifyLastLine="0" shrinkToFit="0" readingOrder="0"/>
    </dxf>
    <dxf>
      <font>
        <b val="0"/>
        <i val="0"/>
        <strike val="0"/>
        <condense val="0"/>
        <extend val="0"/>
        <outline val="0"/>
        <shadow val="0"/>
        <u val="none"/>
        <vertAlign val="baseline"/>
        <sz val="10"/>
        <color indexed="8"/>
        <name val="Calibri"/>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indexed="8"/>
        <name val="Calibri"/>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9" formatCode="m/d/yyyy"/>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5" formatCode="#,##0_);\(#,##0\)"/>
    </dxf>
    <dxf>
      <numFmt numFmtId="167" formatCode="##."/>
      <alignment horizontal="center" vertical="center" textRotation="0" wrapText="0" indent="0" justifyLastLine="0" shrinkToFit="0" readingOrder="0"/>
    </dxf>
    <dxf>
      <border outline="0">
        <top style="thin">
          <color rgb="FF000000"/>
        </top>
      </border>
    </dxf>
    <dxf>
      <border outline="0">
        <left style="thin">
          <color rgb="FF000000"/>
        </left>
        <right style="thin">
          <color rgb="FF000000"/>
        </right>
        <top style="thin">
          <color rgb="FF000000"/>
        </top>
        <bottom style="medium">
          <color rgb="FF000000"/>
        </bottom>
      </border>
    </dxf>
    <dxf>
      <border outline="0">
        <bottom style="thin">
          <color rgb="FF000000"/>
        </bottom>
      </border>
    </dxf>
    <dxf>
      <fill>
        <patternFill patternType="solid">
          <fgColor indexed="64"/>
          <bgColor indexed="22"/>
        </patternFill>
      </fill>
      <alignment horizontal="center" vertical="bottom" textRotation="0" wrapText="1" indent="0" justifyLastLine="0" shrinkToFit="0" readingOrder="0"/>
      <border diagonalUp="0" diagonalDown="0" outline="0">
        <left style="thin">
          <color indexed="64"/>
        </left>
        <right style="thin">
          <color indexed="64"/>
        </right>
        <top/>
        <bottom/>
      </border>
    </dxf>
    <dxf>
      <font>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indexed="8"/>
        <name val="Calibri"/>
        <scheme val="none"/>
      </font>
      <fill>
        <patternFill patternType="solid">
          <fgColor indexed="64"/>
          <bgColor indexed="22"/>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color theme="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color theme="1"/>
        <name val="Calibri"/>
        <family val="2"/>
        <scheme val="minor"/>
      </font>
      <numFmt numFmtId="19" formatCode="m/d/yyyy"/>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5" formatCode="#,##0_);\(#,##0\)"/>
    </dxf>
    <dxf>
      <numFmt numFmtId="167" formatCode="##."/>
      <alignment horizontal="center" vertical="center" textRotation="0" wrapText="0" indent="0" justifyLastLine="0" shrinkToFit="0" readingOrder="0"/>
    </dxf>
    <dxf>
      <border outline="0">
        <top style="thin">
          <color indexed="64"/>
        </top>
      </border>
    </dxf>
    <dxf>
      <border outline="0">
        <left style="thin">
          <color indexed="64"/>
        </left>
        <right style="thin">
          <color indexed="64"/>
        </right>
        <top style="thin">
          <color indexed="64"/>
        </top>
        <bottom style="medium">
          <color indexed="64"/>
        </bottom>
      </border>
    </dxf>
    <dxf>
      <border outline="0">
        <bottom style="thin">
          <color indexed="64"/>
        </bottom>
      </border>
    </dxf>
    <dxf>
      <fill>
        <patternFill patternType="solid">
          <fgColor indexed="64"/>
          <bgColor indexed="22"/>
        </patternFill>
      </fill>
      <alignment horizontal="center"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55"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extLst>
              <c:ext xmlns:c16="http://schemas.microsoft.com/office/drawing/2014/chart" uri="{C3380CC4-5D6E-409C-BE32-E72D297353CC}">
                <c16:uniqueId val="{00000000-C1A4-432B-BBD5-DF8D4A47577D}"/>
              </c:ext>
            </c:extLst>
          </c:dPt>
          <c:dPt>
            <c:idx val="1"/>
            <c:bubble3D val="0"/>
            <c:extLst>
              <c:ext xmlns:c16="http://schemas.microsoft.com/office/drawing/2014/chart" uri="{C3380CC4-5D6E-409C-BE32-E72D297353CC}">
                <c16:uniqueId val="{00000001-C1A4-432B-BBD5-DF8D4A47577D}"/>
              </c:ext>
            </c:extLst>
          </c:dPt>
          <c:dPt>
            <c:idx val="2"/>
            <c:bubble3D val="0"/>
            <c:extLst>
              <c:ext xmlns:c16="http://schemas.microsoft.com/office/drawing/2014/chart" uri="{C3380CC4-5D6E-409C-BE32-E72D297353CC}">
                <c16:uniqueId val="{00000002-C1A4-432B-BBD5-DF8D4A47577D}"/>
              </c:ext>
            </c:extLst>
          </c:dPt>
          <c:dPt>
            <c:idx val="3"/>
            <c:bubble3D val="0"/>
            <c:extLst>
              <c:ext xmlns:c16="http://schemas.microsoft.com/office/drawing/2014/chart" uri="{C3380CC4-5D6E-409C-BE32-E72D297353CC}">
                <c16:uniqueId val="{00000003-C1A4-432B-BBD5-DF8D4A47577D}"/>
              </c:ext>
            </c:extLst>
          </c:dPt>
          <c:dPt>
            <c:idx val="4"/>
            <c:bubble3D val="0"/>
            <c:extLst>
              <c:ext xmlns:c16="http://schemas.microsoft.com/office/drawing/2014/chart" uri="{C3380CC4-5D6E-409C-BE32-E72D297353CC}">
                <c16:uniqueId val="{00000004-C1A4-432B-BBD5-DF8D4A47577D}"/>
              </c:ext>
            </c:extLst>
          </c:dPt>
          <c:dPt>
            <c:idx val="5"/>
            <c:bubble3D val="0"/>
            <c:extLst>
              <c:ext xmlns:c16="http://schemas.microsoft.com/office/drawing/2014/chart" uri="{C3380CC4-5D6E-409C-BE32-E72D297353CC}">
                <c16:uniqueId val="{00000005-C1A4-432B-BBD5-DF8D4A47577D}"/>
              </c:ext>
            </c:extLst>
          </c:dPt>
          <c:dLbls>
            <c:dLbl>
              <c:idx val="3"/>
              <c:layout>
                <c:manualLayout>
                  <c:x val="1.3259542522924527E-2"/>
                  <c:y val="-6.0735320021036335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1A4-432B-BBD5-DF8D4A47577D}"/>
                </c:ext>
              </c:extLst>
            </c:dLbl>
            <c:dLbl>
              <c:idx val="4"/>
              <c:layout>
                <c:manualLayout>
                  <c:x val="3.6318834172271421E-2"/>
                  <c:y val="-7.1536134375402738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C1A4-432B-BBD5-DF8D4A47577D}"/>
                </c:ext>
              </c:extLst>
            </c:dLbl>
            <c:dLbl>
              <c:idx val="5"/>
              <c:layout>
                <c:manualLayout>
                  <c:x val="7.8007380060250792E-2"/>
                  <c:y val="-1.2032555268425933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C1A4-432B-BBD5-DF8D4A47577D}"/>
                </c:ext>
              </c:extLst>
            </c:dLbl>
            <c:spPr>
              <a:noFill/>
              <a:ln>
                <a:noFill/>
              </a:ln>
              <a:effectLst/>
            </c:spPr>
            <c:txPr>
              <a:bodyPr/>
              <a:lstStyle/>
              <a:p>
                <a:pPr>
                  <a:defRPr sz="1000" b="0" i="0" u="none" strike="noStrike" baseline="0">
                    <a:solidFill>
                      <a:srgbClr val="000000"/>
                    </a:solidFill>
                    <a:latin typeface="Calibri"/>
                    <a:ea typeface="Calibri"/>
                    <a:cs typeface="Calibri"/>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'Table 3'!$B$9:$B$14</c:f>
              <c:strCache>
                <c:ptCount val="6"/>
                <c:pt idx="0">
                  <c:v>Planning / Design</c:v>
                </c:pt>
                <c:pt idx="1">
                  <c:v>Marketing &amp; Delivery</c:v>
                </c:pt>
                <c:pt idx="2">
                  <c:v>Incentives / Direct Install Costs</c:v>
                </c:pt>
                <c:pt idx="3">
                  <c:v>EM&amp;V</c:v>
                </c:pt>
                <c:pt idx="4">
                  <c:v>Administration</c:v>
                </c:pt>
                <c:pt idx="5">
                  <c:v>Regulatory</c:v>
                </c:pt>
              </c:strCache>
            </c:strRef>
          </c:cat>
          <c:val>
            <c:numRef>
              <c:f>'Table 3'!$F$9:$F$14</c:f>
              <c:numCache>
                <c:formatCode>_(* #,##0_);_(* \(#,##0\);_(* "-"_);_(@_)</c:formatCode>
                <c:ptCount val="6"/>
                <c:pt idx="0">
                  <c:v>0</c:v>
                </c:pt>
                <c:pt idx="1">
                  <c:v>22123047.739999998</c:v>
                </c:pt>
                <c:pt idx="2">
                  <c:v>33579749.659999996</c:v>
                </c:pt>
                <c:pt idx="3">
                  <c:v>1575183.1500000011</c:v>
                </c:pt>
                <c:pt idx="4">
                  <c:v>1936332.4100000001</c:v>
                </c:pt>
                <c:pt idx="5">
                  <c:v>23019.69</c:v>
                </c:pt>
              </c:numCache>
            </c:numRef>
          </c:val>
          <c:extLst>
            <c:ext xmlns:c16="http://schemas.microsoft.com/office/drawing/2014/chart" uri="{C3380CC4-5D6E-409C-BE32-E72D297353CC}">
              <c16:uniqueId val="{00000006-C1A4-432B-BBD5-DF8D4A47577D}"/>
            </c:ext>
          </c:extLst>
        </c:ser>
        <c:dLbls>
          <c:showLegendKey val="0"/>
          <c:showVal val="0"/>
          <c:showCatName val="0"/>
          <c:showSerName val="0"/>
          <c:showPercent val="0"/>
          <c:showBubbleSize val="0"/>
          <c:showLeaderLines val="1"/>
        </c:dLbls>
        <c:firstSliceAng val="90"/>
      </c:pieChart>
      <c:spPr>
        <a:noFill/>
        <a:ln w="25400">
          <a:no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2"/>
          <c:order val="2"/>
          <c:tx>
            <c:strRef>
              <c:f>'Table 4'!$M$8</c:f>
              <c:strCache>
                <c:ptCount val="1"/>
                <c:pt idx="0">
                  <c:v>Net Annual Savings
(f)</c:v>
                </c:pt>
              </c:strCache>
            </c:strRef>
          </c:tx>
          <c:invertIfNegative val="0"/>
          <c:val>
            <c:numRef>
              <c:f>'Table 4'!$M$10:$M$14</c:f>
              <c:numCache>
                <c:formatCode>_(* #,##0_);_(* \(#,##0\);_(* "-"_);_(@_)</c:formatCode>
                <c:ptCount val="5"/>
                <c:pt idx="0">
                  <c:v>311158</c:v>
                </c:pt>
                <c:pt idx="1">
                  <c:v>292926</c:v>
                </c:pt>
                <c:pt idx="2">
                  <c:v>283028</c:v>
                </c:pt>
                <c:pt idx="3">
                  <c:v>251696</c:v>
                </c:pt>
                <c:pt idx="4">
                  <c:v>255840.15398199405</c:v>
                </c:pt>
              </c:numCache>
            </c:numRef>
          </c:val>
          <c:extLst>
            <c:ext xmlns:c16="http://schemas.microsoft.com/office/drawing/2014/chart" uri="{C3380CC4-5D6E-409C-BE32-E72D297353CC}">
              <c16:uniqueId val="{00000000-4117-4A90-B4CD-36CEE730810B}"/>
            </c:ext>
          </c:extLst>
        </c:ser>
        <c:dLbls>
          <c:showLegendKey val="0"/>
          <c:showVal val="0"/>
          <c:showCatName val="0"/>
          <c:showSerName val="0"/>
          <c:showPercent val="0"/>
          <c:showBubbleSize val="0"/>
        </c:dLbls>
        <c:gapWidth val="150"/>
        <c:axId val="132784896"/>
        <c:axId val="132786432"/>
      </c:barChart>
      <c:lineChart>
        <c:grouping val="standard"/>
        <c:varyColors val="0"/>
        <c:ser>
          <c:idx val="0"/>
          <c:order val="0"/>
          <c:tx>
            <c:strRef>
              <c:f>'Table 4'!$G$8</c:f>
              <c:strCache>
                <c:ptCount val="1"/>
                <c:pt idx="0">
                  <c:v>Portfolio Spending
(c)</c:v>
                </c:pt>
              </c:strCache>
            </c:strRef>
          </c:tx>
          <c:marker>
            <c:symbol val="none"/>
          </c:marker>
          <c:cat>
            <c:numRef>
              <c:f>'Table 4'!$B$10:$B$14</c:f>
              <c:numCache>
                <c:formatCode>General</c:formatCode>
                <c:ptCount val="5"/>
                <c:pt idx="0">
                  <c:v>2021</c:v>
                </c:pt>
                <c:pt idx="1">
                  <c:v>2022</c:v>
                </c:pt>
                <c:pt idx="2">
                  <c:v>2023</c:v>
                </c:pt>
                <c:pt idx="3">
                  <c:v>2024</c:v>
                </c:pt>
                <c:pt idx="4">
                  <c:v>2025</c:v>
                </c:pt>
              </c:numCache>
            </c:numRef>
          </c:cat>
          <c:val>
            <c:numRef>
              <c:f>'Table 4'!$G$10:$G$14</c:f>
              <c:numCache>
                <c:formatCode>_("$"* #,##0_);_("$"* \(#,##0\);_("$"* "-"??_);_(@_)</c:formatCode>
                <c:ptCount val="5"/>
                <c:pt idx="0">
                  <c:v>58872.09135000001</c:v>
                </c:pt>
                <c:pt idx="1">
                  <c:v>59151.985549999998</c:v>
                </c:pt>
                <c:pt idx="2">
                  <c:v>58224.010772999995</c:v>
                </c:pt>
                <c:pt idx="3">
                  <c:v>58231.942300000002</c:v>
                </c:pt>
                <c:pt idx="4">
                  <c:v>59237.332649999989</c:v>
                </c:pt>
              </c:numCache>
            </c:numRef>
          </c:val>
          <c:smooth val="0"/>
          <c:extLst>
            <c:ext xmlns:c16="http://schemas.microsoft.com/office/drawing/2014/chart" uri="{C3380CC4-5D6E-409C-BE32-E72D297353CC}">
              <c16:uniqueId val="{00000001-4117-4A90-B4CD-36CEE730810B}"/>
            </c:ext>
          </c:extLst>
        </c:ser>
        <c:ser>
          <c:idx val="1"/>
          <c:order val="1"/>
          <c:tx>
            <c:strRef>
              <c:f>'Table 4'!$E$8</c:f>
              <c:strCache>
                <c:ptCount val="1"/>
                <c:pt idx="0">
                  <c:v>Portfolio Budget
(b)</c:v>
                </c:pt>
              </c:strCache>
            </c:strRef>
          </c:tx>
          <c:marker>
            <c:symbol val="none"/>
          </c:marker>
          <c:val>
            <c:numRef>
              <c:f>'Table 4'!$E$10:$E$14</c:f>
              <c:numCache>
                <c:formatCode>_("$"* #,##0_);_("$"* \(#,##0\);_("$"* "-"??_);_(@_)</c:formatCode>
                <c:ptCount val="5"/>
                <c:pt idx="0">
                  <c:v>69584.73869199022</c:v>
                </c:pt>
                <c:pt idx="1">
                  <c:v>69354.507308657878</c:v>
                </c:pt>
                <c:pt idx="2">
                  <c:v>69354.507308657878</c:v>
                </c:pt>
                <c:pt idx="3">
                  <c:v>73679.986999999994</c:v>
                </c:pt>
                <c:pt idx="4">
                  <c:v>74300.190334827334</c:v>
                </c:pt>
              </c:numCache>
            </c:numRef>
          </c:val>
          <c:smooth val="0"/>
          <c:extLst>
            <c:ext xmlns:c16="http://schemas.microsoft.com/office/drawing/2014/chart" uri="{C3380CC4-5D6E-409C-BE32-E72D297353CC}">
              <c16:uniqueId val="{00000002-4117-4A90-B4CD-36CEE730810B}"/>
            </c:ext>
          </c:extLst>
        </c:ser>
        <c:dLbls>
          <c:showLegendKey val="0"/>
          <c:showVal val="0"/>
          <c:showCatName val="0"/>
          <c:showSerName val="0"/>
          <c:showPercent val="0"/>
          <c:showBubbleSize val="0"/>
        </c:dLbls>
        <c:marker val="1"/>
        <c:smooth val="0"/>
        <c:axId val="132773376"/>
        <c:axId val="132774912"/>
      </c:lineChart>
      <c:catAx>
        <c:axId val="132773376"/>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32774912"/>
        <c:crosses val="autoZero"/>
        <c:auto val="1"/>
        <c:lblAlgn val="ctr"/>
        <c:lblOffset val="100"/>
        <c:noMultiLvlLbl val="0"/>
      </c:catAx>
      <c:valAx>
        <c:axId val="132774912"/>
        <c:scaling>
          <c:orientation val="minMax"/>
        </c:scaling>
        <c:delete val="0"/>
        <c:axPos val="l"/>
        <c:majorGridlines/>
        <c:numFmt formatCode="_(&quot;$&quot;* #,##0_);_(&quot;$&quot;* \(#,##0\);_(&quot;$&quot;*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32773376"/>
        <c:crosses val="autoZero"/>
        <c:crossBetween val="between"/>
      </c:valAx>
      <c:catAx>
        <c:axId val="132784896"/>
        <c:scaling>
          <c:orientation val="minMax"/>
        </c:scaling>
        <c:delete val="1"/>
        <c:axPos val="b"/>
        <c:majorTickMark val="out"/>
        <c:minorTickMark val="none"/>
        <c:tickLblPos val="nextTo"/>
        <c:crossAx val="132786432"/>
        <c:crosses val="autoZero"/>
        <c:auto val="1"/>
        <c:lblAlgn val="ctr"/>
        <c:lblOffset val="100"/>
        <c:noMultiLvlLbl val="0"/>
      </c:catAx>
      <c:valAx>
        <c:axId val="132786432"/>
        <c:scaling>
          <c:orientation val="minMax"/>
        </c:scaling>
        <c:delete val="0"/>
        <c:axPos val="r"/>
        <c:numFmt formatCode="_(* #,##0_);_(* \(#,##0\);_(*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32784896"/>
        <c:crosses val="max"/>
        <c:crossBetween val="between"/>
      </c:valAx>
    </c:plotArea>
    <c:legend>
      <c:legendPos val="r"/>
      <c:legendEntry>
        <c:idx val="0"/>
        <c:txPr>
          <a:bodyPr/>
          <a:lstStyle/>
          <a:p>
            <a:pPr>
              <a:defRPr sz="700" b="0" i="0" u="none" strike="noStrike" baseline="0">
                <a:solidFill>
                  <a:srgbClr val="000000"/>
                </a:solidFill>
                <a:latin typeface="Calibri"/>
                <a:ea typeface="Calibri"/>
                <a:cs typeface="Calibri"/>
              </a:defRPr>
            </a:pPr>
            <a:endParaRPr lang="en-US"/>
          </a:p>
        </c:txPr>
      </c:legendEntry>
      <c:legendEntry>
        <c:idx val="1"/>
        <c:txPr>
          <a:bodyPr/>
          <a:lstStyle/>
          <a:p>
            <a:pPr>
              <a:defRPr sz="700" b="0" i="0" u="none" strike="noStrike" baseline="0">
                <a:solidFill>
                  <a:srgbClr val="000000"/>
                </a:solidFill>
                <a:latin typeface="Calibri"/>
                <a:ea typeface="Calibri"/>
                <a:cs typeface="Calibri"/>
              </a:defRPr>
            </a:pPr>
            <a:endParaRPr lang="en-US"/>
          </a:p>
        </c:txPr>
      </c:legendEntry>
      <c:layout>
        <c:manualLayout>
          <c:xMode val="edge"/>
          <c:yMode val="edge"/>
          <c:x val="0.8079896907216495"/>
          <c:y val="0.16216216216216217"/>
          <c:w val="0.18685567010309279"/>
          <c:h val="0.64864864864864868"/>
        </c:manualLayout>
      </c:layout>
      <c:overlay val="0"/>
      <c:txPr>
        <a:bodyPr/>
        <a:lstStyle/>
        <a:p>
          <a:pPr>
            <a:defRPr sz="7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98283250307997"/>
          <c:y val="6.5501591062179176E-2"/>
          <c:w val="0.77659555948363601"/>
          <c:h val="0.56494042227022512"/>
        </c:manualLayout>
      </c:layout>
      <c:barChart>
        <c:barDir val="col"/>
        <c:grouping val="clustered"/>
        <c:varyColors val="0"/>
        <c:ser>
          <c:idx val="0"/>
          <c:order val="0"/>
          <c:tx>
            <c:strRef>
              <c:f>'Table 5'!$F$8:$H$8</c:f>
              <c:strCache>
                <c:ptCount val="1"/>
                <c:pt idx="0">
                  <c:v>Energy Savings (kWh)</c:v>
                </c:pt>
              </c:strCache>
            </c:strRef>
          </c:tx>
          <c:invertIfNegative val="0"/>
          <c:cat>
            <c:strRef>
              <c:f>'Table 5'!$B$10:$B$12</c:f>
              <c:strCache>
                <c:ptCount val="3"/>
                <c:pt idx="0">
                  <c:v> Program Year 2023 </c:v>
                </c:pt>
                <c:pt idx="1">
                  <c:v> Program Year 2024 </c:v>
                </c:pt>
                <c:pt idx="2">
                  <c:v> Program Year 2025 </c:v>
                </c:pt>
              </c:strCache>
            </c:strRef>
          </c:cat>
          <c:val>
            <c:numRef>
              <c:f>'Table 5'!$G$10:$G$12</c:f>
              <c:numCache>
                <c:formatCode>#,##0_);\(#,##0\)</c:formatCode>
                <c:ptCount val="3"/>
                <c:pt idx="0">
                  <c:v>0</c:v>
                </c:pt>
                <c:pt idx="1">
                  <c:v>0</c:v>
                </c:pt>
                <c:pt idx="2">
                  <c:v>0</c:v>
                </c:pt>
              </c:numCache>
            </c:numRef>
          </c:val>
          <c:extLst>
            <c:ext xmlns:c16="http://schemas.microsoft.com/office/drawing/2014/chart" uri="{C3380CC4-5D6E-409C-BE32-E72D297353CC}">
              <c16:uniqueId val="{00000000-7D1A-4431-8407-000B1BF3B5B0}"/>
            </c:ext>
          </c:extLst>
        </c:ser>
        <c:dLbls>
          <c:showLegendKey val="0"/>
          <c:showVal val="0"/>
          <c:showCatName val="0"/>
          <c:showSerName val="0"/>
          <c:showPercent val="0"/>
          <c:showBubbleSize val="0"/>
        </c:dLbls>
        <c:gapWidth val="150"/>
        <c:axId val="132856064"/>
        <c:axId val="132866048"/>
      </c:barChart>
      <c:lineChart>
        <c:grouping val="standard"/>
        <c:varyColors val="0"/>
        <c:ser>
          <c:idx val="1"/>
          <c:order val="1"/>
          <c:tx>
            <c:strRef>
              <c:f>'Table 5'!$C$9</c:f>
              <c:strCache>
                <c:ptCount val="1"/>
                <c:pt idx="0">
                  <c:v>Budget</c:v>
                </c:pt>
              </c:strCache>
            </c:strRef>
          </c:tx>
          <c:marker>
            <c:symbol val="none"/>
          </c:marker>
          <c:cat>
            <c:strRef>
              <c:f>'Table 5'!$B$10:$B$12</c:f>
              <c:strCache>
                <c:ptCount val="3"/>
                <c:pt idx="0">
                  <c:v> Program Year 2023 </c:v>
                </c:pt>
                <c:pt idx="1">
                  <c:v> Program Year 2024 </c:v>
                </c:pt>
                <c:pt idx="2">
                  <c:v> Program Year 2025 </c:v>
                </c:pt>
              </c:strCache>
            </c:strRef>
          </c:cat>
          <c:val>
            <c:numRef>
              <c:f>'Table 5'!$C$10:$C$12</c:f>
              <c:numCache>
                <c:formatCode>_("$"* #,##0_);_("$"* \(#,##0\);_("$"* "-"_);_(@_)</c:formatCode>
                <c:ptCount val="3"/>
                <c:pt idx="0">
                  <c:v>3918060.3574844673</c:v>
                </c:pt>
                <c:pt idx="1">
                  <c:v>3764178.5300000007</c:v>
                </c:pt>
                <c:pt idx="2">
                  <c:v>3797839.0106500001</c:v>
                </c:pt>
              </c:numCache>
            </c:numRef>
          </c:val>
          <c:smooth val="0"/>
          <c:extLst>
            <c:ext xmlns:c16="http://schemas.microsoft.com/office/drawing/2014/chart" uri="{C3380CC4-5D6E-409C-BE32-E72D297353CC}">
              <c16:uniqueId val="{00000001-7D1A-4431-8407-000B1BF3B5B0}"/>
            </c:ext>
          </c:extLst>
        </c:ser>
        <c:ser>
          <c:idx val="2"/>
          <c:order val="2"/>
          <c:tx>
            <c:strRef>
              <c:f>'Table 5'!$D$9</c:f>
              <c:strCache>
                <c:ptCount val="1"/>
                <c:pt idx="0">
                  <c:v>Actual</c:v>
                </c:pt>
              </c:strCache>
            </c:strRef>
          </c:tx>
          <c:marker>
            <c:symbol val="none"/>
          </c:marker>
          <c:val>
            <c:numRef>
              <c:f>'Table 5'!$D$10:$D$12</c:f>
              <c:numCache>
                <c:formatCode>_("$"* #,##0_);_("$"* \(#,##0\);_("$"* "-"_);_(@_)</c:formatCode>
                <c:ptCount val="3"/>
                <c:pt idx="0">
                  <c:v>3869623.1611385327</c:v>
                </c:pt>
                <c:pt idx="1">
                  <c:v>3669706.2477223007</c:v>
                </c:pt>
                <c:pt idx="2">
                  <c:v>3721323.8753131311</c:v>
                </c:pt>
              </c:numCache>
            </c:numRef>
          </c:val>
          <c:smooth val="0"/>
          <c:extLst>
            <c:ext xmlns:c16="http://schemas.microsoft.com/office/drawing/2014/chart" uri="{C3380CC4-5D6E-409C-BE32-E72D297353CC}">
              <c16:uniqueId val="{00000002-7D1A-4431-8407-000B1BF3B5B0}"/>
            </c:ext>
          </c:extLst>
        </c:ser>
        <c:dLbls>
          <c:showLegendKey val="0"/>
          <c:showVal val="0"/>
          <c:showCatName val="0"/>
          <c:showSerName val="0"/>
          <c:showPercent val="0"/>
          <c:showBubbleSize val="0"/>
        </c:dLbls>
        <c:marker val="1"/>
        <c:smooth val="0"/>
        <c:axId val="132840448"/>
        <c:axId val="132854528"/>
      </c:lineChart>
      <c:catAx>
        <c:axId val="132840448"/>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32854528"/>
        <c:crosses val="autoZero"/>
        <c:auto val="1"/>
        <c:lblAlgn val="ctr"/>
        <c:lblOffset val="100"/>
        <c:noMultiLvlLbl val="0"/>
      </c:catAx>
      <c:valAx>
        <c:axId val="132854528"/>
        <c:scaling>
          <c:orientation val="minMax"/>
        </c:scaling>
        <c:delete val="0"/>
        <c:axPos val="l"/>
        <c:majorGridlines/>
        <c:numFmt formatCode="_(&quot;$&quot;* #,##0_);_(&quot;$&quot;* \(#,##0\);_(&quot;$&quot;*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32840448"/>
        <c:crosses val="autoZero"/>
        <c:crossBetween val="between"/>
      </c:valAx>
      <c:catAx>
        <c:axId val="132856064"/>
        <c:scaling>
          <c:orientation val="minMax"/>
        </c:scaling>
        <c:delete val="1"/>
        <c:axPos val="b"/>
        <c:numFmt formatCode="General" sourceLinked="1"/>
        <c:majorTickMark val="out"/>
        <c:minorTickMark val="none"/>
        <c:tickLblPos val="nextTo"/>
        <c:crossAx val="132866048"/>
        <c:crosses val="autoZero"/>
        <c:auto val="1"/>
        <c:lblAlgn val="ctr"/>
        <c:lblOffset val="100"/>
        <c:noMultiLvlLbl val="0"/>
      </c:catAx>
      <c:valAx>
        <c:axId val="132866048"/>
        <c:scaling>
          <c:orientation val="minMax"/>
        </c:scaling>
        <c:delete val="0"/>
        <c:axPos val="r"/>
        <c:numFmt formatCode="#,##0_);\(#,##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32856064"/>
        <c:crosses val="max"/>
        <c:crossBetween val="between"/>
      </c:valAx>
    </c:plotArea>
    <c:legend>
      <c:legendPos val="r"/>
      <c:legendEntry>
        <c:idx val="0"/>
        <c:txPr>
          <a:bodyPr/>
          <a:lstStyle/>
          <a:p>
            <a:pPr>
              <a:defRPr sz="900" b="0" i="0" u="none" strike="noStrike" baseline="0">
                <a:solidFill>
                  <a:srgbClr val="000000"/>
                </a:solidFill>
                <a:latin typeface="Calibri"/>
                <a:ea typeface="Calibri"/>
                <a:cs typeface="Calibri"/>
              </a:defRPr>
            </a:pPr>
            <a:endParaRPr lang="en-US"/>
          </a:p>
        </c:txPr>
      </c:legendEntry>
      <c:legendEntry>
        <c:idx val="1"/>
        <c:txPr>
          <a:bodyPr/>
          <a:lstStyle/>
          <a:p>
            <a:pPr>
              <a:defRPr sz="800" b="0" i="0" u="none" strike="noStrike" baseline="0">
                <a:solidFill>
                  <a:srgbClr val="000000"/>
                </a:solidFill>
                <a:latin typeface="Calibri"/>
                <a:ea typeface="Calibri"/>
                <a:cs typeface="Calibri"/>
              </a:defRPr>
            </a:pPr>
            <a:endParaRPr lang="en-US"/>
          </a:p>
        </c:txPr>
      </c:legendEntry>
      <c:legendEntry>
        <c:idx val="2"/>
        <c:txPr>
          <a:bodyPr/>
          <a:lstStyle/>
          <a:p>
            <a:pPr>
              <a:defRPr sz="800" b="0" i="0" u="none" strike="noStrike" baseline="0">
                <a:solidFill>
                  <a:srgbClr val="000000"/>
                </a:solidFill>
                <a:latin typeface="Calibri"/>
                <a:ea typeface="Calibri"/>
                <a:cs typeface="Calibri"/>
              </a:defRPr>
            </a:pPr>
            <a:endParaRPr lang="en-US"/>
          </a:p>
        </c:txPr>
      </c:legendEntry>
      <c:layout>
        <c:manualLayout>
          <c:xMode val="edge"/>
          <c:yMode val="edge"/>
          <c:x val="0.17002518891687657"/>
          <c:y val="0.75663902631640068"/>
          <c:w val="0.68513853904282118"/>
          <c:h val="0.22123940259679931"/>
        </c:manualLayout>
      </c:layout>
      <c:overlay val="0"/>
      <c:txPr>
        <a:bodyPr/>
        <a:lstStyle/>
        <a:p>
          <a:pPr>
            <a:defRPr sz="5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800" b="1" i="0" u="none" strike="noStrike" baseline="0">
              <a:solidFill>
                <a:srgbClr val="000000"/>
              </a:solidFill>
              <a:latin typeface="Calibri"/>
              <a:ea typeface="Calibri"/>
              <a:cs typeface="Calibri"/>
            </a:defRPr>
          </a:pPr>
          <a:endParaRPr lang="en-US"/>
        </a:p>
      </c:txPr>
    </c:title>
    <c:autoTitleDeleted val="0"/>
    <c:plotArea>
      <c:layout/>
      <c:barChart>
        <c:barDir val="bar"/>
        <c:grouping val="clustered"/>
        <c:varyColors val="0"/>
        <c:ser>
          <c:idx val="0"/>
          <c:order val="0"/>
          <c:tx>
            <c:strRef>
              <c:f>'Report 1'!$D$6</c:f>
              <c:strCache>
                <c:ptCount val="1"/>
                <c:pt idx="0">
                  <c:v>Costs</c:v>
                </c:pt>
              </c:strCache>
            </c:strRef>
          </c:tx>
          <c:invertIfNegative val="0"/>
          <c:cat>
            <c:strRef>
              <c:f>Tables!$B$107:$B$126</c:f>
              <c:strCache>
                <c:ptCount val="20"/>
                <c:pt idx="0">
                  <c:v>Large Commercial &amp; Industrial Solutions</c:v>
                </c:pt>
                <c:pt idx="1">
                  <c:v>Home Energy Solutions</c:v>
                </c:pt>
                <c:pt idx="2">
                  <c:v>Point of Purchase Solutions</c:v>
                </c:pt>
                <c:pt idx="3">
                  <c:v>Smart Direct Load Control Pilot </c:v>
                </c:pt>
                <c:pt idx="4">
                  <c:v>Low-Income Solutions </c:v>
                </c:pt>
                <c:pt idx="5">
                  <c:v>Agricultural Irrigation Load Control</c:v>
                </c:pt>
                <c:pt idx="6">
                  <c:v>Multifamily Homes</c:v>
                </c:pt>
                <c:pt idx="7">
                  <c:v>Public Institutions Solutions </c:v>
                </c:pt>
                <c:pt idx="8">
                  <c:v>Residential Direct Load Control</c:v>
                </c:pt>
                <c:pt idx="9">
                  <c:v>Small Business Solutions</c:v>
                </c:pt>
                <c:pt idx="10">
                  <c:v>Agricultural Energy Solutions</c:v>
                </c:pt>
                <c:pt idx="11">
                  <c:v>Manufactured Homes</c:v>
                </c:pt>
                <c:pt idx="12">
                  <c:v>*Hide*</c:v>
                </c:pt>
                <c:pt idx="13">
                  <c:v>*Hide*</c:v>
                </c:pt>
                <c:pt idx="14">
                  <c:v>*Hide*</c:v>
                </c:pt>
                <c:pt idx="15">
                  <c:v>*Hide*</c:v>
                </c:pt>
                <c:pt idx="16">
                  <c:v>*Hide*</c:v>
                </c:pt>
                <c:pt idx="17">
                  <c:v>*Hide*</c:v>
                </c:pt>
                <c:pt idx="18">
                  <c:v>*Hide*</c:v>
                </c:pt>
                <c:pt idx="19">
                  <c:v>*Hide*</c:v>
                </c:pt>
              </c:strCache>
            </c:strRef>
          </c:cat>
          <c:val>
            <c:numRef>
              <c:f>[0]!Graph_C2</c:f>
              <c:numCache>
                <c:formatCode>_("$"* #,##0_);_("$"* \(#,##0\);_("$"* "-"_);_(@_)</c:formatCode>
                <c:ptCount val="12"/>
                <c:pt idx="0">
                  <c:v>12876548.849602131</c:v>
                </c:pt>
                <c:pt idx="1">
                  <c:v>12494941.98650186</c:v>
                </c:pt>
                <c:pt idx="2">
                  <c:v>7476072.8865874726</c:v>
                </c:pt>
                <c:pt idx="3">
                  <c:v>4902381.89020494</c:v>
                </c:pt>
                <c:pt idx="4">
                  <c:v>4763927.8427500166</c:v>
                </c:pt>
                <c:pt idx="5">
                  <c:v>3721323.8753131311</c:v>
                </c:pt>
                <c:pt idx="6">
                  <c:v>2616186.8275253</c:v>
                </c:pt>
                <c:pt idx="7">
                  <c:v>2534633.1074223933</c:v>
                </c:pt>
                <c:pt idx="8">
                  <c:v>2345939.6299310033</c:v>
                </c:pt>
                <c:pt idx="9">
                  <c:v>2152818.7915076138</c:v>
                </c:pt>
                <c:pt idx="10">
                  <c:v>2019448.557168236</c:v>
                </c:pt>
                <c:pt idx="11">
                  <c:v>1310088.7154859044</c:v>
                </c:pt>
              </c:numCache>
            </c:numRef>
          </c:val>
          <c:extLst>
            <c:ext xmlns:c16="http://schemas.microsoft.com/office/drawing/2014/chart" uri="{C3380CC4-5D6E-409C-BE32-E72D297353CC}">
              <c16:uniqueId val="{00000000-73EA-4822-868D-768B62D2CAA2}"/>
            </c:ext>
          </c:extLst>
        </c:ser>
        <c:dLbls>
          <c:showLegendKey val="0"/>
          <c:showVal val="0"/>
          <c:showCatName val="0"/>
          <c:showSerName val="0"/>
          <c:showPercent val="0"/>
          <c:showBubbleSize val="0"/>
        </c:dLbls>
        <c:gapWidth val="150"/>
        <c:axId val="133334912"/>
        <c:axId val="133336448"/>
      </c:barChart>
      <c:catAx>
        <c:axId val="133334912"/>
        <c:scaling>
          <c:orientation val="minMax"/>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33336448"/>
        <c:crosses val="autoZero"/>
        <c:auto val="1"/>
        <c:lblAlgn val="ctr"/>
        <c:lblOffset val="100"/>
        <c:noMultiLvlLbl val="0"/>
      </c:catAx>
      <c:valAx>
        <c:axId val="133336448"/>
        <c:scaling>
          <c:orientation val="minMax"/>
        </c:scaling>
        <c:delete val="0"/>
        <c:axPos val="b"/>
        <c:majorGridlines/>
        <c:numFmt formatCode="_(&quot;$&quot;* #,##0_);_(&quot;$&quot;* \(#,##0\);_(&quot;$&quot;*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33334912"/>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800" b="1" i="0" u="none" strike="noStrike" baseline="0">
              <a:solidFill>
                <a:srgbClr val="000000"/>
              </a:solidFill>
              <a:latin typeface="Calibri"/>
              <a:ea typeface="Calibri"/>
              <a:cs typeface="Calibri"/>
            </a:defRPr>
          </a:pPr>
          <a:endParaRPr lang="en-US"/>
        </a:p>
      </c:txPr>
    </c:title>
    <c:autoTitleDeleted val="0"/>
    <c:plotArea>
      <c:layout/>
      <c:barChart>
        <c:barDir val="bar"/>
        <c:grouping val="clustered"/>
        <c:varyColors val="0"/>
        <c:ser>
          <c:idx val="0"/>
          <c:order val="0"/>
          <c:tx>
            <c:strRef>
              <c:f>'Report 1'!$G$6:$I$6</c:f>
              <c:strCache>
                <c:ptCount val="1"/>
                <c:pt idx="0">
                  <c:v>Savings (kWh)</c:v>
                </c:pt>
              </c:strCache>
            </c:strRef>
          </c:tx>
          <c:invertIfNegative val="0"/>
          <c:cat>
            <c:strRef>
              <c:f>Tables!$B$107:$B$126</c:f>
              <c:strCache>
                <c:ptCount val="20"/>
                <c:pt idx="0">
                  <c:v>Large Commercial &amp; Industrial Solutions</c:v>
                </c:pt>
                <c:pt idx="1">
                  <c:v>Home Energy Solutions</c:v>
                </c:pt>
                <c:pt idx="2">
                  <c:v>Point of Purchase Solutions</c:v>
                </c:pt>
                <c:pt idx="3">
                  <c:v>Smart Direct Load Control Pilot </c:v>
                </c:pt>
                <c:pt idx="4">
                  <c:v>Low-Income Solutions </c:v>
                </c:pt>
                <c:pt idx="5">
                  <c:v>Agricultural Irrigation Load Control</c:v>
                </c:pt>
                <c:pt idx="6">
                  <c:v>Multifamily Homes</c:v>
                </c:pt>
                <c:pt idx="7">
                  <c:v>Public Institutions Solutions </c:v>
                </c:pt>
                <c:pt idx="8">
                  <c:v>Residential Direct Load Control</c:v>
                </c:pt>
                <c:pt idx="9">
                  <c:v>Small Business Solutions</c:v>
                </c:pt>
                <c:pt idx="10">
                  <c:v>Agricultural Energy Solutions</c:v>
                </c:pt>
                <c:pt idx="11">
                  <c:v>Manufactured Homes</c:v>
                </c:pt>
                <c:pt idx="12">
                  <c:v>*Hide*</c:v>
                </c:pt>
                <c:pt idx="13">
                  <c:v>*Hide*</c:v>
                </c:pt>
                <c:pt idx="14">
                  <c:v>*Hide*</c:v>
                </c:pt>
                <c:pt idx="15">
                  <c:v>*Hide*</c:v>
                </c:pt>
                <c:pt idx="16">
                  <c:v>*Hide*</c:v>
                </c:pt>
                <c:pt idx="17">
                  <c:v>*Hide*</c:v>
                </c:pt>
                <c:pt idx="18">
                  <c:v>*Hide*</c:v>
                </c:pt>
                <c:pt idx="19">
                  <c:v>*Hide*</c:v>
                </c:pt>
              </c:strCache>
            </c:strRef>
          </c:cat>
          <c:val>
            <c:numRef>
              <c:f>[0]!Graph_S2</c:f>
              <c:numCache>
                <c:formatCode>#,##0_);\(#,##0\)</c:formatCode>
                <c:ptCount val="12"/>
                <c:pt idx="0">
                  <c:v>106468813.42825335</c:v>
                </c:pt>
                <c:pt idx="1">
                  <c:v>30406973.18046065</c:v>
                </c:pt>
                <c:pt idx="2">
                  <c:v>57671890.179663248</c:v>
                </c:pt>
                <c:pt idx="3">
                  <c:v>4521927</c:v>
                </c:pt>
                <c:pt idx="4">
                  <c:v>8312577.7166410862</c:v>
                </c:pt>
                <c:pt idx="5">
                  <c:v>0</c:v>
                </c:pt>
                <c:pt idx="6">
                  <c:v>10077059.989879465</c:v>
                </c:pt>
                <c:pt idx="7">
                  <c:v>16338233.136987923</c:v>
                </c:pt>
                <c:pt idx="8">
                  <c:v>0</c:v>
                </c:pt>
                <c:pt idx="9">
                  <c:v>9777978.5595276505</c:v>
                </c:pt>
                <c:pt idx="10">
                  <c:v>7194115.5260958355</c:v>
                </c:pt>
                <c:pt idx="11">
                  <c:v>5070585.2644848609</c:v>
                </c:pt>
              </c:numCache>
            </c:numRef>
          </c:val>
          <c:extLst>
            <c:ext xmlns:c16="http://schemas.microsoft.com/office/drawing/2014/chart" uri="{C3380CC4-5D6E-409C-BE32-E72D297353CC}">
              <c16:uniqueId val="{00000000-9CCD-4767-8A36-52738042A628}"/>
            </c:ext>
          </c:extLst>
        </c:ser>
        <c:dLbls>
          <c:showLegendKey val="0"/>
          <c:showVal val="0"/>
          <c:showCatName val="0"/>
          <c:showSerName val="0"/>
          <c:showPercent val="0"/>
          <c:showBubbleSize val="0"/>
        </c:dLbls>
        <c:gapWidth val="150"/>
        <c:axId val="133360640"/>
        <c:axId val="133395200"/>
      </c:barChart>
      <c:catAx>
        <c:axId val="133360640"/>
        <c:scaling>
          <c:orientation val="minMax"/>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33395200"/>
        <c:crosses val="autoZero"/>
        <c:auto val="1"/>
        <c:lblAlgn val="ctr"/>
        <c:lblOffset val="100"/>
        <c:noMultiLvlLbl val="0"/>
      </c:catAx>
      <c:valAx>
        <c:axId val="133395200"/>
        <c:scaling>
          <c:orientation val="minMax"/>
        </c:scaling>
        <c:delete val="0"/>
        <c:axPos val="b"/>
        <c:majorGridlines/>
        <c:numFmt formatCode="#,##0_);\(#,##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33360640"/>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7.0396797979677657E-3"/>
          <c:y val="0"/>
        </c:manualLayout>
      </c:layout>
      <c:overlay val="0"/>
      <c:txPr>
        <a:bodyPr/>
        <a:lstStyle/>
        <a:p>
          <a:pPr>
            <a:defRPr sz="1800" b="1" i="0" u="none" strike="noStrike" baseline="0">
              <a:solidFill>
                <a:srgbClr val="000000"/>
              </a:solidFill>
              <a:latin typeface="Calibri"/>
              <a:ea typeface="Calibri"/>
              <a:cs typeface="Calibri"/>
            </a:defRPr>
          </a:pPr>
          <a:endParaRPr lang="en-US"/>
        </a:p>
      </c:txPr>
    </c:title>
    <c:autoTitleDeleted val="0"/>
    <c:view3D>
      <c:rotX val="75"/>
      <c:rotY val="0"/>
      <c:rAngAx val="0"/>
    </c:view3D>
    <c:floor>
      <c:thickness val="0"/>
    </c:floor>
    <c:sideWall>
      <c:thickness val="0"/>
    </c:sideWall>
    <c:backWall>
      <c:thickness val="0"/>
    </c:backWall>
    <c:plotArea>
      <c:layout>
        <c:manualLayout>
          <c:layoutTarget val="inner"/>
          <c:xMode val="edge"/>
          <c:yMode val="edge"/>
          <c:x val="8.2685820932767537E-2"/>
          <c:y val="0.26211315076275804"/>
          <c:w val="0.91133485517158508"/>
          <c:h val="0.71942319758843232"/>
        </c:manualLayout>
      </c:layout>
      <c:pie3DChart>
        <c:varyColors val="1"/>
        <c:ser>
          <c:idx val="0"/>
          <c:order val="0"/>
          <c:tx>
            <c:strRef>
              <c:f>'Report 2'!$B$24</c:f>
              <c:strCache>
                <c:ptCount val="1"/>
                <c:pt idx="0">
                  <c:v>Savings (Therms)</c:v>
                </c:pt>
              </c:strCache>
            </c:strRef>
          </c:tx>
          <c:cat>
            <c:strRef>
              <c:f>Tables!$B$94:$B$103</c:f>
              <c:strCache>
                <c:ptCount val="10"/>
                <c:pt idx="0">
                  <c:v>Residential</c:v>
                </c:pt>
                <c:pt idx="1">
                  <c:v>Commercial &amp; Industrial</c:v>
                </c:pt>
                <c:pt idx="2">
                  <c:v>All Classes</c:v>
                </c:pt>
                <c:pt idx="3">
                  <c:v>Agriculture</c:v>
                </c:pt>
                <c:pt idx="4">
                  <c:v>Res/Small Business</c:v>
                </c:pt>
                <c:pt idx="5">
                  <c:v>Small Business</c:v>
                </c:pt>
                <c:pt idx="6">
                  <c:v>Municipalities/Schools</c:v>
                </c:pt>
                <c:pt idx="7">
                  <c:v>Other</c:v>
                </c:pt>
                <c:pt idx="8">
                  <c:v>Res/C&amp;I</c:v>
                </c:pt>
                <c:pt idx="9">
                  <c:v>Small Business/C&amp;I</c:v>
                </c:pt>
              </c:strCache>
            </c:strRef>
          </c:cat>
          <c:val>
            <c:numRef>
              <c:f>[0]!Graph_2</c:f>
              <c:numCache>
                <c:formatCode>General</c:formatCode>
                <c:ptCount val="7"/>
                <c:pt idx="0">
                  <c:v>49953674.5316213</c:v>
                </c:pt>
                <c:pt idx="1">
                  <c:v>105503573.110254</c:v>
                </c:pt>
                <c:pt idx="2">
                  <c:v>54949160.336915098</c:v>
                </c:pt>
                <c:pt idx="3">
                  <c:v>7060545.7997548003</c:v>
                </c:pt>
                <c:pt idx="4">
                  <c:v>4280579.2548000002</c:v>
                </c:pt>
                <c:pt idx="5">
                  <c:v>17147011.9466592</c:v>
                </c:pt>
                <c:pt idx="6">
                  <c:v>14514891.427528501</c:v>
                </c:pt>
              </c:numCache>
            </c:numRef>
          </c:val>
          <c:extLst>
            <c:ext xmlns:c16="http://schemas.microsoft.com/office/drawing/2014/chart" uri="{C3380CC4-5D6E-409C-BE32-E72D297353CC}">
              <c16:uniqueId val="{00000003-76E2-4A28-9A7B-0C1370993205}"/>
            </c:ext>
          </c:extLst>
        </c:ser>
        <c:dLbls>
          <c:showLegendKey val="0"/>
          <c:showVal val="0"/>
          <c:showCatName val="0"/>
          <c:showSerName val="0"/>
          <c:showPercent val="0"/>
          <c:showBubbleSize val="0"/>
          <c:showLeaderLines val="1"/>
        </c:dLbls>
      </c:pie3DChart>
      <c:spPr>
        <a:noFill/>
        <a:ln w="25400">
          <a:no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PY Data'!A3"/><Relationship Id="rId13" Type="http://schemas.openxmlformats.org/officeDocument/2006/relationships/hyperlink" Target="#'Table 4'!A1"/><Relationship Id="rId3" Type="http://schemas.openxmlformats.org/officeDocument/2006/relationships/image" Target="../media/image1.jpeg"/><Relationship Id="rId7" Type="http://schemas.openxmlformats.org/officeDocument/2006/relationships/hyperlink" Target="#'Next Years'!A1"/><Relationship Id="rId12" Type="http://schemas.openxmlformats.org/officeDocument/2006/relationships/hyperlink" Target="#'Table 5'!A1"/><Relationship Id="rId2" Type="http://schemas.openxmlformats.org/officeDocument/2006/relationships/hyperlink" Target="#'Utility Information'!A3"/><Relationship Id="rId16" Type="http://schemas.openxmlformats.org/officeDocument/2006/relationships/hyperlink" Target="#'Table 2'!A1"/><Relationship Id="rId1" Type="http://schemas.openxmlformats.org/officeDocument/2006/relationships/hyperlink" Target="#'Actual Expenses'!A5"/><Relationship Id="rId6" Type="http://schemas.openxmlformats.org/officeDocument/2006/relationships/hyperlink" Target="#'Prior Year Progam'!A1"/><Relationship Id="rId11" Type="http://schemas.openxmlformats.org/officeDocument/2006/relationships/hyperlink" Target="#'Report 1'!A1"/><Relationship Id="rId5" Type="http://schemas.openxmlformats.org/officeDocument/2006/relationships/hyperlink" Target="#Glossary!A4"/><Relationship Id="rId15" Type="http://schemas.openxmlformats.org/officeDocument/2006/relationships/hyperlink" Target="#'Table 1'!A1"/><Relationship Id="rId10" Type="http://schemas.openxmlformats.org/officeDocument/2006/relationships/hyperlink" Target="#'Report 2'!A1"/><Relationship Id="rId4" Type="http://schemas.openxmlformats.org/officeDocument/2006/relationships/hyperlink" Target="#Instructions!A3"/><Relationship Id="rId9" Type="http://schemas.openxmlformats.org/officeDocument/2006/relationships/hyperlink" Target="#'Report 3'!A1"/><Relationship Id="rId14" Type="http://schemas.openxmlformats.org/officeDocument/2006/relationships/hyperlink" Target="#'Table 3'!A1"/></Relationships>
</file>

<file path=xl/drawings/_rels/drawing10.xml.rels><?xml version="1.0" encoding="UTF-8" standalone="yes"?>
<Relationships xmlns="http://schemas.openxmlformats.org/package/2006/relationships"><Relationship Id="rId1" Type="http://schemas.openxmlformats.org/officeDocument/2006/relationships/hyperlink" Target="#Training!A3"/></Relationships>
</file>

<file path=xl/drawings/_rels/drawing11.xml.rels><?xml version="1.0" encoding="UTF-8" standalone="yes"?>
<Relationships xmlns="http://schemas.openxmlformats.org/package/2006/relationships"><Relationship Id="rId1" Type="http://schemas.openxmlformats.org/officeDocument/2006/relationships/hyperlink" Target="#Training!A3"/></Relationships>
</file>

<file path=xl/drawings/_rels/drawing12.xml.rels><?xml version="1.0" encoding="UTF-8" standalone="yes"?>
<Relationships xmlns="http://schemas.openxmlformats.org/package/2006/relationships"><Relationship Id="rId3" Type="http://schemas.openxmlformats.org/officeDocument/2006/relationships/hyperlink" Target="#Budgets!A5"/><Relationship Id="rId7" Type="http://schemas.openxmlformats.org/officeDocument/2006/relationships/hyperlink" Target="#Training!A1"/><Relationship Id="rId2" Type="http://schemas.openxmlformats.org/officeDocument/2006/relationships/hyperlink" Target="#'Program Descriptions'!A5"/><Relationship Id="rId1" Type="http://schemas.openxmlformats.org/officeDocument/2006/relationships/hyperlink" Target="#'Utility Information'!A3"/><Relationship Id="rId6" Type="http://schemas.openxmlformats.org/officeDocument/2006/relationships/hyperlink" Target="#'Main Menu'!A1"/><Relationship Id="rId5" Type="http://schemas.openxmlformats.org/officeDocument/2006/relationships/hyperlink" Target="#Training!A3"/><Relationship Id="rId4" Type="http://schemas.openxmlformats.org/officeDocument/2006/relationships/hyperlink" Target="#'Savings &amp; Participants'!A6"/></Relationships>
</file>

<file path=xl/drawings/_rels/drawing13.xml.rels><?xml version="1.0" encoding="UTF-8" standalone="yes"?>
<Relationships xmlns="http://schemas.openxmlformats.org/package/2006/relationships"><Relationship Id="rId8" Type="http://schemas.openxmlformats.org/officeDocument/2006/relationships/hyperlink" Target="#Cost!A4"/><Relationship Id="rId3" Type="http://schemas.openxmlformats.org/officeDocument/2006/relationships/hyperlink" Target="#LCFC!A3"/><Relationship Id="rId7" Type="http://schemas.openxmlformats.org/officeDocument/2006/relationships/hyperlink" Target="#'Rec2'!A1"/><Relationship Id="rId2" Type="http://schemas.openxmlformats.org/officeDocument/2006/relationships/hyperlink" Target="#'Cost-Benefits'!A7"/><Relationship Id="rId1" Type="http://schemas.openxmlformats.org/officeDocument/2006/relationships/hyperlink" Target="#'Evaluated Savings'!A6"/><Relationship Id="rId6" Type="http://schemas.openxmlformats.org/officeDocument/2006/relationships/hyperlink" Target="#'Main Menu'!A1"/><Relationship Id="rId5" Type="http://schemas.openxmlformats.org/officeDocument/2006/relationships/hyperlink" Target="#'Not Used2'!A3"/><Relationship Id="rId4" Type="http://schemas.openxmlformats.org/officeDocument/2006/relationships/hyperlink" Target="#Incentives!A3"/></Relationships>
</file>

<file path=xl/drawings/_rels/drawing14.xml.rels><?xml version="1.0" encoding="UTF-8" standalone="yes"?>
<Relationships xmlns="http://schemas.openxmlformats.org/package/2006/relationships"><Relationship Id="rId1" Type="http://schemas.openxmlformats.org/officeDocument/2006/relationships/hyperlink" Target="#'Actual Expenses'!A5"/></Relationships>
</file>

<file path=xl/drawings/_rels/drawing15.xml.rels><?xml version="1.0" encoding="UTF-8" standalone="yes"?>
<Relationships xmlns="http://schemas.openxmlformats.org/package/2006/relationships"><Relationship Id="rId8" Type="http://schemas.openxmlformats.org/officeDocument/2006/relationships/hyperlink" Target="#'Savings Methodology'!A1"/><Relationship Id="rId3" Type="http://schemas.openxmlformats.org/officeDocument/2006/relationships/hyperlink" Target="#'Cost-Benefits'!A7"/><Relationship Id="rId7" Type="http://schemas.openxmlformats.org/officeDocument/2006/relationships/hyperlink" Target="#'Main Menu'!A1"/><Relationship Id="rId2" Type="http://schemas.openxmlformats.org/officeDocument/2006/relationships/hyperlink" Target="#'Actual Expenses'!D5"/><Relationship Id="rId1" Type="http://schemas.openxmlformats.org/officeDocument/2006/relationships/hyperlink" Target="#'Actual Expenses'!A5"/><Relationship Id="rId6" Type="http://schemas.openxmlformats.org/officeDocument/2006/relationships/hyperlink" Target="#'Not Used2'!A3"/><Relationship Id="rId5" Type="http://schemas.openxmlformats.org/officeDocument/2006/relationships/hyperlink" Target="#Incentives!A3"/><Relationship Id="rId4" Type="http://schemas.openxmlformats.org/officeDocument/2006/relationships/hyperlink" Target="#LCFC!A3"/></Relationships>
</file>

<file path=xl/drawings/_rels/drawing16.xml.rels><?xml version="1.0" encoding="UTF-8" standalone="yes"?>
<Relationships xmlns="http://schemas.openxmlformats.org/package/2006/relationships"><Relationship Id="rId1" Type="http://schemas.openxmlformats.org/officeDocument/2006/relationships/hyperlink" Target="#'Evaluated Savings'!A6"/></Relationships>
</file>

<file path=xl/drawings/_rels/drawing17.xml.rels><?xml version="1.0" encoding="UTF-8" standalone="yes"?>
<Relationships xmlns="http://schemas.openxmlformats.org/package/2006/relationships"><Relationship Id="rId8" Type="http://schemas.openxmlformats.org/officeDocument/2006/relationships/hyperlink" Target="#'Other CB Test'!A1"/><Relationship Id="rId3" Type="http://schemas.openxmlformats.org/officeDocument/2006/relationships/hyperlink" Target="#'Evaluated Savings'!D6"/><Relationship Id="rId7" Type="http://schemas.openxmlformats.org/officeDocument/2006/relationships/hyperlink" Target="#'Main Menu'!A1"/><Relationship Id="rId2" Type="http://schemas.openxmlformats.org/officeDocument/2006/relationships/hyperlink" Target="#'Evaluated Savings'!A6"/><Relationship Id="rId1" Type="http://schemas.openxmlformats.org/officeDocument/2006/relationships/hyperlink" Target="#'Actual Expenses'!A5"/><Relationship Id="rId6" Type="http://schemas.openxmlformats.org/officeDocument/2006/relationships/hyperlink" Target="#'Not Used2'!A3"/><Relationship Id="rId5" Type="http://schemas.openxmlformats.org/officeDocument/2006/relationships/hyperlink" Target="#Incentives!A3"/><Relationship Id="rId10" Type="http://schemas.openxmlformats.org/officeDocument/2006/relationships/hyperlink" Target="#NEBs!A4"/><Relationship Id="rId4" Type="http://schemas.openxmlformats.org/officeDocument/2006/relationships/hyperlink" Target="#LCFC!A3"/><Relationship Id="rId9" Type="http://schemas.openxmlformats.org/officeDocument/2006/relationships/hyperlink" Target="#'Key Assumptions'!A4"/></Relationships>
</file>

<file path=xl/drawings/_rels/drawing18.xml.rels><?xml version="1.0" encoding="UTF-8" standalone="yes"?>
<Relationships xmlns="http://schemas.openxmlformats.org/package/2006/relationships"><Relationship Id="rId1" Type="http://schemas.openxmlformats.org/officeDocument/2006/relationships/hyperlink" Target="#'Cost-Benefits'!A7"/></Relationships>
</file>

<file path=xl/drawings/_rels/drawing19.xml.rels><?xml version="1.0" encoding="UTF-8" standalone="yes"?>
<Relationships xmlns="http://schemas.openxmlformats.org/package/2006/relationships"><Relationship Id="rId1" Type="http://schemas.openxmlformats.org/officeDocument/2006/relationships/hyperlink" Target="#'Cost-Benefits'!A7"/></Relationships>
</file>

<file path=xl/drawings/_rels/drawing2.xml.rels><?xml version="1.0" encoding="UTF-8" standalone="yes"?>
<Relationships xmlns="http://schemas.openxmlformats.org/package/2006/relationships"><Relationship Id="rId3" Type="http://schemas.openxmlformats.org/officeDocument/2006/relationships/hyperlink" Target="#Cost!A1"/><Relationship Id="rId2" Type="http://schemas.openxmlformats.org/officeDocument/2006/relationships/hyperlink" Target="#List!A1"/><Relationship Id="rId1" Type="http://schemas.openxmlformats.org/officeDocument/2006/relationships/hyperlink" Target="#'Main Menu'!A1"/></Relationships>
</file>

<file path=xl/drawings/_rels/drawing20.xml.rels><?xml version="1.0" encoding="UTF-8" standalone="yes"?>
<Relationships xmlns="http://schemas.openxmlformats.org/package/2006/relationships"><Relationship Id="rId1" Type="http://schemas.openxmlformats.org/officeDocument/2006/relationships/hyperlink" Target="#'Cost-Benefits'!A7"/></Relationships>
</file>

<file path=xl/drawings/_rels/drawing21.xml.rels><?xml version="1.0" encoding="UTF-8" standalone="yes"?>
<Relationships xmlns="http://schemas.openxmlformats.org/package/2006/relationships"><Relationship Id="rId3" Type="http://schemas.openxmlformats.org/officeDocument/2006/relationships/hyperlink" Target="#'Cost-Benefits'!A7"/><Relationship Id="rId2" Type="http://schemas.openxmlformats.org/officeDocument/2006/relationships/hyperlink" Target="#'Evaluated Savings'!A6"/><Relationship Id="rId1" Type="http://schemas.openxmlformats.org/officeDocument/2006/relationships/hyperlink" Target="#'Actual Expenses'!A5"/><Relationship Id="rId6" Type="http://schemas.openxmlformats.org/officeDocument/2006/relationships/hyperlink" Target="#'Main Menu'!A1"/><Relationship Id="rId5" Type="http://schemas.openxmlformats.org/officeDocument/2006/relationships/hyperlink" Target="#'Not Used2'!A3"/><Relationship Id="rId4" Type="http://schemas.openxmlformats.org/officeDocument/2006/relationships/hyperlink" Target="#Incentives!A3"/></Relationships>
</file>

<file path=xl/drawings/_rels/drawing22.xml.rels><?xml version="1.0" encoding="UTF-8" standalone="yes"?>
<Relationships xmlns="http://schemas.openxmlformats.org/package/2006/relationships"><Relationship Id="rId3" Type="http://schemas.openxmlformats.org/officeDocument/2006/relationships/hyperlink" Target="#'Cost-Benefits'!A7"/><Relationship Id="rId2" Type="http://schemas.openxmlformats.org/officeDocument/2006/relationships/hyperlink" Target="#'Evaluated Savings'!A6"/><Relationship Id="rId1" Type="http://schemas.openxmlformats.org/officeDocument/2006/relationships/hyperlink" Target="#'Actual Expenses'!A5"/><Relationship Id="rId6" Type="http://schemas.openxmlformats.org/officeDocument/2006/relationships/hyperlink" Target="#'Main Menu'!A1"/><Relationship Id="rId5" Type="http://schemas.openxmlformats.org/officeDocument/2006/relationships/hyperlink" Target="#'Not Used2'!A3"/><Relationship Id="rId4" Type="http://schemas.openxmlformats.org/officeDocument/2006/relationships/hyperlink" Target="#LCFC!A3"/></Relationships>
</file>

<file path=xl/drawings/_rels/drawing23.xml.rels><?xml version="1.0" encoding="UTF-8" standalone="yes"?>
<Relationships xmlns="http://schemas.openxmlformats.org/package/2006/relationships"><Relationship Id="rId3" Type="http://schemas.openxmlformats.org/officeDocument/2006/relationships/hyperlink" Target="#'Cost-Benefits'!A7"/><Relationship Id="rId2" Type="http://schemas.openxmlformats.org/officeDocument/2006/relationships/hyperlink" Target="#'Evaluated Savings'!A6"/><Relationship Id="rId1" Type="http://schemas.openxmlformats.org/officeDocument/2006/relationships/hyperlink" Target="#'Actual Expenses'!A5"/><Relationship Id="rId6" Type="http://schemas.openxmlformats.org/officeDocument/2006/relationships/hyperlink" Target="#'Main Menu'!A1"/><Relationship Id="rId5" Type="http://schemas.openxmlformats.org/officeDocument/2006/relationships/hyperlink" Target="#Incentives!A3"/><Relationship Id="rId4" Type="http://schemas.openxmlformats.org/officeDocument/2006/relationships/hyperlink" Target="#LCFC!A3"/></Relationships>
</file>

<file path=xl/drawings/_rels/drawing24.xml.rels><?xml version="1.0" encoding="UTF-8" standalone="yes"?>
<Relationships xmlns="http://schemas.openxmlformats.org/package/2006/relationships"><Relationship Id="rId2" Type="http://schemas.openxmlformats.org/officeDocument/2006/relationships/hyperlink" Target="#'Prior Year Portfolio'!A1"/><Relationship Id="rId1" Type="http://schemas.openxmlformats.org/officeDocument/2006/relationships/hyperlink" Target="#'Main Menu'!A1"/></Relationships>
</file>

<file path=xl/drawings/_rels/drawing25.xml.rels><?xml version="1.0" encoding="UTF-8" standalone="yes"?>
<Relationships xmlns="http://schemas.openxmlformats.org/package/2006/relationships"><Relationship Id="rId2" Type="http://schemas.openxmlformats.org/officeDocument/2006/relationships/hyperlink" Target="#'Main Menu'!A1"/><Relationship Id="rId1" Type="http://schemas.openxmlformats.org/officeDocument/2006/relationships/hyperlink" Target="#'Prior Year Progam'!A1"/></Relationships>
</file>

<file path=xl/drawings/_rels/drawing26.xml.rels><?xml version="1.0" encoding="UTF-8" standalone="yes"?>
<Relationships xmlns="http://schemas.openxmlformats.org/package/2006/relationships"><Relationship Id="rId1" Type="http://schemas.openxmlformats.org/officeDocument/2006/relationships/hyperlink" Target="#'Main Menu'!A1"/></Relationships>
</file>

<file path=xl/drawings/_rels/drawing27.xml.rels><?xml version="1.0" encoding="UTF-8" standalone="yes"?>
<Relationships xmlns="http://schemas.openxmlformats.org/package/2006/relationships"><Relationship Id="rId1" Type="http://schemas.openxmlformats.org/officeDocument/2006/relationships/hyperlink" Target="#'Program Descriptions'!A5"/></Relationships>
</file>

<file path=xl/drawings/_rels/drawing28.xml.rels><?xml version="1.0" encoding="UTF-8" standalone="yes"?>
<Relationships xmlns="http://schemas.openxmlformats.org/package/2006/relationships"><Relationship Id="rId1" Type="http://schemas.openxmlformats.org/officeDocument/2006/relationships/hyperlink" Target="#'Savings &amp; Participants'!A6"/></Relationships>
</file>

<file path=xl/drawings/_rels/drawing29.xml.rels><?xml version="1.0" encoding="UTF-8" standalone="yes"?>
<Relationships xmlns="http://schemas.openxmlformats.org/package/2006/relationships"><Relationship Id="rId1" Type="http://schemas.openxmlformats.org/officeDocument/2006/relationships/hyperlink" Target="#'Program Detail'!A5"/></Relationships>
</file>

<file path=xl/drawings/_rels/drawing3.xml.rels><?xml version="1.0" encoding="UTF-8" standalone="yes"?>
<Relationships xmlns="http://schemas.openxmlformats.org/package/2006/relationships"><Relationship Id="rId3" Type="http://schemas.openxmlformats.org/officeDocument/2006/relationships/hyperlink" Target="#'Savings &amp; Participants'!A6"/><Relationship Id="rId2" Type="http://schemas.openxmlformats.org/officeDocument/2006/relationships/hyperlink" Target="#Budgets!A5"/><Relationship Id="rId1" Type="http://schemas.openxmlformats.org/officeDocument/2006/relationships/hyperlink" Target="#'Program Descriptions'!A5"/><Relationship Id="rId6" Type="http://schemas.openxmlformats.org/officeDocument/2006/relationships/hyperlink" Target="#'Main Menu'!A1"/><Relationship Id="rId5" Type="http://schemas.openxmlformats.org/officeDocument/2006/relationships/hyperlink" Target="#'Not Used1'!A3"/><Relationship Id="rId4" Type="http://schemas.openxmlformats.org/officeDocument/2006/relationships/hyperlink" Target="#Training!A3"/></Relationships>
</file>

<file path=xl/drawings/_rels/drawing30.xml.rels><?xml version="1.0" encoding="UTF-8" standalone="yes"?>
<Relationships xmlns="http://schemas.openxmlformats.org/package/2006/relationships"><Relationship Id="rId1" Type="http://schemas.openxmlformats.org/officeDocument/2006/relationships/hyperlink" Target="#'Program Detail'!A5"/></Relationships>
</file>

<file path=xl/drawings/_rels/drawing31.xml.rels><?xml version="1.0" encoding="UTF-8" standalone="yes"?>
<Relationships xmlns="http://schemas.openxmlformats.org/package/2006/relationships"><Relationship Id="rId1" Type="http://schemas.openxmlformats.org/officeDocument/2006/relationships/hyperlink" Target="#'Program Detail'!A5"/></Relationships>
</file>

<file path=xl/drawings/_rels/drawing32.xml.rels><?xml version="1.0" encoding="UTF-8" standalone="yes"?>
<Relationships xmlns="http://schemas.openxmlformats.org/package/2006/relationships"><Relationship Id="rId3" Type="http://schemas.openxmlformats.org/officeDocument/2006/relationships/hyperlink" Target="#'Actual Expenses'!A5"/><Relationship Id="rId2" Type="http://schemas.openxmlformats.org/officeDocument/2006/relationships/hyperlink" Target="#Budgets!A5"/><Relationship Id="rId1" Type="http://schemas.openxmlformats.org/officeDocument/2006/relationships/hyperlink" Target="#Instructions!A3"/></Relationships>
</file>

<file path=xl/drawings/_rels/drawing33.xml.rels><?xml version="1.0" encoding="UTF-8" standalone="yes"?>
<Relationships xmlns="http://schemas.openxmlformats.org/package/2006/relationships"><Relationship Id="rId1" Type="http://schemas.openxmlformats.org/officeDocument/2006/relationships/hyperlink" Target="#Instructions!A1"/></Relationships>
</file>

<file path=xl/drawings/_rels/drawing34.xml.rels><?xml version="1.0" encoding="UTF-8" standalone="yes"?>
<Relationships xmlns="http://schemas.openxmlformats.org/package/2006/relationships"><Relationship Id="rId2" Type="http://schemas.openxmlformats.org/officeDocument/2006/relationships/hyperlink" Target="#'Table 2'!A1"/><Relationship Id="rId1" Type="http://schemas.openxmlformats.org/officeDocument/2006/relationships/hyperlink" Target="#'Main Menu'!A1"/></Relationships>
</file>

<file path=xl/drawings/_rels/drawing35.xml.rels><?xml version="1.0" encoding="UTF-8" standalone="yes"?>
<Relationships xmlns="http://schemas.openxmlformats.org/package/2006/relationships"><Relationship Id="rId3" Type="http://schemas.openxmlformats.org/officeDocument/2006/relationships/hyperlink" Target="#'Table 1'!A3"/><Relationship Id="rId2" Type="http://schemas.openxmlformats.org/officeDocument/2006/relationships/hyperlink" Target="#'Table 3'!A1"/><Relationship Id="rId1" Type="http://schemas.openxmlformats.org/officeDocument/2006/relationships/hyperlink" Target="#'Main Menu'!A1"/></Relationships>
</file>

<file path=xl/drawings/_rels/drawing36.xml.rels><?xml version="1.0" encoding="UTF-8" standalone="yes"?>
<Relationships xmlns="http://schemas.openxmlformats.org/package/2006/relationships"><Relationship Id="rId3" Type="http://schemas.openxmlformats.org/officeDocument/2006/relationships/hyperlink" Target="#'Table 4'!A1"/><Relationship Id="rId2" Type="http://schemas.openxmlformats.org/officeDocument/2006/relationships/chart" Target="../charts/chart1.xml"/><Relationship Id="rId1" Type="http://schemas.openxmlformats.org/officeDocument/2006/relationships/hyperlink" Target="#'Main Menu'!A1"/><Relationship Id="rId4" Type="http://schemas.openxmlformats.org/officeDocument/2006/relationships/hyperlink" Target="#'Table 2'!A3"/></Relationships>
</file>

<file path=xl/drawings/_rels/drawing37.xml.rels><?xml version="1.0" encoding="UTF-8" standalone="yes"?>
<Relationships xmlns="http://schemas.openxmlformats.org/package/2006/relationships"><Relationship Id="rId3" Type="http://schemas.openxmlformats.org/officeDocument/2006/relationships/hyperlink" Target="#'Table 5'!A1"/><Relationship Id="rId2" Type="http://schemas.openxmlformats.org/officeDocument/2006/relationships/chart" Target="../charts/chart2.xml"/><Relationship Id="rId1" Type="http://schemas.openxmlformats.org/officeDocument/2006/relationships/hyperlink" Target="#'Main Menu'!A1"/><Relationship Id="rId4" Type="http://schemas.openxmlformats.org/officeDocument/2006/relationships/hyperlink" Target="#'Table 3'!A3"/></Relationships>
</file>

<file path=xl/drawings/_rels/drawing38.xml.rels><?xml version="1.0" encoding="UTF-8" standalone="yes"?>
<Relationships xmlns="http://schemas.openxmlformats.org/package/2006/relationships"><Relationship Id="rId3" Type="http://schemas.openxmlformats.org/officeDocument/2006/relationships/hyperlink" Target="#'Table 4'!A3"/><Relationship Id="rId2" Type="http://schemas.openxmlformats.org/officeDocument/2006/relationships/chart" Target="../charts/chart3.xml"/><Relationship Id="rId1" Type="http://schemas.openxmlformats.org/officeDocument/2006/relationships/hyperlink" Target="#'Main Menu'!A1"/></Relationships>
</file>

<file path=xl/drawings/_rels/drawing39.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hyperlink" Target="#'Main Menu'!A1"/><Relationship Id="rId4" Type="http://schemas.openxmlformats.org/officeDocument/2006/relationships/hyperlink" Target="#'Report 2'!A1"/></Relationships>
</file>

<file path=xl/drawings/_rels/drawing4.xml.rels><?xml version="1.0" encoding="UTF-8" standalone="yes"?>
<Relationships xmlns="http://schemas.openxmlformats.org/package/2006/relationships"><Relationship Id="rId8" Type="http://schemas.openxmlformats.org/officeDocument/2006/relationships/hyperlink" Target="#'Definition-Program Type'!A4"/><Relationship Id="rId3" Type="http://schemas.openxmlformats.org/officeDocument/2006/relationships/hyperlink" Target="#'Savings &amp; Participants'!A6"/><Relationship Id="rId7" Type="http://schemas.openxmlformats.org/officeDocument/2006/relationships/hyperlink" Target="#'Program Detail'!A5"/><Relationship Id="rId2" Type="http://schemas.openxmlformats.org/officeDocument/2006/relationships/hyperlink" Target="#Budgets!A5"/><Relationship Id="rId1" Type="http://schemas.openxmlformats.org/officeDocument/2006/relationships/hyperlink" Target="#'Utility Information'!A3"/><Relationship Id="rId6" Type="http://schemas.openxmlformats.org/officeDocument/2006/relationships/hyperlink" Target="#'Main Menu'!A1"/><Relationship Id="rId5" Type="http://schemas.openxmlformats.org/officeDocument/2006/relationships/hyperlink" Target="#'Not Used1'!A3"/><Relationship Id="rId4" Type="http://schemas.openxmlformats.org/officeDocument/2006/relationships/hyperlink" Target="#Training!A3"/></Relationships>
</file>

<file path=xl/drawings/_rels/drawing40.xml.rels><?xml version="1.0" encoding="UTF-8" standalone="yes"?>
<Relationships xmlns="http://schemas.openxmlformats.org/package/2006/relationships"><Relationship Id="rId3" Type="http://schemas.openxmlformats.org/officeDocument/2006/relationships/hyperlink" Target="#'Report 3'!A1"/><Relationship Id="rId2" Type="http://schemas.openxmlformats.org/officeDocument/2006/relationships/chart" Target="../charts/chart6.xml"/><Relationship Id="rId1" Type="http://schemas.openxmlformats.org/officeDocument/2006/relationships/hyperlink" Target="#'Main Menu'!A1"/><Relationship Id="rId4" Type="http://schemas.openxmlformats.org/officeDocument/2006/relationships/hyperlink" Target="#'Report 1'!A3"/></Relationships>
</file>

<file path=xl/drawings/_rels/drawing41.xml.rels><?xml version="1.0" encoding="UTF-8" standalone="yes"?>
<Relationships xmlns="http://schemas.openxmlformats.org/package/2006/relationships"><Relationship Id="rId2" Type="http://schemas.openxmlformats.org/officeDocument/2006/relationships/hyperlink" Target="#'Report 2'!A3"/><Relationship Id="rId1" Type="http://schemas.openxmlformats.org/officeDocument/2006/relationships/hyperlink" Target="#'Main Menu'!A1"/></Relationships>
</file>

<file path=xl/drawings/_rels/drawing42.xml.rels><?xml version="1.0" encoding="UTF-8" standalone="yes"?>
<Relationships xmlns="http://schemas.openxmlformats.org/package/2006/relationships"><Relationship Id="rId1" Type="http://schemas.openxmlformats.org/officeDocument/2006/relationships/hyperlink" Target="#'Main Menu'!A1"/></Relationships>
</file>

<file path=xl/drawings/_rels/drawing43.xml.rels><?xml version="1.0" encoding="UTF-8" standalone="yes"?>
<Relationships xmlns="http://schemas.openxmlformats.org/package/2006/relationships"><Relationship Id="rId1" Type="http://schemas.openxmlformats.org/officeDocument/2006/relationships/hyperlink" Target="#'Main Menu'!A1"/></Relationships>
</file>

<file path=xl/drawings/_rels/drawing44.xml.rels><?xml version="1.0" encoding="UTF-8" standalone="yes"?>
<Relationships xmlns="http://schemas.openxmlformats.org/package/2006/relationships"><Relationship Id="rId1" Type="http://schemas.openxmlformats.org/officeDocument/2006/relationships/hyperlink" Target="#'Main Menu'!A1"/></Relationships>
</file>

<file path=xl/drawings/_rels/drawing5.xml.rels><?xml version="1.0" encoding="UTF-8" standalone="yes"?>
<Relationships xmlns="http://schemas.openxmlformats.org/package/2006/relationships"><Relationship Id="rId3" Type="http://schemas.openxmlformats.org/officeDocument/2006/relationships/hyperlink" Target="#'Definition-C&amp;I'!A4"/><Relationship Id="rId2" Type="http://schemas.openxmlformats.org/officeDocument/2006/relationships/hyperlink" Target="#'Definition-Res'!A4"/><Relationship Id="rId1" Type="http://schemas.openxmlformats.org/officeDocument/2006/relationships/hyperlink" Target="#'Program Descriptions'!A5"/><Relationship Id="rId4" Type="http://schemas.openxmlformats.org/officeDocument/2006/relationships/hyperlink" Target="#'Definition-CS'!A4"/></Relationships>
</file>

<file path=xl/drawings/_rels/drawing6.xml.rels><?xml version="1.0" encoding="UTF-8" standalone="yes"?>
<Relationships xmlns="http://schemas.openxmlformats.org/package/2006/relationships"><Relationship Id="rId8" Type="http://schemas.openxmlformats.org/officeDocument/2006/relationships/hyperlink" Target="#Cost!A4"/><Relationship Id="rId3" Type="http://schemas.openxmlformats.org/officeDocument/2006/relationships/hyperlink" Target="#'Savings &amp; Participants'!A6"/><Relationship Id="rId7" Type="http://schemas.openxmlformats.org/officeDocument/2006/relationships/hyperlink" Target="#'Rec1'!A1"/><Relationship Id="rId2" Type="http://schemas.openxmlformats.org/officeDocument/2006/relationships/hyperlink" Target="#'Program Descriptions'!A5"/><Relationship Id="rId1" Type="http://schemas.openxmlformats.org/officeDocument/2006/relationships/hyperlink" Target="#'Utility Information'!A3"/><Relationship Id="rId6" Type="http://schemas.openxmlformats.org/officeDocument/2006/relationships/hyperlink" Target="#'Main Menu'!A1"/><Relationship Id="rId5" Type="http://schemas.openxmlformats.org/officeDocument/2006/relationships/hyperlink" Target="#'Not Used1'!A3"/><Relationship Id="rId4" Type="http://schemas.openxmlformats.org/officeDocument/2006/relationships/hyperlink" Target="#Training!A3"/></Relationships>
</file>

<file path=xl/drawings/_rels/drawing7.xml.rels><?xml version="1.0" encoding="UTF-8" standalone="yes"?>
<Relationships xmlns="http://schemas.openxmlformats.org/package/2006/relationships"><Relationship Id="rId1" Type="http://schemas.openxmlformats.org/officeDocument/2006/relationships/hyperlink" Target="#Budgets!A5"/></Relationships>
</file>

<file path=xl/drawings/_rels/drawing8.xml.rels><?xml version="1.0" encoding="UTF-8" standalone="yes"?>
<Relationships xmlns="http://schemas.openxmlformats.org/package/2006/relationships"><Relationship Id="rId3" Type="http://schemas.openxmlformats.org/officeDocument/2006/relationships/hyperlink" Target="#Budgets!A5"/><Relationship Id="rId7" Type="http://schemas.openxmlformats.org/officeDocument/2006/relationships/hyperlink" Target="#'Definition-Participants'!A3"/><Relationship Id="rId2" Type="http://schemas.openxmlformats.org/officeDocument/2006/relationships/hyperlink" Target="#'Program Descriptions'!A5"/><Relationship Id="rId1" Type="http://schemas.openxmlformats.org/officeDocument/2006/relationships/hyperlink" Target="#'Utility Information'!A3"/><Relationship Id="rId6" Type="http://schemas.openxmlformats.org/officeDocument/2006/relationships/hyperlink" Target="#'Main Menu'!A1"/><Relationship Id="rId5" Type="http://schemas.openxmlformats.org/officeDocument/2006/relationships/hyperlink" Target="#'Not Used1'!A3"/><Relationship Id="rId4" Type="http://schemas.openxmlformats.org/officeDocument/2006/relationships/hyperlink" Target="#Training!A3"/></Relationships>
</file>

<file path=xl/drawings/_rels/drawing9.xml.rels><?xml version="1.0" encoding="UTF-8" standalone="yes"?>
<Relationships xmlns="http://schemas.openxmlformats.org/package/2006/relationships"><Relationship Id="rId8" Type="http://schemas.openxmlformats.org/officeDocument/2006/relationships/hyperlink" Target="#Internal!A7"/><Relationship Id="rId3" Type="http://schemas.openxmlformats.org/officeDocument/2006/relationships/hyperlink" Target="#Budgets!A5"/><Relationship Id="rId7" Type="http://schemas.openxmlformats.org/officeDocument/2006/relationships/hyperlink" Target="#External!A7"/><Relationship Id="rId2" Type="http://schemas.openxmlformats.org/officeDocument/2006/relationships/hyperlink" Target="#'Program Descriptions'!A5"/><Relationship Id="rId1" Type="http://schemas.openxmlformats.org/officeDocument/2006/relationships/hyperlink" Target="#'Utility Information'!A3"/><Relationship Id="rId6" Type="http://schemas.openxmlformats.org/officeDocument/2006/relationships/hyperlink" Target="#'Main Menu'!A1"/><Relationship Id="rId5" Type="http://schemas.openxmlformats.org/officeDocument/2006/relationships/hyperlink" Target="#'Not Used1'!A3"/><Relationship Id="rId4" Type="http://schemas.openxmlformats.org/officeDocument/2006/relationships/hyperlink" Target="#'Savings &amp; Participants'!A6"/></Relationships>
</file>

<file path=xl/drawings/drawing1.xml><?xml version="1.0" encoding="utf-8"?>
<xdr:wsDr xmlns:xdr="http://schemas.openxmlformats.org/drawingml/2006/spreadsheetDrawing" xmlns:a="http://schemas.openxmlformats.org/drawingml/2006/main">
  <xdr:twoCellAnchor>
    <xdr:from>
      <xdr:col>41</xdr:col>
      <xdr:colOff>0</xdr:colOff>
      <xdr:row>5</xdr:row>
      <xdr:rowOff>1</xdr:rowOff>
    </xdr:from>
    <xdr:to>
      <xdr:col>58</xdr:col>
      <xdr:colOff>0</xdr:colOff>
      <xdr:row>8</xdr:row>
      <xdr:rowOff>0</xdr:rowOff>
    </xdr:to>
    <xdr:sp macro="" textlink="Titles!F9">
      <xdr:nvSpPr>
        <xdr:cNvPr id="2" name="Rounded Rectangle 1">
          <a:hlinkClick xmlns:r="http://schemas.openxmlformats.org/officeDocument/2006/relationships" r:id="rId1" tooltip="Click"/>
          <a:extLst>
            <a:ext uri="{FF2B5EF4-FFF2-40B4-BE49-F238E27FC236}">
              <a16:creationId xmlns:a16="http://schemas.microsoft.com/office/drawing/2014/main" id="{00000000-0008-0000-0000-000002000000}"/>
            </a:ext>
          </a:extLst>
        </xdr:cNvPr>
        <xdr:cNvSpPr/>
      </xdr:nvSpPr>
      <xdr:spPr>
        <a:xfrm>
          <a:off x="4638675" y="1962151"/>
          <a:ext cx="1943100" cy="485774"/>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00F0E34D-FEC5-4470-9659-AB2752CA1906}" type="TxLink">
            <a:rPr lang="en-US" sz="1000" b="1" i="0" u="none" strike="noStrike">
              <a:solidFill>
                <a:schemeClr val="bg1"/>
              </a:solidFill>
              <a:latin typeface="+mn-lt"/>
              <a:cs typeface="Arial"/>
            </a:rPr>
            <a:pPr algn="ctr"/>
            <a:t>2025 Program Year Evaluation</a:t>
          </a:fld>
          <a:endParaRPr lang="en-US" sz="1000" b="1">
            <a:solidFill>
              <a:schemeClr val="bg1"/>
            </a:solidFill>
            <a:latin typeface="+mn-lt"/>
          </a:endParaRPr>
        </a:p>
      </xdr:txBody>
    </xdr:sp>
    <xdr:clientData/>
  </xdr:twoCellAnchor>
  <xdr:twoCellAnchor>
    <xdr:from>
      <xdr:col>21</xdr:col>
      <xdr:colOff>0</xdr:colOff>
      <xdr:row>4</xdr:row>
      <xdr:rowOff>152400</xdr:rowOff>
    </xdr:from>
    <xdr:to>
      <xdr:col>38</xdr:col>
      <xdr:colOff>0</xdr:colOff>
      <xdr:row>8</xdr:row>
      <xdr:rowOff>0</xdr:rowOff>
    </xdr:to>
    <xdr:sp macro="" textlink="Titles!F8">
      <xdr:nvSpPr>
        <xdr:cNvPr id="3" name="Rounded Rectangle 2">
          <a:hlinkClick xmlns:r="http://schemas.openxmlformats.org/officeDocument/2006/relationships" r:id="rId2" tooltip="Click"/>
          <a:extLst>
            <a:ext uri="{FF2B5EF4-FFF2-40B4-BE49-F238E27FC236}">
              <a16:creationId xmlns:a16="http://schemas.microsoft.com/office/drawing/2014/main" id="{00000000-0008-0000-0000-000003000000}"/>
            </a:ext>
          </a:extLst>
        </xdr:cNvPr>
        <xdr:cNvSpPr/>
      </xdr:nvSpPr>
      <xdr:spPr>
        <a:xfrm>
          <a:off x="2352675" y="1952625"/>
          <a:ext cx="1943100" cy="4953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F4F4B829-14F2-43F2-B4CB-6ED5C10E16B0}" type="TxLink">
            <a:rPr lang="en-US" sz="1000" b="1" i="0" u="none" strike="noStrike">
              <a:solidFill>
                <a:schemeClr val="bg1"/>
              </a:solidFill>
              <a:latin typeface="+mn-lt"/>
              <a:cs typeface="Arial"/>
            </a:rPr>
            <a:pPr algn="ctr"/>
            <a:t>2025 EE Portfolio Information</a:t>
          </a:fld>
          <a:endParaRPr lang="en-US" sz="1000" b="1">
            <a:solidFill>
              <a:schemeClr val="bg1"/>
            </a:solidFill>
            <a:latin typeface="+mn-lt"/>
          </a:endParaRPr>
        </a:p>
      </xdr:txBody>
    </xdr:sp>
    <xdr:clientData/>
  </xdr:twoCellAnchor>
  <xdr:twoCellAnchor editAs="oneCell">
    <xdr:from>
      <xdr:col>1</xdr:col>
      <xdr:colOff>19050</xdr:colOff>
      <xdr:row>0</xdr:row>
      <xdr:rowOff>57150</xdr:rowOff>
    </xdr:from>
    <xdr:to>
      <xdr:col>13</xdr:col>
      <xdr:colOff>19050</xdr:colOff>
      <xdr:row>2</xdr:row>
      <xdr:rowOff>0</xdr:rowOff>
    </xdr:to>
    <xdr:pic>
      <xdr:nvPicPr>
        <xdr:cNvPr id="1461445" name="Picture 4" descr="C:\Users\KWheatley\Desktop\Arkansas State Seal.jpg">
          <a:extLst>
            <a:ext uri="{FF2B5EF4-FFF2-40B4-BE49-F238E27FC236}">
              <a16:creationId xmlns:a16="http://schemas.microsoft.com/office/drawing/2014/main" id="{00000000-0008-0000-0000-0000C54C16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5725" y="57150"/>
          <a:ext cx="1371600" cy="137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xdr:colOff>
      <xdr:row>4</xdr:row>
      <xdr:rowOff>152400</xdr:rowOff>
    </xdr:from>
    <xdr:to>
      <xdr:col>13</xdr:col>
      <xdr:colOff>1</xdr:colOff>
      <xdr:row>6</xdr:row>
      <xdr:rowOff>152399</xdr:rowOff>
    </xdr:to>
    <xdr:sp macro="" textlink="">
      <xdr:nvSpPr>
        <xdr:cNvPr id="5" name="Rounded Rectangle 4">
          <a:hlinkClick xmlns:r="http://schemas.openxmlformats.org/officeDocument/2006/relationships" r:id="rId4" tooltip="Click"/>
          <a:extLst>
            <a:ext uri="{FF2B5EF4-FFF2-40B4-BE49-F238E27FC236}">
              <a16:creationId xmlns:a16="http://schemas.microsoft.com/office/drawing/2014/main" id="{00000000-0008-0000-0000-000005000000}"/>
            </a:ext>
          </a:extLst>
        </xdr:cNvPr>
        <xdr:cNvSpPr/>
      </xdr:nvSpPr>
      <xdr:spPr>
        <a:xfrm>
          <a:off x="295276" y="1952625"/>
          <a:ext cx="1143000" cy="323849"/>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Instructions</a:t>
          </a:r>
        </a:p>
      </xdr:txBody>
    </xdr:sp>
    <xdr:clientData/>
  </xdr:twoCellAnchor>
  <xdr:twoCellAnchor>
    <xdr:from>
      <xdr:col>3</xdr:col>
      <xdr:colOff>0</xdr:colOff>
      <xdr:row>7</xdr:row>
      <xdr:rowOff>152400</xdr:rowOff>
    </xdr:from>
    <xdr:to>
      <xdr:col>13</xdr:col>
      <xdr:colOff>3174</xdr:colOff>
      <xdr:row>9</xdr:row>
      <xdr:rowOff>152400</xdr:rowOff>
    </xdr:to>
    <xdr:sp macro="" textlink="">
      <xdr:nvSpPr>
        <xdr:cNvPr id="6" name="Rounded Rectangle 5">
          <a:hlinkClick xmlns:r="http://schemas.openxmlformats.org/officeDocument/2006/relationships" r:id="rId5" tooltip="Click"/>
          <a:extLst>
            <a:ext uri="{FF2B5EF4-FFF2-40B4-BE49-F238E27FC236}">
              <a16:creationId xmlns:a16="http://schemas.microsoft.com/office/drawing/2014/main" id="{00000000-0008-0000-0000-000006000000}"/>
            </a:ext>
          </a:extLst>
        </xdr:cNvPr>
        <xdr:cNvSpPr/>
      </xdr:nvSpPr>
      <xdr:spPr>
        <a:xfrm>
          <a:off x="295275" y="2438400"/>
          <a:ext cx="1142999" cy="32385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Glossary</a:t>
          </a:r>
        </a:p>
      </xdr:txBody>
    </xdr:sp>
    <xdr:clientData/>
  </xdr:twoCellAnchor>
  <xdr:twoCellAnchor>
    <xdr:from>
      <xdr:col>61</xdr:col>
      <xdr:colOff>0</xdr:colOff>
      <xdr:row>5</xdr:row>
      <xdr:rowOff>0</xdr:rowOff>
    </xdr:from>
    <xdr:to>
      <xdr:col>78</xdr:col>
      <xdr:colOff>3174</xdr:colOff>
      <xdr:row>8</xdr:row>
      <xdr:rowOff>0</xdr:rowOff>
    </xdr:to>
    <xdr:sp macro="" textlink="Titles!F10">
      <xdr:nvSpPr>
        <xdr:cNvPr id="7" name="Rounded Rectangle 6">
          <a:hlinkClick xmlns:r="http://schemas.openxmlformats.org/officeDocument/2006/relationships" r:id="rId6" tooltip="Click"/>
          <a:extLst>
            <a:ext uri="{FF2B5EF4-FFF2-40B4-BE49-F238E27FC236}">
              <a16:creationId xmlns:a16="http://schemas.microsoft.com/office/drawing/2014/main" id="{00000000-0008-0000-0000-000007000000}"/>
            </a:ext>
          </a:extLst>
        </xdr:cNvPr>
        <xdr:cNvSpPr/>
      </xdr:nvSpPr>
      <xdr:spPr>
        <a:xfrm>
          <a:off x="6924675" y="1962150"/>
          <a:ext cx="1943099" cy="485775"/>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0A19FDF8-2859-43FD-B5B5-7FD47FB21A0C}" type="TxLink">
            <a:rPr lang="en-US" sz="1000" b="1">
              <a:solidFill>
                <a:schemeClr val="bg1"/>
              </a:solidFill>
              <a:latin typeface="+mn-lt"/>
            </a:rPr>
            <a:pPr algn="ctr"/>
            <a:t>Historical Information</a:t>
          </a:fld>
          <a:endParaRPr lang="en-US" sz="1000" b="1">
            <a:solidFill>
              <a:schemeClr val="bg1"/>
            </a:solidFill>
            <a:latin typeface="+mn-lt"/>
          </a:endParaRPr>
        </a:p>
      </xdr:txBody>
    </xdr:sp>
    <xdr:clientData/>
  </xdr:twoCellAnchor>
  <xdr:twoCellAnchor>
    <xdr:from>
      <xdr:col>74</xdr:col>
      <xdr:colOff>0</xdr:colOff>
      <xdr:row>17</xdr:row>
      <xdr:rowOff>1</xdr:rowOff>
    </xdr:from>
    <xdr:to>
      <xdr:col>80</xdr:col>
      <xdr:colOff>0</xdr:colOff>
      <xdr:row>18</xdr:row>
      <xdr:rowOff>0</xdr:rowOff>
    </xdr:to>
    <xdr:sp macro="" textlink="">
      <xdr:nvSpPr>
        <xdr:cNvPr id="14" name="Rounded Rectangle 13">
          <a:hlinkClick xmlns:r="http://schemas.openxmlformats.org/officeDocument/2006/relationships" r:id="rId7" tooltip="Click"/>
          <a:extLst>
            <a:ext uri="{FF2B5EF4-FFF2-40B4-BE49-F238E27FC236}">
              <a16:creationId xmlns:a16="http://schemas.microsoft.com/office/drawing/2014/main" id="{00000000-0008-0000-0000-00000E000000}"/>
            </a:ext>
          </a:extLst>
        </xdr:cNvPr>
        <xdr:cNvSpPr/>
      </xdr:nvSpPr>
      <xdr:spPr>
        <a:xfrm>
          <a:off x="8175625" y="4476751"/>
          <a:ext cx="666750" cy="412749"/>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editAs="oneCell">
    <xdr:from>
      <xdr:col>18</xdr:col>
      <xdr:colOff>0</xdr:colOff>
      <xdr:row>9</xdr:row>
      <xdr:rowOff>0</xdr:rowOff>
    </xdr:from>
    <xdr:to>
      <xdr:col>80</xdr:col>
      <xdr:colOff>0</xdr:colOff>
      <xdr:row>10</xdr:row>
      <xdr:rowOff>79374</xdr:rowOff>
    </xdr:to>
    <xdr:sp macro="" textlink="'Utility Information'!D5">
      <xdr:nvSpPr>
        <xdr:cNvPr id="4" name="TextBox 3">
          <a:extLst>
            <a:ext uri="{FF2B5EF4-FFF2-40B4-BE49-F238E27FC236}">
              <a16:creationId xmlns:a16="http://schemas.microsoft.com/office/drawing/2014/main" id="{00000000-0008-0000-0000-000004000000}"/>
            </a:ext>
          </a:extLst>
        </xdr:cNvPr>
        <xdr:cNvSpPr txBox="1"/>
      </xdr:nvSpPr>
      <xdr:spPr>
        <a:xfrm>
          <a:off x="1952625" y="2595563"/>
          <a:ext cx="6889750" cy="20637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62DC3AF3-0C29-4D6F-834C-41EC811455EF}" type="TxLink">
            <a:rPr lang="en-US" sz="1600" b="1" i="0" u="none" strike="noStrike">
              <a:solidFill>
                <a:srgbClr val="000000"/>
              </a:solidFill>
              <a:latin typeface="Calibri"/>
              <a:cs typeface="Calibri"/>
            </a:rPr>
            <a:pPr algn="ctr"/>
            <a:t>Entergy Arkansas, LLC</a:t>
          </a:fld>
          <a:endParaRPr lang="en-US" sz="2000" b="1"/>
        </a:p>
      </xdr:txBody>
    </xdr:sp>
    <xdr:clientData/>
  </xdr:twoCellAnchor>
  <xdr:twoCellAnchor>
    <xdr:from>
      <xdr:col>66</xdr:col>
      <xdr:colOff>0</xdr:colOff>
      <xdr:row>17</xdr:row>
      <xdr:rowOff>1</xdr:rowOff>
    </xdr:from>
    <xdr:to>
      <xdr:col>71</xdr:col>
      <xdr:colOff>111124</xdr:colOff>
      <xdr:row>18</xdr:row>
      <xdr:rowOff>0</xdr:rowOff>
    </xdr:to>
    <xdr:sp macro="" textlink="">
      <xdr:nvSpPr>
        <xdr:cNvPr id="19" name="Rounded Rectangle 18">
          <a:hlinkClick xmlns:r="http://schemas.openxmlformats.org/officeDocument/2006/relationships" r:id="rId8" tooltip="Click"/>
          <a:extLst>
            <a:ext uri="{FF2B5EF4-FFF2-40B4-BE49-F238E27FC236}">
              <a16:creationId xmlns:a16="http://schemas.microsoft.com/office/drawing/2014/main" id="{00000000-0008-0000-0000-000013000000}"/>
            </a:ext>
          </a:extLst>
        </xdr:cNvPr>
        <xdr:cNvSpPr/>
      </xdr:nvSpPr>
      <xdr:spPr>
        <a:xfrm>
          <a:off x="7286625" y="4476751"/>
          <a:ext cx="666749" cy="412749"/>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58</xdr:col>
      <xdr:colOff>0</xdr:colOff>
      <xdr:row>17</xdr:row>
      <xdr:rowOff>1</xdr:rowOff>
    </xdr:from>
    <xdr:to>
      <xdr:col>63</xdr:col>
      <xdr:colOff>111124</xdr:colOff>
      <xdr:row>18</xdr:row>
      <xdr:rowOff>0</xdr:rowOff>
    </xdr:to>
    <xdr:sp macro="" textlink="">
      <xdr:nvSpPr>
        <xdr:cNvPr id="20" name="Rounded Rectangle 19">
          <a:hlinkClick xmlns:r="http://schemas.openxmlformats.org/officeDocument/2006/relationships" r:id="rId9" tooltip="Click"/>
          <a:extLst>
            <a:ext uri="{FF2B5EF4-FFF2-40B4-BE49-F238E27FC236}">
              <a16:creationId xmlns:a16="http://schemas.microsoft.com/office/drawing/2014/main" id="{00000000-0008-0000-0000-000014000000}"/>
            </a:ext>
          </a:extLst>
        </xdr:cNvPr>
        <xdr:cNvSpPr/>
      </xdr:nvSpPr>
      <xdr:spPr>
        <a:xfrm>
          <a:off x="6397625" y="4476751"/>
          <a:ext cx="666749" cy="412749"/>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50</xdr:col>
      <xdr:colOff>0</xdr:colOff>
      <xdr:row>17</xdr:row>
      <xdr:rowOff>0</xdr:rowOff>
    </xdr:from>
    <xdr:to>
      <xdr:col>55</xdr:col>
      <xdr:colOff>114299</xdr:colOff>
      <xdr:row>18</xdr:row>
      <xdr:rowOff>0</xdr:rowOff>
    </xdr:to>
    <xdr:sp macro="" textlink="">
      <xdr:nvSpPr>
        <xdr:cNvPr id="21" name="Rounded Rectangle 20">
          <a:hlinkClick xmlns:r="http://schemas.openxmlformats.org/officeDocument/2006/relationships" r:id="rId10" tooltip="Click"/>
          <a:extLst>
            <a:ext uri="{FF2B5EF4-FFF2-40B4-BE49-F238E27FC236}">
              <a16:creationId xmlns:a16="http://schemas.microsoft.com/office/drawing/2014/main" id="{00000000-0008-0000-0000-000015000000}"/>
            </a:ext>
          </a:extLst>
        </xdr:cNvPr>
        <xdr:cNvSpPr/>
      </xdr:nvSpPr>
      <xdr:spPr>
        <a:xfrm>
          <a:off x="5667375" y="4495800"/>
          <a:ext cx="685799" cy="409575"/>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42</xdr:col>
      <xdr:colOff>0</xdr:colOff>
      <xdr:row>17</xdr:row>
      <xdr:rowOff>1</xdr:rowOff>
    </xdr:from>
    <xdr:to>
      <xdr:col>47</xdr:col>
      <xdr:colOff>114299</xdr:colOff>
      <xdr:row>18</xdr:row>
      <xdr:rowOff>0</xdr:rowOff>
    </xdr:to>
    <xdr:sp macro="" textlink="">
      <xdr:nvSpPr>
        <xdr:cNvPr id="22" name="Rounded Rectangle 21">
          <a:hlinkClick xmlns:r="http://schemas.openxmlformats.org/officeDocument/2006/relationships" r:id="rId11" tooltip="Click"/>
          <a:extLst>
            <a:ext uri="{FF2B5EF4-FFF2-40B4-BE49-F238E27FC236}">
              <a16:creationId xmlns:a16="http://schemas.microsoft.com/office/drawing/2014/main" id="{00000000-0008-0000-0000-000016000000}"/>
            </a:ext>
          </a:extLst>
        </xdr:cNvPr>
        <xdr:cNvSpPr/>
      </xdr:nvSpPr>
      <xdr:spPr>
        <a:xfrm>
          <a:off x="4752975" y="4495801"/>
          <a:ext cx="685799" cy="409574"/>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34</xdr:col>
      <xdr:colOff>0</xdr:colOff>
      <xdr:row>16</xdr:row>
      <xdr:rowOff>161924</xdr:rowOff>
    </xdr:from>
    <xdr:to>
      <xdr:col>40</xdr:col>
      <xdr:colOff>0</xdr:colOff>
      <xdr:row>17</xdr:row>
      <xdr:rowOff>409574</xdr:rowOff>
    </xdr:to>
    <xdr:sp macro="" textlink="">
      <xdr:nvSpPr>
        <xdr:cNvPr id="23" name="Rounded Rectangle 22">
          <a:hlinkClick xmlns:r="http://schemas.openxmlformats.org/officeDocument/2006/relationships" r:id="rId12" tooltip="Click"/>
          <a:extLst>
            <a:ext uri="{FF2B5EF4-FFF2-40B4-BE49-F238E27FC236}">
              <a16:creationId xmlns:a16="http://schemas.microsoft.com/office/drawing/2014/main" id="{00000000-0008-0000-0000-000017000000}"/>
            </a:ext>
          </a:extLst>
        </xdr:cNvPr>
        <xdr:cNvSpPr/>
      </xdr:nvSpPr>
      <xdr:spPr>
        <a:xfrm>
          <a:off x="3838575" y="4495799"/>
          <a:ext cx="685800" cy="409575"/>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26</xdr:col>
      <xdr:colOff>0</xdr:colOff>
      <xdr:row>16</xdr:row>
      <xdr:rowOff>161924</xdr:rowOff>
    </xdr:from>
    <xdr:to>
      <xdr:col>31</xdr:col>
      <xdr:colOff>114299</xdr:colOff>
      <xdr:row>17</xdr:row>
      <xdr:rowOff>409574</xdr:rowOff>
    </xdr:to>
    <xdr:sp macro="" textlink="">
      <xdr:nvSpPr>
        <xdr:cNvPr id="24" name="Rounded Rectangle 23">
          <a:hlinkClick xmlns:r="http://schemas.openxmlformats.org/officeDocument/2006/relationships" r:id="rId13" tooltip="Click"/>
          <a:extLst>
            <a:ext uri="{FF2B5EF4-FFF2-40B4-BE49-F238E27FC236}">
              <a16:creationId xmlns:a16="http://schemas.microsoft.com/office/drawing/2014/main" id="{00000000-0008-0000-0000-000018000000}"/>
            </a:ext>
          </a:extLst>
        </xdr:cNvPr>
        <xdr:cNvSpPr/>
      </xdr:nvSpPr>
      <xdr:spPr>
        <a:xfrm>
          <a:off x="2924175" y="4495799"/>
          <a:ext cx="685799" cy="409575"/>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18</xdr:col>
      <xdr:colOff>0</xdr:colOff>
      <xdr:row>17</xdr:row>
      <xdr:rowOff>0</xdr:rowOff>
    </xdr:from>
    <xdr:to>
      <xdr:col>24</xdr:col>
      <xdr:colOff>0</xdr:colOff>
      <xdr:row>18</xdr:row>
      <xdr:rowOff>0</xdr:rowOff>
    </xdr:to>
    <xdr:sp macro="" textlink="">
      <xdr:nvSpPr>
        <xdr:cNvPr id="25" name="Rounded Rectangle 24">
          <a:hlinkClick xmlns:r="http://schemas.openxmlformats.org/officeDocument/2006/relationships" r:id="rId14" tooltip="Click"/>
          <a:extLst>
            <a:ext uri="{FF2B5EF4-FFF2-40B4-BE49-F238E27FC236}">
              <a16:creationId xmlns:a16="http://schemas.microsoft.com/office/drawing/2014/main" id="{00000000-0008-0000-0000-000019000000}"/>
            </a:ext>
          </a:extLst>
        </xdr:cNvPr>
        <xdr:cNvSpPr/>
      </xdr:nvSpPr>
      <xdr:spPr>
        <a:xfrm>
          <a:off x="2009775" y="4333875"/>
          <a:ext cx="685800" cy="409575"/>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2</xdr:col>
      <xdr:colOff>0</xdr:colOff>
      <xdr:row>17</xdr:row>
      <xdr:rowOff>0</xdr:rowOff>
    </xdr:from>
    <xdr:to>
      <xdr:col>8</xdr:col>
      <xdr:colOff>0</xdr:colOff>
      <xdr:row>18</xdr:row>
      <xdr:rowOff>0</xdr:rowOff>
    </xdr:to>
    <xdr:sp macro="" textlink="">
      <xdr:nvSpPr>
        <xdr:cNvPr id="26" name="Rounded Rectangle 25">
          <a:hlinkClick xmlns:r="http://schemas.openxmlformats.org/officeDocument/2006/relationships" r:id="rId15" tooltip="Click"/>
          <a:extLst>
            <a:ext uri="{FF2B5EF4-FFF2-40B4-BE49-F238E27FC236}">
              <a16:creationId xmlns:a16="http://schemas.microsoft.com/office/drawing/2014/main" id="{00000000-0008-0000-0000-00001A000000}"/>
            </a:ext>
          </a:extLst>
        </xdr:cNvPr>
        <xdr:cNvSpPr/>
      </xdr:nvSpPr>
      <xdr:spPr>
        <a:xfrm>
          <a:off x="180975" y="4333875"/>
          <a:ext cx="685800" cy="47625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10</xdr:col>
      <xdr:colOff>0</xdr:colOff>
      <xdr:row>17</xdr:row>
      <xdr:rowOff>1</xdr:rowOff>
    </xdr:from>
    <xdr:to>
      <xdr:col>15</xdr:col>
      <xdr:colOff>114299</xdr:colOff>
      <xdr:row>18</xdr:row>
      <xdr:rowOff>0</xdr:rowOff>
    </xdr:to>
    <xdr:sp macro="" textlink="">
      <xdr:nvSpPr>
        <xdr:cNvPr id="27" name="Rounded Rectangle 26">
          <a:hlinkClick xmlns:r="http://schemas.openxmlformats.org/officeDocument/2006/relationships" r:id="rId16" tooltip="Click"/>
          <a:extLst>
            <a:ext uri="{FF2B5EF4-FFF2-40B4-BE49-F238E27FC236}">
              <a16:creationId xmlns:a16="http://schemas.microsoft.com/office/drawing/2014/main" id="{00000000-0008-0000-0000-00001B000000}"/>
            </a:ext>
          </a:extLst>
        </xdr:cNvPr>
        <xdr:cNvSpPr/>
      </xdr:nvSpPr>
      <xdr:spPr>
        <a:xfrm>
          <a:off x="1095375" y="4333876"/>
          <a:ext cx="685799" cy="409574"/>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wsDr>
</file>

<file path=xl/drawings/drawing10.xml><?xml version="1.0" encoding="utf-8"?>
<xdr:wsDr xmlns:xdr="http://schemas.openxmlformats.org/drawingml/2006/spreadsheetDrawing" xmlns:a="http://schemas.openxmlformats.org/drawingml/2006/main">
  <xdr:twoCellAnchor editAs="absolute">
    <xdr:from>
      <xdr:col>1</xdr:col>
      <xdr:colOff>76200</xdr:colOff>
      <xdr:row>1</xdr:row>
      <xdr:rowOff>96679</xdr:rowOff>
    </xdr:from>
    <xdr:to>
      <xdr:col>4</xdr:col>
      <xdr:colOff>213042</xdr:colOff>
      <xdr:row>1</xdr:row>
      <xdr:rowOff>325279</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09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twoCellAnchor>
    <xdr:from>
      <xdr:col>1</xdr:col>
      <xdr:colOff>23812</xdr:colOff>
      <xdr:row>2</xdr:row>
      <xdr:rowOff>0</xdr:rowOff>
    </xdr:from>
    <xdr:to>
      <xdr:col>14</xdr:col>
      <xdr:colOff>142875</xdr:colOff>
      <xdr:row>2</xdr:row>
      <xdr:rowOff>559593</xdr:rowOff>
    </xdr:to>
    <xdr:sp macro="" textlink="">
      <xdr:nvSpPr>
        <xdr:cNvPr id="4" name="Rounded Rectangle 6">
          <a:extLst>
            <a:ext uri="{FF2B5EF4-FFF2-40B4-BE49-F238E27FC236}">
              <a16:creationId xmlns:a16="http://schemas.microsoft.com/office/drawing/2014/main" id="{00000000-0008-0000-0900-000004000000}"/>
            </a:ext>
          </a:extLst>
        </xdr:cNvPr>
        <xdr:cNvSpPr>
          <a:spLocks noChangeArrowheads="1"/>
        </xdr:cNvSpPr>
      </xdr:nvSpPr>
      <xdr:spPr bwMode="auto">
        <a:xfrm>
          <a:off x="95250" y="547688"/>
          <a:ext cx="11060906" cy="559593"/>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100" b="1" i="0" u="none" strike="noStrike" baseline="0">
              <a:solidFill>
                <a:srgbClr val="000000"/>
              </a:solidFill>
              <a:latin typeface="Calibri"/>
              <a:cs typeface="Calibri"/>
            </a:rPr>
            <a:t>Instructions:  </a:t>
          </a:r>
          <a:r>
            <a:rPr lang="en-US" sz="1050" b="0" i="0" u="none" strike="noStrike" baseline="0">
              <a:solidFill>
                <a:srgbClr val="000000"/>
              </a:solidFill>
              <a:latin typeface="Calibri"/>
              <a:cs typeface="Calibri"/>
            </a:rPr>
            <a:t>Provide the required details for all external training.  To add additional rows select the far right cell in the last numbered row and press  the 'tab' button.</a:t>
          </a:r>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editAs="absolute">
    <xdr:from>
      <xdr:col>1</xdr:col>
      <xdr:colOff>76200</xdr:colOff>
      <xdr:row>1</xdr:row>
      <xdr:rowOff>92869</xdr:rowOff>
    </xdr:from>
    <xdr:to>
      <xdr:col>4</xdr:col>
      <xdr:colOff>211772</xdr:colOff>
      <xdr:row>1</xdr:row>
      <xdr:rowOff>321469</xdr:rowOff>
    </xdr:to>
    <xdr:sp macro="" textlink="">
      <xdr:nvSpPr>
        <xdr:cNvPr id="2" name="Rounded Rectangle 1">
          <a:hlinkClick xmlns:r="http://schemas.openxmlformats.org/officeDocument/2006/relationships" r:id="rId1" tooltip="Click"/>
          <a:extLst>
            <a:ext uri="{FF2B5EF4-FFF2-40B4-BE49-F238E27FC236}">
              <a16:creationId xmlns:a16="http://schemas.microsoft.com/office/drawing/2014/main" id="{00000000-0008-0000-0A00-000002000000}"/>
            </a:ext>
          </a:extLst>
        </xdr:cNvPr>
        <xdr:cNvSpPr/>
      </xdr:nvSpPr>
      <xdr:spPr>
        <a:xfrm>
          <a:off x="142875" y="150019"/>
          <a:ext cx="1004887"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twoCellAnchor>
    <xdr:from>
      <xdr:col>1</xdr:col>
      <xdr:colOff>23812</xdr:colOff>
      <xdr:row>2</xdr:row>
      <xdr:rowOff>0</xdr:rowOff>
    </xdr:from>
    <xdr:to>
      <xdr:col>14</xdr:col>
      <xdr:colOff>142875</xdr:colOff>
      <xdr:row>2</xdr:row>
      <xdr:rowOff>559593</xdr:rowOff>
    </xdr:to>
    <xdr:sp macro="" textlink="">
      <xdr:nvSpPr>
        <xdr:cNvPr id="3" name="Rounded Rectangle 6">
          <a:extLst>
            <a:ext uri="{FF2B5EF4-FFF2-40B4-BE49-F238E27FC236}">
              <a16:creationId xmlns:a16="http://schemas.microsoft.com/office/drawing/2014/main" id="{00000000-0008-0000-0A00-000003000000}"/>
            </a:ext>
          </a:extLst>
        </xdr:cNvPr>
        <xdr:cNvSpPr>
          <a:spLocks noChangeArrowheads="1"/>
        </xdr:cNvSpPr>
      </xdr:nvSpPr>
      <xdr:spPr bwMode="auto">
        <a:xfrm>
          <a:off x="90487" y="542925"/>
          <a:ext cx="11072813" cy="559593"/>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100" b="1" i="0" u="none" strike="noStrike" baseline="0">
              <a:solidFill>
                <a:srgbClr val="000000"/>
              </a:solidFill>
              <a:latin typeface="Calibri"/>
              <a:cs typeface="Calibri"/>
            </a:rPr>
            <a:t>Instructions:  </a:t>
          </a:r>
          <a:r>
            <a:rPr lang="en-US" sz="1050" b="0" i="0" u="none" strike="noStrike" baseline="0">
              <a:solidFill>
                <a:srgbClr val="000000"/>
              </a:solidFill>
              <a:latin typeface="Calibri"/>
              <a:cs typeface="Calibri"/>
            </a:rPr>
            <a:t>Provide the required details for all internal training.  To add additional rows select the far right cell in the last numbered row and press  the 'tab' button.</a:t>
          </a:r>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editAs="absolute">
    <xdr:from>
      <xdr:col>1</xdr:col>
      <xdr:colOff>9525</xdr:colOff>
      <xdr:row>1</xdr:row>
      <xdr:rowOff>0</xdr:rowOff>
    </xdr:from>
    <xdr:to>
      <xdr:col>15</xdr:col>
      <xdr:colOff>0</xdr:colOff>
      <xdr:row>1</xdr:row>
      <xdr:rowOff>409575</xdr:rowOff>
    </xdr:to>
    <xdr:sp macro="" textlink="">
      <xdr:nvSpPr>
        <xdr:cNvPr id="1472681" name="Rectangle 365">
          <a:extLst>
            <a:ext uri="{FF2B5EF4-FFF2-40B4-BE49-F238E27FC236}">
              <a16:creationId xmlns:a16="http://schemas.microsoft.com/office/drawing/2014/main" id="{00000000-0008-0000-0B00-0000A978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9525</xdr:colOff>
      <xdr:row>0</xdr:row>
      <xdr:rowOff>66674</xdr:rowOff>
    </xdr:from>
    <xdr:to>
      <xdr:col>3</xdr:col>
      <xdr:colOff>479998</xdr:colOff>
      <xdr:row>0</xdr:row>
      <xdr:rowOff>340994</xdr:rowOff>
    </xdr:to>
    <xdr:sp macro="" textlink="Titles!B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0B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0B387605-01DA-4316-9625-9969F897CA60}" type="TxLink">
            <a:rPr lang="en-US" sz="1000" b="1">
              <a:solidFill>
                <a:schemeClr val="lt1"/>
              </a:solidFill>
              <a:latin typeface="+mn-lt"/>
              <a:ea typeface="+mn-ea"/>
              <a:cs typeface="+mn-cs"/>
            </a:rPr>
            <a:pPr marL="0" indent="0" algn="ctr"/>
            <a:t>Utility Information</a:t>
          </a:fld>
          <a:endParaRPr lang="en-US" sz="1000" b="1">
            <a:solidFill>
              <a:schemeClr val="lt1"/>
            </a:solidFill>
            <a:latin typeface="+mn-lt"/>
            <a:ea typeface="+mn-ea"/>
            <a:cs typeface="+mn-cs"/>
          </a:endParaRPr>
        </a:p>
      </xdr:txBody>
    </xdr:sp>
    <xdr:clientData/>
  </xdr:twoCellAnchor>
  <xdr:twoCellAnchor editAs="absolute">
    <xdr:from>
      <xdr:col>3</xdr:col>
      <xdr:colOff>483870</xdr:colOff>
      <xdr:row>0</xdr:row>
      <xdr:rowOff>66675</xdr:rowOff>
    </xdr:from>
    <xdr:to>
      <xdr:col>5</xdr:col>
      <xdr:colOff>518160</xdr:colOff>
      <xdr:row>0</xdr:row>
      <xdr:rowOff>340995</xdr:rowOff>
    </xdr:to>
    <xdr:sp macro="" textlink="Titles!B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0B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7F4CC15E-132F-416A-BAE4-EC25B1CD3B7B}" type="TxLink">
            <a:rPr lang="en-US" sz="1000" b="1">
              <a:solidFill>
                <a:schemeClr val="lt1"/>
              </a:solidFill>
              <a:latin typeface="+mn-lt"/>
              <a:ea typeface="+mn-ea"/>
              <a:cs typeface="+mn-cs"/>
            </a:rPr>
            <a:pPr marL="0" indent="0" algn="ctr"/>
            <a:t>Program Descriptions</a:t>
          </a:fld>
          <a:endParaRPr lang="en-US" sz="1000" b="1">
            <a:solidFill>
              <a:schemeClr val="lt1"/>
            </a:solidFill>
            <a:latin typeface="+mn-lt"/>
            <a:ea typeface="+mn-ea"/>
            <a:cs typeface="+mn-cs"/>
          </a:endParaRPr>
        </a:p>
      </xdr:txBody>
    </xdr:sp>
    <xdr:clientData/>
  </xdr:twoCellAnchor>
  <xdr:twoCellAnchor editAs="absolute">
    <xdr:from>
      <xdr:col>5</xdr:col>
      <xdr:colOff>529590</xdr:colOff>
      <xdr:row>0</xdr:row>
      <xdr:rowOff>66675</xdr:rowOff>
    </xdr:from>
    <xdr:to>
      <xdr:col>7</xdr:col>
      <xdr:colOff>563880</xdr:colOff>
      <xdr:row>0</xdr:row>
      <xdr:rowOff>340995</xdr:rowOff>
    </xdr:to>
    <xdr:sp macro="" textlink="Titles!B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0B00-000005000000}"/>
            </a:ext>
          </a:extLst>
        </xdr:cNvPr>
        <xdr:cNvSpPr/>
      </xdr:nvSpPr>
      <xdr:spPr>
        <a:xfrm>
          <a:off x="30384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DDEF0D8E-DCB5-47A6-A6ED-4DF4F0BC25BC}" type="TxLink">
            <a:rPr lang="en-US" sz="1000" b="1">
              <a:solidFill>
                <a:schemeClr val="lt1"/>
              </a:solidFill>
              <a:latin typeface="+mn-lt"/>
              <a:ea typeface="+mn-ea"/>
              <a:cs typeface="+mn-cs"/>
            </a:rPr>
            <a:pPr marL="0" indent="0" algn="ctr"/>
            <a:t>Budgets</a:t>
          </a:fld>
          <a:endParaRPr lang="en-US" sz="1000" b="1">
            <a:solidFill>
              <a:schemeClr val="lt1"/>
            </a:solidFill>
            <a:latin typeface="+mn-lt"/>
            <a:ea typeface="+mn-ea"/>
            <a:cs typeface="+mn-cs"/>
          </a:endParaRPr>
        </a:p>
      </xdr:txBody>
    </xdr:sp>
    <xdr:clientData/>
  </xdr:twoCellAnchor>
  <xdr:twoCellAnchor editAs="absolute">
    <xdr:from>
      <xdr:col>7</xdr:col>
      <xdr:colOff>588645</xdr:colOff>
      <xdr:row>0</xdr:row>
      <xdr:rowOff>66675</xdr:rowOff>
    </xdr:from>
    <xdr:to>
      <xdr:col>10</xdr:col>
      <xdr:colOff>15247</xdr:colOff>
      <xdr:row>0</xdr:row>
      <xdr:rowOff>340995</xdr:rowOff>
    </xdr:to>
    <xdr:sp macro="" textlink="Titles!B5">
      <xdr:nvSpPr>
        <xdr:cNvPr id="6" name="Round Same Side Corner Rectangle 5">
          <a:hlinkClick xmlns:r="http://schemas.openxmlformats.org/officeDocument/2006/relationships" r:id="rId4" tooltip="Click"/>
          <a:extLst>
            <a:ext uri="{FF2B5EF4-FFF2-40B4-BE49-F238E27FC236}">
              <a16:creationId xmlns:a16="http://schemas.microsoft.com/office/drawing/2014/main" id="{00000000-0008-0000-0B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032F82DC-1A74-4FB1-BB15-70219EB5FE69}" type="TxLink">
            <a:rPr lang="en-US" sz="1000" b="1">
              <a:solidFill>
                <a:schemeClr val="lt1"/>
              </a:solidFill>
              <a:latin typeface="+mn-lt"/>
              <a:ea typeface="+mn-ea"/>
              <a:cs typeface="+mn-cs"/>
            </a:rPr>
            <a:pPr marL="0" indent="0" algn="ctr"/>
            <a:t>Savings &amp; Participants</a:t>
          </a:fld>
          <a:endParaRPr lang="en-US" sz="1000" b="1">
            <a:solidFill>
              <a:schemeClr val="lt1"/>
            </a:solidFill>
            <a:latin typeface="+mn-lt"/>
            <a:ea typeface="+mn-ea"/>
            <a:cs typeface="+mn-cs"/>
          </a:endParaRPr>
        </a:p>
      </xdr:txBody>
    </xdr:sp>
    <xdr:clientData/>
  </xdr:twoCellAnchor>
  <xdr:twoCellAnchor editAs="absolute">
    <xdr:from>
      <xdr:col>10</xdr:col>
      <xdr:colOff>28575</xdr:colOff>
      <xdr:row>0</xdr:row>
      <xdr:rowOff>66675</xdr:rowOff>
    </xdr:from>
    <xdr:to>
      <xdr:col>12</xdr:col>
      <xdr:colOff>158140</xdr:colOff>
      <xdr:row>0</xdr:row>
      <xdr:rowOff>340995</xdr:rowOff>
    </xdr:to>
    <xdr:sp macro="" textlink="Titles!B6">
      <xdr:nvSpPr>
        <xdr:cNvPr id="7" name="Round Same Side Corner Rectangle 6">
          <a:hlinkClick xmlns:r="http://schemas.openxmlformats.org/officeDocument/2006/relationships" r:id="rId5" tooltip="Click"/>
          <a:extLst>
            <a:ext uri="{FF2B5EF4-FFF2-40B4-BE49-F238E27FC236}">
              <a16:creationId xmlns:a16="http://schemas.microsoft.com/office/drawing/2014/main" id="{00000000-0008-0000-0B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95481221-1105-4A53-B2EB-19751BEC6556}" type="TxLink">
            <a:rPr lang="en-US" sz="1000" b="1"/>
            <a:pPr algn="ctr"/>
            <a:t>Training</a:t>
          </a:fld>
          <a:endParaRPr lang="en-US" sz="1000" b="1"/>
        </a:p>
      </xdr:txBody>
    </xdr:sp>
    <xdr:clientData/>
  </xdr:twoCellAnchor>
  <xdr:twoCellAnchor editAs="absolute">
    <xdr:from>
      <xdr:col>12</xdr:col>
      <xdr:colOff>180974</xdr:colOff>
      <xdr:row>0</xdr:row>
      <xdr:rowOff>66675</xdr:rowOff>
    </xdr:from>
    <xdr:to>
      <xdr:col>15</xdr:col>
      <xdr:colOff>1924</xdr:colOff>
      <xdr:row>0</xdr:row>
      <xdr:rowOff>342900</xdr:rowOff>
    </xdr:to>
    <xdr:sp macro="" textlink="Titles!B7">
      <xdr:nvSpPr>
        <xdr:cNvPr id="8" name="Round Same Side Corner Rectangle 8">
          <a:extLst>
            <a:ext uri="{FF2B5EF4-FFF2-40B4-BE49-F238E27FC236}">
              <a16:creationId xmlns:a16="http://schemas.microsoft.com/office/drawing/2014/main" id="{00000000-0008-0000-0B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F6003520-FA2A-457C-AB35-6355C4BB7CF1}" type="TxLink">
            <a:rPr lang="en-US" sz="1000" b="1">
              <a:solidFill>
                <a:sysClr val="windowText" lastClr="000000"/>
              </a:solidFill>
              <a:latin typeface="+mn-lt"/>
              <a:ea typeface="+mn-ea"/>
              <a:cs typeface="+mn-cs"/>
            </a:rPr>
            <a:pPr marL="0" indent="0" algn="ctr" rtl="0">
              <a:defRPr sz="1000"/>
            </a:pPr>
            <a:t>Not Used</a:t>
          </a:fld>
          <a:endParaRPr lang="en-US" sz="1000" b="1">
            <a:solidFill>
              <a:sysClr val="windowText" lastClr="000000"/>
            </a:solidFill>
            <a:latin typeface="+mn-lt"/>
            <a:ea typeface="+mn-ea"/>
            <a:cs typeface="+mn-cs"/>
          </a:endParaRPr>
        </a:p>
      </xdr:txBody>
    </xdr:sp>
    <xdr:clientData/>
  </xdr:twoCellAnchor>
  <xdr:twoCellAnchor editAs="absolute">
    <xdr:from>
      <xdr:col>1</xdr:col>
      <xdr:colOff>114300</xdr:colOff>
      <xdr:row>1</xdr:row>
      <xdr:rowOff>76200</xdr:rowOff>
    </xdr:from>
    <xdr:to>
      <xdr:col>3</xdr:col>
      <xdr:colOff>104775</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B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83820</xdr:colOff>
      <xdr:row>1</xdr:row>
      <xdr:rowOff>447674</xdr:rowOff>
    </xdr:from>
    <xdr:to>
      <xdr:col>14</xdr:col>
      <xdr:colOff>257180</xdr:colOff>
      <xdr:row>1</xdr:row>
      <xdr:rowOff>773472</xdr:rowOff>
    </xdr:to>
    <xdr:sp macro="" textlink="">
      <xdr:nvSpPr>
        <xdr:cNvPr id="10" name="Rounded Rectangle 6">
          <a:extLst>
            <a:ext uri="{FF2B5EF4-FFF2-40B4-BE49-F238E27FC236}">
              <a16:creationId xmlns:a16="http://schemas.microsoft.com/office/drawing/2014/main" id="{00000000-0008-0000-0B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endParaRPr lang="en-US" sz="900"/>
        </a:p>
      </xdr:txBody>
    </xdr:sp>
    <xdr:clientData/>
  </xdr:twoCellAnchor>
  <xdr:twoCellAnchor editAs="absolute">
    <xdr:from>
      <xdr:col>3</xdr:col>
      <xdr:colOff>472440</xdr:colOff>
      <xdr:row>0</xdr:row>
      <xdr:rowOff>300021</xdr:rowOff>
    </xdr:from>
    <xdr:to>
      <xdr:col>12</xdr:col>
      <xdr:colOff>188597</xdr:colOff>
      <xdr:row>1</xdr:row>
      <xdr:rowOff>280857</xdr:rowOff>
    </xdr:to>
    <xdr:sp macro="" textlink="Titles!F5">
      <xdr:nvSpPr>
        <xdr:cNvPr id="11" name="TextBox 10">
          <a:extLst>
            <a:ext uri="{FF2B5EF4-FFF2-40B4-BE49-F238E27FC236}">
              <a16:creationId xmlns:a16="http://schemas.microsoft.com/office/drawing/2014/main" id="{00000000-0008-0000-0B00-00000B000000}"/>
            </a:ext>
          </a:extLst>
        </xdr:cNvPr>
        <xdr:cNvSpPr txBox="1"/>
      </xdr:nvSpPr>
      <xdr:spPr>
        <a:xfrm>
          <a:off x="1548765" y="300021"/>
          <a:ext cx="593598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296719BC-AF44-49B3-AE4C-637F0D5510CD}" type="TxLink">
            <a:rPr lang="en-US" sz="1600" b="1" i="1" u="none"/>
            <a:pPr algn="ctr"/>
            <a:t>EAL - 2025 EE Portfolio Information</a:t>
          </a:fld>
          <a:endParaRPr lang="en-US" sz="1600" b="1" i="1" u="none"/>
        </a:p>
      </xdr:txBody>
    </xdr:sp>
    <xdr:clientData/>
  </xdr:twoCellAnchor>
  <xdr:twoCellAnchor editAs="absolute">
    <xdr:from>
      <xdr:col>4</xdr:col>
      <xdr:colOff>445770</xdr:colOff>
      <xdr:row>1</xdr:row>
      <xdr:rowOff>142875</xdr:rowOff>
    </xdr:from>
    <xdr:to>
      <xdr:col>11</xdr:col>
      <xdr:colOff>104778</xdr:colOff>
      <xdr:row>1</xdr:row>
      <xdr:rowOff>423080</xdr:rowOff>
    </xdr:to>
    <xdr:sp macro="" textlink="Titles!B7">
      <xdr:nvSpPr>
        <xdr:cNvPr id="12" name="TextBox 11">
          <a:extLst>
            <a:ext uri="{FF2B5EF4-FFF2-40B4-BE49-F238E27FC236}">
              <a16:creationId xmlns:a16="http://schemas.microsoft.com/office/drawing/2014/main" id="{00000000-0008-0000-0B00-00000C000000}"/>
            </a:ext>
          </a:extLst>
        </xdr:cNvPr>
        <xdr:cNvSpPr txBox="1"/>
      </xdr:nvSpPr>
      <xdr:spPr>
        <a:xfrm>
          <a:off x="2238375" y="504825"/>
          <a:ext cx="4552949"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EE496AC1-0A19-4F5D-A7F4-B760F3155650}" type="TxLink">
            <a:rPr lang="en-US" sz="1200" b="0"/>
            <a:pPr algn="ctr"/>
            <a:t>Not Used</a:t>
          </a:fld>
          <a:endParaRPr lang="en-US" sz="1200" b="0"/>
        </a:p>
      </xdr:txBody>
    </xdr:sp>
    <xdr:clientData/>
  </xdr:twoCellAnchor>
  <xdr:twoCellAnchor editAs="absolute">
    <xdr:from>
      <xdr:col>12</xdr:col>
      <xdr:colOff>247650</xdr:colOff>
      <xdr:row>1</xdr:row>
      <xdr:rowOff>95250</xdr:rowOff>
    </xdr:from>
    <xdr:to>
      <xdr:col>13</xdr:col>
      <xdr:colOff>173355</xdr:colOff>
      <xdr:row>1</xdr:row>
      <xdr:rowOff>316230</xdr:rowOff>
    </xdr:to>
    <xdr:sp macro="" textlink="">
      <xdr:nvSpPr>
        <xdr:cNvPr id="13" name="Rounded Rectangle 12">
          <a:hlinkClick xmlns:r="http://schemas.openxmlformats.org/officeDocument/2006/relationships" r:id="rId7" tooltip="Click"/>
          <a:extLst>
            <a:ext uri="{FF2B5EF4-FFF2-40B4-BE49-F238E27FC236}">
              <a16:creationId xmlns:a16="http://schemas.microsoft.com/office/drawing/2014/main" id="{00000000-0008-0000-0B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13</xdr:col>
      <xdr:colOff>219075</xdr:colOff>
      <xdr:row>1</xdr:row>
      <xdr:rowOff>95250</xdr:rowOff>
    </xdr:from>
    <xdr:to>
      <xdr:col>14</xdr:col>
      <xdr:colOff>249555</xdr:colOff>
      <xdr:row>1</xdr:row>
      <xdr:rowOff>316230</xdr:rowOff>
    </xdr:to>
    <xdr:sp macro="" textlink="">
      <xdr:nvSpPr>
        <xdr:cNvPr id="14" name="Rounded Rectangle 13">
          <a:hlinkClick xmlns:r="http://schemas.openxmlformats.org/officeDocument/2006/relationships" r:id="rId6" tooltip="Click"/>
          <a:extLst>
            <a:ext uri="{FF2B5EF4-FFF2-40B4-BE49-F238E27FC236}">
              <a16:creationId xmlns:a16="http://schemas.microsoft.com/office/drawing/2014/main" id="{00000000-0008-0000-0B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absolute">
    <xdr:from>
      <xdr:col>1</xdr:col>
      <xdr:colOff>15875</xdr:colOff>
      <xdr:row>1</xdr:row>
      <xdr:rowOff>0</xdr:rowOff>
    </xdr:from>
    <xdr:to>
      <xdr:col>11</xdr:col>
      <xdr:colOff>0</xdr:colOff>
      <xdr:row>1</xdr:row>
      <xdr:rowOff>398780</xdr:rowOff>
    </xdr:to>
    <xdr:sp macro="" textlink="">
      <xdr:nvSpPr>
        <xdr:cNvPr id="1474742" name="Rectangle 365">
          <a:extLst>
            <a:ext uri="{FF2B5EF4-FFF2-40B4-BE49-F238E27FC236}">
              <a16:creationId xmlns:a16="http://schemas.microsoft.com/office/drawing/2014/main" id="{00000000-0008-0000-0C00-0000B680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15875</xdr:colOff>
      <xdr:row>0</xdr:row>
      <xdr:rowOff>60324</xdr:rowOff>
    </xdr:from>
    <xdr:to>
      <xdr:col>2</xdr:col>
      <xdr:colOff>1236241</xdr:colOff>
      <xdr:row>0</xdr:row>
      <xdr:rowOff>340994</xdr:rowOff>
    </xdr:to>
    <xdr:sp macro="" textlink="Titles!B12">
      <xdr:nvSpPr>
        <xdr:cNvPr id="3" name="Round Same Side Corner Rectangle 2">
          <a:extLst>
            <a:ext uri="{FF2B5EF4-FFF2-40B4-BE49-F238E27FC236}">
              <a16:creationId xmlns:a16="http://schemas.microsoft.com/office/drawing/2014/main" id="{00000000-0008-0000-0C00-000003000000}"/>
            </a:ext>
          </a:extLst>
        </xdr:cNvPr>
        <xdr:cNvSpPr/>
      </xdr:nvSpPr>
      <xdr:spPr>
        <a:xfrm>
          <a:off x="76200" y="66674"/>
          <a:ext cx="148209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8D0194FD-9543-4CE5-8BAC-C22EE0B9A4FC}" type="TxLink">
            <a:rPr lang="en-US" sz="1000" b="1">
              <a:solidFill>
                <a:sysClr val="windowText" lastClr="000000"/>
              </a:solidFill>
              <a:latin typeface="+mn-lt"/>
              <a:ea typeface="+mn-ea"/>
              <a:cs typeface="+mn-cs"/>
            </a:rPr>
            <a:pPr marL="0" indent="0" algn="ctr"/>
            <a:t>Actual Expenses</a:t>
          </a:fld>
          <a:endParaRPr lang="en-US" sz="1000" b="1">
            <a:solidFill>
              <a:sysClr val="windowText" lastClr="000000"/>
            </a:solidFill>
            <a:latin typeface="+mn-lt"/>
            <a:ea typeface="+mn-ea"/>
            <a:cs typeface="+mn-cs"/>
          </a:endParaRPr>
        </a:p>
      </xdr:txBody>
    </xdr:sp>
    <xdr:clientData/>
  </xdr:twoCellAnchor>
  <xdr:twoCellAnchor editAs="absolute">
    <xdr:from>
      <xdr:col>2</xdr:col>
      <xdr:colOff>1240155</xdr:colOff>
      <xdr:row>0</xdr:row>
      <xdr:rowOff>55880</xdr:rowOff>
    </xdr:from>
    <xdr:to>
      <xdr:col>3</xdr:col>
      <xdr:colOff>287022</xdr:colOff>
      <xdr:row>0</xdr:row>
      <xdr:rowOff>340995</xdr:rowOff>
    </xdr:to>
    <xdr:sp macro="" textlink="Titles!B13">
      <xdr:nvSpPr>
        <xdr:cNvPr id="4" name="Round Same Side Corner Rectangle 3">
          <a:hlinkClick xmlns:r="http://schemas.openxmlformats.org/officeDocument/2006/relationships" r:id="rId1" tooltip="Click"/>
          <a:extLst>
            <a:ext uri="{FF2B5EF4-FFF2-40B4-BE49-F238E27FC236}">
              <a16:creationId xmlns:a16="http://schemas.microsoft.com/office/drawing/2014/main" id="{00000000-0008-0000-0C00-000004000000}"/>
            </a:ext>
          </a:extLst>
        </xdr:cNvPr>
        <xdr:cNvSpPr/>
      </xdr:nvSpPr>
      <xdr:spPr>
        <a:xfrm>
          <a:off x="1562100" y="66675"/>
          <a:ext cx="1463040" cy="274320"/>
        </a:xfrm>
        <a:prstGeom prst="round2Same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8BB903B8-6F91-4099-84B6-C71FA8B07AD1}" type="TxLink">
            <a:rPr lang="en-US" sz="1000" b="1" i="0" u="none" strike="noStrike">
              <a:solidFill>
                <a:schemeClr val="bg1"/>
              </a:solidFill>
              <a:latin typeface="Calibri"/>
              <a:ea typeface="+mn-ea"/>
              <a:cs typeface="Calibri"/>
            </a:rPr>
            <a:pPr marL="0" indent="0" algn="ctr"/>
            <a:t>Evaluated Savings</a:t>
          </a:fld>
          <a:endParaRPr lang="en-US" sz="1000" b="1">
            <a:solidFill>
              <a:schemeClr val="bg1"/>
            </a:solidFill>
            <a:latin typeface="+mn-lt"/>
            <a:ea typeface="+mn-ea"/>
            <a:cs typeface="+mn-cs"/>
          </a:endParaRPr>
        </a:p>
      </xdr:txBody>
    </xdr:sp>
    <xdr:clientData/>
  </xdr:twoCellAnchor>
  <xdr:twoCellAnchor editAs="absolute">
    <xdr:from>
      <xdr:col>3</xdr:col>
      <xdr:colOff>285115</xdr:colOff>
      <xdr:row>0</xdr:row>
      <xdr:rowOff>55880</xdr:rowOff>
    </xdr:from>
    <xdr:to>
      <xdr:col>5</xdr:col>
      <xdr:colOff>92710</xdr:colOff>
      <xdr:row>0</xdr:row>
      <xdr:rowOff>340995</xdr:rowOff>
    </xdr:to>
    <xdr:sp macro="" textlink="Titles!B14">
      <xdr:nvSpPr>
        <xdr:cNvPr id="5" name="Round Same Side Corner Rectangle 4">
          <a:hlinkClick xmlns:r="http://schemas.openxmlformats.org/officeDocument/2006/relationships" r:id="rId2" tooltip="Click"/>
          <a:extLst>
            <a:ext uri="{FF2B5EF4-FFF2-40B4-BE49-F238E27FC236}">
              <a16:creationId xmlns:a16="http://schemas.microsoft.com/office/drawing/2014/main" id="{00000000-0008-0000-0C00-000005000000}"/>
            </a:ext>
          </a:extLst>
        </xdr:cNvPr>
        <xdr:cNvSpPr/>
      </xdr:nvSpPr>
      <xdr:spPr>
        <a:xfrm>
          <a:off x="3122295" y="66675"/>
          <a:ext cx="1518285"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CC6CCE04-727A-4005-80B8-4FCA64A5BD2B}" type="TxLink">
            <a:rPr lang="en-US" sz="1000" b="1" i="0" u="none" strike="noStrike">
              <a:solidFill>
                <a:schemeClr val="bg1"/>
              </a:solidFill>
              <a:latin typeface="Calibri"/>
              <a:cs typeface="Calibri"/>
            </a:rPr>
            <a:pPr algn="ctr"/>
            <a:t>Cost-Benefits</a:t>
          </a:fld>
          <a:endParaRPr lang="en-US" sz="1000" b="1">
            <a:solidFill>
              <a:schemeClr val="bg1"/>
            </a:solidFill>
          </a:endParaRPr>
        </a:p>
      </xdr:txBody>
    </xdr:sp>
    <xdr:clientData/>
  </xdr:twoCellAnchor>
  <xdr:twoCellAnchor editAs="absolute">
    <xdr:from>
      <xdr:col>5</xdr:col>
      <xdr:colOff>92710</xdr:colOff>
      <xdr:row>0</xdr:row>
      <xdr:rowOff>55880</xdr:rowOff>
    </xdr:from>
    <xdr:to>
      <xdr:col>6</xdr:col>
      <xdr:colOff>705412</xdr:colOff>
      <xdr:row>0</xdr:row>
      <xdr:rowOff>340995</xdr:rowOff>
    </xdr:to>
    <xdr:sp macro="" textlink="Titles!B15">
      <xdr:nvSpPr>
        <xdr:cNvPr id="6" name="Round Same Side Corner Rectangle 5">
          <a:hlinkClick xmlns:r="http://schemas.openxmlformats.org/officeDocument/2006/relationships" r:id="rId3" tooltip="Click"/>
          <a:extLst>
            <a:ext uri="{FF2B5EF4-FFF2-40B4-BE49-F238E27FC236}">
              <a16:creationId xmlns:a16="http://schemas.microsoft.com/office/drawing/2014/main" id="{00000000-0008-0000-0C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747E2B2B-6D87-43D4-B286-0E36277201F6}" type="TxLink">
            <a:rPr lang="en-US" sz="1000" b="1" i="0" u="none" strike="noStrike">
              <a:solidFill>
                <a:schemeClr val="bg1"/>
              </a:solidFill>
              <a:latin typeface="Calibri"/>
              <a:cs typeface="Calibri"/>
            </a:rPr>
            <a:pPr algn="ctr"/>
            <a:t>LCFC</a:t>
          </a:fld>
          <a:endParaRPr lang="en-US" sz="1000" b="1">
            <a:solidFill>
              <a:schemeClr val="bg1"/>
            </a:solidFill>
          </a:endParaRPr>
        </a:p>
      </xdr:txBody>
    </xdr:sp>
    <xdr:clientData/>
  </xdr:twoCellAnchor>
  <xdr:twoCellAnchor editAs="absolute">
    <xdr:from>
      <xdr:col>6</xdr:col>
      <xdr:colOff>708025</xdr:colOff>
      <xdr:row>0</xdr:row>
      <xdr:rowOff>55880</xdr:rowOff>
    </xdr:from>
    <xdr:to>
      <xdr:col>8</xdr:col>
      <xdr:colOff>475684</xdr:colOff>
      <xdr:row>0</xdr:row>
      <xdr:rowOff>340995</xdr:rowOff>
    </xdr:to>
    <xdr:sp macro="" textlink="Titles!B16">
      <xdr:nvSpPr>
        <xdr:cNvPr id="7" name="Round Same Side Corner Rectangle 6">
          <a:hlinkClick xmlns:r="http://schemas.openxmlformats.org/officeDocument/2006/relationships" r:id="rId4" tooltip="Click"/>
          <a:extLst>
            <a:ext uri="{FF2B5EF4-FFF2-40B4-BE49-F238E27FC236}">
              <a16:creationId xmlns:a16="http://schemas.microsoft.com/office/drawing/2014/main" id="{00000000-0008-0000-0C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45004EA2-CE7A-4867-99E5-522D34BDA2D9}" type="TxLink">
            <a:rPr lang="en-US" sz="1000" b="1" i="0" u="none" strike="noStrike">
              <a:solidFill>
                <a:schemeClr val="bg1"/>
              </a:solidFill>
              <a:latin typeface="Calibri"/>
              <a:cs typeface="Calibri"/>
            </a:rPr>
            <a:pPr algn="ctr"/>
            <a:t>Incentives</a:t>
          </a:fld>
          <a:endParaRPr lang="en-US" sz="1000" b="1">
            <a:solidFill>
              <a:schemeClr val="bg1"/>
            </a:solidFill>
          </a:endParaRPr>
        </a:p>
      </xdr:txBody>
    </xdr:sp>
    <xdr:clientData/>
  </xdr:twoCellAnchor>
  <xdr:twoCellAnchor editAs="absolute">
    <xdr:from>
      <xdr:col>8</xdr:col>
      <xdr:colOff>478789</xdr:colOff>
      <xdr:row>0</xdr:row>
      <xdr:rowOff>55880</xdr:rowOff>
    </xdr:from>
    <xdr:to>
      <xdr:col>11</xdr:col>
      <xdr:colOff>69</xdr:colOff>
      <xdr:row>0</xdr:row>
      <xdr:rowOff>342900</xdr:rowOff>
    </xdr:to>
    <xdr:sp macro="" textlink="Titles!B1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0C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570BE6B6-A613-49BF-A244-95EA923D6AAD}"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856732</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C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92075</xdr:colOff>
      <xdr:row>1</xdr:row>
      <xdr:rowOff>441324</xdr:rowOff>
    </xdr:from>
    <xdr:to>
      <xdr:col>10</xdr:col>
      <xdr:colOff>130175</xdr:colOff>
      <xdr:row>1</xdr:row>
      <xdr:rowOff>781727</xdr:rowOff>
    </xdr:to>
    <xdr:sp macro="" textlink="">
      <xdr:nvSpPr>
        <xdr:cNvPr id="10" name="Rounded Rectangle 6">
          <a:extLst>
            <a:ext uri="{FF2B5EF4-FFF2-40B4-BE49-F238E27FC236}">
              <a16:creationId xmlns:a16="http://schemas.microsoft.com/office/drawing/2014/main" id="{00000000-0008-0000-0C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actual PY expenditures, including Regulatory at bottom.  Provide an EECR Cost Reconciliation by clicking the "EECR Reconciliation" button.</a:t>
          </a:r>
          <a:endParaRPr lang="en-US"/>
        </a:p>
      </xdr:txBody>
    </xdr:sp>
    <xdr:clientData/>
  </xdr:twoCellAnchor>
  <xdr:twoCellAnchor editAs="absolute">
    <xdr:from>
      <xdr:col>2</xdr:col>
      <xdr:colOff>1235075</xdr:colOff>
      <xdr:row>0</xdr:row>
      <xdr:rowOff>285502</xdr:rowOff>
    </xdr:from>
    <xdr:to>
      <xdr:col>8</xdr:col>
      <xdr:colOff>515013</xdr:colOff>
      <xdr:row>1</xdr:row>
      <xdr:rowOff>279500</xdr:rowOff>
    </xdr:to>
    <xdr:sp macro="" textlink="Titles!F6">
      <xdr:nvSpPr>
        <xdr:cNvPr id="11" name="TextBox 10">
          <a:extLst>
            <a:ext uri="{FF2B5EF4-FFF2-40B4-BE49-F238E27FC236}">
              <a16:creationId xmlns:a16="http://schemas.microsoft.com/office/drawing/2014/main" id="{00000000-0008-0000-0C00-00000B000000}"/>
            </a:ext>
          </a:extLst>
        </xdr:cNvPr>
        <xdr:cNvSpPr txBox="1"/>
      </xdr:nvSpPr>
      <xdr:spPr>
        <a:xfrm>
          <a:off x="1553730" y="293122"/>
          <a:ext cx="6110228"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A94BD13E-8CED-4B91-8709-38F81125FD6E}" type="TxLink">
            <a:rPr lang="en-US" sz="1600" b="1" i="1" u="none" strike="noStrike">
              <a:solidFill>
                <a:srgbClr val="000000"/>
              </a:solidFill>
              <a:latin typeface="+mn-lt"/>
              <a:cs typeface="Arial"/>
            </a:rPr>
            <a:pPr algn="ctr"/>
            <a:t>EAL - 2025 Program Year Evaluation</a:t>
          </a:fld>
          <a:endParaRPr lang="en-US" sz="1600" b="1" i="1" u="none">
            <a:latin typeface="+mn-lt"/>
          </a:endParaRPr>
        </a:p>
      </xdr:txBody>
    </xdr:sp>
    <xdr:clientData/>
  </xdr:twoCellAnchor>
  <xdr:twoCellAnchor editAs="absolute">
    <xdr:from>
      <xdr:col>2</xdr:col>
      <xdr:colOff>1920875</xdr:colOff>
      <xdr:row>1</xdr:row>
      <xdr:rowOff>135890</xdr:rowOff>
    </xdr:from>
    <xdr:to>
      <xdr:col>7</xdr:col>
      <xdr:colOff>663628</xdr:colOff>
      <xdr:row>1</xdr:row>
      <xdr:rowOff>416095</xdr:rowOff>
    </xdr:to>
    <xdr:sp macro="" textlink="Titles!B12">
      <xdr:nvSpPr>
        <xdr:cNvPr id="12" name="TextBox 11">
          <a:extLst>
            <a:ext uri="{FF2B5EF4-FFF2-40B4-BE49-F238E27FC236}">
              <a16:creationId xmlns:a16="http://schemas.microsoft.com/office/drawing/2014/main" id="{00000000-0008-0000-0C00-00000C000000}"/>
            </a:ext>
          </a:extLst>
        </xdr:cNvPr>
        <xdr:cNvSpPr txBox="1"/>
      </xdr:nvSpPr>
      <xdr:spPr>
        <a:xfrm>
          <a:off x="2239530" y="496108"/>
          <a:ext cx="4707134"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994D7F56-B7FD-4AF3-90C1-83EBEF9A6D18}" type="TxLink">
            <a:rPr lang="en-US" sz="1200" b="0" i="0" u="none" strike="noStrike">
              <a:solidFill>
                <a:srgbClr val="000000"/>
              </a:solidFill>
              <a:latin typeface="+mn-lt"/>
              <a:cs typeface="Calibri"/>
            </a:rPr>
            <a:pPr algn="ctr"/>
            <a:t>Actual Expenses</a:t>
          </a:fld>
          <a:endParaRPr lang="en-US" sz="1200" b="0">
            <a:latin typeface="+mn-lt"/>
          </a:endParaRPr>
        </a:p>
      </xdr:txBody>
    </xdr:sp>
    <xdr:clientData/>
  </xdr:twoCellAnchor>
  <xdr:twoCellAnchor editAs="absolute">
    <xdr:from>
      <xdr:col>8</xdr:col>
      <xdr:colOff>555625</xdr:colOff>
      <xdr:row>1</xdr:row>
      <xdr:rowOff>95250</xdr:rowOff>
    </xdr:from>
    <xdr:to>
      <xdr:col>9</xdr:col>
      <xdr:colOff>360073</xdr:colOff>
      <xdr:row>1</xdr:row>
      <xdr:rowOff>324485</xdr:rowOff>
    </xdr:to>
    <xdr:sp macro="" textlink="">
      <xdr:nvSpPr>
        <xdr:cNvPr id="13" name="Rounded Rectangle 12">
          <a:hlinkClick xmlns:r="http://schemas.openxmlformats.org/officeDocument/2006/relationships" r:id="rId6" tooltip="Click"/>
          <a:extLst>
            <a:ext uri="{FF2B5EF4-FFF2-40B4-BE49-F238E27FC236}">
              <a16:creationId xmlns:a16="http://schemas.microsoft.com/office/drawing/2014/main" id="{00000000-0008-0000-0C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9</xdr:col>
      <xdr:colOff>398145</xdr:colOff>
      <xdr:row>1</xdr:row>
      <xdr:rowOff>95250</xdr:rowOff>
    </xdr:from>
    <xdr:to>
      <xdr:col>10</xdr:col>
      <xdr:colOff>116196</xdr:colOff>
      <xdr:row>1</xdr:row>
      <xdr:rowOff>324485</xdr:rowOff>
    </xdr:to>
    <xdr:sp macro="" textlink="">
      <xdr:nvSpPr>
        <xdr:cNvPr id="14" name="Rounded Rectangle 13">
          <a:hlinkClick xmlns:r="http://schemas.openxmlformats.org/officeDocument/2006/relationships" r:id="rId1" tooltip="Click"/>
          <a:extLst>
            <a:ext uri="{FF2B5EF4-FFF2-40B4-BE49-F238E27FC236}">
              <a16:creationId xmlns:a16="http://schemas.microsoft.com/office/drawing/2014/main" id="{00000000-0008-0000-0C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absolute">
    <xdr:from>
      <xdr:col>8</xdr:col>
      <xdr:colOff>631190</xdr:colOff>
      <xdr:row>3</xdr:row>
      <xdr:rowOff>20378</xdr:rowOff>
    </xdr:from>
    <xdr:to>
      <xdr:col>10</xdr:col>
      <xdr:colOff>92113</xdr:colOff>
      <xdr:row>3</xdr:row>
      <xdr:rowOff>172778</xdr:rowOff>
    </xdr:to>
    <xdr:sp macro="" textlink="">
      <xdr:nvSpPr>
        <xdr:cNvPr id="15" name="Rounded Rectangle 14">
          <a:hlinkClick xmlns:r="http://schemas.openxmlformats.org/officeDocument/2006/relationships" r:id="rId7" tooltip="Click"/>
          <a:extLst>
            <a:ext uri="{FF2B5EF4-FFF2-40B4-BE49-F238E27FC236}">
              <a16:creationId xmlns:a16="http://schemas.microsoft.com/office/drawing/2014/main" id="{00000000-0008-0000-0C00-00000F000000}"/>
            </a:ext>
          </a:extLst>
        </xdr:cNvPr>
        <xdr:cNvSpPr/>
      </xdr:nvSpPr>
      <xdr:spPr>
        <a:xfrm>
          <a:off x="7640435" y="1293668"/>
          <a:ext cx="1216987" cy="1524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baseline="0">
              <a:solidFill>
                <a:sysClr val="windowText" lastClr="000000"/>
              </a:solidFill>
            </a:rPr>
            <a:t>EECR Reconciliation</a:t>
          </a:r>
          <a:endParaRPr lang="en-US" sz="800" b="1">
            <a:solidFill>
              <a:sysClr val="windowText" lastClr="000000"/>
            </a:solidFill>
          </a:endParaRPr>
        </a:p>
      </xdr:txBody>
    </xdr:sp>
    <xdr:clientData/>
  </xdr:twoCellAnchor>
  <xdr:twoCellAnchor editAs="absolute">
    <xdr:from>
      <xdr:col>7</xdr:col>
      <xdr:colOff>0</xdr:colOff>
      <xdr:row>3</xdr:row>
      <xdr:rowOff>1</xdr:rowOff>
    </xdr:from>
    <xdr:to>
      <xdr:col>8</xdr:col>
      <xdr:colOff>17030</xdr:colOff>
      <xdr:row>3</xdr:row>
      <xdr:rowOff>170584</xdr:rowOff>
    </xdr:to>
    <xdr:sp macro="" textlink="">
      <xdr:nvSpPr>
        <xdr:cNvPr id="18" name="Rounded Rectangle 17">
          <a:hlinkClick xmlns:r="http://schemas.openxmlformats.org/officeDocument/2006/relationships" r:id="rId8" tooltip="Click"/>
          <a:extLst>
            <a:ext uri="{FF2B5EF4-FFF2-40B4-BE49-F238E27FC236}">
              <a16:creationId xmlns:a16="http://schemas.microsoft.com/office/drawing/2014/main" id="{00000000-0008-0000-0C00-000012000000}"/>
            </a:ext>
          </a:extLst>
        </xdr:cNvPr>
        <xdr:cNvSpPr/>
      </xdr:nvSpPr>
      <xdr:spPr>
        <a:xfrm>
          <a:off x="6147955" y="1281546"/>
          <a:ext cx="852920" cy="170583"/>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Definitions</a:t>
          </a:r>
        </a:p>
      </xdr:txBody>
    </xdr:sp>
    <xdr:clientData/>
  </xdr:twoCellAnchor>
</xdr:wsDr>
</file>

<file path=xl/drawings/drawing14.xml><?xml version="1.0" encoding="utf-8"?>
<xdr:wsDr xmlns:xdr="http://schemas.openxmlformats.org/drawingml/2006/spreadsheetDrawing" xmlns:a="http://schemas.openxmlformats.org/drawingml/2006/main">
  <xdr:twoCellAnchor editAs="absolute">
    <xdr:from>
      <xdr:col>1</xdr:col>
      <xdr:colOff>76200</xdr:colOff>
      <xdr:row>1</xdr:row>
      <xdr:rowOff>91440</xdr:rowOff>
    </xdr:from>
    <xdr:to>
      <xdr:col>3</xdr:col>
      <xdr:colOff>732719</xdr:colOff>
      <xdr:row>1</xdr:row>
      <xdr:rowOff>320040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0D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twoCellAnchor editAs="absolute">
    <xdr:from>
      <xdr:col>1</xdr:col>
      <xdr:colOff>46355</xdr:colOff>
      <xdr:row>2</xdr:row>
      <xdr:rowOff>16509</xdr:rowOff>
    </xdr:from>
    <xdr:to>
      <xdr:col>8</xdr:col>
      <xdr:colOff>152400</xdr:colOff>
      <xdr:row>2</xdr:row>
      <xdr:rowOff>403859</xdr:rowOff>
    </xdr:to>
    <xdr:sp macro="" textlink="">
      <xdr:nvSpPr>
        <xdr:cNvPr id="4" name="Rounded Rectangle 6">
          <a:extLst>
            <a:ext uri="{FF2B5EF4-FFF2-40B4-BE49-F238E27FC236}">
              <a16:creationId xmlns:a16="http://schemas.microsoft.com/office/drawing/2014/main" id="{00000000-0008-0000-0D00-000004000000}"/>
            </a:ext>
          </a:extLst>
        </xdr:cNvPr>
        <xdr:cNvSpPr>
          <a:spLocks noChangeArrowheads="1"/>
        </xdr:cNvSpPr>
      </xdr:nvSpPr>
      <xdr:spPr bwMode="auto">
        <a:xfrm>
          <a:off x="116898" y="555047"/>
          <a:ext cx="8781184" cy="39052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EECR Expenses is the expenses collected through the EECR for the Program Year being reported (the expense included in the PY True-up).  Provide an explanation if the Reported Expenditures are different than the expenses collected via the EECR.</a:t>
          </a:r>
          <a:endParaRPr lang="en-US"/>
        </a:p>
      </xdr:txBody>
    </xdr:sp>
    <xdr:clientData/>
  </xdr:twoCellAnchor>
</xdr:wsDr>
</file>

<file path=xl/drawings/drawing15.xml><?xml version="1.0" encoding="utf-8"?>
<xdr:wsDr xmlns:xdr="http://schemas.openxmlformats.org/drawingml/2006/spreadsheetDrawing" xmlns:a="http://schemas.openxmlformats.org/drawingml/2006/main">
  <xdr:twoCellAnchor editAs="absolute">
    <xdr:from>
      <xdr:col>1</xdr:col>
      <xdr:colOff>15240</xdr:colOff>
      <xdr:row>1</xdr:row>
      <xdr:rowOff>0</xdr:rowOff>
    </xdr:from>
    <xdr:to>
      <xdr:col>10</xdr:col>
      <xdr:colOff>931545</xdr:colOff>
      <xdr:row>1</xdr:row>
      <xdr:rowOff>398145</xdr:rowOff>
    </xdr:to>
    <xdr:sp macro="" textlink="">
      <xdr:nvSpPr>
        <xdr:cNvPr id="1476790" name="Rectangle 365">
          <a:extLst>
            <a:ext uri="{FF2B5EF4-FFF2-40B4-BE49-F238E27FC236}">
              <a16:creationId xmlns:a16="http://schemas.microsoft.com/office/drawing/2014/main" id="{00000000-0008-0000-0E00-0000B688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15240</xdr:colOff>
      <xdr:row>0</xdr:row>
      <xdr:rowOff>60959</xdr:rowOff>
    </xdr:from>
    <xdr:to>
      <xdr:col>2</xdr:col>
      <xdr:colOff>1236241</xdr:colOff>
      <xdr:row>0</xdr:row>
      <xdr:rowOff>340994</xdr:rowOff>
    </xdr:to>
    <xdr:sp macro="" textlink="Titles!B1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0E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64D293E1-65BD-42D8-B764-E2C7383B69BA}" type="TxLink">
            <a:rPr lang="en-US" sz="1000" b="1">
              <a:solidFill>
                <a:schemeClr val="lt1"/>
              </a:solidFill>
              <a:latin typeface="+mn-lt"/>
              <a:ea typeface="+mn-ea"/>
              <a:cs typeface="+mn-cs"/>
            </a:rPr>
            <a:pPr marL="0" indent="0" algn="ctr"/>
            <a:t>Actual Expenses</a:t>
          </a:fld>
          <a:endParaRPr lang="en-US" sz="1000" b="1">
            <a:solidFill>
              <a:schemeClr val="lt1"/>
            </a:solidFill>
            <a:latin typeface="+mn-lt"/>
            <a:ea typeface="+mn-ea"/>
            <a:cs typeface="+mn-cs"/>
          </a:endParaRPr>
        </a:p>
      </xdr:txBody>
    </xdr:sp>
    <xdr:clientData/>
  </xdr:twoCellAnchor>
  <xdr:twoCellAnchor editAs="absolute">
    <xdr:from>
      <xdr:col>2</xdr:col>
      <xdr:colOff>1240155</xdr:colOff>
      <xdr:row>0</xdr:row>
      <xdr:rowOff>55245</xdr:rowOff>
    </xdr:from>
    <xdr:to>
      <xdr:col>3</xdr:col>
      <xdr:colOff>285043</xdr:colOff>
      <xdr:row>0</xdr:row>
      <xdr:rowOff>340995</xdr:rowOff>
    </xdr:to>
    <xdr:sp macro="" textlink="Titles!B1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0E00-000004000000}"/>
            </a:ext>
          </a:extLst>
        </xdr:cNvPr>
        <xdr:cNvSpPr/>
      </xdr:nvSpPr>
      <xdr:spPr>
        <a:xfrm>
          <a:off x="1562100"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5EEAAF38-BD27-43FD-8A5F-472D8AA97576}" type="TxLink">
            <a:rPr lang="en-US" sz="1000" b="1">
              <a:solidFill>
                <a:sysClr val="windowText" lastClr="000000"/>
              </a:solidFill>
            </a:rPr>
            <a:pPr algn="ctr"/>
            <a:t>Evaluated Savings</a:t>
          </a:fld>
          <a:endParaRPr lang="en-US" sz="1000" b="1">
            <a:solidFill>
              <a:sysClr val="windowText" lastClr="000000"/>
            </a:solidFill>
          </a:endParaRPr>
        </a:p>
      </xdr:txBody>
    </xdr:sp>
    <xdr:clientData/>
  </xdr:twoCellAnchor>
  <xdr:twoCellAnchor editAs="absolute">
    <xdr:from>
      <xdr:col>3</xdr:col>
      <xdr:colOff>323850</xdr:colOff>
      <xdr:row>0</xdr:row>
      <xdr:rowOff>55245</xdr:rowOff>
    </xdr:from>
    <xdr:to>
      <xdr:col>4</xdr:col>
      <xdr:colOff>855321</xdr:colOff>
      <xdr:row>0</xdr:row>
      <xdr:rowOff>340995</xdr:rowOff>
    </xdr:to>
    <xdr:sp macro="" textlink="Titles!B1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0E00-000005000000}"/>
            </a:ext>
          </a:extLst>
        </xdr:cNvPr>
        <xdr:cNvSpPr/>
      </xdr:nvSpPr>
      <xdr:spPr>
        <a:xfrm>
          <a:off x="3118485" y="66675"/>
          <a:ext cx="1514475" cy="274320"/>
        </a:xfrm>
        <a:prstGeom prst="round2Same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14793F1E-404D-41D5-A083-57B89C30C0CF}" type="TxLink">
            <a:rPr lang="en-US" sz="1000" b="1">
              <a:solidFill>
                <a:schemeClr val="bg1"/>
              </a:solidFill>
              <a:latin typeface="+mn-lt"/>
              <a:ea typeface="+mn-ea"/>
              <a:cs typeface="+mn-cs"/>
            </a:rPr>
            <a:pPr marL="0" indent="0" algn="ctr"/>
            <a:t>Cost-Benefits</a:t>
          </a:fld>
          <a:endParaRPr lang="en-US" sz="1000" b="1">
            <a:solidFill>
              <a:schemeClr val="bg1"/>
            </a:solidFill>
            <a:latin typeface="+mn-lt"/>
            <a:ea typeface="+mn-ea"/>
            <a:cs typeface="+mn-cs"/>
          </a:endParaRPr>
        </a:p>
      </xdr:txBody>
    </xdr:sp>
    <xdr:clientData/>
  </xdr:twoCellAnchor>
  <xdr:twoCellAnchor editAs="absolute">
    <xdr:from>
      <xdr:col>4</xdr:col>
      <xdr:colOff>858520</xdr:colOff>
      <xdr:row>0</xdr:row>
      <xdr:rowOff>55245</xdr:rowOff>
    </xdr:from>
    <xdr:to>
      <xdr:col>6</xdr:col>
      <xdr:colOff>777250</xdr:colOff>
      <xdr:row>0</xdr:row>
      <xdr:rowOff>340995</xdr:rowOff>
    </xdr:to>
    <xdr:sp macro="" textlink="Titles!B15">
      <xdr:nvSpPr>
        <xdr:cNvPr id="6" name="Round Same Side Corner Rectangle 5">
          <a:hlinkClick xmlns:r="http://schemas.openxmlformats.org/officeDocument/2006/relationships" r:id="rId4" tooltip="Click"/>
          <a:extLst>
            <a:ext uri="{FF2B5EF4-FFF2-40B4-BE49-F238E27FC236}">
              <a16:creationId xmlns:a16="http://schemas.microsoft.com/office/drawing/2014/main" id="{00000000-0008-0000-0E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55A5ADE0-2D38-4DF1-813D-0D40730E1E06}" type="TxLink">
            <a:rPr lang="en-US" sz="1000" b="1"/>
            <a:pPr algn="ctr"/>
            <a:t>LCFC</a:t>
          </a:fld>
          <a:endParaRPr lang="en-US" sz="1000" b="1"/>
        </a:p>
      </xdr:txBody>
    </xdr:sp>
    <xdr:clientData/>
  </xdr:twoCellAnchor>
  <xdr:twoCellAnchor editAs="absolute">
    <xdr:from>
      <xdr:col>6</xdr:col>
      <xdr:colOff>782320</xdr:colOff>
      <xdr:row>0</xdr:row>
      <xdr:rowOff>55245</xdr:rowOff>
    </xdr:from>
    <xdr:to>
      <xdr:col>9</xdr:col>
      <xdr:colOff>92052</xdr:colOff>
      <xdr:row>0</xdr:row>
      <xdr:rowOff>340995</xdr:rowOff>
    </xdr:to>
    <xdr:sp macro="" textlink="Titles!B16">
      <xdr:nvSpPr>
        <xdr:cNvPr id="7" name="Round Same Side Corner Rectangle 6">
          <a:hlinkClick xmlns:r="http://schemas.openxmlformats.org/officeDocument/2006/relationships" r:id="rId5" tooltip="Click"/>
          <a:extLst>
            <a:ext uri="{FF2B5EF4-FFF2-40B4-BE49-F238E27FC236}">
              <a16:creationId xmlns:a16="http://schemas.microsoft.com/office/drawing/2014/main" id="{00000000-0008-0000-0E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DA162D75-27A5-4356-AF78-A9B278CF5356}" type="TxLink">
            <a:rPr lang="en-US" sz="1000" b="1"/>
            <a:pPr algn="ctr"/>
            <a:t>Incentives</a:t>
          </a:fld>
          <a:endParaRPr lang="en-US" sz="1000" b="1"/>
        </a:p>
      </xdr:txBody>
    </xdr:sp>
    <xdr:clientData/>
  </xdr:twoCellAnchor>
  <xdr:twoCellAnchor editAs="absolute">
    <xdr:from>
      <xdr:col>9</xdr:col>
      <xdr:colOff>97154</xdr:colOff>
      <xdr:row>0</xdr:row>
      <xdr:rowOff>55245</xdr:rowOff>
    </xdr:from>
    <xdr:to>
      <xdr:col>10</xdr:col>
      <xdr:colOff>935393</xdr:colOff>
      <xdr:row>0</xdr:row>
      <xdr:rowOff>342900</xdr:rowOff>
    </xdr:to>
    <xdr:sp macro="" textlink="Titles!B17">
      <xdr:nvSpPr>
        <xdr:cNvPr id="8" name="Round Same Side Corner Rectangle 8">
          <a:hlinkClick xmlns:r="http://schemas.openxmlformats.org/officeDocument/2006/relationships" r:id="rId6" tooltip="Click"/>
          <a:extLst>
            <a:ext uri="{FF2B5EF4-FFF2-40B4-BE49-F238E27FC236}">
              <a16:creationId xmlns:a16="http://schemas.microsoft.com/office/drawing/2014/main" id="{00000000-0008-0000-0E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21DC08FF-1CFC-428D-83CD-2BCD48E32E08}"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856097</xdr:colOff>
      <xdr:row>1</xdr:row>
      <xdr:rowOff>304800</xdr:rowOff>
    </xdr:to>
    <xdr:sp macro="" textlink="">
      <xdr:nvSpPr>
        <xdr:cNvPr id="9" name="Rounded Rectangle 8">
          <a:hlinkClick xmlns:r="http://schemas.openxmlformats.org/officeDocument/2006/relationships" r:id="rId7" tooltip="Click"/>
          <a:extLst>
            <a:ext uri="{FF2B5EF4-FFF2-40B4-BE49-F238E27FC236}">
              <a16:creationId xmlns:a16="http://schemas.microsoft.com/office/drawing/2014/main" id="{00000000-0008-0000-0E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91440</xdr:colOff>
      <xdr:row>1</xdr:row>
      <xdr:rowOff>441959</xdr:rowOff>
    </xdr:from>
    <xdr:to>
      <xdr:col>10</xdr:col>
      <xdr:colOff>893439</xdr:colOff>
      <xdr:row>1</xdr:row>
      <xdr:rowOff>781092</xdr:rowOff>
    </xdr:to>
    <xdr:sp macro="" textlink="">
      <xdr:nvSpPr>
        <xdr:cNvPr id="10" name="Rounded Rectangle 6">
          <a:extLst>
            <a:ext uri="{FF2B5EF4-FFF2-40B4-BE49-F238E27FC236}">
              <a16:creationId xmlns:a16="http://schemas.microsoft.com/office/drawing/2014/main" id="{00000000-0008-0000-0E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evaluated net savings and participant results.  Provide the methodology for energy savings by clicking the "Methodology for Energy Savings" button.</a:t>
          </a:r>
          <a:endParaRPr lang="en-US"/>
        </a:p>
      </xdr:txBody>
    </xdr:sp>
    <xdr:clientData/>
  </xdr:twoCellAnchor>
  <xdr:twoCellAnchor editAs="absolute">
    <xdr:from>
      <xdr:col>2</xdr:col>
      <xdr:colOff>1238250</xdr:colOff>
      <xdr:row>0</xdr:row>
      <xdr:rowOff>287869</xdr:rowOff>
    </xdr:from>
    <xdr:to>
      <xdr:col>9</xdr:col>
      <xdr:colOff>97179</xdr:colOff>
      <xdr:row>1</xdr:row>
      <xdr:rowOff>282213</xdr:rowOff>
    </xdr:to>
    <xdr:sp macro="" textlink="Titles!F6">
      <xdr:nvSpPr>
        <xdr:cNvPr id="11" name="TextBox 10">
          <a:extLst>
            <a:ext uri="{FF2B5EF4-FFF2-40B4-BE49-F238E27FC236}">
              <a16:creationId xmlns:a16="http://schemas.microsoft.com/office/drawing/2014/main" id="{00000000-0008-0000-0E00-00000B000000}"/>
            </a:ext>
          </a:extLst>
        </xdr:cNvPr>
        <xdr:cNvSpPr txBox="1"/>
      </xdr:nvSpPr>
      <xdr:spPr>
        <a:xfrm>
          <a:off x="1554826" y="295489"/>
          <a:ext cx="6210498"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3E184F71-AA4A-497D-BEB6-FDEA2B8253D5}" type="TxLink">
            <a:rPr lang="en-US" sz="1600" b="1" i="1" u="none"/>
            <a:pPr algn="ctr"/>
            <a:t>EAL - 2025 Program Year Evaluation</a:t>
          </a:fld>
          <a:endParaRPr lang="en-US" sz="1600" b="1" i="1" u="none"/>
        </a:p>
      </xdr:txBody>
    </xdr:sp>
    <xdr:clientData/>
  </xdr:twoCellAnchor>
  <xdr:twoCellAnchor editAs="absolute">
    <xdr:from>
      <xdr:col>2</xdr:col>
      <xdr:colOff>1921510</xdr:colOff>
      <xdr:row>1</xdr:row>
      <xdr:rowOff>135255</xdr:rowOff>
    </xdr:from>
    <xdr:to>
      <xdr:col>8</xdr:col>
      <xdr:colOff>15287</xdr:colOff>
      <xdr:row>1</xdr:row>
      <xdr:rowOff>419270</xdr:rowOff>
    </xdr:to>
    <xdr:sp macro="" textlink="Titles!B13">
      <xdr:nvSpPr>
        <xdr:cNvPr id="12" name="TextBox 11">
          <a:extLst>
            <a:ext uri="{FF2B5EF4-FFF2-40B4-BE49-F238E27FC236}">
              <a16:creationId xmlns:a16="http://schemas.microsoft.com/office/drawing/2014/main" id="{00000000-0008-0000-0E00-00000C000000}"/>
            </a:ext>
          </a:extLst>
        </xdr:cNvPr>
        <xdr:cNvSpPr txBox="1"/>
      </xdr:nvSpPr>
      <xdr:spPr>
        <a:xfrm>
          <a:off x="2246745" y="502747"/>
          <a:ext cx="4760238"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5D3E01B8-0755-4FE9-B464-8711962D59FD}" type="TxLink">
            <a:rPr lang="en-US" sz="1200" b="0" i="0" u="none" strike="noStrike">
              <a:solidFill>
                <a:srgbClr val="000000"/>
              </a:solidFill>
              <a:latin typeface="+mn-lt"/>
              <a:cs typeface="Calibri"/>
            </a:rPr>
            <a:pPr algn="ctr"/>
            <a:t>Evaluated Savings</a:t>
          </a:fld>
          <a:endParaRPr lang="en-US" sz="1800" b="0">
            <a:latin typeface="+mn-lt"/>
          </a:endParaRPr>
        </a:p>
      </xdr:txBody>
    </xdr:sp>
    <xdr:clientData/>
  </xdr:twoCellAnchor>
  <xdr:twoCellAnchor editAs="absolute">
    <xdr:from>
      <xdr:col>9</xdr:col>
      <xdr:colOff>171450</xdr:colOff>
      <xdr:row>1</xdr:row>
      <xdr:rowOff>95250</xdr:rowOff>
    </xdr:from>
    <xdr:to>
      <xdr:col>10</xdr:col>
      <xdr:colOff>190500</xdr:colOff>
      <xdr:row>1</xdr:row>
      <xdr:rowOff>323850</xdr:rowOff>
    </xdr:to>
    <xdr:sp macro="" textlink="">
      <xdr:nvSpPr>
        <xdr:cNvPr id="13" name="Rounded Rectangle 12">
          <a:hlinkClick xmlns:r="http://schemas.openxmlformats.org/officeDocument/2006/relationships" r:id="rId1" tooltip="Click"/>
          <a:extLst>
            <a:ext uri="{FF2B5EF4-FFF2-40B4-BE49-F238E27FC236}">
              <a16:creationId xmlns:a16="http://schemas.microsoft.com/office/drawing/2014/main" id="{00000000-0008-0000-0E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10</xdr:col>
      <xdr:colOff>247650</xdr:colOff>
      <xdr:row>1</xdr:row>
      <xdr:rowOff>95250</xdr:rowOff>
    </xdr:from>
    <xdr:to>
      <xdr:col>10</xdr:col>
      <xdr:colOff>895873</xdr:colOff>
      <xdr:row>1</xdr:row>
      <xdr:rowOff>323850</xdr:rowOff>
    </xdr:to>
    <xdr:sp macro="" textlink="">
      <xdr:nvSpPr>
        <xdr:cNvPr id="14" name="Rounded Rectangle 13">
          <a:hlinkClick xmlns:r="http://schemas.openxmlformats.org/officeDocument/2006/relationships" r:id="rId3" tooltip="Click"/>
          <a:extLst>
            <a:ext uri="{FF2B5EF4-FFF2-40B4-BE49-F238E27FC236}">
              <a16:creationId xmlns:a16="http://schemas.microsoft.com/office/drawing/2014/main" id="{00000000-0008-0000-0E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absolute">
    <xdr:from>
      <xdr:col>8</xdr:col>
      <xdr:colOff>399126</xdr:colOff>
      <xdr:row>2</xdr:row>
      <xdr:rowOff>116032</xdr:rowOff>
    </xdr:from>
    <xdr:to>
      <xdr:col>10</xdr:col>
      <xdr:colOff>895704</xdr:colOff>
      <xdr:row>3</xdr:row>
      <xdr:rowOff>174048</xdr:rowOff>
    </xdr:to>
    <xdr:sp macro="" textlink="">
      <xdr:nvSpPr>
        <xdr:cNvPr id="15" name="Rounded Rectangle 14">
          <a:hlinkClick xmlns:r="http://schemas.openxmlformats.org/officeDocument/2006/relationships" r:id="rId8" tooltip="Click"/>
          <a:extLst>
            <a:ext uri="{FF2B5EF4-FFF2-40B4-BE49-F238E27FC236}">
              <a16:creationId xmlns:a16="http://schemas.microsoft.com/office/drawing/2014/main" id="{00000000-0008-0000-0E00-00000F000000}"/>
            </a:ext>
          </a:extLst>
        </xdr:cNvPr>
        <xdr:cNvSpPr/>
      </xdr:nvSpPr>
      <xdr:spPr>
        <a:xfrm>
          <a:off x="7175615" y="1302327"/>
          <a:ext cx="1692341" cy="231198"/>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Methodology</a:t>
          </a:r>
          <a:r>
            <a:rPr lang="en-US" sz="800" b="1" baseline="0">
              <a:solidFill>
                <a:sysClr val="windowText" lastClr="000000"/>
              </a:solidFill>
            </a:rPr>
            <a:t> for Energy Savings</a:t>
          </a:r>
        </a:p>
        <a:p>
          <a:pPr algn="ctr"/>
          <a:endParaRPr lang="en-US" sz="800" b="1">
            <a:solidFill>
              <a:sysClr val="windowText" lastClr="000000"/>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3</xdr:col>
      <xdr:colOff>730814</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0F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17.xml><?xml version="1.0" encoding="utf-8"?>
<xdr:wsDr xmlns:xdr="http://schemas.openxmlformats.org/drawingml/2006/spreadsheetDrawing" xmlns:a="http://schemas.openxmlformats.org/drawingml/2006/main">
  <xdr:twoCellAnchor editAs="absolute">
    <xdr:from>
      <xdr:col>1</xdr:col>
      <xdr:colOff>15875</xdr:colOff>
      <xdr:row>1</xdr:row>
      <xdr:rowOff>0</xdr:rowOff>
    </xdr:from>
    <xdr:to>
      <xdr:col>12</xdr:col>
      <xdr:colOff>209550</xdr:colOff>
      <xdr:row>1</xdr:row>
      <xdr:rowOff>398780</xdr:rowOff>
    </xdr:to>
    <xdr:sp macro="" textlink="">
      <xdr:nvSpPr>
        <xdr:cNvPr id="1478851" name="Rectangle 365">
          <a:extLst>
            <a:ext uri="{FF2B5EF4-FFF2-40B4-BE49-F238E27FC236}">
              <a16:creationId xmlns:a16="http://schemas.microsoft.com/office/drawing/2014/main" id="{00000000-0008-0000-1000-0000C390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15875</xdr:colOff>
      <xdr:row>0</xdr:row>
      <xdr:rowOff>60324</xdr:rowOff>
    </xdr:from>
    <xdr:to>
      <xdr:col>2</xdr:col>
      <xdr:colOff>1236241</xdr:colOff>
      <xdr:row>0</xdr:row>
      <xdr:rowOff>340994</xdr:rowOff>
    </xdr:to>
    <xdr:sp macro="" textlink="Titles!B1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10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D218C69A-6659-40A4-A383-FC107167CB47}" type="TxLink">
            <a:rPr lang="en-US" sz="1000" b="1">
              <a:solidFill>
                <a:schemeClr val="lt1"/>
              </a:solidFill>
              <a:latin typeface="+mn-lt"/>
              <a:ea typeface="+mn-ea"/>
              <a:cs typeface="+mn-cs"/>
            </a:rPr>
            <a:pPr marL="0" indent="0" algn="ctr"/>
            <a:t>Actual Expenses</a:t>
          </a:fld>
          <a:endParaRPr lang="en-US" sz="1000" b="1">
            <a:solidFill>
              <a:schemeClr val="lt1"/>
            </a:solidFill>
            <a:latin typeface="+mn-lt"/>
            <a:ea typeface="+mn-ea"/>
            <a:cs typeface="+mn-cs"/>
          </a:endParaRPr>
        </a:p>
      </xdr:txBody>
    </xdr:sp>
    <xdr:clientData/>
  </xdr:twoCellAnchor>
  <xdr:twoCellAnchor editAs="absolute">
    <xdr:from>
      <xdr:col>2</xdr:col>
      <xdr:colOff>1240790</xdr:colOff>
      <xdr:row>0</xdr:row>
      <xdr:rowOff>55880</xdr:rowOff>
    </xdr:from>
    <xdr:to>
      <xdr:col>3</xdr:col>
      <xdr:colOff>323340</xdr:colOff>
      <xdr:row>0</xdr:row>
      <xdr:rowOff>340995</xdr:rowOff>
    </xdr:to>
    <xdr:sp macro="" textlink="Titles!B1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10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BA0FB71B-05A6-47E7-83C2-6653FCB8E4E5}" type="TxLink">
            <a:rPr lang="en-US" sz="1000" b="1"/>
            <a:pPr algn="ctr"/>
            <a:t>Evaluated Savings</a:t>
          </a:fld>
          <a:endParaRPr lang="en-US" sz="1000" b="1"/>
        </a:p>
      </xdr:txBody>
    </xdr:sp>
    <xdr:clientData/>
  </xdr:twoCellAnchor>
  <xdr:twoCellAnchor editAs="absolute">
    <xdr:from>
      <xdr:col>3</xdr:col>
      <xdr:colOff>323215</xdr:colOff>
      <xdr:row>0</xdr:row>
      <xdr:rowOff>55880</xdr:rowOff>
    </xdr:from>
    <xdr:to>
      <xdr:col>5</xdr:col>
      <xdr:colOff>398780</xdr:colOff>
      <xdr:row>0</xdr:row>
      <xdr:rowOff>340995</xdr:rowOff>
    </xdr:to>
    <xdr:sp macro="" textlink="Titles!B1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1000-000005000000}"/>
            </a:ext>
          </a:extLst>
        </xdr:cNvPr>
        <xdr:cNvSpPr/>
      </xdr:nvSpPr>
      <xdr:spPr>
        <a:xfrm>
          <a:off x="3122295" y="66675"/>
          <a:ext cx="1533525"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58B495C3-4F12-4699-8AB0-1546BEF8A415}" type="TxLink">
            <a:rPr lang="en-US" sz="1000" b="1">
              <a:solidFill>
                <a:sysClr val="windowText" lastClr="000000"/>
              </a:solidFill>
            </a:rPr>
            <a:pPr algn="ctr"/>
            <a:t>Cost-Benefits</a:t>
          </a:fld>
          <a:endParaRPr lang="en-US" sz="1000" b="1">
            <a:solidFill>
              <a:sysClr val="windowText" lastClr="000000"/>
            </a:solidFill>
          </a:endParaRPr>
        </a:p>
      </xdr:txBody>
    </xdr:sp>
    <xdr:clientData/>
  </xdr:twoCellAnchor>
  <xdr:twoCellAnchor editAs="absolute">
    <xdr:from>
      <xdr:col>5</xdr:col>
      <xdr:colOff>398145</xdr:colOff>
      <xdr:row>0</xdr:row>
      <xdr:rowOff>55880</xdr:rowOff>
    </xdr:from>
    <xdr:to>
      <xdr:col>7</xdr:col>
      <xdr:colOff>246380</xdr:colOff>
      <xdr:row>0</xdr:row>
      <xdr:rowOff>340995</xdr:rowOff>
    </xdr:to>
    <xdr:sp macro="" textlink="Titles!B15">
      <xdr:nvSpPr>
        <xdr:cNvPr id="6" name="Round Same Side Corner Rectangle 5">
          <a:hlinkClick xmlns:r="http://schemas.openxmlformats.org/officeDocument/2006/relationships" r:id="rId4" tooltip="Click"/>
          <a:extLst>
            <a:ext uri="{FF2B5EF4-FFF2-40B4-BE49-F238E27FC236}">
              <a16:creationId xmlns:a16="http://schemas.microsoft.com/office/drawing/2014/main" id="{00000000-0008-0000-1000-000006000000}"/>
            </a:ext>
          </a:extLst>
        </xdr:cNvPr>
        <xdr:cNvSpPr/>
      </xdr:nvSpPr>
      <xdr:spPr>
        <a:xfrm>
          <a:off x="4524375" y="66675"/>
          <a:ext cx="1463040" cy="274320"/>
        </a:xfrm>
        <a:prstGeom prst="round2Same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6B73AAB0-810E-4197-A276-1B3AA90F295F}" type="TxLink">
            <a:rPr lang="en-US" sz="1000" b="1">
              <a:solidFill>
                <a:schemeClr val="bg1"/>
              </a:solidFill>
              <a:latin typeface="+mn-lt"/>
              <a:ea typeface="+mn-ea"/>
              <a:cs typeface="+mn-cs"/>
            </a:rPr>
            <a:pPr marL="0" indent="0" algn="ctr"/>
            <a:t>LCFC</a:t>
          </a:fld>
          <a:endParaRPr lang="en-US" sz="1000" b="1">
            <a:solidFill>
              <a:schemeClr val="bg1"/>
            </a:solidFill>
            <a:latin typeface="+mn-lt"/>
            <a:ea typeface="+mn-ea"/>
            <a:cs typeface="+mn-cs"/>
          </a:endParaRPr>
        </a:p>
      </xdr:txBody>
    </xdr:sp>
    <xdr:clientData/>
  </xdr:twoCellAnchor>
  <xdr:twoCellAnchor editAs="absolute">
    <xdr:from>
      <xdr:col>7</xdr:col>
      <xdr:colOff>283210</xdr:colOff>
      <xdr:row>0</xdr:row>
      <xdr:rowOff>55880</xdr:rowOff>
    </xdr:from>
    <xdr:to>
      <xdr:col>9</xdr:col>
      <xdr:colOff>247015</xdr:colOff>
      <xdr:row>0</xdr:row>
      <xdr:rowOff>340995</xdr:rowOff>
    </xdr:to>
    <xdr:sp macro="" textlink="Titles!B16">
      <xdr:nvSpPr>
        <xdr:cNvPr id="7" name="Round Same Side Corner Rectangle 6">
          <a:hlinkClick xmlns:r="http://schemas.openxmlformats.org/officeDocument/2006/relationships" r:id="rId5" tooltip="Click"/>
          <a:extLst>
            <a:ext uri="{FF2B5EF4-FFF2-40B4-BE49-F238E27FC236}">
              <a16:creationId xmlns:a16="http://schemas.microsoft.com/office/drawing/2014/main" id="{00000000-0008-0000-10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DAEE85EB-4F71-412A-A2BA-F3553DA45247}" type="TxLink">
            <a:rPr lang="en-US" sz="1000" b="1"/>
            <a:pPr algn="ctr"/>
            <a:t>Incentives</a:t>
          </a:fld>
          <a:endParaRPr lang="en-US" sz="1000" b="1"/>
        </a:p>
      </xdr:txBody>
    </xdr:sp>
    <xdr:clientData/>
  </xdr:twoCellAnchor>
  <xdr:twoCellAnchor editAs="absolute">
    <xdr:from>
      <xdr:col>9</xdr:col>
      <xdr:colOff>264794</xdr:colOff>
      <xdr:row>0</xdr:row>
      <xdr:rowOff>55880</xdr:rowOff>
    </xdr:from>
    <xdr:to>
      <xdr:col>12</xdr:col>
      <xdr:colOff>207644</xdr:colOff>
      <xdr:row>0</xdr:row>
      <xdr:rowOff>342900</xdr:rowOff>
    </xdr:to>
    <xdr:sp macro="" textlink="Titles!B17">
      <xdr:nvSpPr>
        <xdr:cNvPr id="8" name="Round Same Side Corner Rectangle 8">
          <a:hlinkClick xmlns:r="http://schemas.openxmlformats.org/officeDocument/2006/relationships" r:id="rId6" tooltip="Click"/>
          <a:extLst>
            <a:ext uri="{FF2B5EF4-FFF2-40B4-BE49-F238E27FC236}">
              <a16:creationId xmlns:a16="http://schemas.microsoft.com/office/drawing/2014/main" id="{00000000-0008-0000-10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25B15236-2B4E-4E81-88FF-64BCB4C27D4C}"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856732</xdr:colOff>
      <xdr:row>1</xdr:row>
      <xdr:rowOff>304800</xdr:rowOff>
    </xdr:to>
    <xdr:sp macro="" textlink="">
      <xdr:nvSpPr>
        <xdr:cNvPr id="9" name="Rounded Rectangle 8">
          <a:hlinkClick xmlns:r="http://schemas.openxmlformats.org/officeDocument/2006/relationships" r:id="rId7" tooltip="Click"/>
          <a:extLst>
            <a:ext uri="{FF2B5EF4-FFF2-40B4-BE49-F238E27FC236}">
              <a16:creationId xmlns:a16="http://schemas.microsoft.com/office/drawing/2014/main" id="{00000000-0008-0000-10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92075</xdr:colOff>
      <xdr:row>1</xdr:row>
      <xdr:rowOff>441324</xdr:rowOff>
    </xdr:from>
    <xdr:to>
      <xdr:col>12</xdr:col>
      <xdr:colOff>150495</xdr:colOff>
      <xdr:row>1</xdr:row>
      <xdr:rowOff>781727</xdr:rowOff>
    </xdr:to>
    <xdr:sp macro="" textlink="">
      <xdr:nvSpPr>
        <xdr:cNvPr id="10" name="Rounded Rectangle 6">
          <a:extLst>
            <a:ext uri="{FF2B5EF4-FFF2-40B4-BE49-F238E27FC236}">
              <a16:creationId xmlns:a16="http://schemas.microsoft.com/office/drawing/2014/main" id="{00000000-0008-0000-10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the required TRC components.  Provide "Key Assumptions" , "NEBs", and "Other Cost-Benefit Test" by clicking on the action buttons.</a:t>
          </a:r>
          <a:endParaRPr lang="en-US"/>
        </a:p>
      </xdr:txBody>
    </xdr:sp>
    <xdr:clientData/>
  </xdr:twoCellAnchor>
  <xdr:twoCellAnchor editAs="absolute">
    <xdr:from>
      <xdr:col>2</xdr:col>
      <xdr:colOff>1235075</xdr:colOff>
      <xdr:row>0</xdr:row>
      <xdr:rowOff>292930</xdr:rowOff>
    </xdr:from>
    <xdr:to>
      <xdr:col>9</xdr:col>
      <xdr:colOff>283201</xdr:colOff>
      <xdr:row>1</xdr:row>
      <xdr:rowOff>279693</xdr:rowOff>
    </xdr:to>
    <xdr:sp macro="" textlink="Titles!F6">
      <xdr:nvSpPr>
        <xdr:cNvPr id="11" name="TextBox 10">
          <a:extLst>
            <a:ext uri="{FF2B5EF4-FFF2-40B4-BE49-F238E27FC236}">
              <a16:creationId xmlns:a16="http://schemas.microsoft.com/office/drawing/2014/main" id="{00000000-0008-0000-1000-00000B000000}"/>
            </a:ext>
          </a:extLst>
        </xdr:cNvPr>
        <xdr:cNvSpPr txBox="1"/>
      </xdr:nvSpPr>
      <xdr:spPr>
        <a:xfrm>
          <a:off x="1545802" y="294835"/>
          <a:ext cx="619187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4BDCE8DC-CBCD-4C00-A216-4B8954D26EF7}" type="TxLink">
            <a:rPr lang="en-US" sz="1600" b="1" i="1" u="none"/>
            <a:pPr algn="ctr"/>
            <a:t>EAL - 2025 Program Year Evaluation</a:t>
          </a:fld>
          <a:endParaRPr lang="en-US" sz="1600" b="1" i="1" u="none"/>
        </a:p>
      </xdr:txBody>
    </xdr:sp>
    <xdr:clientData/>
  </xdr:twoCellAnchor>
  <xdr:twoCellAnchor editAs="absolute">
    <xdr:from>
      <xdr:col>2</xdr:col>
      <xdr:colOff>1920875</xdr:colOff>
      <xdr:row>1</xdr:row>
      <xdr:rowOff>135890</xdr:rowOff>
    </xdr:from>
    <xdr:to>
      <xdr:col>8</xdr:col>
      <xdr:colOff>327169</xdr:colOff>
      <xdr:row>1</xdr:row>
      <xdr:rowOff>416095</xdr:rowOff>
    </xdr:to>
    <xdr:sp macro="" textlink="Titles!B14">
      <xdr:nvSpPr>
        <xdr:cNvPr id="12" name="TextBox 11">
          <a:extLst>
            <a:ext uri="{FF2B5EF4-FFF2-40B4-BE49-F238E27FC236}">
              <a16:creationId xmlns:a16="http://schemas.microsoft.com/office/drawing/2014/main" id="{00000000-0008-0000-1000-00000C000000}"/>
            </a:ext>
          </a:extLst>
        </xdr:cNvPr>
        <xdr:cNvSpPr txBox="1"/>
      </xdr:nvSpPr>
      <xdr:spPr>
        <a:xfrm>
          <a:off x="2251075" y="491490"/>
          <a:ext cx="4756294"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E77CB7A2-9882-4BB1-BEB2-FBCD1D059766}" type="TxLink">
            <a:rPr lang="en-US" sz="1200" b="0" i="0" u="none" strike="noStrike">
              <a:solidFill>
                <a:srgbClr val="000000"/>
              </a:solidFill>
              <a:latin typeface="+mn-lt"/>
              <a:cs typeface="Calibri"/>
            </a:rPr>
            <a:pPr algn="ctr"/>
            <a:t>Cost-Benefits</a:t>
          </a:fld>
          <a:endParaRPr lang="en-US" sz="1800" b="0">
            <a:latin typeface="+mn-lt"/>
          </a:endParaRPr>
        </a:p>
      </xdr:txBody>
    </xdr:sp>
    <xdr:clientData/>
  </xdr:twoCellAnchor>
  <xdr:twoCellAnchor editAs="absolute">
    <xdr:from>
      <xdr:col>9</xdr:col>
      <xdr:colOff>323215</xdr:colOff>
      <xdr:row>1</xdr:row>
      <xdr:rowOff>95250</xdr:rowOff>
    </xdr:from>
    <xdr:to>
      <xdr:col>11</xdr:col>
      <xdr:colOff>360680</xdr:colOff>
      <xdr:row>1</xdr:row>
      <xdr:rowOff>324485</xdr:rowOff>
    </xdr:to>
    <xdr:sp macro="" textlink="">
      <xdr:nvSpPr>
        <xdr:cNvPr id="13" name="Rounded Rectangle 12">
          <a:hlinkClick xmlns:r="http://schemas.openxmlformats.org/officeDocument/2006/relationships" r:id="rId2" tooltip="Click"/>
          <a:extLst>
            <a:ext uri="{FF2B5EF4-FFF2-40B4-BE49-F238E27FC236}">
              <a16:creationId xmlns:a16="http://schemas.microsoft.com/office/drawing/2014/main" id="{00000000-0008-0000-10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11</xdr:col>
      <xdr:colOff>417195</xdr:colOff>
      <xdr:row>1</xdr:row>
      <xdr:rowOff>95250</xdr:rowOff>
    </xdr:from>
    <xdr:to>
      <xdr:col>12</xdr:col>
      <xdr:colOff>132080</xdr:colOff>
      <xdr:row>1</xdr:row>
      <xdr:rowOff>324485</xdr:rowOff>
    </xdr:to>
    <xdr:sp macro="" textlink="">
      <xdr:nvSpPr>
        <xdr:cNvPr id="14" name="Rounded Rectangle 13">
          <a:hlinkClick xmlns:r="http://schemas.openxmlformats.org/officeDocument/2006/relationships" r:id="rId4" tooltip="Click"/>
          <a:extLst>
            <a:ext uri="{FF2B5EF4-FFF2-40B4-BE49-F238E27FC236}">
              <a16:creationId xmlns:a16="http://schemas.microsoft.com/office/drawing/2014/main" id="{00000000-0008-0000-10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xdr:from>
      <xdr:col>2</xdr:col>
      <xdr:colOff>1034761</xdr:colOff>
      <xdr:row>3</xdr:row>
      <xdr:rowOff>77932</xdr:rowOff>
    </xdr:from>
    <xdr:to>
      <xdr:col>2</xdr:col>
      <xdr:colOff>2286000</xdr:colOff>
      <xdr:row>4</xdr:row>
      <xdr:rowOff>277090</xdr:rowOff>
    </xdr:to>
    <xdr:sp macro="" textlink="">
      <xdr:nvSpPr>
        <xdr:cNvPr id="15" name="Rounded Rectangle 14">
          <a:hlinkClick xmlns:r="http://schemas.openxmlformats.org/officeDocument/2006/relationships" r:id="rId8" tooltip="Click"/>
          <a:extLst>
            <a:ext uri="{FF2B5EF4-FFF2-40B4-BE49-F238E27FC236}">
              <a16:creationId xmlns:a16="http://schemas.microsoft.com/office/drawing/2014/main" id="{00000000-0008-0000-1000-00000F000000}"/>
            </a:ext>
          </a:extLst>
        </xdr:cNvPr>
        <xdr:cNvSpPr/>
      </xdr:nvSpPr>
      <xdr:spPr>
        <a:xfrm>
          <a:off x="1355147" y="1454727"/>
          <a:ext cx="1251239" cy="46759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a:solidFill>
                <a:sysClr val="windowText" lastClr="000000"/>
              </a:solidFill>
            </a:rPr>
            <a:t>Other</a:t>
          </a:r>
          <a:r>
            <a:rPr lang="en-US" sz="1000" b="1" baseline="0">
              <a:solidFill>
                <a:sysClr val="windowText" lastClr="000000"/>
              </a:solidFill>
            </a:rPr>
            <a:t> Cost-Benefit Test</a:t>
          </a:r>
          <a:endParaRPr lang="en-US" sz="1000" b="1">
            <a:solidFill>
              <a:sysClr val="windowText" lastClr="000000"/>
            </a:solidFill>
          </a:endParaRPr>
        </a:p>
      </xdr:txBody>
    </xdr:sp>
    <xdr:clientData/>
  </xdr:twoCellAnchor>
  <xdr:twoCellAnchor>
    <xdr:from>
      <xdr:col>2</xdr:col>
      <xdr:colOff>1</xdr:colOff>
      <xdr:row>3</xdr:row>
      <xdr:rowOff>95250</xdr:rowOff>
    </xdr:from>
    <xdr:to>
      <xdr:col>2</xdr:col>
      <xdr:colOff>948779</xdr:colOff>
      <xdr:row>4</xdr:row>
      <xdr:rowOff>34637</xdr:rowOff>
    </xdr:to>
    <xdr:sp macro="" textlink="">
      <xdr:nvSpPr>
        <xdr:cNvPr id="16" name="Rounded Rectangle 15">
          <a:hlinkClick xmlns:r="http://schemas.openxmlformats.org/officeDocument/2006/relationships" r:id="rId9" tooltip="Click"/>
          <a:extLst>
            <a:ext uri="{FF2B5EF4-FFF2-40B4-BE49-F238E27FC236}">
              <a16:creationId xmlns:a16="http://schemas.microsoft.com/office/drawing/2014/main" id="{00000000-0008-0000-1000-000010000000}"/>
            </a:ext>
          </a:extLst>
        </xdr:cNvPr>
        <xdr:cNvSpPr/>
      </xdr:nvSpPr>
      <xdr:spPr>
        <a:xfrm>
          <a:off x="320387" y="1472045"/>
          <a:ext cx="948778" cy="207819"/>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Key</a:t>
          </a:r>
          <a:r>
            <a:rPr lang="en-US" sz="800" b="1" baseline="0">
              <a:solidFill>
                <a:sysClr val="windowText" lastClr="000000"/>
              </a:solidFill>
            </a:rPr>
            <a:t> Assumptions</a:t>
          </a:r>
          <a:endParaRPr lang="en-US" sz="800" b="1">
            <a:solidFill>
              <a:sysClr val="windowText" lastClr="000000"/>
            </a:solidFill>
          </a:endParaRPr>
        </a:p>
      </xdr:txBody>
    </xdr:sp>
    <xdr:clientData/>
  </xdr:twoCellAnchor>
  <xdr:twoCellAnchor>
    <xdr:from>
      <xdr:col>2</xdr:col>
      <xdr:colOff>1</xdr:colOff>
      <xdr:row>4</xdr:row>
      <xdr:rowOff>77932</xdr:rowOff>
    </xdr:from>
    <xdr:to>
      <xdr:col>2</xdr:col>
      <xdr:colOff>952501</xdr:colOff>
      <xdr:row>4</xdr:row>
      <xdr:rowOff>268432</xdr:rowOff>
    </xdr:to>
    <xdr:sp macro="" textlink="">
      <xdr:nvSpPr>
        <xdr:cNvPr id="18" name="Rounded Rectangle 17">
          <a:hlinkClick xmlns:r="http://schemas.openxmlformats.org/officeDocument/2006/relationships" r:id="rId10" tooltip="Click"/>
          <a:extLst>
            <a:ext uri="{FF2B5EF4-FFF2-40B4-BE49-F238E27FC236}">
              <a16:creationId xmlns:a16="http://schemas.microsoft.com/office/drawing/2014/main" id="{00000000-0008-0000-1000-000012000000}"/>
            </a:ext>
          </a:extLst>
        </xdr:cNvPr>
        <xdr:cNvSpPr/>
      </xdr:nvSpPr>
      <xdr:spPr>
        <a:xfrm>
          <a:off x="320387" y="1723159"/>
          <a:ext cx="952500" cy="1905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900" b="1">
              <a:solidFill>
                <a:sysClr val="windowText" lastClr="000000"/>
              </a:solidFill>
            </a:rPr>
            <a:t>NEBs</a:t>
          </a:r>
        </a:p>
      </xdr:txBody>
    </xdr:sp>
    <xdr:clientData/>
  </xdr:twoCellAnchor>
</xdr:wsDr>
</file>

<file path=xl/drawings/drawing18.xml><?xml version="1.0" encoding="utf-8"?>
<xdr:wsDr xmlns:xdr="http://schemas.openxmlformats.org/drawingml/2006/spreadsheetDrawing" xmlns:a="http://schemas.openxmlformats.org/drawingml/2006/main">
  <xdr:twoCellAnchor editAs="absolute">
    <xdr:from>
      <xdr:col>1</xdr:col>
      <xdr:colOff>76200</xdr:colOff>
      <xdr:row>1</xdr:row>
      <xdr:rowOff>88265</xdr:rowOff>
    </xdr:from>
    <xdr:to>
      <xdr:col>2</xdr:col>
      <xdr:colOff>820391</xdr:colOff>
      <xdr:row>1</xdr:row>
      <xdr:rowOff>316865</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1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twoCellAnchor>
    <xdr:from>
      <xdr:col>1</xdr:col>
      <xdr:colOff>107156</xdr:colOff>
      <xdr:row>2</xdr:row>
      <xdr:rowOff>19051</xdr:rowOff>
    </xdr:from>
    <xdr:to>
      <xdr:col>11</xdr:col>
      <xdr:colOff>0</xdr:colOff>
      <xdr:row>2</xdr:row>
      <xdr:rowOff>457200</xdr:rowOff>
    </xdr:to>
    <xdr:sp macro="" textlink="">
      <xdr:nvSpPr>
        <xdr:cNvPr id="4" name="Rounded Rectangle 6">
          <a:extLst>
            <a:ext uri="{FF2B5EF4-FFF2-40B4-BE49-F238E27FC236}">
              <a16:creationId xmlns:a16="http://schemas.microsoft.com/office/drawing/2014/main" id="{00000000-0008-0000-1100-000004000000}"/>
            </a:ext>
          </a:extLst>
        </xdr:cNvPr>
        <xdr:cNvSpPr>
          <a:spLocks noChangeArrowheads="1"/>
        </xdr:cNvSpPr>
      </xdr:nvSpPr>
      <xdr:spPr bwMode="auto">
        <a:xfrm>
          <a:off x="173831" y="561976"/>
          <a:ext cx="11446669" cy="438149"/>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rtl="0"/>
          <a:r>
            <a:rPr lang="en-US" sz="1200" b="1" i="0" u="none" strike="noStrike" baseline="0">
              <a:solidFill>
                <a:srgbClr val="000000"/>
              </a:solidFill>
              <a:latin typeface="Calibri"/>
              <a:cs typeface="Calibri"/>
            </a:rPr>
            <a:t>Instructions:  </a:t>
          </a:r>
          <a:r>
            <a:rPr lang="en-US" sz="1050" b="0" i="0" baseline="0">
              <a:effectLst/>
              <a:latin typeface="Calibri" panose="020F0502020204030204" pitchFamily="34" charset="0"/>
              <a:ea typeface="+mn-ea"/>
              <a:cs typeface="Calibri" panose="020F0502020204030204" pitchFamily="34" charset="0"/>
            </a:rPr>
            <a:t>Provide the Key Assumptions used in the Cost-Effectiveness Test.  If information is by class, provide the class levels.  For each assumption provide a reference to the source document., if applicable.</a:t>
          </a:r>
          <a:endParaRPr lang="en-US" sz="1050">
            <a:effectLst/>
            <a:latin typeface="Calibri" panose="020F0502020204030204" pitchFamily="34" charset="0"/>
            <a:cs typeface="Calibri" panose="020F0502020204030204" pitchFamily="34"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51954</xdr:colOff>
      <xdr:row>2</xdr:row>
      <xdr:rowOff>28575</xdr:rowOff>
    </xdr:from>
    <xdr:to>
      <xdr:col>14</xdr:col>
      <xdr:colOff>51954</xdr:colOff>
      <xdr:row>2</xdr:row>
      <xdr:rowOff>363682</xdr:rowOff>
    </xdr:to>
    <xdr:sp macro="" textlink="">
      <xdr:nvSpPr>
        <xdr:cNvPr id="2" name="Rounded Rectangle 6">
          <a:extLst>
            <a:ext uri="{FF2B5EF4-FFF2-40B4-BE49-F238E27FC236}">
              <a16:creationId xmlns:a16="http://schemas.microsoft.com/office/drawing/2014/main" id="{00000000-0008-0000-1200-000002000000}"/>
            </a:ext>
          </a:extLst>
        </xdr:cNvPr>
        <xdr:cNvSpPr>
          <a:spLocks noChangeArrowheads="1"/>
        </xdr:cNvSpPr>
      </xdr:nvSpPr>
      <xdr:spPr bwMode="auto">
        <a:xfrm>
          <a:off x="121227" y="574098"/>
          <a:ext cx="10261022" cy="335107"/>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rtl="0"/>
          <a:r>
            <a:rPr lang="en-US" sz="1000" b="1" i="0" u="none" strike="noStrike" baseline="0">
              <a:solidFill>
                <a:srgbClr val="000000"/>
              </a:solidFill>
              <a:latin typeface="Calibri"/>
              <a:cs typeface="Calibri"/>
            </a:rPr>
            <a:t>Instructions:  </a:t>
          </a:r>
          <a:r>
            <a:rPr lang="en-US" sz="800" b="0" i="0" baseline="0">
              <a:effectLst/>
              <a:latin typeface="Calibri" panose="020F0502020204030204" pitchFamily="34" charset="0"/>
              <a:ea typeface="+mn-ea"/>
              <a:cs typeface="Calibri" panose="020F0502020204030204" pitchFamily="34" charset="0"/>
            </a:rPr>
            <a:t>Provide the TRC NEB units (kWh, Therms, Gallons) and monetized benefits at the porgram level for each program.   In the notes  section below provide the  annual report page reference for NEBs.  </a:t>
          </a:r>
          <a:endParaRPr lang="en-US" sz="800">
            <a:effectLst/>
            <a:latin typeface="Calibri" panose="020F0502020204030204" pitchFamily="34" charset="0"/>
            <a:cs typeface="Calibri" panose="020F0502020204030204" pitchFamily="34" charset="0"/>
          </a:endParaRPr>
        </a:p>
      </xdr:txBody>
    </xdr:sp>
    <xdr:clientData/>
  </xdr:twoCellAnchor>
  <xdr:twoCellAnchor editAs="absolute">
    <xdr:from>
      <xdr:col>1</xdr:col>
      <xdr:colOff>55130</xdr:colOff>
      <xdr:row>1</xdr:row>
      <xdr:rowOff>112568</xdr:rowOff>
    </xdr:from>
    <xdr:to>
      <xdr:col>2</xdr:col>
      <xdr:colOff>778770</xdr:colOff>
      <xdr:row>1</xdr:row>
      <xdr:rowOff>341168</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200-000003000000}"/>
            </a:ext>
          </a:extLst>
        </xdr:cNvPr>
        <xdr:cNvSpPr/>
      </xdr:nvSpPr>
      <xdr:spPr>
        <a:xfrm>
          <a:off x="121228" y="173182"/>
          <a:ext cx="1003906"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3</xdr:col>
      <xdr:colOff>431717</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01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fPrintsWithSheet="0"/>
  </xdr:twoCellAnchor>
  <xdr:twoCellAnchor>
    <xdr:from>
      <xdr:col>4</xdr:col>
      <xdr:colOff>4563341</xdr:colOff>
      <xdr:row>53</xdr:row>
      <xdr:rowOff>0</xdr:rowOff>
    </xdr:from>
    <xdr:to>
      <xdr:col>4</xdr:col>
      <xdr:colOff>5565374</xdr:colOff>
      <xdr:row>54</xdr:row>
      <xdr:rowOff>0</xdr:rowOff>
    </xdr:to>
    <xdr:sp macro="" textlink="">
      <xdr:nvSpPr>
        <xdr:cNvPr id="6" name="Rounded Rectangle 5">
          <a:hlinkClick xmlns:r="http://schemas.openxmlformats.org/officeDocument/2006/relationships" r:id="rId2" tooltip="Click"/>
          <a:extLst>
            <a:ext uri="{FF2B5EF4-FFF2-40B4-BE49-F238E27FC236}">
              <a16:creationId xmlns:a16="http://schemas.microsoft.com/office/drawing/2014/main" id="{00000000-0008-0000-0100-000006000000}"/>
            </a:ext>
          </a:extLst>
        </xdr:cNvPr>
        <xdr:cNvSpPr/>
      </xdr:nvSpPr>
      <xdr:spPr>
        <a:xfrm>
          <a:off x="5922818" y="10668000"/>
          <a:ext cx="1002033" cy="33770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List</a:t>
          </a:r>
        </a:p>
      </xdr:txBody>
    </xdr:sp>
    <xdr:clientData/>
  </xdr:twoCellAnchor>
  <xdr:twoCellAnchor>
    <xdr:from>
      <xdr:col>4</xdr:col>
      <xdr:colOff>5717945</xdr:colOff>
      <xdr:row>53</xdr:row>
      <xdr:rowOff>8659</xdr:rowOff>
    </xdr:from>
    <xdr:to>
      <xdr:col>4</xdr:col>
      <xdr:colOff>6719978</xdr:colOff>
      <xdr:row>54</xdr:row>
      <xdr:rowOff>8660</xdr:rowOff>
    </xdr:to>
    <xdr:sp macro="" textlink="">
      <xdr:nvSpPr>
        <xdr:cNvPr id="7" name="Rounded Rectangle 6">
          <a:hlinkClick xmlns:r="http://schemas.openxmlformats.org/officeDocument/2006/relationships" r:id="rId3" tooltip="Click"/>
          <a:extLst>
            <a:ext uri="{FF2B5EF4-FFF2-40B4-BE49-F238E27FC236}">
              <a16:creationId xmlns:a16="http://schemas.microsoft.com/office/drawing/2014/main" id="{00000000-0008-0000-0100-000007000000}"/>
            </a:ext>
          </a:extLst>
        </xdr:cNvPr>
        <xdr:cNvSpPr/>
      </xdr:nvSpPr>
      <xdr:spPr>
        <a:xfrm>
          <a:off x="7042786" y="10676659"/>
          <a:ext cx="1002033" cy="225137"/>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Cost</a:t>
          </a:r>
        </a:p>
      </xdr:txBody>
    </xdr:sp>
    <xdr:clientData/>
  </xdr:twoCellAnchor>
</xdr:wsDr>
</file>

<file path=xl/drawings/drawing20.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2</xdr:col>
      <xdr:colOff>815946</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3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21.xml><?xml version="1.0" encoding="utf-8"?>
<xdr:wsDr xmlns:xdr="http://schemas.openxmlformats.org/drawingml/2006/spreadsheetDrawing" xmlns:a="http://schemas.openxmlformats.org/drawingml/2006/main">
  <xdr:twoCellAnchor editAs="absolute">
    <xdr:from>
      <xdr:col>1</xdr:col>
      <xdr:colOff>19685</xdr:colOff>
      <xdr:row>1</xdr:row>
      <xdr:rowOff>0</xdr:rowOff>
    </xdr:from>
    <xdr:to>
      <xdr:col>12</xdr:col>
      <xdr:colOff>2136</xdr:colOff>
      <xdr:row>1</xdr:row>
      <xdr:rowOff>402590</xdr:rowOff>
    </xdr:to>
    <xdr:sp macro="" textlink="">
      <xdr:nvSpPr>
        <xdr:cNvPr id="1481897" name="Rectangle 365">
          <a:extLst>
            <a:ext uri="{FF2B5EF4-FFF2-40B4-BE49-F238E27FC236}">
              <a16:creationId xmlns:a16="http://schemas.microsoft.com/office/drawing/2014/main" id="{00000000-0008-0000-1400-0000A99C1600}"/>
            </a:ext>
          </a:extLst>
        </xdr:cNvPr>
        <xdr:cNvSpPr>
          <a:spLocks noChangeArrowheads="1"/>
        </xdr:cNvSpPr>
      </xdr:nvSpPr>
      <xdr:spPr bwMode="auto">
        <a:xfrm>
          <a:off x="78798" y="363682"/>
          <a:ext cx="8874702"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19685</xdr:colOff>
      <xdr:row>0</xdr:row>
      <xdr:rowOff>56514</xdr:rowOff>
    </xdr:from>
    <xdr:to>
      <xdr:col>2</xdr:col>
      <xdr:colOff>1240051</xdr:colOff>
      <xdr:row>0</xdr:row>
      <xdr:rowOff>340994</xdr:rowOff>
    </xdr:to>
    <xdr:sp macro="" textlink="Titles!B1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14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80A74888-D21B-4C9D-B9E1-2CF00989E305}" type="TxLink">
            <a:rPr lang="en-US" sz="1000" b="1">
              <a:solidFill>
                <a:schemeClr val="lt1"/>
              </a:solidFill>
              <a:latin typeface="+mn-lt"/>
              <a:ea typeface="+mn-ea"/>
              <a:cs typeface="+mn-cs"/>
            </a:rPr>
            <a:pPr marL="0" indent="0" algn="ctr"/>
            <a:t>Actual Expenses</a:t>
          </a:fld>
          <a:endParaRPr lang="en-US" sz="1000" b="1">
            <a:solidFill>
              <a:schemeClr val="lt1"/>
            </a:solidFill>
            <a:latin typeface="+mn-lt"/>
            <a:ea typeface="+mn-ea"/>
            <a:cs typeface="+mn-cs"/>
          </a:endParaRPr>
        </a:p>
      </xdr:txBody>
    </xdr:sp>
    <xdr:clientData/>
  </xdr:twoCellAnchor>
  <xdr:twoCellAnchor editAs="absolute">
    <xdr:from>
      <xdr:col>2</xdr:col>
      <xdr:colOff>1236980</xdr:colOff>
      <xdr:row>0</xdr:row>
      <xdr:rowOff>59690</xdr:rowOff>
    </xdr:from>
    <xdr:to>
      <xdr:col>3</xdr:col>
      <xdr:colOff>327150</xdr:colOff>
      <xdr:row>0</xdr:row>
      <xdr:rowOff>340995</xdr:rowOff>
    </xdr:to>
    <xdr:sp macro="" textlink="Titles!B1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14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CEECC451-2F39-478D-8F57-1A9F7FA7A507}" type="TxLink">
            <a:rPr lang="en-US" sz="1000" b="1"/>
            <a:pPr algn="ctr"/>
            <a:t>Evaluated Savings</a:t>
          </a:fld>
          <a:endParaRPr lang="en-US" sz="1000" b="1"/>
        </a:p>
      </xdr:txBody>
    </xdr:sp>
    <xdr:clientData/>
  </xdr:twoCellAnchor>
  <xdr:twoCellAnchor editAs="absolute">
    <xdr:from>
      <xdr:col>3</xdr:col>
      <xdr:colOff>327025</xdr:colOff>
      <xdr:row>0</xdr:row>
      <xdr:rowOff>59690</xdr:rowOff>
    </xdr:from>
    <xdr:to>
      <xdr:col>5</xdr:col>
      <xdr:colOff>188595</xdr:colOff>
      <xdr:row>0</xdr:row>
      <xdr:rowOff>340995</xdr:rowOff>
    </xdr:to>
    <xdr:sp macro="" textlink="Titles!B1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1400-000005000000}"/>
            </a:ext>
          </a:extLst>
        </xdr:cNvPr>
        <xdr:cNvSpPr/>
      </xdr:nvSpPr>
      <xdr:spPr>
        <a:xfrm>
          <a:off x="3122295" y="66675"/>
          <a:ext cx="1518285"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8A811221-A2EF-4161-9D5A-99E710140451}" type="TxLink">
            <a:rPr lang="en-US" sz="1000" b="1"/>
            <a:pPr algn="ctr"/>
            <a:t>Cost-Benefits</a:t>
          </a:fld>
          <a:endParaRPr lang="en-US" sz="1000" b="1"/>
        </a:p>
      </xdr:txBody>
    </xdr:sp>
    <xdr:clientData/>
  </xdr:twoCellAnchor>
  <xdr:twoCellAnchor editAs="absolute">
    <xdr:from>
      <xdr:col>5</xdr:col>
      <xdr:colOff>210820</xdr:colOff>
      <xdr:row>0</xdr:row>
      <xdr:rowOff>59690</xdr:rowOff>
    </xdr:from>
    <xdr:to>
      <xdr:col>7</xdr:col>
      <xdr:colOff>173990</xdr:colOff>
      <xdr:row>0</xdr:row>
      <xdr:rowOff>340995</xdr:rowOff>
    </xdr:to>
    <xdr:sp macro="" textlink="Titles!B15">
      <xdr:nvSpPr>
        <xdr:cNvPr id="6" name="Round Same Side Corner Rectangle 5">
          <a:extLst>
            <a:ext uri="{FF2B5EF4-FFF2-40B4-BE49-F238E27FC236}">
              <a16:creationId xmlns:a16="http://schemas.microsoft.com/office/drawing/2014/main" id="{00000000-0008-0000-1400-000006000000}"/>
            </a:ext>
          </a:extLst>
        </xdr:cNvPr>
        <xdr:cNvSpPr/>
      </xdr:nvSpPr>
      <xdr:spPr>
        <a:xfrm>
          <a:off x="4524375"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8E648A2B-0E64-4D2C-8F11-C9B2773E14B4}" type="TxLink">
            <a:rPr lang="en-US" sz="1000" b="1">
              <a:solidFill>
                <a:sysClr val="windowText" lastClr="000000"/>
              </a:solidFill>
            </a:rPr>
            <a:pPr algn="ctr"/>
            <a:t>LCFC</a:t>
          </a:fld>
          <a:endParaRPr lang="en-US" sz="1000" b="1">
            <a:solidFill>
              <a:sysClr val="windowText" lastClr="000000"/>
            </a:solidFill>
          </a:endParaRPr>
        </a:p>
      </xdr:txBody>
    </xdr:sp>
    <xdr:clientData/>
  </xdr:twoCellAnchor>
  <xdr:twoCellAnchor editAs="absolute">
    <xdr:from>
      <xdr:col>7</xdr:col>
      <xdr:colOff>210820</xdr:colOff>
      <xdr:row>0</xdr:row>
      <xdr:rowOff>59690</xdr:rowOff>
    </xdr:from>
    <xdr:to>
      <xdr:col>9</xdr:col>
      <xdr:colOff>54617</xdr:colOff>
      <xdr:row>0</xdr:row>
      <xdr:rowOff>340995</xdr:rowOff>
    </xdr:to>
    <xdr:sp macro="" textlink="Titles!B16">
      <xdr:nvSpPr>
        <xdr:cNvPr id="7" name="Round Same Side Corner Rectangle 6">
          <a:hlinkClick xmlns:r="http://schemas.openxmlformats.org/officeDocument/2006/relationships" r:id="rId4" tooltip="Click"/>
          <a:extLst>
            <a:ext uri="{FF2B5EF4-FFF2-40B4-BE49-F238E27FC236}">
              <a16:creationId xmlns:a16="http://schemas.microsoft.com/office/drawing/2014/main" id="{00000000-0008-0000-1400-000007000000}"/>
            </a:ext>
          </a:extLst>
        </xdr:cNvPr>
        <xdr:cNvSpPr/>
      </xdr:nvSpPr>
      <xdr:spPr>
        <a:xfrm>
          <a:off x="6000750" y="66675"/>
          <a:ext cx="1463040" cy="274320"/>
        </a:xfrm>
        <a:prstGeom prst="round2Same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ED848C8B-03E4-4AF8-918D-E99E9AB74831}" type="TxLink">
            <a:rPr lang="en-US" sz="1000" b="1">
              <a:solidFill>
                <a:schemeClr val="bg1"/>
              </a:solidFill>
              <a:latin typeface="+mn-lt"/>
              <a:ea typeface="+mn-ea"/>
              <a:cs typeface="+mn-cs"/>
            </a:rPr>
            <a:pPr marL="0" indent="0" algn="ctr"/>
            <a:t>Incentives</a:t>
          </a:fld>
          <a:endParaRPr lang="en-US" sz="1000" b="1">
            <a:solidFill>
              <a:schemeClr val="bg1"/>
            </a:solidFill>
            <a:latin typeface="+mn-lt"/>
            <a:ea typeface="+mn-ea"/>
            <a:cs typeface="+mn-cs"/>
          </a:endParaRPr>
        </a:p>
      </xdr:txBody>
    </xdr:sp>
    <xdr:clientData/>
  </xdr:twoCellAnchor>
  <xdr:twoCellAnchor editAs="absolute">
    <xdr:from>
      <xdr:col>9</xdr:col>
      <xdr:colOff>54609</xdr:colOff>
      <xdr:row>0</xdr:row>
      <xdr:rowOff>59690</xdr:rowOff>
    </xdr:from>
    <xdr:to>
      <xdr:col>12</xdr:col>
      <xdr:colOff>3001</xdr:colOff>
      <xdr:row>0</xdr:row>
      <xdr:rowOff>342900</xdr:rowOff>
    </xdr:to>
    <xdr:sp macro="" textlink="Titles!B1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14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7CF8B830-5202-4A05-969A-C3CC86E470C4}"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860542</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14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95885</xdr:colOff>
      <xdr:row>1</xdr:row>
      <xdr:rowOff>437514</xdr:rowOff>
    </xdr:from>
    <xdr:to>
      <xdr:col>11</xdr:col>
      <xdr:colOff>513085</xdr:colOff>
      <xdr:row>1</xdr:row>
      <xdr:rowOff>1083021</xdr:rowOff>
    </xdr:to>
    <xdr:sp macro="" textlink="">
      <xdr:nvSpPr>
        <xdr:cNvPr id="10" name="Rounded Rectangle 6">
          <a:extLst>
            <a:ext uri="{FF2B5EF4-FFF2-40B4-BE49-F238E27FC236}">
              <a16:creationId xmlns:a16="http://schemas.microsoft.com/office/drawing/2014/main" id="{00000000-0008-0000-1400-00000A000000}"/>
            </a:ext>
          </a:extLst>
        </xdr:cNvPr>
        <xdr:cNvSpPr>
          <a:spLocks noChangeArrowheads="1"/>
        </xdr:cNvSpPr>
      </xdr:nvSpPr>
      <xdr:spPr bwMode="auto">
        <a:xfrm>
          <a:off x="154998" y="811356"/>
          <a:ext cx="8747938" cy="634712"/>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t"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the LCFC Energy Savings and Cost Recovery for the PY's .  The LCFC Cost Recovery should be directly related to the LCFC Energy Savings.  The LCFC Cost Recovery ($) should reflect the LCFC $'s  based on the actual evaluated energy savings for the reporting year.   Total LCFC $ should directly tie to the actual LCFC cliamed in the EECR True-up for the reporting year.</a:t>
          </a:r>
          <a:endParaRPr lang="en-US"/>
        </a:p>
      </xdr:txBody>
    </xdr:sp>
    <xdr:clientData/>
  </xdr:twoCellAnchor>
  <xdr:twoCellAnchor editAs="absolute">
    <xdr:from>
      <xdr:col>2</xdr:col>
      <xdr:colOff>1238885</xdr:colOff>
      <xdr:row>0</xdr:row>
      <xdr:rowOff>289139</xdr:rowOff>
    </xdr:from>
    <xdr:to>
      <xdr:col>9</xdr:col>
      <xdr:colOff>59714</xdr:colOff>
      <xdr:row>1</xdr:row>
      <xdr:rowOff>283483</xdr:rowOff>
    </xdr:to>
    <xdr:sp macro="" textlink="Titles!F6">
      <xdr:nvSpPr>
        <xdr:cNvPr id="11" name="TextBox 10">
          <a:extLst>
            <a:ext uri="{FF2B5EF4-FFF2-40B4-BE49-F238E27FC236}">
              <a16:creationId xmlns:a16="http://schemas.microsoft.com/office/drawing/2014/main" id="{00000000-0008-0000-1400-00000B000000}"/>
            </a:ext>
          </a:extLst>
        </xdr:cNvPr>
        <xdr:cNvSpPr txBox="1"/>
      </xdr:nvSpPr>
      <xdr:spPr>
        <a:xfrm>
          <a:off x="1555461" y="300569"/>
          <a:ext cx="6198375"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6270AF41-1584-43CE-8DD7-7CEFD5D4B0A7}" type="TxLink">
            <a:rPr lang="en-US" sz="1600" b="1" i="1" u="none"/>
            <a:pPr algn="ctr"/>
            <a:t>EAL - 2025 Program Year Evaluation</a:t>
          </a:fld>
          <a:endParaRPr lang="en-US" sz="1600" b="1" i="1" u="none"/>
        </a:p>
      </xdr:txBody>
    </xdr:sp>
    <xdr:clientData/>
  </xdr:twoCellAnchor>
  <xdr:twoCellAnchor editAs="absolute">
    <xdr:from>
      <xdr:col>2</xdr:col>
      <xdr:colOff>1924685</xdr:colOff>
      <xdr:row>1</xdr:row>
      <xdr:rowOff>132080</xdr:rowOff>
    </xdr:from>
    <xdr:to>
      <xdr:col>8</xdr:col>
      <xdr:colOff>170206</xdr:colOff>
      <xdr:row>1</xdr:row>
      <xdr:rowOff>412285</xdr:rowOff>
    </xdr:to>
    <xdr:sp macro="" textlink="Titles!C15">
      <xdr:nvSpPr>
        <xdr:cNvPr id="12" name="TextBox 11">
          <a:extLst>
            <a:ext uri="{FF2B5EF4-FFF2-40B4-BE49-F238E27FC236}">
              <a16:creationId xmlns:a16="http://schemas.microsoft.com/office/drawing/2014/main" id="{00000000-0008-0000-1400-00000C000000}"/>
            </a:ext>
          </a:extLst>
        </xdr:cNvPr>
        <xdr:cNvSpPr txBox="1"/>
      </xdr:nvSpPr>
      <xdr:spPr>
        <a:xfrm>
          <a:off x="2237105" y="490220"/>
          <a:ext cx="4783481"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897DEFC6-DC36-478C-A0E9-B788EA3675D3}" type="TxLink">
            <a:rPr lang="en-US" sz="1200" b="0" i="0" u="none" strike="noStrike">
              <a:solidFill>
                <a:srgbClr val="000000"/>
              </a:solidFill>
              <a:latin typeface="+mn-lt"/>
              <a:cs typeface="Arial"/>
            </a:rPr>
            <a:pPr algn="ctr"/>
            <a:t>Lost Contributions to Fixed Cost</a:t>
          </a:fld>
          <a:endParaRPr lang="en-US" sz="1200" b="0">
            <a:latin typeface="+mn-lt"/>
          </a:endParaRPr>
        </a:p>
      </xdr:txBody>
    </xdr:sp>
    <xdr:clientData/>
  </xdr:twoCellAnchor>
  <xdr:twoCellAnchor editAs="absolute">
    <xdr:from>
      <xdr:col>9</xdr:col>
      <xdr:colOff>134620</xdr:colOff>
      <xdr:row>1</xdr:row>
      <xdr:rowOff>91440</xdr:rowOff>
    </xdr:from>
    <xdr:to>
      <xdr:col>9</xdr:col>
      <xdr:colOff>778398</xdr:colOff>
      <xdr:row>1</xdr:row>
      <xdr:rowOff>320040</xdr:rowOff>
    </xdr:to>
    <xdr:sp macro="" textlink="">
      <xdr:nvSpPr>
        <xdr:cNvPr id="13" name="Rounded Rectangle 12">
          <a:hlinkClick xmlns:r="http://schemas.openxmlformats.org/officeDocument/2006/relationships" r:id="rId3" tooltip="Click"/>
          <a:extLst>
            <a:ext uri="{FF2B5EF4-FFF2-40B4-BE49-F238E27FC236}">
              <a16:creationId xmlns:a16="http://schemas.microsoft.com/office/drawing/2014/main" id="{00000000-0008-0000-14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10</xdr:col>
      <xdr:colOff>0</xdr:colOff>
      <xdr:row>1</xdr:row>
      <xdr:rowOff>91440</xdr:rowOff>
    </xdr:from>
    <xdr:to>
      <xdr:col>11</xdr:col>
      <xdr:colOff>517580</xdr:colOff>
      <xdr:row>1</xdr:row>
      <xdr:rowOff>320675</xdr:rowOff>
    </xdr:to>
    <xdr:sp macro="" textlink="">
      <xdr:nvSpPr>
        <xdr:cNvPr id="14" name="Rounded Rectangle 13">
          <a:hlinkClick xmlns:r="http://schemas.openxmlformats.org/officeDocument/2006/relationships" r:id="rId4" tooltip="Click"/>
          <a:extLst>
            <a:ext uri="{FF2B5EF4-FFF2-40B4-BE49-F238E27FC236}">
              <a16:creationId xmlns:a16="http://schemas.microsoft.com/office/drawing/2014/main" id="{00000000-0008-0000-14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22.xml><?xml version="1.0" encoding="utf-8"?>
<xdr:wsDr xmlns:xdr="http://schemas.openxmlformats.org/drawingml/2006/spreadsheetDrawing" xmlns:a="http://schemas.openxmlformats.org/drawingml/2006/main">
  <xdr:twoCellAnchor editAs="absolute">
    <xdr:from>
      <xdr:col>1</xdr:col>
      <xdr:colOff>19050</xdr:colOff>
      <xdr:row>1</xdr:row>
      <xdr:rowOff>0</xdr:rowOff>
    </xdr:from>
    <xdr:to>
      <xdr:col>10</xdr:col>
      <xdr:colOff>628592</xdr:colOff>
      <xdr:row>1</xdr:row>
      <xdr:rowOff>401955</xdr:rowOff>
    </xdr:to>
    <xdr:sp macro="" textlink="">
      <xdr:nvSpPr>
        <xdr:cNvPr id="1482928" name="Rectangle 365">
          <a:extLst>
            <a:ext uri="{FF2B5EF4-FFF2-40B4-BE49-F238E27FC236}">
              <a16:creationId xmlns:a16="http://schemas.microsoft.com/office/drawing/2014/main" id="{00000000-0008-0000-1500-0000B0A0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19050</xdr:colOff>
      <xdr:row>0</xdr:row>
      <xdr:rowOff>57149</xdr:rowOff>
    </xdr:from>
    <xdr:to>
      <xdr:col>2</xdr:col>
      <xdr:colOff>1240051</xdr:colOff>
      <xdr:row>0</xdr:row>
      <xdr:rowOff>340994</xdr:rowOff>
    </xdr:to>
    <xdr:sp macro="" textlink="Titles!B1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15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F32693CA-466B-4786-AAA4-7E065E8001C8}" type="TxLink">
            <a:rPr lang="en-US" sz="1000" b="1">
              <a:solidFill>
                <a:schemeClr val="lt1"/>
              </a:solidFill>
              <a:latin typeface="+mn-lt"/>
              <a:ea typeface="+mn-ea"/>
              <a:cs typeface="+mn-cs"/>
            </a:rPr>
            <a:pPr marL="0" indent="0" algn="ctr"/>
            <a:t>Actual Expenses</a:t>
          </a:fld>
          <a:endParaRPr lang="en-US" sz="1000" b="1">
            <a:solidFill>
              <a:schemeClr val="lt1"/>
            </a:solidFill>
            <a:latin typeface="+mn-lt"/>
            <a:ea typeface="+mn-ea"/>
            <a:cs typeface="+mn-cs"/>
          </a:endParaRPr>
        </a:p>
      </xdr:txBody>
    </xdr:sp>
    <xdr:clientData/>
  </xdr:twoCellAnchor>
  <xdr:twoCellAnchor editAs="absolute">
    <xdr:from>
      <xdr:col>2</xdr:col>
      <xdr:colOff>1236345</xdr:colOff>
      <xdr:row>0</xdr:row>
      <xdr:rowOff>59055</xdr:rowOff>
    </xdr:from>
    <xdr:to>
      <xdr:col>3</xdr:col>
      <xdr:colOff>817207</xdr:colOff>
      <xdr:row>0</xdr:row>
      <xdr:rowOff>340995</xdr:rowOff>
    </xdr:to>
    <xdr:sp macro="" textlink="Titles!B1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15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DA2575A9-AE56-492A-81BB-BD5D86944E7A}" type="TxLink">
            <a:rPr lang="en-US" sz="1000" b="1"/>
            <a:pPr algn="ctr"/>
            <a:t>Evaluated Savings</a:t>
          </a:fld>
          <a:endParaRPr lang="en-US" sz="1000" b="1"/>
        </a:p>
      </xdr:txBody>
    </xdr:sp>
    <xdr:clientData/>
  </xdr:twoCellAnchor>
  <xdr:twoCellAnchor editAs="absolute">
    <xdr:from>
      <xdr:col>3</xdr:col>
      <xdr:colOff>854306</xdr:colOff>
      <xdr:row>0</xdr:row>
      <xdr:rowOff>59055</xdr:rowOff>
    </xdr:from>
    <xdr:to>
      <xdr:col>5</xdr:col>
      <xdr:colOff>397196</xdr:colOff>
      <xdr:row>0</xdr:row>
      <xdr:rowOff>340995</xdr:rowOff>
    </xdr:to>
    <xdr:sp macro="" textlink="Titles!B1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1500-000005000000}"/>
            </a:ext>
          </a:extLst>
        </xdr:cNvPr>
        <xdr:cNvSpPr/>
      </xdr:nvSpPr>
      <xdr:spPr>
        <a:xfrm>
          <a:off x="3116580" y="66675"/>
          <a:ext cx="1508759"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36282E7D-3581-4450-A7F7-7EAD9F53AB94}" type="TxLink">
            <a:rPr lang="en-US" sz="1000" b="1"/>
            <a:pPr algn="ctr"/>
            <a:t>Cost-Benefits</a:t>
          </a:fld>
          <a:endParaRPr lang="en-US" sz="1000" b="1"/>
        </a:p>
      </xdr:txBody>
    </xdr:sp>
    <xdr:clientData/>
  </xdr:twoCellAnchor>
  <xdr:twoCellAnchor editAs="absolute">
    <xdr:from>
      <xdr:col>5</xdr:col>
      <xdr:colOff>397221</xdr:colOff>
      <xdr:row>0</xdr:row>
      <xdr:rowOff>59055</xdr:rowOff>
    </xdr:from>
    <xdr:to>
      <xdr:col>7</xdr:col>
      <xdr:colOff>802898</xdr:colOff>
      <xdr:row>0</xdr:row>
      <xdr:rowOff>340995</xdr:rowOff>
    </xdr:to>
    <xdr:sp macro="" textlink="Titles!B15">
      <xdr:nvSpPr>
        <xdr:cNvPr id="6" name="Round Same Side Corner Rectangle 5">
          <a:hlinkClick xmlns:r="http://schemas.openxmlformats.org/officeDocument/2006/relationships" r:id="rId4" tooltip="Click"/>
          <a:extLst>
            <a:ext uri="{FF2B5EF4-FFF2-40B4-BE49-F238E27FC236}">
              <a16:creationId xmlns:a16="http://schemas.microsoft.com/office/drawing/2014/main" id="{00000000-0008-0000-15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033D3029-A510-490C-A90F-BA8A935CD503}" type="TxLink">
            <a:rPr lang="en-US" sz="1000" b="1"/>
            <a:pPr algn="ctr"/>
            <a:t>LCFC</a:t>
          </a:fld>
          <a:endParaRPr lang="en-US" sz="1000" b="1"/>
        </a:p>
      </xdr:txBody>
    </xdr:sp>
    <xdr:clientData/>
  </xdr:twoCellAnchor>
  <xdr:twoCellAnchor editAs="absolute">
    <xdr:from>
      <xdr:col>7</xdr:col>
      <xdr:colOff>818227</xdr:colOff>
      <xdr:row>0</xdr:row>
      <xdr:rowOff>59055</xdr:rowOff>
    </xdr:from>
    <xdr:to>
      <xdr:col>8</xdr:col>
      <xdr:colOff>777337</xdr:colOff>
      <xdr:row>0</xdr:row>
      <xdr:rowOff>340995</xdr:rowOff>
    </xdr:to>
    <xdr:sp macro="" textlink="Titles!B16">
      <xdr:nvSpPr>
        <xdr:cNvPr id="7" name="Round Same Side Corner Rectangle 6">
          <a:extLst>
            <a:ext uri="{FF2B5EF4-FFF2-40B4-BE49-F238E27FC236}">
              <a16:creationId xmlns:a16="http://schemas.microsoft.com/office/drawing/2014/main" id="{00000000-0008-0000-1500-000007000000}"/>
            </a:ext>
          </a:extLst>
        </xdr:cNvPr>
        <xdr:cNvSpPr/>
      </xdr:nvSpPr>
      <xdr:spPr>
        <a:xfrm>
          <a:off x="6000750"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BB855DBE-2131-4B46-B850-9E398764B517}" type="TxLink">
            <a:rPr lang="en-US" sz="1000" b="1">
              <a:solidFill>
                <a:sysClr val="windowText" lastClr="000000"/>
              </a:solidFill>
            </a:rPr>
            <a:pPr algn="ctr"/>
            <a:t>Incentives</a:t>
          </a:fld>
          <a:endParaRPr lang="en-US" sz="1000" b="1">
            <a:solidFill>
              <a:sysClr val="windowText" lastClr="000000"/>
            </a:solidFill>
          </a:endParaRPr>
        </a:p>
      </xdr:txBody>
    </xdr:sp>
    <xdr:clientData/>
  </xdr:twoCellAnchor>
  <xdr:twoCellAnchor editAs="absolute">
    <xdr:from>
      <xdr:col>8</xdr:col>
      <xdr:colOff>779087</xdr:colOff>
      <xdr:row>0</xdr:row>
      <xdr:rowOff>59055</xdr:rowOff>
    </xdr:from>
    <xdr:to>
      <xdr:col>10</xdr:col>
      <xdr:colOff>628614</xdr:colOff>
      <xdr:row>0</xdr:row>
      <xdr:rowOff>342900</xdr:rowOff>
    </xdr:to>
    <xdr:sp macro="" textlink="Titles!B1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15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DBCDA040-4234-464B-BA0A-47E89459FB6F}" type="TxLink">
            <a:rPr lang="en-US" sz="1000" b="1">
              <a:solidFill>
                <a:schemeClr val="bg1"/>
              </a:solidFill>
              <a:latin typeface="+mn-lt"/>
              <a:ea typeface="+mn-ea"/>
              <a:cs typeface="+mn-cs"/>
            </a:rPr>
            <a:pPr marL="0" indent="0" algn="ctr" rtl="0">
              <a:defRPr sz="1000"/>
            </a:pPr>
            <a:t>Not Used</a:t>
          </a:fld>
          <a:endParaRPr lang="en-US" sz="1000" b="1">
            <a:solidFill>
              <a:schemeClr val="bg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857367</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15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95250</xdr:colOff>
      <xdr:row>1</xdr:row>
      <xdr:rowOff>438149</xdr:rowOff>
    </xdr:from>
    <xdr:to>
      <xdr:col>10</xdr:col>
      <xdr:colOff>588587</xdr:colOff>
      <xdr:row>1</xdr:row>
      <xdr:rowOff>777282</xdr:rowOff>
    </xdr:to>
    <xdr:sp macro="" textlink="">
      <xdr:nvSpPr>
        <xdr:cNvPr id="10" name="Rounded Rectangle 6">
          <a:extLst>
            <a:ext uri="{FF2B5EF4-FFF2-40B4-BE49-F238E27FC236}">
              <a16:creationId xmlns:a16="http://schemas.microsoft.com/office/drawing/2014/main" id="{00000000-0008-0000-15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the Energy Sales Baseline information and Portfolio Level Summary detail.</a:t>
          </a:r>
          <a:endParaRPr lang="en-US"/>
        </a:p>
      </xdr:txBody>
    </xdr:sp>
    <xdr:clientData/>
  </xdr:twoCellAnchor>
  <xdr:twoCellAnchor editAs="absolute">
    <xdr:from>
      <xdr:col>2</xdr:col>
      <xdr:colOff>1238250</xdr:colOff>
      <xdr:row>0</xdr:row>
      <xdr:rowOff>293267</xdr:rowOff>
    </xdr:from>
    <xdr:to>
      <xdr:col>8</xdr:col>
      <xdr:colOff>803844</xdr:colOff>
      <xdr:row>1</xdr:row>
      <xdr:rowOff>279991</xdr:rowOff>
    </xdr:to>
    <xdr:sp macro="" textlink="Titles!F6">
      <xdr:nvSpPr>
        <xdr:cNvPr id="11" name="TextBox 10">
          <a:extLst>
            <a:ext uri="{FF2B5EF4-FFF2-40B4-BE49-F238E27FC236}">
              <a16:creationId xmlns:a16="http://schemas.microsoft.com/office/drawing/2014/main" id="{00000000-0008-0000-1500-00000B000000}"/>
            </a:ext>
          </a:extLst>
        </xdr:cNvPr>
        <xdr:cNvSpPr txBox="1"/>
      </xdr:nvSpPr>
      <xdr:spPr>
        <a:xfrm>
          <a:off x="1558636" y="297077"/>
          <a:ext cx="6189799"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D02934BD-7379-4830-8367-07245616B792}" type="TxLink">
            <a:rPr lang="en-US" sz="1600" b="1" i="1" u="none"/>
            <a:pPr algn="ctr"/>
            <a:t>EAL - 2025 Program Year Evaluation</a:t>
          </a:fld>
          <a:endParaRPr lang="en-US" sz="1600" b="1" i="1" u="none"/>
        </a:p>
      </xdr:txBody>
    </xdr:sp>
    <xdr:clientData/>
  </xdr:twoCellAnchor>
  <xdr:twoCellAnchor editAs="absolute">
    <xdr:from>
      <xdr:col>3</xdr:col>
      <xdr:colOff>15240</xdr:colOff>
      <xdr:row>1</xdr:row>
      <xdr:rowOff>131445</xdr:rowOff>
    </xdr:from>
    <xdr:to>
      <xdr:col>8</xdr:col>
      <xdr:colOff>54334</xdr:colOff>
      <xdr:row>1</xdr:row>
      <xdr:rowOff>415460</xdr:rowOff>
    </xdr:to>
    <xdr:sp macro="" textlink="Titles!C16">
      <xdr:nvSpPr>
        <xdr:cNvPr id="12" name="TextBox 11">
          <a:extLst>
            <a:ext uri="{FF2B5EF4-FFF2-40B4-BE49-F238E27FC236}">
              <a16:creationId xmlns:a16="http://schemas.microsoft.com/office/drawing/2014/main" id="{00000000-0008-0000-1500-00000C000000}"/>
            </a:ext>
          </a:extLst>
        </xdr:cNvPr>
        <xdr:cNvSpPr txBox="1"/>
      </xdr:nvSpPr>
      <xdr:spPr>
        <a:xfrm>
          <a:off x="2309899" y="498937"/>
          <a:ext cx="4686082"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D9954A85-D0D5-4370-92CD-B45661AB919B}" type="TxLink">
            <a:rPr lang="en-US" sz="1200" b="0" i="0" u="none" strike="noStrike">
              <a:solidFill>
                <a:srgbClr val="000000"/>
              </a:solidFill>
              <a:latin typeface="+mn-lt"/>
              <a:cs typeface="Arial"/>
            </a:rPr>
            <a:pPr algn="ctr"/>
            <a:t>Utility Performance Incentives</a:t>
          </a:fld>
          <a:endParaRPr lang="en-US" sz="1800" b="0">
            <a:latin typeface="+mn-lt"/>
          </a:endParaRPr>
        </a:p>
      </xdr:txBody>
    </xdr:sp>
    <xdr:clientData/>
  </xdr:twoCellAnchor>
  <xdr:twoCellAnchor editAs="absolute">
    <xdr:from>
      <xdr:col>9</xdr:col>
      <xdr:colOff>16222</xdr:colOff>
      <xdr:row>1</xdr:row>
      <xdr:rowOff>91440</xdr:rowOff>
    </xdr:from>
    <xdr:to>
      <xdr:col>9</xdr:col>
      <xdr:colOff>702916</xdr:colOff>
      <xdr:row>1</xdr:row>
      <xdr:rowOff>320040</xdr:rowOff>
    </xdr:to>
    <xdr:sp macro="" textlink="">
      <xdr:nvSpPr>
        <xdr:cNvPr id="13" name="Rounded Rectangle 12">
          <a:hlinkClick xmlns:r="http://schemas.openxmlformats.org/officeDocument/2006/relationships" r:id="rId4" tooltip="Click"/>
          <a:extLst>
            <a:ext uri="{FF2B5EF4-FFF2-40B4-BE49-F238E27FC236}">
              <a16:creationId xmlns:a16="http://schemas.microsoft.com/office/drawing/2014/main" id="{00000000-0008-0000-15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9</xdr:col>
      <xdr:colOff>740988</xdr:colOff>
      <xdr:row>1</xdr:row>
      <xdr:rowOff>91440</xdr:rowOff>
    </xdr:from>
    <xdr:to>
      <xdr:col>10</xdr:col>
      <xdr:colOff>550487</xdr:colOff>
      <xdr:row>1</xdr:row>
      <xdr:rowOff>320040</xdr:rowOff>
    </xdr:to>
    <xdr:sp macro="" textlink="">
      <xdr:nvSpPr>
        <xdr:cNvPr id="14" name="Rounded Rectangle 13">
          <a:hlinkClick xmlns:r="http://schemas.openxmlformats.org/officeDocument/2006/relationships" r:id="rId5" tooltip="Click"/>
          <a:extLst>
            <a:ext uri="{FF2B5EF4-FFF2-40B4-BE49-F238E27FC236}">
              <a16:creationId xmlns:a16="http://schemas.microsoft.com/office/drawing/2014/main" id="{00000000-0008-0000-15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23.xml><?xml version="1.0" encoding="utf-8"?>
<xdr:wsDr xmlns:xdr="http://schemas.openxmlformats.org/drawingml/2006/spreadsheetDrawing" xmlns:a="http://schemas.openxmlformats.org/drawingml/2006/main">
  <xdr:twoCellAnchor editAs="absolute">
    <xdr:from>
      <xdr:col>1</xdr:col>
      <xdr:colOff>9525</xdr:colOff>
      <xdr:row>1</xdr:row>
      <xdr:rowOff>0</xdr:rowOff>
    </xdr:from>
    <xdr:to>
      <xdr:col>11</xdr:col>
      <xdr:colOff>0</xdr:colOff>
      <xdr:row>1</xdr:row>
      <xdr:rowOff>409575</xdr:rowOff>
    </xdr:to>
    <xdr:sp macro="" textlink="">
      <xdr:nvSpPr>
        <xdr:cNvPr id="1473705" name="Rectangle 365">
          <a:extLst>
            <a:ext uri="{FF2B5EF4-FFF2-40B4-BE49-F238E27FC236}">
              <a16:creationId xmlns:a16="http://schemas.microsoft.com/office/drawing/2014/main" id="{00000000-0008-0000-1600-0000A97C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9525</xdr:colOff>
      <xdr:row>0</xdr:row>
      <xdr:rowOff>66674</xdr:rowOff>
    </xdr:from>
    <xdr:to>
      <xdr:col>4</xdr:col>
      <xdr:colOff>43839</xdr:colOff>
      <xdr:row>0</xdr:row>
      <xdr:rowOff>340994</xdr:rowOff>
    </xdr:to>
    <xdr:sp macro="" textlink="Titles!B1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1600-000003000000}"/>
            </a:ext>
          </a:extLst>
        </xdr:cNvPr>
        <xdr:cNvSpPr/>
      </xdr:nvSpPr>
      <xdr:spPr>
        <a:xfrm>
          <a:off x="76200" y="66674"/>
          <a:ext cx="1482090" cy="274320"/>
        </a:xfrm>
        <a:prstGeom prst="round2Same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04D31445-8497-4880-AAC0-19B562499AE5}" type="TxLink">
            <a:rPr lang="en-US" sz="1000" b="1">
              <a:solidFill>
                <a:schemeClr val="bg1"/>
              </a:solidFill>
            </a:rPr>
            <a:pPr algn="ctr"/>
            <a:t>Actual Expenses</a:t>
          </a:fld>
          <a:endParaRPr lang="en-US" sz="1000" b="1">
            <a:solidFill>
              <a:schemeClr val="bg1"/>
            </a:solidFill>
          </a:endParaRPr>
        </a:p>
      </xdr:txBody>
    </xdr:sp>
    <xdr:clientData/>
  </xdr:twoCellAnchor>
  <xdr:twoCellAnchor editAs="absolute">
    <xdr:from>
      <xdr:col>4</xdr:col>
      <xdr:colOff>57150</xdr:colOff>
      <xdr:row>0</xdr:row>
      <xdr:rowOff>66675</xdr:rowOff>
    </xdr:from>
    <xdr:to>
      <xdr:col>5</xdr:col>
      <xdr:colOff>318091</xdr:colOff>
      <xdr:row>0</xdr:row>
      <xdr:rowOff>340995</xdr:rowOff>
    </xdr:to>
    <xdr:sp macro="" textlink="Titles!B13">
      <xdr:nvSpPr>
        <xdr:cNvPr id="4" name="Round Same Side Corner Rectangle 3">
          <a:hlinkClick xmlns:r="http://schemas.openxmlformats.org/officeDocument/2006/relationships" r:id="rId2"/>
          <a:extLst>
            <a:ext uri="{FF2B5EF4-FFF2-40B4-BE49-F238E27FC236}">
              <a16:creationId xmlns:a16="http://schemas.microsoft.com/office/drawing/2014/main" id="{00000000-0008-0000-16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AF136889-824B-4B8E-B49C-50A5B1B2E56B}" type="TxLink">
            <a:rPr lang="en-US" sz="1000" b="1"/>
            <a:pPr algn="ctr"/>
            <a:t>Evaluated Savings</a:t>
          </a:fld>
          <a:endParaRPr lang="en-US" sz="1000" b="1"/>
        </a:p>
      </xdr:txBody>
    </xdr:sp>
    <xdr:clientData/>
  </xdr:twoCellAnchor>
  <xdr:twoCellAnchor editAs="absolute">
    <xdr:from>
      <xdr:col>5</xdr:col>
      <xdr:colOff>331470</xdr:colOff>
      <xdr:row>0</xdr:row>
      <xdr:rowOff>66675</xdr:rowOff>
    </xdr:from>
    <xdr:to>
      <xdr:col>6</xdr:col>
      <xdr:colOff>613373</xdr:colOff>
      <xdr:row>0</xdr:row>
      <xdr:rowOff>340995</xdr:rowOff>
    </xdr:to>
    <xdr:sp macro="" textlink="Titles!B1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1600-000005000000}"/>
            </a:ext>
          </a:extLst>
        </xdr:cNvPr>
        <xdr:cNvSpPr/>
      </xdr:nvSpPr>
      <xdr:spPr>
        <a:xfrm>
          <a:off x="3122295" y="66675"/>
          <a:ext cx="1525905"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B0927478-2913-4BA0-BD02-A541C1EAB120}" type="TxLink">
            <a:rPr lang="en-US" sz="1000" b="1"/>
            <a:pPr algn="ctr"/>
            <a:t>Cost-Benefits</a:t>
          </a:fld>
          <a:endParaRPr lang="en-US" sz="1000" b="1"/>
        </a:p>
      </xdr:txBody>
    </xdr:sp>
    <xdr:clientData/>
  </xdr:twoCellAnchor>
  <xdr:twoCellAnchor editAs="absolute">
    <xdr:from>
      <xdr:col>6</xdr:col>
      <xdr:colOff>622935</xdr:colOff>
      <xdr:row>0</xdr:row>
      <xdr:rowOff>66675</xdr:rowOff>
    </xdr:from>
    <xdr:to>
      <xdr:col>8</xdr:col>
      <xdr:colOff>120108</xdr:colOff>
      <xdr:row>0</xdr:row>
      <xdr:rowOff>340995</xdr:rowOff>
    </xdr:to>
    <xdr:sp macro="" textlink="Titles!B15">
      <xdr:nvSpPr>
        <xdr:cNvPr id="6" name="Round Same Side Corner Rectangle 5">
          <a:hlinkClick xmlns:r="http://schemas.openxmlformats.org/officeDocument/2006/relationships" r:id="rId4" tooltip="Click"/>
          <a:extLst>
            <a:ext uri="{FF2B5EF4-FFF2-40B4-BE49-F238E27FC236}">
              <a16:creationId xmlns:a16="http://schemas.microsoft.com/office/drawing/2014/main" id="{00000000-0008-0000-16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03FDC13C-62A0-44EF-B2D6-AD4E3B42638F}" type="TxLink">
            <a:rPr lang="en-US" sz="1000" b="1"/>
            <a:pPr algn="ctr"/>
            <a:t>LCFC</a:t>
          </a:fld>
          <a:endParaRPr lang="en-US" sz="1000" b="1"/>
        </a:p>
      </xdr:txBody>
    </xdr:sp>
    <xdr:clientData/>
  </xdr:twoCellAnchor>
  <xdr:twoCellAnchor editAs="absolute">
    <xdr:from>
      <xdr:col>8</xdr:col>
      <xdr:colOff>142875</xdr:colOff>
      <xdr:row>0</xdr:row>
      <xdr:rowOff>66675</xdr:rowOff>
    </xdr:from>
    <xdr:to>
      <xdr:col>10</xdr:col>
      <xdr:colOff>232447</xdr:colOff>
      <xdr:row>0</xdr:row>
      <xdr:rowOff>340995</xdr:rowOff>
    </xdr:to>
    <xdr:sp macro="" textlink="Titles!B16">
      <xdr:nvSpPr>
        <xdr:cNvPr id="7" name="Round Same Side Corner Rectangle 6">
          <a:hlinkClick xmlns:r="http://schemas.openxmlformats.org/officeDocument/2006/relationships" r:id="rId5" tooltip="Click"/>
          <a:extLst>
            <a:ext uri="{FF2B5EF4-FFF2-40B4-BE49-F238E27FC236}">
              <a16:creationId xmlns:a16="http://schemas.microsoft.com/office/drawing/2014/main" id="{00000000-0008-0000-16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E27CACDB-6225-448A-8306-E3FA93828CAE}" type="TxLink">
            <a:rPr lang="en-US" sz="1000" b="1"/>
            <a:pPr algn="ctr"/>
            <a:t>Incentives</a:t>
          </a:fld>
          <a:endParaRPr lang="en-US" sz="1000" b="1"/>
        </a:p>
      </xdr:txBody>
    </xdr:sp>
    <xdr:clientData/>
  </xdr:twoCellAnchor>
  <xdr:twoCellAnchor editAs="absolute">
    <xdr:from>
      <xdr:col>10</xdr:col>
      <xdr:colOff>238124</xdr:colOff>
      <xdr:row>0</xdr:row>
      <xdr:rowOff>66675</xdr:rowOff>
    </xdr:from>
    <xdr:to>
      <xdr:col>10</xdr:col>
      <xdr:colOff>1703117</xdr:colOff>
      <xdr:row>0</xdr:row>
      <xdr:rowOff>342900</xdr:rowOff>
    </xdr:to>
    <xdr:sp macro="" textlink="Titles!B17">
      <xdr:nvSpPr>
        <xdr:cNvPr id="8" name="Round Same Side Corner Rectangle 8">
          <a:extLst>
            <a:ext uri="{FF2B5EF4-FFF2-40B4-BE49-F238E27FC236}">
              <a16:creationId xmlns:a16="http://schemas.microsoft.com/office/drawing/2014/main" id="{00000000-0008-0000-16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C8EF86F4-B3A8-461D-AF60-A6A2917F7BF4}" type="TxLink">
            <a:rPr lang="en-US" sz="1000" b="1">
              <a:solidFill>
                <a:sysClr val="windowText" lastClr="000000"/>
              </a:solidFill>
              <a:latin typeface="+mn-lt"/>
              <a:ea typeface="+mn-ea"/>
              <a:cs typeface="+mn-cs"/>
            </a:rPr>
            <a:pPr marL="0" indent="0" algn="ctr" rtl="0">
              <a:defRPr sz="1000"/>
            </a:pPr>
            <a:t>Not Used</a:t>
          </a:fld>
          <a:endParaRPr lang="en-US" sz="1000" b="1">
            <a:solidFill>
              <a:sysClr val="windowText" lastClr="000000"/>
            </a:solidFill>
            <a:latin typeface="+mn-lt"/>
            <a:ea typeface="+mn-ea"/>
            <a:cs typeface="+mn-cs"/>
          </a:endParaRPr>
        </a:p>
      </xdr:txBody>
    </xdr:sp>
    <xdr:clientData/>
  </xdr:twoCellAnchor>
  <xdr:twoCellAnchor editAs="absolute">
    <xdr:from>
      <xdr:col>1</xdr:col>
      <xdr:colOff>114300</xdr:colOff>
      <xdr:row>1</xdr:row>
      <xdr:rowOff>76200</xdr:rowOff>
    </xdr:from>
    <xdr:to>
      <xdr:col>3</xdr:col>
      <xdr:colOff>341013</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16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85725</xdr:colOff>
      <xdr:row>1</xdr:row>
      <xdr:rowOff>447674</xdr:rowOff>
    </xdr:from>
    <xdr:to>
      <xdr:col>10</xdr:col>
      <xdr:colOff>1645930</xdr:colOff>
      <xdr:row>1</xdr:row>
      <xdr:rowOff>773472</xdr:rowOff>
    </xdr:to>
    <xdr:sp macro="" textlink="">
      <xdr:nvSpPr>
        <xdr:cNvPr id="10" name="Rounded Rectangle 6">
          <a:extLst>
            <a:ext uri="{FF2B5EF4-FFF2-40B4-BE49-F238E27FC236}">
              <a16:creationId xmlns:a16="http://schemas.microsoft.com/office/drawing/2014/main" id="{00000000-0008-0000-16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endParaRPr lang="en-US"/>
        </a:p>
      </xdr:txBody>
    </xdr:sp>
    <xdr:clientData/>
  </xdr:twoCellAnchor>
  <xdr:twoCellAnchor editAs="absolute">
    <xdr:from>
      <xdr:col>4</xdr:col>
      <xdr:colOff>38100</xdr:colOff>
      <xdr:row>0</xdr:row>
      <xdr:rowOff>300021</xdr:rowOff>
    </xdr:from>
    <xdr:to>
      <xdr:col>10</xdr:col>
      <xdr:colOff>255271</xdr:colOff>
      <xdr:row>1</xdr:row>
      <xdr:rowOff>280857</xdr:rowOff>
    </xdr:to>
    <xdr:sp macro="" textlink="Titles!F6">
      <xdr:nvSpPr>
        <xdr:cNvPr id="11" name="TextBox 10">
          <a:extLst>
            <a:ext uri="{FF2B5EF4-FFF2-40B4-BE49-F238E27FC236}">
              <a16:creationId xmlns:a16="http://schemas.microsoft.com/office/drawing/2014/main" id="{00000000-0008-0000-1600-00000B000000}"/>
            </a:ext>
          </a:extLst>
        </xdr:cNvPr>
        <xdr:cNvSpPr txBox="1"/>
      </xdr:nvSpPr>
      <xdr:spPr>
        <a:xfrm>
          <a:off x="1543050" y="300021"/>
          <a:ext cx="594169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E764DA70-B6A0-4D33-950A-EE7450A6C8A2}" type="TxLink">
            <a:rPr lang="en-US" sz="1600" b="1" i="1" u="none"/>
            <a:pPr algn="ctr"/>
            <a:t>EAL - 2025 Program Year Evaluation</a:t>
          </a:fld>
          <a:endParaRPr lang="en-US" sz="1600" b="1" i="1" u="none"/>
        </a:p>
      </xdr:txBody>
    </xdr:sp>
    <xdr:clientData/>
  </xdr:twoCellAnchor>
  <xdr:twoCellAnchor editAs="absolute">
    <xdr:from>
      <xdr:col>4</xdr:col>
      <xdr:colOff>737235</xdr:colOff>
      <xdr:row>1</xdr:row>
      <xdr:rowOff>142875</xdr:rowOff>
    </xdr:from>
    <xdr:to>
      <xdr:col>9</xdr:col>
      <xdr:colOff>171461</xdr:colOff>
      <xdr:row>1</xdr:row>
      <xdr:rowOff>423080</xdr:rowOff>
    </xdr:to>
    <xdr:sp macro="" textlink="Titles!B17">
      <xdr:nvSpPr>
        <xdr:cNvPr id="12" name="TextBox 11">
          <a:extLst>
            <a:ext uri="{FF2B5EF4-FFF2-40B4-BE49-F238E27FC236}">
              <a16:creationId xmlns:a16="http://schemas.microsoft.com/office/drawing/2014/main" id="{00000000-0008-0000-1600-00000C000000}"/>
            </a:ext>
          </a:extLst>
        </xdr:cNvPr>
        <xdr:cNvSpPr txBox="1"/>
      </xdr:nvSpPr>
      <xdr:spPr>
        <a:xfrm>
          <a:off x="2242185" y="504825"/>
          <a:ext cx="4549151"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686ADD89-1A36-481A-ABEC-575BE4DAEA81}" type="TxLink">
            <a:rPr lang="en-US" sz="1200" b="0" i="0" u="none" strike="noStrike">
              <a:solidFill>
                <a:srgbClr val="000000"/>
              </a:solidFill>
              <a:latin typeface="+mn-lt"/>
              <a:cs typeface="Calibri"/>
            </a:rPr>
            <a:pPr algn="ctr"/>
            <a:t>Not Used</a:t>
          </a:fld>
          <a:endParaRPr lang="en-US" sz="1800" b="0">
            <a:latin typeface="+mn-lt"/>
          </a:endParaRPr>
        </a:p>
      </xdr:txBody>
    </xdr:sp>
    <xdr:clientData/>
  </xdr:twoCellAnchor>
  <xdr:twoCellAnchor editAs="absolute">
    <xdr:from>
      <xdr:col>10</xdr:col>
      <xdr:colOff>312420</xdr:colOff>
      <xdr:row>1</xdr:row>
      <xdr:rowOff>95250</xdr:rowOff>
    </xdr:from>
    <xdr:to>
      <xdr:col>10</xdr:col>
      <xdr:colOff>958103</xdr:colOff>
      <xdr:row>1</xdr:row>
      <xdr:rowOff>323850</xdr:rowOff>
    </xdr:to>
    <xdr:sp macro="" textlink="">
      <xdr:nvSpPr>
        <xdr:cNvPr id="13" name="Rounded Rectangle 12">
          <a:hlinkClick xmlns:r="http://schemas.openxmlformats.org/officeDocument/2006/relationships" r:id="rId5" tooltip="Click"/>
          <a:extLst>
            <a:ext uri="{FF2B5EF4-FFF2-40B4-BE49-F238E27FC236}">
              <a16:creationId xmlns:a16="http://schemas.microsoft.com/office/drawing/2014/main" id="{00000000-0008-0000-16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10</xdr:col>
      <xdr:colOff>1002030</xdr:colOff>
      <xdr:row>1</xdr:row>
      <xdr:rowOff>95250</xdr:rowOff>
    </xdr:from>
    <xdr:to>
      <xdr:col>10</xdr:col>
      <xdr:colOff>1638355</xdr:colOff>
      <xdr:row>1</xdr:row>
      <xdr:rowOff>323850</xdr:rowOff>
    </xdr:to>
    <xdr:sp macro="" textlink="">
      <xdr:nvSpPr>
        <xdr:cNvPr id="14" name="Rounded Rectangle 13">
          <a:hlinkClick xmlns:r="http://schemas.openxmlformats.org/officeDocument/2006/relationships" r:id="rId6" tooltip="Click"/>
          <a:extLst>
            <a:ext uri="{FF2B5EF4-FFF2-40B4-BE49-F238E27FC236}">
              <a16:creationId xmlns:a16="http://schemas.microsoft.com/office/drawing/2014/main" id="{00000000-0008-0000-16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24.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2</xdr:col>
      <xdr:colOff>816581</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7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2</xdr:col>
      <xdr:colOff>0</xdr:colOff>
      <xdr:row>4</xdr:row>
      <xdr:rowOff>0</xdr:rowOff>
    </xdr:from>
    <xdr:to>
      <xdr:col>2</xdr:col>
      <xdr:colOff>1326091</xdr:colOff>
      <xdr:row>5</xdr:row>
      <xdr:rowOff>0</xdr:rowOff>
    </xdr:to>
    <xdr:sp macro="" textlink="">
      <xdr:nvSpPr>
        <xdr:cNvPr id="5" name="Rounded Rectangle 4">
          <a:hlinkClick xmlns:r="http://schemas.openxmlformats.org/officeDocument/2006/relationships" r:id="rId2" tooltip="Click"/>
          <a:extLst>
            <a:ext uri="{FF2B5EF4-FFF2-40B4-BE49-F238E27FC236}">
              <a16:creationId xmlns:a16="http://schemas.microsoft.com/office/drawing/2014/main" id="{00000000-0008-0000-1700-000005000000}"/>
            </a:ext>
          </a:extLst>
        </xdr:cNvPr>
        <xdr:cNvSpPr/>
      </xdr:nvSpPr>
      <xdr:spPr>
        <a:xfrm>
          <a:off x="328083" y="1238250"/>
          <a:ext cx="1326091" cy="3175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Portfolio</a:t>
          </a:r>
          <a:r>
            <a:rPr lang="en-US" b="1" baseline="0">
              <a:solidFill>
                <a:sysClr val="windowText" lastClr="000000"/>
              </a:solidFill>
            </a:rPr>
            <a:t> Data</a:t>
          </a:r>
          <a:endParaRPr lang="en-US" b="1">
            <a:solidFill>
              <a:sysClr val="windowText" lastClr="000000"/>
            </a:solidFill>
          </a:endParaRPr>
        </a:p>
      </xdr:txBody>
    </xdr:sp>
    <xdr:clientData/>
  </xdr:twoCellAnchor>
  <xdr:twoCellAnchor>
    <xdr:from>
      <xdr:col>1</xdr:col>
      <xdr:colOff>38100</xdr:colOff>
      <xdr:row>2</xdr:row>
      <xdr:rowOff>28574</xdr:rowOff>
    </xdr:from>
    <xdr:to>
      <xdr:col>23</xdr:col>
      <xdr:colOff>635000</xdr:colOff>
      <xdr:row>3</xdr:row>
      <xdr:rowOff>158750</xdr:rowOff>
    </xdr:to>
    <xdr:sp macro="" textlink="">
      <xdr:nvSpPr>
        <xdr:cNvPr id="6" name="Rounded Rectangle 6">
          <a:extLst>
            <a:ext uri="{FF2B5EF4-FFF2-40B4-BE49-F238E27FC236}">
              <a16:creationId xmlns:a16="http://schemas.microsoft.com/office/drawing/2014/main" id="{00000000-0008-0000-1700-000006000000}"/>
            </a:ext>
          </a:extLst>
        </xdr:cNvPr>
        <xdr:cNvSpPr>
          <a:spLocks noChangeArrowheads="1"/>
        </xdr:cNvSpPr>
      </xdr:nvSpPr>
      <xdr:spPr bwMode="auto">
        <a:xfrm>
          <a:off x="101600" y="568324"/>
          <a:ext cx="15498233" cy="1050926"/>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1" i="0" u="none" strike="noStrike" baseline="0">
              <a:solidFill>
                <a:srgbClr val="000000"/>
              </a:solidFill>
              <a:latin typeface="Calibri"/>
              <a:cs typeface="Calibri"/>
            </a:rPr>
            <a:t>Instructions:  </a:t>
          </a:r>
          <a:r>
            <a:rPr lang="en-US" sz="1000" b="0" i="0" baseline="0">
              <a:effectLst/>
              <a:latin typeface="+mn-lt"/>
              <a:ea typeface="+mn-ea"/>
              <a:cs typeface="+mn-cs"/>
            </a:rPr>
            <a:t>Provide the information listed below  for the past two years for each program being reported in the primary program year.  Any discontinued programs that provided saivings in the prior two years  are to be reported at the bottom in the "Discontinued Programs" section.  </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0" i="0" baseline="0">
              <a:effectLst/>
              <a:latin typeface="+mn-lt"/>
              <a:ea typeface="+mn-ea"/>
              <a:cs typeface="+mn-cs"/>
            </a:rPr>
            <a:t>  </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0" i="0" baseline="0">
              <a:effectLst/>
              <a:latin typeface="+mn-lt"/>
              <a:ea typeface="+mn-ea"/>
              <a:cs typeface="+mn-cs"/>
            </a:rPr>
            <a:t>NOTE: This information can be copied from the previous years workbook'Next Annual Report Load Data' section. </a:t>
          </a:r>
        </a:p>
        <a:p>
          <a:pPr marL="0" marR="0" indent="0" algn="l" defTabSz="914400" rtl="0" eaLnBrk="1" fontAlgn="auto" latinLnBrk="0" hangingPunct="1">
            <a:lnSpc>
              <a:spcPct val="100000"/>
            </a:lnSpc>
            <a:spcBef>
              <a:spcPts val="0"/>
            </a:spcBef>
            <a:spcAft>
              <a:spcPts val="0"/>
            </a:spcAft>
            <a:buClrTx/>
            <a:buSzTx/>
            <a:buFontTx/>
            <a:buNone/>
            <a:tabLst/>
            <a:defRPr sz="1000"/>
          </a:pPr>
          <a:endParaRPr lang="en-US" sz="1000" b="0" i="0" baseline="0">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0" i="0" baseline="0">
              <a:effectLst/>
              <a:latin typeface="+mn-lt"/>
              <a:ea typeface="+mn-ea"/>
              <a:cs typeface="+mn-cs"/>
            </a:rPr>
            <a:t>Use the 'Portfolio Data' button to input prior Company Statistic Data.  </a:t>
          </a:r>
          <a:endParaRPr lang="en-US"/>
        </a:p>
      </xdr:txBody>
    </xdr:sp>
    <xdr:clientData/>
  </xdr:twoCellAnchor>
</xdr:wsDr>
</file>

<file path=xl/drawings/drawing25.xml><?xml version="1.0" encoding="utf-8"?>
<xdr:wsDr xmlns:xdr="http://schemas.openxmlformats.org/drawingml/2006/spreadsheetDrawing" xmlns:a="http://schemas.openxmlformats.org/drawingml/2006/main">
  <xdr:twoCellAnchor editAs="absolute">
    <xdr:from>
      <xdr:col>8</xdr:col>
      <xdr:colOff>974610</xdr:colOff>
      <xdr:row>1</xdr:row>
      <xdr:rowOff>130521</xdr:rowOff>
    </xdr:from>
    <xdr:to>
      <xdr:col>10</xdr:col>
      <xdr:colOff>173210</xdr:colOff>
      <xdr:row>1</xdr:row>
      <xdr:rowOff>359121</xdr:rowOff>
    </xdr:to>
    <xdr:sp macro="" textlink="">
      <xdr:nvSpPr>
        <xdr:cNvPr id="2" name="Rounded Rectangle 1">
          <a:hlinkClick xmlns:r="http://schemas.openxmlformats.org/officeDocument/2006/relationships" r:id="rId1" tooltip="Click"/>
          <a:extLst>
            <a:ext uri="{FF2B5EF4-FFF2-40B4-BE49-F238E27FC236}">
              <a16:creationId xmlns:a16="http://schemas.microsoft.com/office/drawing/2014/main" id="{00000000-0008-0000-1800-000002000000}"/>
            </a:ext>
          </a:extLst>
        </xdr:cNvPr>
        <xdr:cNvSpPr/>
      </xdr:nvSpPr>
      <xdr:spPr>
        <a:xfrm>
          <a:off x="6457950" y="190500"/>
          <a:ext cx="1002174"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twoCellAnchor editAs="absolute">
    <xdr:from>
      <xdr:col>1</xdr:col>
      <xdr:colOff>15643</xdr:colOff>
      <xdr:row>2</xdr:row>
      <xdr:rowOff>18124</xdr:rowOff>
    </xdr:from>
    <xdr:to>
      <xdr:col>10</xdr:col>
      <xdr:colOff>324426</xdr:colOff>
      <xdr:row>4</xdr:row>
      <xdr:rowOff>159442</xdr:rowOff>
    </xdr:to>
    <xdr:sp macro="" textlink="">
      <xdr:nvSpPr>
        <xdr:cNvPr id="4" name="Rounded Rectangle 6">
          <a:extLst>
            <a:ext uri="{FF2B5EF4-FFF2-40B4-BE49-F238E27FC236}">
              <a16:creationId xmlns:a16="http://schemas.microsoft.com/office/drawing/2014/main" id="{00000000-0008-0000-1800-000004000000}"/>
            </a:ext>
          </a:extLst>
        </xdr:cNvPr>
        <xdr:cNvSpPr>
          <a:spLocks noChangeArrowheads="1"/>
        </xdr:cNvSpPr>
      </xdr:nvSpPr>
      <xdr:spPr bwMode="auto">
        <a:xfrm>
          <a:off x="77931" y="580157"/>
          <a:ext cx="7533409" cy="458933"/>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1" i="0" u="none" strike="noStrike" baseline="0">
              <a:solidFill>
                <a:srgbClr val="000000"/>
              </a:solidFill>
              <a:latin typeface="Calibri"/>
              <a:cs typeface="Calibri"/>
            </a:rPr>
            <a:t>Instructions:  </a:t>
          </a:r>
          <a:r>
            <a:rPr lang="en-US" sz="1000" b="0" i="0" baseline="0">
              <a:effectLst/>
              <a:latin typeface="+mn-lt"/>
              <a:ea typeface="+mn-ea"/>
              <a:cs typeface="+mn-cs"/>
            </a:rPr>
            <a:t>Provide the information for the Years listed below</a:t>
          </a:r>
          <a:r>
            <a:rPr lang="en-US" sz="900" b="0" i="0" u="none" strike="noStrike" baseline="0">
              <a:solidFill>
                <a:srgbClr val="000000"/>
              </a:solidFill>
              <a:latin typeface="Calibri"/>
              <a:cs typeface="Calibri"/>
            </a:rPr>
            <a:t>.  </a:t>
          </a:r>
          <a:r>
            <a:rPr lang="en-US" sz="1000" b="0" i="0" baseline="0">
              <a:effectLst/>
              <a:latin typeface="+mn-lt"/>
              <a:ea typeface="+mn-ea"/>
              <a:cs typeface="+mn-cs"/>
            </a:rPr>
            <a:t>This information can be copied from the previous years workbook'Next Annual Report Load Data' section.</a:t>
          </a:r>
          <a:endParaRPr lang="en-US"/>
        </a:p>
      </xdr:txBody>
    </xdr:sp>
    <xdr:clientData/>
  </xdr:twoCellAnchor>
  <xdr:twoCellAnchor editAs="absolute">
    <xdr:from>
      <xdr:col>2</xdr:col>
      <xdr:colOff>21128</xdr:colOff>
      <xdr:row>1</xdr:row>
      <xdr:rowOff>133927</xdr:rowOff>
    </xdr:from>
    <xdr:to>
      <xdr:col>3</xdr:col>
      <xdr:colOff>54138</xdr:colOff>
      <xdr:row>1</xdr:row>
      <xdr:rowOff>362527</xdr:rowOff>
    </xdr:to>
    <xdr:sp macro="" textlink="">
      <xdr:nvSpPr>
        <xdr:cNvPr id="5" name="Rounded Rectangle 4">
          <a:hlinkClick xmlns:r="http://schemas.openxmlformats.org/officeDocument/2006/relationships" r:id="rId2" tooltip="Click"/>
          <a:extLst>
            <a:ext uri="{FF2B5EF4-FFF2-40B4-BE49-F238E27FC236}">
              <a16:creationId xmlns:a16="http://schemas.microsoft.com/office/drawing/2014/main" id="{00000000-0008-0000-1800-000005000000}"/>
            </a:ext>
          </a:extLst>
        </xdr:cNvPr>
        <xdr:cNvSpPr/>
      </xdr:nvSpPr>
      <xdr:spPr>
        <a:xfrm>
          <a:off x="190500" y="181841"/>
          <a:ext cx="1001789"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wsDr>
</file>

<file path=xl/drawings/drawing26.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9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wsDr>
</file>

<file path=xl/drawings/drawing27.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A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28.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2" name="Rounded Rectangle 1">
          <a:hlinkClick xmlns:r="http://schemas.openxmlformats.org/officeDocument/2006/relationships" r:id="rId1" tooltip="Click"/>
          <a:extLst>
            <a:ext uri="{FF2B5EF4-FFF2-40B4-BE49-F238E27FC236}">
              <a16:creationId xmlns:a16="http://schemas.microsoft.com/office/drawing/2014/main" id="{00000000-0008-0000-1B00-000002000000}"/>
            </a:ext>
          </a:extLst>
        </xdr:cNvPr>
        <xdr:cNvSpPr/>
      </xdr:nvSpPr>
      <xdr:spPr>
        <a:xfrm>
          <a:off x="142875" y="152400"/>
          <a:ext cx="1002033"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29.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C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19050</xdr:colOff>
      <xdr:row>1</xdr:row>
      <xdr:rowOff>0</xdr:rowOff>
    </xdr:from>
    <xdr:to>
      <xdr:col>11</xdr:col>
      <xdr:colOff>0</xdr:colOff>
      <xdr:row>1</xdr:row>
      <xdr:rowOff>401955</xdr:rowOff>
    </xdr:to>
    <xdr:sp macro="" textlink="">
      <xdr:nvSpPr>
        <xdr:cNvPr id="1317309" name="Rectangle 365">
          <a:extLst>
            <a:ext uri="{FF2B5EF4-FFF2-40B4-BE49-F238E27FC236}">
              <a16:creationId xmlns:a16="http://schemas.microsoft.com/office/drawing/2014/main" id="{00000000-0008-0000-0200-0000BD1914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19050</xdr:colOff>
      <xdr:row>0</xdr:row>
      <xdr:rowOff>57149</xdr:rowOff>
    </xdr:from>
    <xdr:to>
      <xdr:col>2</xdr:col>
      <xdr:colOff>1240051</xdr:colOff>
      <xdr:row>0</xdr:row>
      <xdr:rowOff>340994</xdr:rowOff>
    </xdr:to>
    <xdr:sp macro="" textlink="Titles!B2">
      <xdr:nvSpPr>
        <xdr:cNvPr id="3" name="Round Same Side Corner Rectangle 2">
          <a:extLst>
            <a:ext uri="{FF2B5EF4-FFF2-40B4-BE49-F238E27FC236}">
              <a16:creationId xmlns:a16="http://schemas.microsoft.com/office/drawing/2014/main" id="{00000000-0008-0000-0200-000003000000}"/>
            </a:ext>
          </a:extLst>
        </xdr:cNvPr>
        <xdr:cNvSpPr/>
      </xdr:nvSpPr>
      <xdr:spPr>
        <a:xfrm>
          <a:off x="76200" y="66674"/>
          <a:ext cx="148209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51B8E440-EE25-4FED-9FE1-CCD8B80D1473}" type="TxLink">
            <a:rPr lang="en-US" sz="1000" b="1">
              <a:solidFill>
                <a:sysClr val="windowText" lastClr="000000"/>
              </a:solidFill>
            </a:rPr>
            <a:pPr algn="ctr"/>
            <a:t>Utility Information</a:t>
          </a:fld>
          <a:endParaRPr lang="en-US" sz="1000" b="1">
            <a:solidFill>
              <a:sysClr val="windowText" lastClr="000000"/>
            </a:solidFill>
          </a:endParaRPr>
        </a:p>
      </xdr:txBody>
    </xdr:sp>
    <xdr:clientData/>
  </xdr:twoCellAnchor>
  <xdr:twoCellAnchor editAs="absolute">
    <xdr:from>
      <xdr:col>2</xdr:col>
      <xdr:colOff>1236345</xdr:colOff>
      <xdr:row>0</xdr:row>
      <xdr:rowOff>59055</xdr:rowOff>
    </xdr:from>
    <xdr:to>
      <xdr:col>3</xdr:col>
      <xdr:colOff>967759</xdr:colOff>
      <xdr:row>0</xdr:row>
      <xdr:rowOff>340995</xdr:rowOff>
    </xdr:to>
    <xdr:sp macro="" textlink="Titles!B3">
      <xdr:nvSpPr>
        <xdr:cNvPr id="4" name="Round Same Side Corner Rectangle 3">
          <a:hlinkClick xmlns:r="http://schemas.openxmlformats.org/officeDocument/2006/relationships" r:id="rId1" tooltip="Click"/>
          <a:extLst>
            <a:ext uri="{FF2B5EF4-FFF2-40B4-BE49-F238E27FC236}">
              <a16:creationId xmlns:a16="http://schemas.microsoft.com/office/drawing/2014/main" id="{00000000-0008-0000-02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0FEAE6AE-6855-4F1C-A89A-4184A06C2915}" type="TxLink">
            <a:rPr lang="en-US" sz="1000" b="1"/>
            <a:pPr algn="ctr"/>
            <a:t>Program Descriptions</a:t>
          </a:fld>
          <a:endParaRPr lang="en-US" sz="1000" b="1"/>
        </a:p>
      </xdr:txBody>
    </xdr:sp>
    <xdr:clientData/>
  </xdr:twoCellAnchor>
  <xdr:twoCellAnchor editAs="absolute">
    <xdr:from>
      <xdr:col>3</xdr:col>
      <xdr:colOff>992505</xdr:colOff>
      <xdr:row>0</xdr:row>
      <xdr:rowOff>59055</xdr:rowOff>
    </xdr:from>
    <xdr:to>
      <xdr:col>4</xdr:col>
      <xdr:colOff>401461</xdr:colOff>
      <xdr:row>0</xdr:row>
      <xdr:rowOff>340995</xdr:rowOff>
    </xdr:to>
    <xdr:sp macro="" textlink="Titles!B4">
      <xdr:nvSpPr>
        <xdr:cNvPr id="5" name="Round Same Side Corner Rectangle 4">
          <a:hlinkClick xmlns:r="http://schemas.openxmlformats.org/officeDocument/2006/relationships" r:id="rId2" tooltip="Click"/>
          <a:extLst>
            <a:ext uri="{FF2B5EF4-FFF2-40B4-BE49-F238E27FC236}">
              <a16:creationId xmlns:a16="http://schemas.microsoft.com/office/drawing/2014/main" id="{00000000-0008-0000-0200-000005000000}"/>
            </a:ext>
          </a:extLst>
        </xdr:cNvPr>
        <xdr:cNvSpPr/>
      </xdr:nvSpPr>
      <xdr:spPr>
        <a:xfrm>
          <a:off x="30384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185F8AA7-07EA-460B-913C-29C73991E499}" type="TxLink">
            <a:rPr lang="en-US" sz="1000" b="1"/>
            <a:pPr algn="ctr"/>
            <a:t>Budgets</a:t>
          </a:fld>
          <a:endParaRPr lang="en-US" sz="1000" b="1"/>
        </a:p>
      </xdr:txBody>
    </xdr:sp>
    <xdr:clientData/>
  </xdr:twoCellAnchor>
  <xdr:twoCellAnchor editAs="absolute">
    <xdr:from>
      <xdr:col>4</xdr:col>
      <xdr:colOff>417195</xdr:colOff>
      <xdr:row>0</xdr:row>
      <xdr:rowOff>59055</xdr:rowOff>
    </xdr:from>
    <xdr:to>
      <xdr:col>6</xdr:col>
      <xdr:colOff>515620</xdr:colOff>
      <xdr:row>0</xdr:row>
      <xdr:rowOff>340995</xdr:rowOff>
    </xdr:to>
    <xdr:sp macro="" textlink="Titles!B5">
      <xdr:nvSpPr>
        <xdr:cNvPr id="6" name="Round Same Side Corner Rectangle 5">
          <a:hlinkClick xmlns:r="http://schemas.openxmlformats.org/officeDocument/2006/relationships" r:id="rId3" tooltip="Click"/>
          <a:extLst>
            <a:ext uri="{FF2B5EF4-FFF2-40B4-BE49-F238E27FC236}">
              <a16:creationId xmlns:a16="http://schemas.microsoft.com/office/drawing/2014/main" id="{00000000-0008-0000-02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4409C77F-2989-431D-9C12-E20D0377F3D1}" type="TxLink">
            <a:rPr lang="en-US" sz="1000" b="1"/>
            <a:pPr algn="ctr"/>
            <a:t>Savings &amp; Participants</a:t>
          </a:fld>
          <a:endParaRPr lang="en-US" sz="1000" b="1"/>
        </a:p>
      </xdr:txBody>
    </xdr:sp>
    <xdr:clientData/>
  </xdr:twoCellAnchor>
  <xdr:twoCellAnchor editAs="absolute">
    <xdr:from>
      <xdr:col>6</xdr:col>
      <xdr:colOff>512445</xdr:colOff>
      <xdr:row>0</xdr:row>
      <xdr:rowOff>59055</xdr:rowOff>
    </xdr:from>
    <xdr:to>
      <xdr:col>9</xdr:col>
      <xdr:colOff>172085</xdr:colOff>
      <xdr:row>0</xdr:row>
      <xdr:rowOff>340995</xdr:rowOff>
    </xdr:to>
    <xdr:sp macro="" textlink="Titles!B6">
      <xdr:nvSpPr>
        <xdr:cNvPr id="7" name="Round Same Side Corner Rectangle 6">
          <a:hlinkClick xmlns:r="http://schemas.openxmlformats.org/officeDocument/2006/relationships" r:id="rId4" tooltip="Click"/>
          <a:extLst>
            <a:ext uri="{FF2B5EF4-FFF2-40B4-BE49-F238E27FC236}">
              <a16:creationId xmlns:a16="http://schemas.microsoft.com/office/drawing/2014/main" id="{00000000-0008-0000-02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9F1419D5-117E-4896-B48F-4EA5342B5A46}" type="TxLink">
            <a:rPr lang="en-US" sz="1000" b="1"/>
            <a:pPr algn="ctr"/>
            <a:t>Training</a:t>
          </a:fld>
          <a:endParaRPr lang="en-US" sz="1000" b="1"/>
        </a:p>
      </xdr:txBody>
    </xdr:sp>
    <xdr:clientData/>
  </xdr:twoCellAnchor>
  <xdr:twoCellAnchor editAs="absolute">
    <xdr:from>
      <xdr:col>9</xdr:col>
      <xdr:colOff>169544</xdr:colOff>
      <xdr:row>0</xdr:row>
      <xdr:rowOff>59055</xdr:rowOff>
    </xdr:from>
    <xdr:to>
      <xdr:col>11</xdr:col>
      <xdr:colOff>1956</xdr:colOff>
      <xdr:row>0</xdr:row>
      <xdr:rowOff>342900</xdr:rowOff>
    </xdr:to>
    <xdr:sp macro="" textlink="Titles!B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02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285CD6D4-5FC0-4F06-894F-E1D65E399814}"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859907</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2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95250</xdr:colOff>
      <xdr:row>1</xdr:row>
      <xdr:rowOff>438149</xdr:rowOff>
    </xdr:from>
    <xdr:to>
      <xdr:col>10</xdr:col>
      <xdr:colOff>973449</xdr:colOff>
      <xdr:row>1</xdr:row>
      <xdr:rowOff>777282</xdr:rowOff>
    </xdr:to>
    <xdr:sp macro="" textlink="">
      <xdr:nvSpPr>
        <xdr:cNvPr id="12" name="Rounded Rectangle 6">
          <a:extLst>
            <a:ext uri="{FF2B5EF4-FFF2-40B4-BE49-F238E27FC236}">
              <a16:creationId xmlns:a16="http://schemas.microsoft.com/office/drawing/2014/main" id="{00000000-0008-0000-0200-00000C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1000" b="0" i="0" u="none" strike="noStrike" baseline="0">
              <a:solidFill>
                <a:srgbClr val="000000"/>
              </a:solidFill>
              <a:latin typeface="Calibri"/>
              <a:cs typeface="Calibri"/>
            </a:rPr>
            <a:t>Provide  the requested information.  Select Company's Utility Type from the dropdown menu. </a:t>
          </a:r>
          <a:endParaRPr lang="en-US"/>
        </a:p>
      </xdr:txBody>
    </xdr:sp>
    <xdr:clientData/>
  </xdr:twoCellAnchor>
  <xdr:twoCellAnchor editAs="absolute">
    <xdr:from>
      <xdr:col>2</xdr:col>
      <xdr:colOff>1238250</xdr:colOff>
      <xdr:row>0</xdr:row>
      <xdr:rowOff>287869</xdr:rowOff>
    </xdr:from>
    <xdr:to>
      <xdr:col>9</xdr:col>
      <xdr:colOff>173379</xdr:colOff>
      <xdr:row>1</xdr:row>
      <xdr:rowOff>272688</xdr:rowOff>
    </xdr:to>
    <xdr:sp macro="" textlink="Titles!F5">
      <xdr:nvSpPr>
        <xdr:cNvPr id="13" name="TextBox 12">
          <a:extLst>
            <a:ext uri="{FF2B5EF4-FFF2-40B4-BE49-F238E27FC236}">
              <a16:creationId xmlns:a16="http://schemas.microsoft.com/office/drawing/2014/main" id="{00000000-0008-0000-0200-00000D000000}"/>
            </a:ext>
          </a:extLst>
        </xdr:cNvPr>
        <xdr:cNvSpPr txBox="1"/>
      </xdr:nvSpPr>
      <xdr:spPr>
        <a:xfrm>
          <a:off x="1554826" y="291679"/>
          <a:ext cx="6191448"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325AE150-F334-436F-B2A1-C1842A1307B5}" type="TxLink">
            <a:rPr lang="en-US" sz="1600" b="1" i="1" u="none"/>
            <a:pPr algn="ctr"/>
            <a:t>EAL - 2025 EE Portfolio Information</a:t>
          </a:fld>
          <a:endParaRPr lang="en-US" sz="1600" b="1" i="1" u="none"/>
        </a:p>
      </xdr:txBody>
    </xdr:sp>
    <xdr:clientData/>
  </xdr:twoCellAnchor>
  <xdr:twoCellAnchor editAs="absolute">
    <xdr:from>
      <xdr:col>3</xdr:col>
      <xdr:colOff>188595</xdr:colOff>
      <xdr:row>1</xdr:row>
      <xdr:rowOff>131445</xdr:rowOff>
    </xdr:from>
    <xdr:to>
      <xdr:col>8</xdr:col>
      <xdr:colOff>95259</xdr:colOff>
      <xdr:row>1</xdr:row>
      <xdr:rowOff>419270</xdr:rowOff>
    </xdr:to>
    <xdr:sp macro="" textlink="Titles!B2">
      <xdr:nvSpPr>
        <xdr:cNvPr id="14" name="TextBox 13">
          <a:extLst>
            <a:ext uri="{FF2B5EF4-FFF2-40B4-BE49-F238E27FC236}">
              <a16:creationId xmlns:a16="http://schemas.microsoft.com/office/drawing/2014/main" id="{00000000-0008-0000-0200-00000E000000}"/>
            </a:ext>
          </a:extLst>
        </xdr:cNvPr>
        <xdr:cNvSpPr txBox="1"/>
      </xdr:nvSpPr>
      <xdr:spPr>
        <a:xfrm>
          <a:off x="2292754" y="502747"/>
          <a:ext cx="4712460"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776F284F-2463-45BA-9530-42F4B4E75BD4}" type="TxLink">
            <a:rPr lang="en-US" sz="1200" b="0"/>
            <a:pPr algn="ctr"/>
            <a:t>Utility Information</a:t>
          </a:fld>
          <a:endParaRPr lang="en-US" sz="1200" b="0"/>
        </a:p>
      </xdr:txBody>
    </xdr:sp>
    <xdr:clientData/>
  </xdr:twoCellAnchor>
  <xdr:twoCellAnchor editAs="absolute">
    <xdr:from>
      <xdr:col>9</xdr:col>
      <xdr:colOff>243840</xdr:colOff>
      <xdr:row>1</xdr:row>
      <xdr:rowOff>91440</xdr:rowOff>
    </xdr:from>
    <xdr:to>
      <xdr:col>10</xdr:col>
      <xdr:colOff>266700</xdr:colOff>
      <xdr:row>1</xdr:row>
      <xdr:rowOff>320040</xdr:rowOff>
    </xdr:to>
    <xdr:sp macro="" textlink="">
      <xdr:nvSpPr>
        <xdr:cNvPr id="15" name="Rounded Rectangle 14">
          <a:hlinkClick xmlns:r="http://schemas.openxmlformats.org/officeDocument/2006/relationships" r:id="rId6" tooltip="Click"/>
          <a:extLst>
            <a:ext uri="{FF2B5EF4-FFF2-40B4-BE49-F238E27FC236}">
              <a16:creationId xmlns:a16="http://schemas.microsoft.com/office/drawing/2014/main" id="{00000000-0008-0000-0200-00000F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10</xdr:col>
      <xdr:colOff>321310</xdr:colOff>
      <xdr:row>1</xdr:row>
      <xdr:rowOff>91440</xdr:rowOff>
    </xdr:from>
    <xdr:to>
      <xdr:col>10</xdr:col>
      <xdr:colOff>972240</xdr:colOff>
      <xdr:row>1</xdr:row>
      <xdr:rowOff>320040</xdr:rowOff>
    </xdr:to>
    <xdr:sp macro="" textlink="">
      <xdr:nvSpPr>
        <xdr:cNvPr id="16" name="Rounded Rectangle 15">
          <a:hlinkClick xmlns:r="http://schemas.openxmlformats.org/officeDocument/2006/relationships" r:id="rId1" tooltip="Click"/>
          <a:extLst>
            <a:ext uri="{FF2B5EF4-FFF2-40B4-BE49-F238E27FC236}">
              <a16:creationId xmlns:a16="http://schemas.microsoft.com/office/drawing/2014/main" id="{00000000-0008-0000-0200-000010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30.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D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31.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E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32.xml><?xml version="1.0" encoding="utf-8"?>
<xdr:wsDr xmlns:xdr="http://schemas.openxmlformats.org/drawingml/2006/spreadsheetDrawing" xmlns:a="http://schemas.openxmlformats.org/drawingml/2006/main">
  <xdr:twoCellAnchor editAs="absolute">
    <xdr:from>
      <xdr:col>2</xdr:col>
      <xdr:colOff>2741295</xdr:colOff>
      <xdr:row>1</xdr:row>
      <xdr:rowOff>114300</xdr:rowOff>
    </xdr:from>
    <xdr:to>
      <xdr:col>2</xdr:col>
      <xdr:colOff>4314825</xdr:colOff>
      <xdr:row>1</xdr:row>
      <xdr:rowOff>352425</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F00-000003000000}"/>
            </a:ext>
          </a:extLst>
        </xdr:cNvPr>
        <xdr:cNvSpPr/>
      </xdr:nvSpPr>
      <xdr:spPr>
        <a:xfrm>
          <a:off x="7256145" y="171450"/>
          <a:ext cx="1573530" cy="23812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 to Instructions</a:t>
          </a:r>
        </a:p>
      </xdr:txBody>
    </xdr:sp>
    <xdr:clientData/>
  </xdr:twoCellAnchor>
  <xdr:twoCellAnchor editAs="absolute">
    <xdr:from>
      <xdr:col>1</xdr:col>
      <xdr:colOff>66675</xdr:colOff>
      <xdr:row>1</xdr:row>
      <xdr:rowOff>95250</xdr:rowOff>
    </xdr:from>
    <xdr:to>
      <xdr:col>1</xdr:col>
      <xdr:colOff>1381125</xdr:colOff>
      <xdr:row>1</xdr:row>
      <xdr:rowOff>333375</xdr:rowOff>
    </xdr:to>
    <xdr:sp macro="" textlink="">
      <xdr:nvSpPr>
        <xdr:cNvPr id="4" name="Rounded Rectangle 3">
          <a:hlinkClick xmlns:r="http://schemas.openxmlformats.org/officeDocument/2006/relationships" r:id="rId2" tooltip="Click"/>
          <a:extLst>
            <a:ext uri="{FF2B5EF4-FFF2-40B4-BE49-F238E27FC236}">
              <a16:creationId xmlns:a16="http://schemas.microsoft.com/office/drawing/2014/main" id="{00000000-0008-0000-1F00-000004000000}"/>
            </a:ext>
          </a:extLst>
        </xdr:cNvPr>
        <xdr:cNvSpPr/>
      </xdr:nvSpPr>
      <xdr:spPr>
        <a:xfrm>
          <a:off x="133350" y="152400"/>
          <a:ext cx="1314450" cy="23812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 to Budgets</a:t>
          </a:r>
        </a:p>
      </xdr:txBody>
    </xdr:sp>
    <xdr:clientData/>
  </xdr:twoCellAnchor>
  <xdr:twoCellAnchor editAs="absolute">
    <xdr:from>
      <xdr:col>1</xdr:col>
      <xdr:colOff>1457325</xdr:colOff>
      <xdr:row>1</xdr:row>
      <xdr:rowOff>95250</xdr:rowOff>
    </xdr:from>
    <xdr:to>
      <xdr:col>1</xdr:col>
      <xdr:colOff>2781300</xdr:colOff>
      <xdr:row>1</xdr:row>
      <xdr:rowOff>333375</xdr:rowOff>
    </xdr:to>
    <xdr:sp macro="" textlink="">
      <xdr:nvSpPr>
        <xdr:cNvPr id="6" name="Rounded Rectangle 5">
          <a:hlinkClick xmlns:r="http://schemas.openxmlformats.org/officeDocument/2006/relationships" r:id="rId3" tooltip="Click"/>
          <a:extLst>
            <a:ext uri="{FF2B5EF4-FFF2-40B4-BE49-F238E27FC236}">
              <a16:creationId xmlns:a16="http://schemas.microsoft.com/office/drawing/2014/main" id="{00000000-0008-0000-1F00-000006000000}"/>
            </a:ext>
          </a:extLst>
        </xdr:cNvPr>
        <xdr:cNvSpPr/>
      </xdr:nvSpPr>
      <xdr:spPr>
        <a:xfrm>
          <a:off x="1524000" y="152400"/>
          <a:ext cx="1323975" cy="23812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 to Expenses</a:t>
          </a:r>
        </a:p>
      </xdr:txBody>
    </xdr:sp>
    <xdr:clientData/>
  </xdr:twoCellAnchor>
</xdr:wsDr>
</file>

<file path=xl/drawings/drawing33.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0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34.xml><?xml version="1.0" encoding="utf-8"?>
<xdr:wsDr xmlns:xdr="http://schemas.openxmlformats.org/drawingml/2006/spreadsheetDrawing" xmlns:a="http://schemas.openxmlformats.org/drawingml/2006/main">
  <xdr:twoCellAnchor editAs="absolute">
    <xdr:from>
      <xdr:col>1</xdr:col>
      <xdr:colOff>19050</xdr:colOff>
      <xdr:row>1</xdr:row>
      <xdr:rowOff>129540</xdr:rowOff>
    </xdr:from>
    <xdr:to>
      <xdr:col>2</xdr:col>
      <xdr:colOff>169563</xdr:colOff>
      <xdr:row>1</xdr:row>
      <xdr:rowOff>358140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400-000003000000}"/>
            </a:ext>
          </a:extLst>
        </xdr:cNvPr>
        <xdr:cNvSpPr/>
      </xdr:nvSpPr>
      <xdr:spPr>
        <a:xfrm>
          <a:off x="85725" y="180975"/>
          <a:ext cx="99823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oneCell">
    <xdr:from>
      <xdr:col>10</xdr:col>
      <xdr:colOff>568555</xdr:colOff>
      <xdr:row>1</xdr:row>
      <xdr:rowOff>105641</xdr:rowOff>
    </xdr:from>
    <xdr:to>
      <xdr:col>11</xdr:col>
      <xdr:colOff>437319</xdr:colOff>
      <xdr:row>1</xdr:row>
      <xdr:rowOff>322811</xdr:rowOff>
    </xdr:to>
    <xdr:sp macro="" textlink="">
      <xdr:nvSpPr>
        <xdr:cNvPr id="5" name="Rounded Rectangle 4">
          <a:hlinkClick xmlns:r="http://schemas.openxmlformats.org/officeDocument/2006/relationships" r:id="rId2" tooltip="Click"/>
          <a:extLst>
            <a:ext uri="{FF2B5EF4-FFF2-40B4-BE49-F238E27FC236}">
              <a16:creationId xmlns:a16="http://schemas.microsoft.com/office/drawing/2014/main" id="{00000000-0008-0000-2400-000005000000}"/>
            </a:ext>
          </a:extLst>
        </xdr:cNvPr>
        <xdr:cNvSpPr/>
      </xdr:nvSpPr>
      <xdr:spPr>
        <a:xfrm>
          <a:off x="7772919" y="166255"/>
          <a:ext cx="63942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35.xml><?xml version="1.0" encoding="utf-8"?>
<xdr:wsDr xmlns:xdr="http://schemas.openxmlformats.org/drawingml/2006/spreadsheetDrawing" xmlns:a="http://schemas.openxmlformats.org/drawingml/2006/main">
  <xdr:twoCellAnchor editAs="absolute">
    <xdr:from>
      <xdr:col>1</xdr:col>
      <xdr:colOff>19050</xdr:colOff>
      <xdr:row>1</xdr:row>
      <xdr:rowOff>133350</xdr:rowOff>
    </xdr:from>
    <xdr:to>
      <xdr:col>1</xdr:col>
      <xdr:colOff>1021083</xdr:colOff>
      <xdr:row>1</xdr:row>
      <xdr:rowOff>361950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500-000003000000}"/>
            </a:ext>
          </a:extLst>
        </xdr:cNvPr>
        <xdr:cNvSpPr/>
      </xdr:nvSpPr>
      <xdr:spPr>
        <a:xfrm>
          <a:off x="85725" y="190500"/>
          <a:ext cx="1002033"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oneCell">
    <xdr:from>
      <xdr:col>7</xdr:col>
      <xdr:colOff>28575</xdr:colOff>
      <xdr:row>1</xdr:row>
      <xdr:rowOff>104775</xdr:rowOff>
    </xdr:from>
    <xdr:to>
      <xdr:col>8</xdr:col>
      <xdr:colOff>630264</xdr:colOff>
      <xdr:row>1</xdr:row>
      <xdr:rowOff>333375</xdr:rowOff>
    </xdr:to>
    <xdr:sp macro="" textlink="">
      <xdr:nvSpPr>
        <xdr:cNvPr id="5" name="Rounded Rectangle 4">
          <a:hlinkClick xmlns:r="http://schemas.openxmlformats.org/officeDocument/2006/relationships" r:id="rId2" tooltip="Click"/>
          <a:extLst>
            <a:ext uri="{FF2B5EF4-FFF2-40B4-BE49-F238E27FC236}">
              <a16:creationId xmlns:a16="http://schemas.microsoft.com/office/drawing/2014/main" id="{00000000-0008-0000-2500-000005000000}"/>
            </a:ext>
          </a:extLst>
        </xdr:cNvPr>
        <xdr:cNvSpPr/>
      </xdr:nvSpPr>
      <xdr:spPr>
        <a:xfrm>
          <a:off x="7610475" y="161925"/>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6</xdr:col>
      <xdr:colOff>112568</xdr:colOff>
      <xdr:row>1</xdr:row>
      <xdr:rowOff>112568</xdr:rowOff>
    </xdr:from>
    <xdr:to>
      <xdr:col>6</xdr:col>
      <xdr:colOff>751901</xdr:colOff>
      <xdr:row>1</xdr:row>
      <xdr:rowOff>341168</xdr:rowOff>
    </xdr:to>
    <xdr:sp macro="" textlink="">
      <xdr:nvSpPr>
        <xdr:cNvPr id="4" name="Rounded Rectangle 3">
          <a:hlinkClick xmlns:r="http://schemas.openxmlformats.org/officeDocument/2006/relationships" r:id="rId3" tooltip="Click"/>
          <a:extLst>
            <a:ext uri="{FF2B5EF4-FFF2-40B4-BE49-F238E27FC236}">
              <a16:creationId xmlns:a16="http://schemas.microsoft.com/office/drawing/2014/main" id="{00000000-0008-0000-2500-000004000000}"/>
            </a:ext>
          </a:extLst>
        </xdr:cNvPr>
        <xdr:cNvSpPr/>
      </xdr:nvSpPr>
      <xdr:spPr>
        <a:xfrm>
          <a:off x="6840682" y="173182"/>
          <a:ext cx="64568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wsDr>
</file>

<file path=xl/drawings/drawing36.xml><?xml version="1.0" encoding="utf-8"?>
<xdr:wsDr xmlns:xdr="http://schemas.openxmlformats.org/drawingml/2006/spreadsheetDrawing" xmlns:a="http://schemas.openxmlformats.org/drawingml/2006/main">
  <xdr:twoCellAnchor editAs="absolute">
    <xdr:from>
      <xdr:col>1</xdr:col>
      <xdr:colOff>20955</xdr:colOff>
      <xdr:row>1</xdr:row>
      <xdr:rowOff>133350</xdr:rowOff>
    </xdr:from>
    <xdr:to>
      <xdr:col>1</xdr:col>
      <xdr:colOff>1030608</xdr:colOff>
      <xdr:row>1</xdr:row>
      <xdr:rowOff>361950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600-000003000000}"/>
            </a:ext>
          </a:extLst>
        </xdr:cNvPr>
        <xdr:cNvSpPr/>
      </xdr:nvSpPr>
      <xdr:spPr>
        <a:xfrm>
          <a:off x="95250" y="180975"/>
          <a:ext cx="1002033"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1</xdr:col>
      <xdr:colOff>0</xdr:colOff>
      <xdr:row>15</xdr:row>
      <xdr:rowOff>19050</xdr:rowOff>
    </xdr:from>
    <xdr:to>
      <xdr:col>7</xdr:col>
      <xdr:colOff>0</xdr:colOff>
      <xdr:row>34</xdr:row>
      <xdr:rowOff>66675</xdr:rowOff>
    </xdr:to>
    <xdr:graphicFrame macro="">
      <xdr:nvGraphicFramePr>
        <xdr:cNvPr id="1487940" name="Chart 1">
          <a:extLst>
            <a:ext uri="{FF2B5EF4-FFF2-40B4-BE49-F238E27FC236}">
              <a16:creationId xmlns:a16="http://schemas.microsoft.com/office/drawing/2014/main" id="{00000000-0008-0000-2600-000044B41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5</xdr:col>
      <xdr:colOff>681991</xdr:colOff>
      <xdr:row>1</xdr:row>
      <xdr:rowOff>94237</xdr:rowOff>
    </xdr:from>
    <xdr:to>
      <xdr:col>6</xdr:col>
      <xdr:colOff>472521</xdr:colOff>
      <xdr:row>1</xdr:row>
      <xdr:rowOff>326647</xdr:rowOff>
    </xdr:to>
    <xdr:sp macro="" textlink="">
      <xdr:nvSpPr>
        <xdr:cNvPr id="6" name="Rounded Rectangle 5">
          <a:hlinkClick xmlns:r="http://schemas.openxmlformats.org/officeDocument/2006/relationships" r:id="rId3" tooltip="Click"/>
          <a:extLst>
            <a:ext uri="{FF2B5EF4-FFF2-40B4-BE49-F238E27FC236}">
              <a16:creationId xmlns:a16="http://schemas.microsoft.com/office/drawing/2014/main" id="{00000000-0008-0000-2600-000006000000}"/>
            </a:ext>
          </a:extLst>
        </xdr:cNvPr>
        <xdr:cNvSpPr/>
      </xdr:nvSpPr>
      <xdr:spPr>
        <a:xfrm>
          <a:off x="4772026" y="151387"/>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4</xdr:col>
      <xdr:colOff>805295</xdr:colOff>
      <xdr:row>1</xdr:row>
      <xdr:rowOff>95250</xdr:rowOff>
    </xdr:from>
    <xdr:to>
      <xdr:col>5</xdr:col>
      <xdr:colOff>589052</xdr:colOff>
      <xdr:row>1</xdr:row>
      <xdr:rowOff>320040</xdr:rowOff>
    </xdr:to>
    <xdr:sp macro="" textlink="">
      <xdr:nvSpPr>
        <xdr:cNvPr id="7" name="Rounded Rectangle 6">
          <a:hlinkClick xmlns:r="http://schemas.openxmlformats.org/officeDocument/2006/relationships" r:id="rId4" tooltip="Click"/>
          <a:extLst>
            <a:ext uri="{FF2B5EF4-FFF2-40B4-BE49-F238E27FC236}">
              <a16:creationId xmlns:a16="http://schemas.microsoft.com/office/drawing/2014/main" id="{00000000-0008-0000-2600-000007000000}"/>
            </a:ext>
          </a:extLst>
        </xdr:cNvPr>
        <xdr:cNvSpPr/>
      </xdr:nvSpPr>
      <xdr:spPr>
        <a:xfrm>
          <a:off x="4043795" y="155864"/>
          <a:ext cx="64568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wsDr>
</file>

<file path=xl/drawings/drawing37.xml><?xml version="1.0" encoding="utf-8"?>
<xdr:wsDr xmlns:xdr="http://schemas.openxmlformats.org/drawingml/2006/spreadsheetDrawing" xmlns:a="http://schemas.openxmlformats.org/drawingml/2006/main">
  <xdr:twoCellAnchor editAs="absolute">
    <xdr:from>
      <xdr:col>1</xdr:col>
      <xdr:colOff>25400</xdr:colOff>
      <xdr:row>1</xdr:row>
      <xdr:rowOff>133350</xdr:rowOff>
    </xdr:from>
    <xdr:to>
      <xdr:col>3</xdr:col>
      <xdr:colOff>321949</xdr:colOff>
      <xdr:row>1</xdr:row>
      <xdr:rowOff>361950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700-000003000000}"/>
            </a:ext>
          </a:extLst>
        </xdr:cNvPr>
        <xdr:cNvSpPr/>
      </xdr:nvSpPr>
      <xdr:spPr>
        <a:xfrm>
          <a:off x="95250" y="190500"/>
          <a:ext cx="998224"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0</xdr:col>
      <xdr:colOff>57150</xdr:colOff>
      <xdr:row>14</xdr:row>
      <xdr:rowOff>9525</xdr:rowOff>
    </xdr:from>
    <xdr:to>
      <xdr:col>14</xdr:col>
      <xdr:colOff>0</xdr:colOff>
      <xdr:row>27</xdr:row>
      <xdr:rowOff>103909</xdr:rowOff>
    </xdr:to>
    <xdr:graphicFrame macro="">
      <xdr:nvGraphicFramePr>
        <xdr:cNvPr id="1489988" name="Chart 5">
          <a:extLst>
            <a:ext uri="{FF2B5EF4-FFF2-40B4-BE49-F238E27FC236}">
              <a16:creationId xmlns:a16="http://schemas.microsoft.com/office/drawing/2014/main" id="{00000000-0008-0000-2700-000044BC1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491490</xdr:colOff>
      <xdr:row>1</xdr:row>
      <xdr:rowOff>104775</xdr:rowOff>
    </xdr:from>
    <xdr:to>
      <xdr:col>13</xdr:col>
      <xdr:colOff>400130</xdr:colOff>
      <xdr:row>1</xdr:row>
      <xdr:rowOff>330200</xdr:rowOff>
    </xdr:to>
    <xdr:sp macro="" textlink="">
      <xdr:nvSpPr>
        <xdr:cNvPr id="6" name="Rounded Rectangle 5">
          <a:hlinkClick xmlns:r="http://schemas.openxmlformats.org/officeDocument/2006/relationships" r:id="rId3" tooltip="Click"/>
          <a:extLst>
            <a:ext uri="{FF2B5EF4-FFF2-40B4-BE49-F238E27FC236}">
              <a16:creationId xmlns:a16="http://schemas.microsoft.com/office/drawing/2014/main" id="{00000000-0008-0000-2700-000006000000}"/>
            </a:ext>
          </a:extLst>
        </xdr:cNvPr>
        <xdr:cNvSpPr/>
      </xdr:nvSpPr>
      <xdr:spPr>
        <a:xfrm>
          <a:off x="6696075" y="161925"/>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11</xdr:col>
      <xdr:colOff>225136</xdr:colOff>
      <xdr:row>1</xdr:row>
      <xdr:rowOff>112569</xdr:rowOff>
    </xdr:from>
    <xdr:to>
      <xdr:col>12</xdr:col>
      <xdr:colOff>296433</xdr:colOff>
      <xdr:row>1</xdr:row>
      <xdr:rowOff>341169</xdr:rowOff>
    </xdr:to>
    <xdr:sp macro="" textlink="">
      <xdr:nvSpPr>
        <xdr:cNvPr id="7" name="Rounded Rectangle 6">
          <a:hlinkClick xmlns:r="http://schemas.openxmlformats.org/officeDocument/2006/relationships" r:id="rId4" tooltip="Click"/>
          <a:extLst>
            <a:ext uri="{FF2B5EF4-FFF2-40B4-BE49-F238E27FC236}">
              <a16:creationId xmlns:a16="http://schemas.microsoft.com/office/drawing/2014/main" id="{00000000-0008-0000-2700-000007000000}"/>
            </a:ext>
          </a:extLst>
        </xdr:cNvPr>
        <xdr:cNvSpPr/>
      </xdr:nvSpPr>
      <xdr:spPr>
        <a:xfrm>
          <a:off x="5931477" y="173183"/>
          <a:ext cx="64568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wsDr>
</file>

<file path=xl/drawings/drawing38.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1085853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8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1</xdr:col>
      <xdr:colOff>0</xdr:colOff>
      <xdr:row>12</xdr:row>
      <xdr:rowOff>9525</xdr:rowOff>
    </xdr:from>
    <xdr:to>
      <xdr:col>14</xdr:col>
      <xdr:colOff>0</xdr:colOff>
      <xdr:row>28</xdr:row>
      <xdr:rowOff>8659</xdr:rowOff>
    </xdr:to>
    <xdr:graphicFrame macro="">
      <xdr:nvGraphicFramePr>
        <xdr:cNvPr id="193473" name="Chart 1">
          <a:extLst>
            <a:ext uri="{FF2B5EF4-FFF2-40B4-BE49-F238E27FC236}">
              <a16:creationId xmlns:a16="http://schemas.microsoft.com/office/drawing/2014/main" id="{00000000-0008-0000-2800-0000C1F3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337705</xdr:colOff>
      <xdr:row>1</xdr:row>
      <xdr:rowOff>112567</xdr:rowOff>
    </xdr:from>
    <xdr:to>
      <xdr:col>13</xdr:col>
      <xdr:colOff>285581</xdr:colOff>
      <xdr:row>1</xdr:row>
      <xdr:rowOff>341167</xdr:rowOff>
    </xdr:to>
    <xdr:sp macro="" textlink="">
      <xdr:nvSpPr>
        <xdr:cNvPr id="4" name="Rounded Rectangle 3">
          <a:hlinkClick xmlns:r="http://schemas.openxmlformats.org/officeDocument/2006/relationships" r:id="rId3" tooltip="Click"/>
          <a:extLst>
            <a:ext uri="{FF2B5EF4-FFF2-40B4-BE49-F238E27FC236}">
              <a16:creationId xmlns:a16="http://schemas.microsoft.com/office/drawing/2014/main" id="{00000000-0008-0000-2800-000004000000}"/>
            </a:ext>
          </a:extLst>
        </xdr:cNvPr>
        <xdr:cNvSpPr/>
      </xdr:nvSpPr>
      <xdr:spPr>
        <a:xfrm>
          <a:off x="8044296" y="173181"/>
          <a:ext cx="64568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wsDr>
</file>

<file path=xl/drawings/drawing39.xml><?xml version="1.0" encoding="utf-8"?>
<xdr:wsDr xmlns:xdr="http://schemas.openxmlformats.org/drawingml/2006/spreadsheetDrawing" xmlns:a="http://schemas.openxmlformats.org/drawingml/2006/main">
  <xdr:twoCellAnchor editAs="absolute">
    <xdr:from>
      <xdr:col>1</xdr:col>
      <xdr:colOff>76200</xdr:colOff>
      <xdr:row>1</xdr:row>
      <xdr:rowOff>96371</xdr:rowOff>
    </xdr:from>
    <xdr:to>
      <xdr:col>1</xdr:col>
      <xdr:colOff>1076727</xdr:colOff>
      <xdr:row>1</xdr:row>
      <xdr:rowOff>324971</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9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1</xdr:col>
      <xdr:colOff>4234</xdr:colOff>
      <xdr:row>30</xdr:row>
      <xdr:rowOff>50800</xdr:rowOff>
    </xdr:from>
    <xdr:to>
      <xdr:col>4</xdr:col>
      <xdr:colOff>620184</xdr:colOff>
      <xdr:row>56</xdr:row>
      <xdr:rowOff>50800</xdr:rowOff>
    </xdr:to>
    <xdr:graphicFrame macro="">
      <xdr:nvGraphicFramePr>
        <xdr:cNvPr id="1493073" name="Chart 1">
          <a:extLst>
            <a:ext uri="{FF2B5EF4-FFF2-40B4-BE49-F238E27FC236}">
              <a16:creationId xmlns:a16="http://schemas.microsoft.com/office/drawing/2014/main" id="{00000000-0008-0000-2900-000051C81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662516</xdr:colOff>
      <xdr:row>30</xdr:row>
      <xdr:rowOff>49742</xdr:rowOff>
    </xdr:from>
    <xdr:to>
      <xdr:col>12</xdr:col>
      <xdr:colOff>452966</xdr:colOff>
      <xdr:row>56</xdr:row>
      <xdr:rowOff>59267</xdr:rowOff>
    </xdr:to>
    <xdr:graphicFrame macro="">
      <xdr:nvGraphicFramePr>
        <xdr:cNvPr id="1493074" name="Chart 4">
          <a:extLst>
            <a:ext uri="{FF2B5EF4-FFF2-40B4-BE49-F238E27FC236}">
              <a16:creationId xmlns:a16="http://schemas.microsoft.com/office/drawing/2014/main" id="{00000000-0008-0000-2900-000052C81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11</xdr:col>
      <xdr:colOff>23432</xdr:colOff>
      <xdr:row>1</xdr:row>
      <xdr:rowOff>100293</xdr:rowOff>
    </xdr:from>
    <xdr:to>
      <xdr:col>12</xdr:col>
      <xdr:colOff>255543</xdr:colOff>
      <xdr:row>1</xdr:row>
      <xdr:rowOff>335243</xdr:rowOff>
    </xdr:to>
    <xdr:sp macro="" textlink="">
      <xdr:nvSpPr>
        <xdr:cNvPr id="7" name="Rounded Rectangle 6">
          <a:hlinkClick xmlns:r="http://schemas.openxmlformats.org/officeDocument/2006/relationships" r:id="rId4" tooltip="Click"/>
          <a:extLst>
            <a:ext uri="{FF2B5EF4-FFF2-40B4-BE49-F238E27FC236}">
              <a16:creationId xmlns:a16="http://schemas.microsoft.com/office/drawing/2014/main" id="{00000000-0008-0000-2900-000007000000}"/>
            </a:ext>
          </a:extLst>
        </xdr:cNvPr>
        <xdr:cNvSpPr/>
      </xdr:nvSpPr>
      <xdr:spPr>
        <a:xfrm>
          <a:off x="9567582" y="156322"/>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1</xdr:col>
      <xdr:colOff>15240</xdr:colOff>
      <xdr:row>1</xdr:row>
      <xdr:rowOff>0</xdr:rowOff>
    </xdr:from>
    <xdr:to>
      <xdr:col>10</xdr:col>
      <xdr:colOff>21070</xdr:colOff>
      <xdr:row>1</xdr:row>
      <xdr:rowOff>398145</xdr:rowOff>
    </xdr:to>
    <xdr:sp macro="" textlink="">
      <xdr:nvSpPr>
        <xdr:cNvPr id="1464516" name="Rectangle 365">
          <a:extLst>
            <a:ext uri="{FF2B5EF4-FFF2-40B4-BE49-F238E27FC236}">
              <a16:creationId xmlns:a16="http://schemas.microsoft.com/office/drawing/2014/main" id="{00000000-0008-0000-0300-0000C458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15240</xdr:colOff>
      <xdr:row>0</xdr:row>
      <xdr:rowOff>60959</xdr:rowOff>
    </xdr:from>
    <xdr:to>
      <xdr:col>3</xdr:col>
      <xdr:colOff>1218922</xdr:colOff>
      <xdr:row>0</xdr:row>
      <xdr:rowOff>340994</xdr:rowOff>
    </xdr:to>
    <xdr:sp macro="" textlink="Titles!B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03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79737414-2531-49F5-82E8-307B67CC7DCE}" type="TxLink">
            <a:rPr lang="en-US" sz="1000" b="1">
              <a:solidFill>
                <a:schemeClr val="lt1"/>
              </a:solidFill>
              <a:latin typeface="+mn-lt"/>
              <a:ea typeface="+mn-ea"/>
              <a:cs typeface="+mn-cs"/>
            </a:rPr>
            <a:pPr marL="0" indent="0" algn="ctr"/>
            <a:t>Utility Information</a:t>
          </a:fld>
          <a:endParaRPr lang="en-US" sz="1000" b="1">
            <a:solidFill>
              <a:schemeClr val="lt1"/>
            </a:solidFill>
            <a:latin typeface="+mn-lt"/>
            <a:ea typeface="+mn-ea"/>
            <a:cs typeface="+mn-cs"/>
          </a:endParaRPr>
        </a:p>
      </xdr:txBody>
    </xdr:sp>
    <xdr:clientData/>
  </xdr:twoCellAnchor>
  <xdr:twoCellAnchor editAs="absolute">
    <xdr:from>
      <xdr:col>3</xdr:col>
      <xdr:colOff>1235536</xdr:colOff>
      <xdr:row>0</xdr:row>
      <xdr:rowOff>55245</xdr:rowOff>
    </xdr:from>
    <xdr:to>
      <xdr:col>4</xdr:col>
      <xdr:colOff>436905</xdr:colOff>
      <xdr:row>0</xdr:row>
      <xdr:rowOff>340995</xdr:rowOff>
    </xdr:to>
    <xdr:sp macro="" textlink="Titles!B3">
      <xdr:nvSpPr>
        <xdr:cNvPr id="4" name="Round Same Side Corner Rectangle 3">
          <a:extLst>
            <a:ext uri="{FF2B5EF4-FFF2-40B4-BE49-F238E27FC236}">
              <a16:creationId xmlns:a16="http://schemas.microsoft.com/office/drawing/2014/main" id="{00000000-0008-0000-0300-000004000000}"/>
            </a:ext>
          </a:extLst>
        </xdr:cNvPr>
        <xdr:cNvSpPr/>
      </xdr:nvSpPr>
      <xdr:spPr>
        <a:xfrm>
          <a:off x="1562100"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B397BDF8-556C-4ED1-A2A6-6F97A4E9A51C}" type="TxLink">
            <a:rPr lang="en-US" sz="1000" b="1">
              <a:solidFill>
                <a:sysClr val="windowText" lastClr="000000"/>
              </a:solidFill>
              <a:latin typeface="+mn-lt"/>
              <a:ea typeface="+mn-ea"/>
              <a:cs typeface="+mn-cs"/>
            </a:rPr>
            <a:pPr marL="0" indent="0" algn="ctr"/>
            <a:t>Program Descriptions</a:t>
          </a:fld>
          <a:endParaRPr lang="en-US" sz="1000" b="1">
            <a:solidFill>
              <a:sysClr val="windowText" lastClr="000000"/>
            </a:solidFill>
            <a:latin typeface="+mn-lt"/>
            <a:ea typeface="+mn-ea"/>
            <a:cs typeface="+mn-cs"/>
          </a:endParaRPr>
        </a:p>
      </xdr:txBody>
    </xdr:sp>
    <xdr:clientData/>
  </xdr:twoCellAnchor>
  <xdr:twoCellAnchor editAs="absolute">
    <xdr:from>
      <xdr:col>4</xdr:col>
      <xdr:colOff>459047</xdr:colOff>
      <xdr:row>0</xdr:row>
      <xdr:rowOff>55245</xdr:rowOff>
    </xdr:from>
    <xdr:to>
      <xdr:col>5</xdr:col>
      <xdr:colOff>479993</xdr:colOff>
      <xdr:row>0</xdr:row>
      <xdr:rowOff>340995</xdr:rowOff>
    </xdr:to>
    <xdr:sp macro="" textlink="Titles!B4">
      <xdr:nvSpPr>
        <xdr:cNvPr id="5" name="Round Same Side Corner Rectangle 4">
          <a:hlinkClick xmlns:r="http://schemas.openxmlformats.org/officeDocument/2006/relationships" r:id="rId2" tooltip="Click"/>
          <a:extLst>
            <a:ext uri="{FF2B5EF4-FFF2-40B4-BE49-F238E27FC236}">
              <a16:creationId xmlns:a16="http://schemas.microsoft.com/office/drawing/2014/main" id="{00000000-0008-0000-0300-000005000000}"/>
            </a:ext>
          </a:extLst>
        </xdr:cNvPr>
        <xdr:cNvSpPr/>
      </xdr:nvSpPr>
      <xdr:spPr>
        <a:xfrm>
          <a:off x="30384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5BD78D32-E0FA-4B1A-9298-8952311446EC}" type="TxLink">
            <a:rPr lang="en-US" sz="1000" b="1"/>
            <a:pPr algn="ctr"/>
            <a:t>Budgets</a:t>
          </a:fld>
          <a:endParaRPr lang="en-US" sz="1000" b="1"/>
        </a:p>
      </xdr:txBody>
    </xdr:sp>
    <xdr:clientData/>
  </xdr:twoCellAnchor>
  <xdr:twoCellAnchor editAs="absolute">
    <xdr:from>
      <xdr:col>5</xdr:col>
      <xdr:colOff>497148</xdr:colOff>
      <xdr:row>0</xdr:row>
      <xdr:rowOff>55245</xdr:rowOff>
    </xdr:from>
    <xdr:to>
      <xdr:col>6</xdr:col>
      <xdr:colOff>301636</xdr:colOff>
      <xdr:row>0</xdr:row>
      <xdr:rowOff>340995</xdr:rowOff>
    </xdr:to>
    <xdr:sp macro="" textlink="Titles!B5">
      <xdr:nvSpPr>
        <xdr:cNvPr id="6" name="Round Same Side Corner Rectangle 5">
          <a:hlinkClick xmlns:r="http://schemas.openxmlformats.org/officeDocument/2006/relationships" r:id="rId3" tooltip="Click"/>
          <a:extLst>
            <a:ext uri="{FF2B5EF4-FFF2-40B4-BE49-F238E27FC236}">
              <a16:creationId xmlns:a16="http://schemas.microsoft.com/office/drawing/2014/main" id="{00000000-0008-0000-03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A56CCD9A-6F96-4562-810C-641B72AC6BCC}" type="TxLink">
            <a:rPr lang="en-US" sz="1000" b="1"/>
            <a:pPr algn="ctr"/>
            <a:t>Savings &amp; Participants</a:t>
          </a:fld>
          <a:endParaRPr lang="en-US" sz="1000" b="1"/>
        </a:p>
      </xdr:txBody>
    </xdr:sp>
    <xdr:clientData/>
  </xdr:twoCellAnchor>
  <xdr:twoCellAnchor editAs="absolute">
    <xdr:from>
      <xdr:col>6</xdr:col>
      <xdr:colOff>324427</xdr:colOff>
      <xdr:row>0</xdr:row>
      <xdr:rowOff>55245</xdr:rowOff>
    </xdr:from>
    <xdr:to>
      <xdr:col>6</xdr:col>
      <xdr:colOff>1769349</xdr:colOff>
      <xdr:row>0</xdr:row>
      <xdr:rowOff>340995</xdr:rowOff>
    </xdr:to>
    <xdr:sp macro="" textlink="Titles!B6">
      <xdr:nvSpPr>
        <xdr:cNvPr id="7" name="Round Same Side Corner Rectangle 6">
          <a:hlinkClick xmlns:r="http://schemas.openxmlformats.org/officeDocument/2006/relationships" r:id="rId4" tooltip="Click"/>
          <a:extLst>
            <a:ext uri="{FF2B5EF4-FFF2-40B4-BE49-F238E27FC236}">
              <a16:creationId xmlns:a16="http://schemas.microsoft.com/office/drawing/2014/main" id="{00000000-0008-0000-03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0D3E0DAC-08ED-463D-86E8-A85339CE52C3}" type="TxLink">
            <a:rPr lang="en-US" sz="1000" b="1"/>
            <a:pPr algn="ctr"/>
            <a:t>Training</a:t>
          </a:fld>
          <a:endParaRPr lang="en-US" sz="1000" b="1"/>
        </a:p>
      </xdr:txBody>
    </xdr:sp>
    <xdr:clientData/>
  </xdr:twoCellAnchor>
  <xdr:twoCellAnchor editAs="absolute">
    <xdr:from>
      <xdr:col>6</xdr:col>
      <xdr:colOff>1792546</xdr:colOff>
      <xdr:row>0</xdr:row>
      <xdr:rowOff>55245</xdr:rowOff>
    </xdr:from>
    <xdr:to>
      <xdr:col>10</xdr:col>
      <xdr:colOff>37674</xdr:colOff>
      <xdr:row>0</xdr:row>
      <xdr:rowOff>342900</xdr:rowOff>
    </xdr:to>
    <xdr:sp macro="" textlink="Titles!B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03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BC08E5AE-CBD3-4B8B-B7BB-C2257C0381FA}"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3</xdr:col>
      <xdr:colOff>857828</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3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xdr:from>
      <xdr:col>1</xdr:col>
      <xdr:colOff>85725</xdr:colOff>
      <xdr:row>1</xdr:row>
      <xdr:rowOff>447675</xdr:rowOff>
    </xdr:from>
    <xdr:to>
      <xdr:col>8</xdr:col>
      <xdr:colOff>578949</xdr:colOff>
      <xdr:row>1</xdr:row>
      <xdr:rowOff>1160319</xdr:rowOff>
    </xdr:to>
    <xdr:sp macro="" textlink="">
      <xdr:nvSpPr>
        <xdr:cNvPr id="10" name="Rounded Rectangle 6">
          <a:extLst>
            <a:ext uri="{FF2B5EF4-FFF2-40B4-BE49-F238E27FC236}">
              <a16:creationId xmlns:a16="http://schemas.microsoft.com/office/drawing/2014/main" id="{00000000-0008-0000-0300-00000A000000}"/>
            </a:ext>
          </a:extLst>
        </xdr:cNvPr>
        <xdr:cNvSpPr>
          <a:spLocks noChangeArrowheads="1"/>
        </xdr:cNvSpPr>
      </xdr:nvSpPr>
      <xdr:spPr bwMode="auto">
        <a:xfrm>
          <a:off x="154998" y="811357"/>
          <a:ext cx="8719360" cy="712644"/>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the following details  for each program: Program Name, Target Sector, Program Type, and Delivery Channel . Provide additional detail for each program by clicking on the "Program Detail" button.  </a:t>
          </a:r>
        </a:p>
        <a:p>
          <a:pPr algn="l" rtl="0">
            <a:defRPr sz="1000"/>
          </a:pPr>
          <a:endParaRPr lang="en-US" sz="900" b="0" i="0" u="none" strike="noStrike" baseline="0">
            <a:solidFill>
              <a:srgbClr val="000000"/>
            </a:solidFill>
            <a:latin typeface="Calibri"/>
            <a:cs typeface="Calibri"/>
          </a:endParaRPr>
        </a:p>
        <a:p>
          <a:pPr algn="l" rtl="0">
            <a:defRPr sz="1000"/>
          </a:pPr>
          <a:r>
            <a:rPr lang="en-US" sz="900" b="0" i="0" u="none" strike="noStrike" baseline="0">
              <a:solidFill>
                <a:srgbClr val="000000"/>
              </a:solidFill>
              <a:latin typeface="Calibri"/>
              <a:cs typeface="Calibri"/>
            </a:rPr>
            <a:t>Note: Target sector , Program Type, and Delivery Channel are dropdown options.  </a:t>
          </a:r>
          <a:r>
            <a:rPr lang="en-US" sz="900" b="0" i="0" u="sng" strike="noStrike" baseline="0">
              <a:solidFill>
                <a:srgbClr val="000000"/>
              </a:solidFill>
              <a:latin typeface="Calibri"/>
              <a:cs typeface="Calibri"/>
            </a:rPr>
            <a:t>DO NOT</a:t>
          </a:r>
          <a:r>
            <a:rPr lang="en-US" sz="900" b="0" i="0" u="none" strike="noStrike" baseline="0">
              <a:solidFill>
                <a:srgbClr val="000000"/>
              </a:solidFill>
              <a:latin typeface="Calibri"/>
              <a:cs typeface="Calibri"/>
            </a:rPr>
            <a:t> use the copy&amp;paste function for dropdown opitions.</a:t>
          </a:r>
          <a:endParaRPr lang="en-US" sz="900"/>
        </a:p>
      </xdr:txBody>
    </xdr:sp>
    <xdr:clientData/>
  </xdr:twoCellAnchor>
  <xdr:twoCellAnchor editAs="absolute">
    <xdr:from>
      <xdr:col>3</xdr:col>
      <xdr:colOff>1203786</xdr:colOff>
      <xdr:row>0</xdr:row>
      <xdr:rowOff>293584</xdr:rowOff>
    </xdr:from>
    <xdr:to>
      <xdr:col>6</xdr:col>
      <xdr:colOff>1792548</xdr:colOff>
      <xdr:row>1</xdr:row>
      <xdr:rowOff>276498</xdr:rowOff>
    </xdr:to>
    <xdr:sp macro="" textlink="Titles!F5">
      <xdr:nvSpPr>
        <xdr:cNvPr id="11" name="TextBox 10">
          <a:extLst>
            <a:ext uri="{FF2B5EF4-FFF2-40B4-BE49-F238E27FC236}">
              <a16:creationId xmlns:a16="http://schemas.microsoft.com/office/drawing/2014/main" id="{00000000-0008-0000-0300-00000B000000}"/>
            </a:ext>
          </a:extLst>
        </xdr:cNvPr>
        <xdr:cNvSpPr txBox="1"/>
      </xdr:nvSpPr>
      <xdr:spPr>
        <a:xfrm>
          <a:off x="1537681" y="295489"/>
          <a:ext cx="6082435"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FD84186B-73E1-42D7-B4EC-65B2D7A30F07}" type="TxLink">
            <a:rPr lang="en-US" sz="1600" b="1" i="1" u="none"/>
            <a:pPr algn="ctr"/>
            <a:t>EAL - 2025 EE Portfolio Information</a:t>
          </a:fld>
          <a:endParaRPr lang="en-US" sz="1600" b="1" i="1" u="none"/>
        </a:p>
      </xdr:txBody>
    </xdr:sp>
    <xdr:clientData/>
  </xdr:twoCellAnchor>
  <xdr:twoCellAnchor editAs="absolute">
    <xdr:from>
      <xdr:col>3</xdr:col>
      <xdr:colOff>1904826</xdr:colOff>
      <xdr:row>1</xdr:row>
      <xdr:rowOff>135255</xdr:rowOff>
    </xdr:from>
    <xdr:to>
      <xdr:col>6</xdr:col>
      <xdr:colOff>1089611</xdr:colOff>
      <xdr:row>1</xdr:row>
      <xdr:rowOff>419270</xdr:rowOff>
    </xdr:to>
    <xdr:sp macro="" textlink="Titles!B3">
      <xdr:nvSpPr>
        <xdr:cNvPr id="12" name="TextBox 11">
          <a:extLst>
            <a:ext uri="{FF2B5EF4-FFF2-40B4-BE49-F238E27FC236}">
              <a16:creationId xmlns:a16="http://schemas.microsoft.com/office/drawing/2014/main" id="{00000000-0008-0000-0300-00000C000000}"/>
            </a:ext>
          </a:extLst>
        </xdr:cNvPr>
        <xdr:cNvSpPr txBox="1"/>
      </xdr:nvSpPr>
      <xdr:spPr>
        <a:xfrm>
          <a:off x="2242531" y="502747"/>
          <a:ext cx="4682268"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DF2FE8A1-4FE3-431E-8979-A0C289ABF463}" type="TxLink">
            <a:rPr lang="en-US" sz="1200" b="0"/>
            <a:pPr algn="ctr"/>
            <a:t>Program Descriptions</a:t>
          </a:fld>
          <a:endParaRPr lang="en-US" sz="1200" b="0"/>
        </a:p>
      </xdr:txBody>
    </xdr:sp>
    <xdr:clientData/>
  </xdr:twoCellAnchor>
  <xdr:twoCellAnchor editAs="absolute">
    <xdr:from>
      <xdr:col>6</xdr:col>
      <xdr:colOff>1849697</xdr:colOff>
      <xdr:row>1</xdr:row>
      <xdr:rowOff>95250</xdr:rowOff>
    </xdr:from>
    <xdr:to>
      <xdr:col>8</xdr:col>
      <xdr:colOff>3540</xdr:colOff>
      <xdr:row>1</xdr:row>
      <xdr:rowOff>323850</xdr:rowOff>
    </xdr:to>
    <xdr:sp macro="" textlink="">
      <xdr:nvSpPr>
        <xdr:cNvPr id="13" name="Rounded Rectangle 12">
          <a:hlinkClick xmlns:r="http://schemas.openxmlformats.org/officeDocument/2006/relationships" r:id="rId1" tooltip="Click"/>
          <a:extLst>
            <a:ext uri="{FF2B5EF4-FFF2-40B4-BE49-F238E27FC236}">
              <a16:creationId xmlns:a16="http://schemas.microsoft.com/office/drawing/2014/main" id="{00000000-0008-0000-03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8</xdr:col>
      <xdr:colOff>56515</xdr:colOff>
      <xdr:row>1</xdr:row>
      <xdr:rowOff>95250</xdr:rowOff>
    </xdr:from>
    <xdr:to>
      <xdr:col>9</xdr:col>
      <xdr:colOff>21875</xdr:colOff>
      <xdr:row>1</xdr:row>
      <xdr:rowOff>323850</xdr:rowOff>
    </xdr:to>
    <xdr:sp macro="" textlink="">
      <xdr:nvSpPr>
        <xdr:cNvPr id="14" name="Rounded Rectangle 13">
          <a:hlinkClick xmlns:r="http://schemas.openxmlformats.org/officeDocument/2006/relationships" r:id="rId2" tooltip="Click"/>
          <a:extLst>
            <a:ext uri="{FF2B5EF4-FFF2-40B4-BE49-F238E27FC236}">
              <a16:creationId xmlns:a16="http://schemas.microsoft.com/office/drawing/2014/main" id="{00000000-0008-0000-03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6</xdr:col>
      <xdr:colOff>1324976</xdr:colOff>
      <xdr:row>2</xdr:row>
      <xdr:rowOff>0</xdr:rowOff>
    </xdr:from>
    <xdr:to>
      <xdr:col>8</xdr:col>
      <xdr:colOff>401088</xdr:colOff>
      <xdr:row>3</xdr:row>
      <xdr:rowOff>54553</xdr:rowOff>
    </xdr:to>
    <xdr:sp macro="" textlink="">
      <xdr:nvSpPr>
        <xdr:cNvPr id="16" name="Rounded Rectangle 15">
          <a:hlinkClick xmlns:r="http://schemas.openxmlformats.org/officeDocument/2006/relationships" r:id="rId7" tooltip="Click"/>
          <a:extLst>
            <a:ext uri="{FF2B5EF4-FFF2-40B4-BE49-F238E27FC236}">
              <a16:creationId xmlns:a16="http://schemas.microsoft.com/office/drawing/2014/main" id="{00000000-0008-0000-0300-000010000000}"/>
            </a:ext>
          </a:extLst>
        </xdr:cNvPr>
        <xdr:cNvSpPr/>
      </xdr:nvSpPr>
      <xdr:spPr>
        <a:xfrm>
          <a:off x="7152544" y="1705841"/>
          <a:ext cx="1532523" cy="21907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a:solidFill>
                <a:sysClr val="windowText" lastClr="000000"/>
              </a:solidFill>
            </a:rPr>
            <a:t>Program</a:t>
          </a:r>
          <a:r>
            <a:rPr lang="en-US" sz="1000" b="1" baseline="0">
              <a:solidFill>
                <a:sysClr val="windowText" lastClr="000000"/>
              </a:solidFill>
            </a:rPr>
            <a:t> Detail</a:t>
          </a:r>
          <a:endParaRPr lang="en-US" sz="1000" b="1">
            <a:solidFill>
              <a:sysClr val="windowText" lastClr="000000"/>
            </a:solidFill>
          </a:endParaRPr>
        </a:p>
      </xdr:txBody>
    </xdr:sp>
    <xdr:clientData/>
  </xdr:twoCellAnchor>
  <xdr:twoCellAnchor editAs="oneCell">
    <xdr:from>
      <xdr:col>5</xdr:col>
      <xdr:colOff>181841</xdr:colOff>
      <xdr:row>2</xdr:row>
      <xdr:rowOff>0</xdr:rowOff>
    </xdr:from>
    <xdr:to>
      <xdr:col>5</xdr:col>
      <xdr:colOff>1048731</xdr:colOff>
      <xdr:row>3</xdr:row>
      <xdr:rowOff>20031</xdr:rowOff>
    </xdr:to>
    <xdr:sp macro="" textlink="">
      <xdr:nvSpPr>
        <xdr:cNvPr id="18" name="Rounded Rectangle 17">
          <a:hlinkClick xmlns:r="http://schemas.openxmlformats.org/officeDocument/2006/relationships" r:id="rId8" tooltip="Click"/>
          <a:extLst>
            <a:ext uri="{FF2B5EF4-FFF2-40B4-BE49-F238E27FC236}">
              <a16:creationId xmlns:a16="http://schemas.microsoft.com/office/drawing/2014/main" id="{00000000-0008-0000-0300-000012000000}"/>
            </a:ext>
          </a:extLst>
        </xdr:cNvPr>
        <xdr:cNvSpPr/>
      </xdr:nvSpPr>
      <xdr:spPr>
        <a:xfrm>
          <a:off x="4355523" y="1480705"/>
          <a:ext cx="852920" cy="170583"/>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Definitions</a:t>
          </a:r>
        </a:p>
      </xdr:txBody>
    </xdr:sp>
    <xdr:clientData/>
  </xdr:twoCellAnchor>
</xdr:wsDr>
</file>

<file path=xl/drawings/drawing40.xml><?xml version="1.0" encoding="utf-8"?>
<xdr:wsDr xmlns:xdr="http://schemas.openxmlformats.org/drawingml/2006/spreadsheetDrawing" xmlns:a="http://schemas.openxmlformats.org/drawingml/2006/main">
  <xdr:twoCellAnchor editAs="absolute">
    <xdr:from>
      <xdr:col>1</xdr:col>
      <xdr:colOff>76200</xdr:colOff>
      <xdr:row>1</xdr:row>
      <xdr:rowOff>92242</xdr:rowOff>
    </xdr:from>
    <xdr:to>
      <xdr:col>1</xdr:col>
      <xdr:colOff>1061171</xdr:colOff>
      <xdr:row>1</xdr:row>
      <xdr:rowOff>320842</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A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1</xdr:col>
      <xdr:colOff>2390775</xdr:colOff>
      <xdr:row>21</xdr:row>
      <xdr:rowOff>19050</xdr:rowOff>
    </xdr:from>
    <xdr:to>
      <xdr:col>12</xdr:col>
      <xdr:colOff>0</xdr:colOff>
      <xdr:row>39</xdr:row>
      <xdr:rowOff>0</xdr:rowOff>
    </xdr:to>
    <xdr:graphicFrame macro="">
      <xdr:nvGraphicFramePr>
        <xdr:cNvPr id="301878" name="Chart 1">
          <a:extLst>
            <a:ext uri="{FF2B5EF4-FFF2-40B4-BE49-F238E27FC236}">
              <a16:creationId xmlns:a16="http://schemas.microsoft.com/office/drawing/2014/main" id="{00000000-0008-0000-2A00-0000369B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10</xdr:col>
      <xdr:colOff>95250</xdr:colOff>
      <xdr:row>1</xdr:row>
      <xdr:rowOff>133350</xdr:rowOff>
    </xdr:from>
    <xdr:to>
      <xdr:col>11</xdr:col>
      <xdr:colOff>349388</xdr:colOff>
      <xdr:row>1</xdr:row>
      <xdr:rowOff>361950</xdr:rowOff>
    </xdr:to>
    <xdr:sp macro="" textlink="">
      <xdr:nvSpPr>
        <xdr:cNvPr id="7" name="Rounded Rectangle 6">
          <a:hlinkClick xmlns:r="http://schemas.openxmlformats.org/officeDocument/2006/relationships" r:id="rId3" tooltip="Click"/>
          <a:extLst>
            <a:ext uri="{FF2B5EF4-FFF2-40B4-BE49-F238E27FC236}">
              <a16:creationId xmlns:a16="http://schemas.microsoft.com/office/drawing/2014/main" id="{00000000-0008-0000-2A00-000007000000}"/>
            </a:ext>
          </a:extLst>
        </xdr:cNvPr>
        <xdr:cNvSpPr/>
      </xdr:nvSpPr>
      <xdr:spPr>
        <a:xfrm>
          <a:off x="7953375" y="190500"/>
          <a:ext cx="64466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9</xdr:col>
      <xdr:colOff>0</xdr:colOff>
      <xdr:row>1</xdr:row>
      <xdr:rowOff>133350</xdr:rowOff>
    </xdr:from>
    <xdr:to>
      <xdr:col>9</xdr:col>
      <xdr:colOff>645683</xdr:colOff>
      <xdr:row>1</xdr:row>
      <xdr:rowOff>361950</xdr:rowOff>
    </xdr:to>
    <xdr:sp macro="" textlink="">
      <xdr:nvSpPr>
        <xdr:cNvPr id="8" name="Rounded Rectangle 7">
          <a:hlinkClick xmlns:r="http://schemas.openxmlformats.org/officeDocument/2006/relationships" r:id="rId4" tooltip="Click"/>
          <a:extLst>
            <a:ext uri="{FF2B5EF4-FFF2-40B4-BE49-F238E27FC236}">
              <a16:creationId xmlns:a16="http://schemas.microsoft.com/office/drawing/2014/main" id="{00000000-0008-0000-2A00-000008000000}"/>
            </a:ext>
          </a:extLst>
        </xdr:cNvPr>
        <xdr:cNvSpPr/>
      </xdr:nvSpPr>
      <xdr:spPr>
        <a:xfrm>
          <a:off x="7162800" y="190500"/>
          <a:ext cx="64568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wsDr>
</file>

<file path=xl/drawings/drawing41.xml><?xml version="1.0" encoding="utf-8"?>
<xdr:wsDr xmlns:xdr="http://schemas.openxmlformats.org/drawingml/2006/spreadsheetDrawing" xmlns:a="http://schemas.openxmlformats.org/drawingml/2006/main">
  <xdr:twoCellAnchor editAs="absolute">
    <xdr:from>
      <xdr:col>1</xdr:col>
      <xdr:colOff>95250</xdr:colOff>
      <xdr:row>1</xdr:row>
      <xdr:rowOff>123825</xdr:rowOff>
    </xdr:from>
    <xdr:to>
      <xdr:col>3</xdr:col>
      <xdr:colOff>251546</xdr:colOff>
      <xdr:row>1</xdr:row>
      <xdr:rowOff>352425</xdr:rowOff>
    </xdr:to>
    <xdr:sp macro="" textlink="">
      <xdr:nvSpPr>
        <xdr:cNvPr id="2" name="Rounded Rectangle 1">
          <a:hlinkClick xmlns:r="http://schemas.openxmlformats.org/officeDocument/2006/relationships" r:id="rId1" tooltip="Click"/>
          <a:extLst>
            <a:ext uri="{FF2B5EF4-FFF2-40B4-BE49-F238E27FC236}">
              <a16:creationId xmlns:a16="http://schemas.microsoft.com/office/drawing/2014/main" id="{00000000-0008-0000-2B00-000002000000}"/>
            </a:ext>
          </a:extLst>
        </xdr:cNvPr>
        <xdr:cNvSpPr/>
      </xdr:nvSpPr>
      <xdr:spPr>
        <a:xfrm>
          <a:off x="190500" y="180975"/>
          <a:ext cx="984971"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oneCell">
    <xdr:from>
      <xdr:col>13</xdr:col>
      <xdr:colOff>43295</xdr:colOff>
      <xdr:row>1</xdr:row>
      <xdr:rowOff>129886</xdr:rowOff>
    </xdr:from>
    <xdr:to>
      <xdr:col>13</xdr:col>
      <xdr:colOff>688978</xdr:colOff>
      <xdr:row>1</xdr:row>
      <xdr:rowOff>358486</xdr:rowOff>
    </xdr:to>
    <xdr:sp macro="" textlink="">
      <xdr:nvSpPr>
        <xdr:cNvPr id="5" name="Rounded Rectangle 4">
          <a:hlinkClick xmlns:r="http://schemas.openxmlformats.org/officeDocument/2006/relationships" r:id="rId2" tooltip="Click"/>
          <a:extLst>
            <a:ext uri="{FF2B5EF4-FFF2-40B4-BE49-F238E27FC236}">
              <a16:creationId xmlns:a16="http://schemas.microsoft.com/office/drawing/2014/main" id="{00000000-0008-0000-2B00-000005000000}"/>
            </a:ext>
          </a:extLst>
        </xdr:cNvPr>
        <xdr:cNvSpPr/>
      </xdr:nvSpPr>
      <xdr:spPr>
        <a:xfrm>
          <a:off x="8156863" y="190500"/>
          <a:ext cx="64568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wsDr>
</file>

<file path=xl/drawings/drawing42.xml><?xml version="1.0" encoding="utf-8"?>
<xdr:wsDr xmlns:xdr="http://schemas.openxmlformats.org/drawingml/2006/spreadsheetDrawing" xmlns:a="http://schemas.openxmlformats.org/drawingml/2006/main">
  <xdr:twoCellAnchor editAs="absolute">
    <xdr:from>
      <xdr:col>1</xdr:col>
      <xdr:colOff>76200</xdr:colOff>
      <xdr:row>1</xdr:row>
      <xdr:rowOff>88900</xdr:rowOff>
    </xdr:from>
    <xdr:to>
      <xdr:col>1</xdr:col>
      <xdr:colOff>1070377</xdr:colOff>
      <xdr:row>1</xdr:row>
      <xdr:rowOff>317500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C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wsDr>
</file>

<file path=xl/drawings/drawing43.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2</xdr:col>
      <xdr:colOff>813406</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D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wsDr>
</file>

<file path=xl/drawings/drawing44.xml><?xml version="1.0" encoding="utf-8"?>
<xdr:wsDr xmlns:xdr="http://schemas.openxmlformats.org/drawingml/2006/spreadsheetDrawing" xmlns:a="http://schemas.openxmlformats.org/drawingml/2006/main">
  <xdr:twoCellAnchor editAs="absolute">
    <xdr:from>
      <xdr:col>1</xdr:col>
      <xdr:colOff>103909</xdr:colOff>
      <xdr:row>1</xdr:row>
      <xdr:rowOff>121228</xdr:rowOff>
    </xdr:from>
    <xdr:to>
      <xdr:col>3</xdr:col>
      <xdr:colOff>408160</xdr:colOff>
      <xdr:row>1</xdr:row>
      <xdr:rowOff>349828</xdr:rowOff>
    </xdr:to>
    <xdr:sp macro="" textlink="">
      <xdr:nvSpPr>
        <xdr:cNvPr id="7" name="Rounded Rectangle 6">
          <a:hlinkClick xmlns:r="http://schemas.openxmlformats.org/officeDocument/2006/relationships" r:id="rId1" tooltip="Click"/>
          <a:extLst>
            <a:ext uri="{FF2B5EF4-FFF2-40B4-BE49-F238E27FC236}">
              <a16:creationId xmlns:a16="http://schemas.microsoft.com/office/drawing/2014/main" id="{00000000-0008-0000-2F00-000007000000}"/>
            </a:ext>
          </a:extLst>
        </xdr:cNvPr>
        <xdr:cNvSpPr/>
      </xdr:nvSpPr>
      <xdr:spPr>
        <a:xfrm>
          <a:off x="216477" y="233796"/>
          <a:ext cx="100563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1</xdr:col>
      <xdr:colOff>34638</xdr:colOff>
      <xdr:row>2</xdr:row>
      <xdr:rowOff>25977</xdr:rowOff>
    </xdr:from>
    <xdr:to>
      <xdr:col>7</xdr:col>
      <xdr:colOff>190501</xdr:colOff>
      <xdr:row>2</xdr:row>
      <xdr:rowOff>675409</xdr:rowOff>
    </xdr:to>
    <xdr:sp macro="" textlink="">
      <xdr:nvSpPr>
        <xdr:cNvPr id="10" name="Rounded Rectangle 6">
          <a:extLst>
            <a:ext uri="{FF2B5EF4-FFF2-40B4-BE49-F238E27FC236}">
              <a16:creationId xmlns:a16="http://schemas.microsoft.com/office/drawing/2014/main" id="{00000000-0008-0000-2F00-00000A000000}"/>
            </a:ext>
          </a:extLst>
        </xdr:cNvPr>
        <xdr:cNvSpPr>
          <a:spLocks noChangeArrowheads="1"/>
        </xdr:cNvSpPr>
      </xdr:nvSpPr>
      <xdr:spPr bwMode="auto">
        <a:xfrm>
          <a:off x="147206" y="606136"/>
          <a:ext cx="4572000" cy="649432"/>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1000" b="0" i="0" u="none" strike="noStrike" baseline="0">
              <a:solidFill>
                <a:srgbClr val="000000"/>
              </a:solidFill>
              <a:latin typeface="Calibri"/>
              <a:cs typeface="Calibri"/>
            </a:rPr>
            <a:t>The red "x" indicates that a requried field in that section is incomplete.  Click on the status indicator to go to that section of the workbook.</a:t>
          </a:r>
          <a:endParaRPr lang="en-US"/>
        </a:p>
      </xdr:txBody>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1</xdr:col>
      <xdr:colOff>76200</xdr:colOff>
      <xdr:row>1</xdr:row>
      <xdr:rowOff>92869</xdr:rowOff>
    </xdr:from>
    <xdr:to>
      <xdr:col>2</xdr:col>
      <xdr:colOff>772720</xdr:colOff>
      <xdr:row>1</xdr:row>
      <xdr:rowOff>321469</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04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twoCellAnchor>
    <xdr:from>
      <xdr:col>2</xdr:col>
      <xdr:colOff>0</xdr:colOff>
      <xdr:row>5</xdr:row>
      <xdr:rowOff>273843</xdr:rowOff>
    </xdr:from>
    <xdr:to>
      <xdr:col>3</xdr:col>
      <xdr:colOff>0</xdr:colOff>
      <xdr:row>5</xdr:row>
      <xdr:rowOff>579903</xdr:rowOff>
    </xdr:to>
    <xdr:sp macro="" textlink="">
      <xdr:nvSpPr>
        <xdr:cNvPr id="6" name="Rounded Rectangle 5">
          <a:hlinkClick xmlns:r="http://schemas.openxmlformats.org/officeDocument/2006/relationships" r:id="rId2" tooltip="Click"/>
          <a:extLst>
            <a:ext uri="{FF2B5EF4-FFF2-40B4-BE49-F238E27FC236}">
              <a16:creationId xmlns:a16="http://schemas.microsoft.com/office/drawing/2014/main" id="{00000000-0008-0000-0400-000006000000}"/>
            </a:ext>
          </a:extLst>
        </xdr:cNvPr>
        <xdr:cNvSpPr/>
      </xdr:nvSpPr>
      <xdr:spPr>
        <a:xfrm>
          <a:off x="381000" y="1726406"/>
          <a:ext cx="2631281" cy="30606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a:solidFill>
                <a:sysClr val="windowText" lastClr="000000"/>
              </a:solidFill>
            </a:rPr>
            <a:t>Definitions - Residential</a:t>
          </a:r>
        </a:p>
      </xdr:txBody>
    </xdr:sp>
    <xdr:clientData/>
  </xdr:twoCellAnchor>
  <xdr:twoCellAnchor>
    <xdr:from>
      <xdr:col>2</xdr:col>
      <xdr:colOff>1</xdr:colOff>
      <xdr:row>5</xdr:row>
      <xdr:rowOff>750093</xdr:rowOff>
    </xdr:from>
    <xdr:to>
      <xdr:col>3</xdr:col>
      <xdr:colOff>0</xdr:colOff>
      <xdr:row>5</xdr:row>
      <xdr:rowOff>1045088</xdr:rowOff>
    </xdr:to>
    <xdr:sp macro="" textlink="">
      <xdr:nvSpPr>
        <xdr:cNvPr id="8" name="Rounded Rectangle 7">
          <a:hlinkClick xmlns:r="http://schemas.openxmlformats.org/officeDocument/2006/relationships" r:id="rId3" tooltip="Click"/>
          <a:extLst>
            <a:ext uri="{FF2B5EF4-FFF2-40B4-BE49-F238E27FC236}">
              <a16:creationId xmlns:a16="http://schemas.microsoft.com/office/drawing/2014/main" id="{00000000-0008-0000-0400-000008000000}"/>
            </a:ext>
          </a:extLst>
        </xdr:cNvPr>
        <xdr:cNvSpPr/>
      </xdr:nvSpPr>
      <xdr:spPr>
        <a:xfrm>
          <a:off x="381001" y="2202656"/>
          <a:ext cx="2631280" cy="29499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a:solidFill>
                <a:sysClr val="windowText" lastClr="000000"/>
              </a:solidFill>
            </a:rPr>
            <a:t>Definitions - C&amp;I</a:t>
          </a:r>
        </a:p>
      </xdr:txBody>
    </xdr:sp>
    <xdr:clientData/>
  </xdr:twoCellAnchor>
  <xdr:twoCellAnchor>
    <xdr:from>
      <xdr:col>1</xdr:col>
      <xdr:colOff>309561</xdr:colOff>
      <xdr:row>5</xdr:row>
      <xdr:rowOff>1226343</xdr:rowOff>
    </xdr:from>
    <xdr:to>
      <xdr:col>3</xdr:col>
      <xdr:colOff>0</xdr:colOff>
      <xdr:row>5</xdr:row>
      <xdr:rowOff>1538662</xdr:rowOff>
    </xdr:to>
    <xdr:sp macro="" textlink="">
      <xdr:nvSpPr>
        <xdr:cNvPr id="10" name="Rounded Rectangle 9">
          <a:hlinkClick xmlns:r="http://schemas.openxmlformats.org/officeDocument/2006/relationships" r:id="rId4" tooltip="Click"/>
          <a:extLst>
            <a:ext uri="{FF2B5EF4-FFF2-40B4-BE49-F238E27FC236}">
              <a16:creationId xmlns:a16="http://schemas.microsoft.com/office/drawing/2014/main" id="{00000000-0008-0000-0400-00000A000000}"/>
            </a:ext>
          </a:extLst>
        </xdr:cNvPr>
        <xdr:cNvSpPr/>
      </xdr:nvSpPr>
      <xdr:spPr>
        <a:xfrm>
          <a:off x="380999" y="2678906"/>
          <a:ext cx="2762251" cy="312319"/>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a:solidFill>
                <a:sysClr val="windowText" lastClr="000000"/>
              </a:solidFill>
            </a:rPr>
            <a:t>Definitions - Cross</a:t>
          </a:r>
          <a:r>
            <a:rPr lang="en-US" sz="1000" b="1" baseline="0">
              <a:solidFill>
                <a:sysClr val="windowText" lastClr="000000"/>
              </a:solidFill>
            </a:rPr>
            <a:t> Sector</a:t>
          </a:r>
          <a:endParaRPr lang="en-US" sz="1000" b="1">
            <a:solidFill>
              <a:sysClr val="windowText" lastClr="000000"/>
            </a:solidFill>
          </a:endParaRPr>
        </a:p>
      </xdr:txBody>
    </xdr:sp>
    <xdr:clientData/>
  </xdr:twoCellAnchor>
  <xdr:twoCellAnchor>
    <xdr:from>
      <xdr:col>1</xdr:col>
      <xdr:colOff>309561</xdr:colOff>
      <xdr:row>2</xdr:row>
      <xdr:rowOff>0</xdr:rowOff>
    </xdr:from>
    <xdr:to>
      <xdr:col>51</xdr:col>
      <xdr:colOff>297655</xdr:colOff>
      <xdr:row>3</xdr:row>
      <xdr:rowOff>0</xdr:rowOff>
    </xdr:to>
    <xdr:sp macro="" textlink="">
      <xdr:nvSpPr>
        <xdr:cNvPr id="11" name="Rounded Rectangle 6">
          <a:extLst>
            <a:ext uri="{FF2B5EF4-FFF2-40B4-BE49-F238E27FC236}">
              <a16:creationId xmlns:a16="http://schemas.microsoft.com/office/drawing/2014/main" id="{00000000-0008-0000-0400-00000B000000}"/>
            </a:ext>
          </a:extLst>
        </xdr:cNvPr>
        <xdr:cNvSpPr>
          <a:spLocks noChangeArrowheads="1"/>
        </xdr:cNvSpPr>
      </xdr:nvSpPr>
      <xdr:spPr bwMode="auto">
        <a:xfrm>
          <a:off x="380999" y="547688"/>
          <a:ext cx="16990219" cy="583406"/>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400" b="1" i="0" u="none" strike="noStrike" baseline="0">
              <a:solidFill>
                <a:srgbClr val="000000"/>
              </a:solidFill>
              <a:latin typeface="Calibri"/>
              <a:cs typeface="Calibri"/>
            </a:rPr>
            <a:t>Instructions:  </a:t>
          </a:r>
          <a:r>
            <a:rPr lang="en-US" sz="1100" b="0" i="0" u="none" strike="noStrike" baseline="0">
              <a:solidFill>
                <a:srgbClr val="000000"/>
              </a:solidFill>
              <a:latin typeface="Calibri"/>
              <a:cs typeface="Calibri"/>
            </a:rPr>
            <a:t>Indicate with an 'X' all that apply. </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1</xdr:col>
      <xdr:colOff>19050</xdr:colOff>
      <xdr:row>1</xdr:row>
      <xdr:rowOff>0</xdr:rowOff>
    </xdr:from>
    <xdr:to>
      <xdr:col>11</xdr:col>
      <xdr:colOff>15240</xdr:colOff>
      <xdr:row>1</xdr:row>
      <xdr:rowOff>401955</xdr:rowOff>
    </xdr:to>
    <xdr:sp macro="" textlink="">
      <xdr:nvSpPr>
        <xdr:cNvPr id="1466550" name="Rectangle 365">
          <a:extLst>
            <a:ext uri="{FF2B5EF4-FFF2-40B4-BE49-F238E27FC236}">
              <a16:creationId xmlns:a16="http://schemas.microsoft.com/office/drawing/2014/main" id="{00000000-0008-0000-0500-0000B660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19050</xdr:colOff>
      <xdr:row>0</xdr:row>
      <xdr:rowOff>57149</xdr:rowOff>
    </xdr:from>
    <xdr:to>
      <xdr:col>2</xdr:col>
      <xdr:colOff>1240051</xdr:colOff>
      <xdr:row>0</xdr:row>
      <xdr:rowOff>340994</xdr:rowOff>
    </xdr:to>
    <xdr:sp macro="" textlink="Titles!B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05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7A90511E-5B8C-47D3-8397-5241F59F86E0}" type="TxLink">
            <a:rPr lang="en-US" sz="1000" b="1">
              <a:solidFill>
                <a:schemeClr val="lt1"/>
              </a:solidFill>
              <a:latin typeface="+mn-lt"/>
              <a:ea typeface="+mn-ea"/>
              <a:cs typeface="+mn-cs"/>
            </a:rPr>
            <a:pPr marL="0" indent="0" algn="ctr"/>
            <a:t>Utility Information</a:t>
          </a:fld>
          <a:endParaRPr lang="en-US" sz="1000" b="1">
            <a:solidFill>
              <a:schemeClr val="lt1"/>
            </a:solidFill>
            <a:latin typeface="+mn-lt"/>
            <a:ea typeface="+mn-ea"/>
            <a:cs typeface="+mn-cs"/>
          </a:endParaRPr>
        </a:p>
      </xdr:txBody>
    </xdr:sp>
    <xdr:clientData/>
  </xdr:twoCellAnchor>
  <xdr:twoCellAnchor editAs="absolute">
    <xdr:from>
      <xdr:col>2</xdr:col>
      <xdr:colOff>1236345</xdr:colOff>
      <xdr:row>0</xdr:row>
      <xdr:rowOff>59055</xdr:rowOff>
    </xdr:from>
    <xdr:to>
      <xdr:col>3</xdr:col>
      <xdr:colOff>326473</xdr:colOff>
      <xdr:row>0</xdr:row>
      <xdr:rowOff>340995</xdr:rowOff>
    </xdr:to>
    <xdr:sp macro="" textlink="Titles!B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05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4230275D-AC77-47F3-A3DC-CC2DB247C11D}" type="TxLink">
            <a:rPr lang="en-US" sz="1000" b="1">
              <a:solidFill>
                <a:schemeClr val="lt1"/>
              </a:solidFill>
              <a:latin typeface="+mn-lt"/>
              <a:ea typeface="+mn-ea"/>
              <a:cs typeface="+mn-cs"/>
            </a:rPr>
            <a:pPr marL="0" indent="0" algn="ctr"/>
            <a:t>Program Descriptions</a:t>
          </a:fld>
          <a:endParaRPr lang="en-US" sz="1000" b="1">
            <a:solidFill>
              <a:schemeClr val="lt1"/>
            </a:solidFill>
            <a:latin typeface="+mn-lt"/>
            <a:ea typeface="+mn-ea"/>
            <a:cs typeface="+mn-cs"/>
          </a:endParaRPr>
        </a:p>
      </xdr:txBody>
    </xdr:sp>
    <xdr:clientData/>
  </xdr:twoCellAnchor>
  <xdr:twoCellAnchor editAs="absolute">
    <xdr:from>
      <xdr:col>3</xdr:col>
      <xdr:colOff>340995</xdr:colOff>
      <xdr:row>0</xdr:row>
      <xdr:rowOff>59055</xdr:rowOff>
    </xdr:from>
    <xdr:to>
      <xdr:col>5</xdr:col>
      <xdr:colOff>18422</xdr:colOff>
      <xdr:row>0</xdr:row>
      <xdr:rowOff>340995</xdr:rowOff>
    </xdr:to>
    <xdr:sp macro="" textlink="Titles!B4">
      <xdr:nvSpPr>
        <xdr:cNvPr id="5" name="Round Same Side Corner Rectangle 4">
          <a:extLst>
            <a:ext uri="{FF2B5EF4-FFF2-40B4-BE49-F238E27FC236}">
              <a16:creationId xmlns:a16="http://schemas.microsoft.com/office/drawing/2014/main" id="{00000000-0008-0000-0500-000005000000}"/>
            </a:ext>
          </a:extLst>
        </xdr:cNvPr>
        <xdr:cNvSpPr/>
      </xdr:nvSpPr>
      <xdr:spPr>
        <a:xfrm>
          <a:off x="3038475"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DE390768-C45C-4D24-A11F-8EA908B22F8C}" type="TxLink">
            <a:rPr lang="en-US" sz="1000" b="1">
              <a:solidFill>
                <a:sysClr val="windowText" lastClr="000000"/>
              </a:solidFill>
              <a:latin typeface="+mn-lt"/>
              <a:ea typeface="+mn-ea"/>
              <a:cs typeface="+mn-cs"/>
            </a:rPr>
            <a:pPr marL="0" indent="0" algn="ctr"/>
            <a:t>Budgets</a:t>
          </a:fld>
          <a:endParaRPr lang="en-US" sz="1000" b="1">
            <a:solidFill>
              <a:sysClr val="windowText" lastClr="000000"/>
            </a:solidFill>
            <a:latin typeface="+mn-lt"/>
            <a:ea typeface="+mn-ea"/>
            <a:cs typeface="+mn-cs"/>
          </a:endParaRPr>
        </a:p>
      </xdr:txBody>
    </xdr:sp>
    <xdr:clientData/>
  </xdr:twoCellAnchor>
  <xdr:twoCellAnchor editAs="absolute">
    <xdr:from>
      <xdr:col>5</xdr:col>
      <xdr:colOff>53340</xdr:colOff>
      <xdr:row>0</xdr:row>
      <xdr:rowOff>59055</xdr:rowOff>
    </xdr:from>
    <xdr:to>
      <xdr:col>6</xdr:col>
      <xdr:colOff>626702</xdr:colOff>
      <xdr:row>0</xdr:row>
      <xdr:rowOff>340995</xdr:rowOff>
    </xdr:to>
    <xdr:sp macro="" textlink="Titles!B5">
      <xdr:nvSpPr>
        <xdr:cNvPr id="6" name="Round Same Side Corner Rectangle 5">
          <a:hlinkClick xmlns:r="http://schemas.openxmlformats.org/officeDocument/2006/relationships" r:id="rId3" tooltip="Click"/>
          <a:extLst>
            <a:ext uri="{FF2B5EF4-FFF2-40B4-BE49-F238E27FC236}">
              <a16:creationId xmlns:a16="http://schemas.microsoft.com/office/drawing/2014/main" id="{00000000-0008-0000-05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F941656D-E333-4C96-B639-99F951C076E9}" type="TxLink">
            <a:rPr lang="en-US" sz="1000" b="1"/>
            <a:pPr algn="ctr"/>
            <a:t>Savings &amp; Participants</a:t>
          </a:fld>
          <a:endParaRPr lang="en-US" sz="1000" b="1"/>
        </a:p>
      </xdr:txBody>
    </xdr:sp>
    <xdr:clientData/>
  </xdr:twoCellAnchor>
  <xdr:twoCellAnchor editAs="absolute">
    <xdr:from>
      <xdr:col>6</xdr:col>
      <xdr:colOff>667385</xdr:colOff>
      <xdr:row>0</xdr:row>
      <xdr:rowOff>59055</xdr:rowOff>
    </xdr:from>
    <xdr:to>
      <xdr:col>8</xdr:col>
      <xdr:colOff>327001</xdr:colOff>
      <xdr:row>0</xdr:row>
      <xdr:rowOff>340995</xdr:rowOff>
    </xdr:to>
    <xdr:sp macro="" textlink="Titles!B6">
      <xdr:nvSpPr>
        <xdr:cNvPr id="7" name="Round Same Side Corner Rectangle 6">
          <a:hlinkClick xmlns:r="http://schemas.openxmlformats.org/officeDocument/2006/relationships" r:id="rId4" tooltip="Click"/>
          <a:extLst>
            <a:ext uri="{FF2B5EF4-FFF2-40B4-BE49-F238E27FC236}">
              <a16:creationId xmlns:a16="http://schemas.microsoft.com/office/drawing/2014/main" id="{00000000-0008-0000-05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BCAB0A58-29B8-4B5E-93A2-1120CDB47079}" type="TxLink">
            <a:rPr lang="en-US" sz="1000" b="1"/>
            <a:pPr algn="ctr"/>
            <a:t>Training</a:t>
          </a:fld>
          <a:endParaRPr lang="en-US" sz="1000" b="1"/>
        </a:p>
      </xdr:txBody>
    </xdr:sp>
    <xdr:clientData/>
  </xdr:twoCellAnchor>
  <xdr:twoCellAnchor editAs="absolute">
    <xdr:from>
      <xdr:col>8</xdr:col>
      <xdr:colOff>359409</xdr:colOff>
      <xdr:row>0</xdr:row>
      <xdr:rowOff>59055</xdr:rowOff>
    </xdr:from>
    <xdr:to>
      <xdr:col>10</xdr:col>
      <xdr:colOff>513651</xdr:colOff>
      <xdr:row>0</xdr:row>
      <xdr:rowOff>342900</xdr:rowOff>
    </xdr:to>
    <xdr:sp macro="" textlink="Titles!B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05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081E34EF-CFD5-47A3-B860-06C1477A7251}"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859907</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5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95250</xdr:colOff>
      <xdr:row>1</xdr:row>
      <xdr:rowOff>438148</xdr:rowOff>
    </xdr:from>
    <xdr:to>
      <xdr:col>10</xdr:col>
      <xdr:colOff>478142</xdr:colOff>
      <xdr:row>1</xdr:row>
      <xdr:rowOff>936220</xdr:rowOff>
    </xdr:to>
    <xdr:sp macro="" textlink="">
      <xdr:nvSpPr>
        <xdr:cNvPr id="10" name="Rounded Rectangle 6">
          <a:extLst>
            <a:ext uri="{FF2B5EF4-FFF2-40B4-BE49-F238E27FC236}">
              <a16:creationId xmlns:a16="http://schemas.microsoft.com/office/drawing/2014/main" id="{00000000-0008-0000-0500-00000A000000}"/>
            </a:ext>
          </a:extLst>
        </xdr:cNvPr>
        <xdr:cNvSpPr>
          <a:spLocks noChangeArrowheads="1"/>
        </xdr:cNvSpPr>
      </xdr:nvSpPr>
      <xdr:spPr bwMode="auto">
        <a:xfrm>
          <a:off x="154998" y="811355"/>
          <a:ext cx="8709993" cy="496167"/>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the Revised Budget amount for each cost category, including Regulatory at bottom.  Provide the budget reconciliation by clicking on the "Budget Reconciliation" button.  Report only programs that incurred a cost in the reporting year.</a:t>
          </a:r>
          <a:endParaRPr lang="en-US" sz="900"/>
        </a:p>
      </xdr:txBody>
    </xdr:sp>
    <xdr:clientData/>
  </xdr:twoCellAnchor>
  <xdr:twoCellAnchor editAs="absolute">
    <xdr:from>
      <xdr:col>2</xdr:col>
      <xdr:colOff>1234440</xdr:colOff>
      <xdr:row>0</xdr:row>
      <xdr:rowOff>294623</xdr:rowOff>
    </xdr:from>
    <xdr:to>
      <xdr:col>8</xdr:col>
      <xdr:colOff>360064</xdr:colOff>
      <xdr:row>1</xdr:row>
      <xdr:rowOff>275459</xdr:rowOff>
    </xdr:to>
    <xdr:sp macro="" textlink="Titles!F5">
      <xdr:nvSpPr>
        <xdr:cNvPr id="11" name="TextBox 10">
          <a:extLst>
            <a:ext uri="{FF2B5EF4-FFF2-40B4-BE49-F238E27FC236}">
              <a16:creationId xmlns:a16="http://schemas.microsoft.com/office/drawing/2014/main" id="{00000000-0008-0000-0500-00000B000000}"/>
            </a:ext>
          </a:extLst>
        </xdr:cNvPr>
        <xdr:cNvSpPr txBox="1"/>
      </xdr:nvSpPr>
      <xdr:spPr>
        <a:xfrm>
          <a:off x="1539240" y="294623"/>
          <a:ext cx="5974099"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F3419E49-B1A5-43EE-B051-2311CDE94129}" type="TxLink">
            <a:rPr lang="en-US" sz="1600" b="1" i="1" u="none"/>
            <a:pPr algn="ctr"/>
            <a:t>EAL - 2025 EE Portfolio Information</a:t>
          </a:fld>
          <a:endParaRPr lang="en-US" sz="1600" b="1" i="1" u="none"/>
        </a:p>
      </xdr:txBody>
    </xdr:sp>
    <xdr:clientData/>
  </xdr:twoCellAnchor>
  <xdr:twoCellAnchor editAs="absolute">
    <xdr:from>
      <xdr:col>2</xdr:col>
      <xdr:colOff>1922145</xdr:colOff>
      <xdr:row>1</xdr:row>
      <xdr:rowOff>131445</xdr:rowOff>
    </xdr:from>
    <xdr:to>
      <xdr:col>7</xdr:col>
      <xdr:colOff>553767</xdr:colOff>
      <xdr:row>1</xdr:row>
      <xdr:rowOff>419270</xdr:rowOff>
    </xdr:to>
    <xdr:sp macro="" textlink="Titles!B4">
      <xdr:nvSpPr>
        <xdr:cNvPr id="12" name="TextBox 11">
          <a:extLst>
            <a:ext uri="{FF2B5EF4-FFF2-40B4-BE49-F238E27FC236}">
              <a16:creationId xmlns:a16="http://schemas.microsoft.com/office/drawing/2014/main" id="{00000000-0008-0000-0500-00000C000000}"/>
            </a:ext>
          </a:extLst>
        </xdr:cNvPr>
        <xdr:cNvSpPr txBox="1"/>
      </xdr:nvSpPr>
      <xdr:spPr>
        <a:xfrm>
          <a:off x="2244530" y="498084"/>
          <a:ext cx="471267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A7B131D9-6F66-4BB1-AF9B-EAE47C89EF17}" type="TxLink">
            <a:rPr lang="en-US" sz="1200" b="0"/>
            <a:pPr algn="ctr"/>
            <a:t>Budgets</a:t>
          </a:fld>
          <a:endParaRPr lang="en-US" sz="1200" b="0"/>
        </a:p>
      </xdr:txBody>
    </xdr:sp>
    <xdr:clientData/>
  </xdr:twoCellAnchor>
  <xdr:twoCellAnchor editAs="absolute">
    <xdr:from>
      <xdr:col>8</xdr:col>
      <xdr:colOff>399415</xdr:colOff>
      <xdr:row>1</xdr:row>
      <xdr:rowOff>91440</xdr:rowOff>
    </xdr:from>
    <xdr:to>
      <xdr:col>9</xdr:col>
      <xdr:colOff>169765</xdr:colOff>
      <xdr:row>1</xdr:row>
      <xdr:rowOff>320040</xdr:rowOff>
    </xdr:to>
    <xdr:sp macro="" textlink="">
      <xdr:nvSpPr>
        <xdr:cNvPr id="13" name="Rounded Rectangle 12">
          <a:hlinkClick xmlns:r="http://schemas.openxmlformats.org/officeDocument/2006/relationships" r:id="rId2" tooltip="Click"/>
          <a:extLst>
            <a:ext uri="{FF2B5EF4-FFF2-40B4-BE49-F238E27FC236}">
              <a16:creationId xmlns:a16="http://schemas.microsoft.com/office/drawing/2014/main" id="{00000000-0008-0000-05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9</xdr:col>
      <xdr:colOff>207645</xdr:colOff>
      <xdr:row>1</xdr:row>
      <xdr:rowOff>91440</xdr:rowOff>
    </xdr:from>
    <xdr:to>
      <xdr:col>10</xdr:col>
      <xdr:colOff>478222</xdr:colOff>
      <xdr:row>1</xdr:row>
      <xdr:rowOff>320040</xdr:rowOff>
    </xdr:to>
    <xdr:sp macro="" textlink="">
      <xdr:nvSpPr>
        <xdr:cNvPr id="14" name="Rounded Rectangle 13">
          <a:hlinkClick xmlns:r="http://schemas.openxmlformats.org/officeDocument/2006/relationships" r:id="rId3" tooltip="Click"/>
          <a:extLst>
            <a:ext uri="{FF2B5EF4-FFF2-40B4-BE49-F238E27FC236}">
              <a16:creationId xmlns:a16="http://schemas.microsoft.com/office/drawing/2014/main" id="{00000000-0008-0000-05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8</xdr:col>
      <xdr:colOff>510540</xdr:colOff>
      <xdr:row>2</xdr:row>
      <xdr:rowOff>116031</xdr:rowOff>
    </xdr:from>
    <xdr:to>
      <xdr:col>10</xdr:col>
      <xdr:colOff>436248</xdr:colOff>
      <xdr:row>3</xdr:row>
      <xdr:rowOff>112567</xdr:rowOff>
    </xdr:to>
    <xdr:sp macro="" textlink="">
      <xdr:nvSpPr>
        <xdr:cNvPr id="15" name="Rounded Rectangle 14">
          <a:hlinkClick xmlns:r="http://schemas.openxmlformats.org/officeDocument/2006/relationships" r:id="rId7" tooltip="Click"/>
          <a:extLst>
            <a:ext uri="{FF2B5EF4-FFF2-40B4-BE49-F238E27FC236}">
              <a16:creationId xmlns:a16="http://schemas.microsoft.com/office/drawing/2014/main" id="{00000000-0008-0000-0500-00000F000000}"/>
            </a:ext>
          </a:extLst>
        </xdr:cNvPr>
        <xdr:cNvSpPr/>
      </xdr:nvSpPr>
      <xdr:spPr>
        <a:xfrm>
          <a:off x="7628313" y="1302326"/>
          <a:ext cx="1208119" cy="1524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Budget</a:t>
          </a:r>
          <a:r>
            <a:rPr lang="en-US" sz="800" b="1" baseline="0">
              <a:solidFill>
                <a:sysClr val="windowText" lastClr="000000"/>
              </a:solidFill>
            </a:rPr>
            <a:t> Reconciliation</a:t>
          </a:r>
          <a:endParaRPr lang="en-US" sz="800" b="1">
            <a:solidFill>
              <a:sysClr val="windowText" lastClr="000000"/>
            </a:solidFill>
          </a:endParaRPr>
        </a:p>
      </xdr:txBody>
    </xdr:sp>
    <xdr:clientData/>
  </xdr:twoCellAnchor>
  <xdr:twoCellAnchor editAs="oneCell">
    <xdr:from>
      <xdr:col>7</xdr:col>
      <xdr:colOff>60614</xdr:colOff>
      <xdr:row>2</xdr:row>
      <xdr:rowOff>112569</xdr:rowOff>
    </xdr:from>
    <xdr:to>
      <xdr:col>8</xdr:col>
      <xdr:colOff>22686</xdr:colOff>
      <xdr:row>3</xdr:row>
      <xdr:rowOff>134273</xdr:rowOff>
    </xdr:to>
    <xdr:sp macro="" textlink="">
      <xdr:nvSpPr>
        <xdr:cNvPr id="16" name="Rounded Rectangle 15">
          <a:hlinkClick xmlns:r="http://schemas.openxmlformats.org/officeDocument/2006/relationships" r:id="rId8" tooltip="Click"/>
          <a:extLst>
            <a:ext uri="{FF2B5EF4-FFF2-40B4-BE49-F238E27FC236}">
              <a16:creationId xmlns:a16="http://schemas.microsoft.com/office/drawing/2014/main" id="{00000000-0008-0000-0500-000010000000}"/>
            </a:ext>
          </a:extLst>
        </xdr:cNvPr>
        <xdr:cNvSpPr/>
      </xdr:nvSpPr>
      <xdr:spPr>
        <a:xfrm>
          <a:off x="6295159" y="1298864"/>
          <a:ext cx="852920" cy="170583"/>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Definitions</a:t>
          </a: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3</xdr:col>
      <xdr:colOff>740339</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06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8.xml><?xml version="1.0" encoding="utf-8"?>
<xdr:wsDr xmlns:xdr="http://schemas.openxmlformats.org/drawingml/2006/spreadsheetDrawing" xmlns:a="http://schemas.openxmlformats.org/drawingml/2006/main">
  <xdr:twoCellAnchor editAs="absolute">
    <xdr:from>
      <xdr:col>1</xdr:col>
      <xdr:colOff>15875</xdr:colOff>
      <xdr:row>1</xdr:row>
      <xdr:rowOff>0</xdr:rowOff>
    </xdr:from>
    <xdr:to>
      <xdr:col>11</xdr:col>
      <xdr:colOff>0</xdr:colOff>
      <xdr:row>1</xdr:row>
      <xdr:rowOff>398780</xdr:rowOff>
    </xdr:to>
    <xdr:sp macro="" textlink="">
      <xdr:nvSpPr>
        <xdr:cNvPr id="1468585" name="Rectangle 365">
          <a:extLst>
            <a:ext uri="{FF2B5EF4-FFF2-40B4-BE49-F238E27FC236}">
              <a16:creationId xmlns:a16="http://schemas.microsoft.com/office/drawing/2014/main" id="{00000000-0008-0000-0700-0000A968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15875</xdr:colOff>
      <xdr:row>0</xdr:row>
      <xdr:rowOff>60324</xdr:rowOff>
    </xdr:from>
    <xdr:to>
      <xdr:col>2</xdr:col>
      <xdr:colOff>1236241</xdr:colOff>
      <xdr:row>0</xdr:row>
      <xdr:rowOff>340994</xdr:rowOff>
    </xdr:to>
    <xdr:sp macro="" textlink="Titles!B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07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F207D9AC-772A-4BA4-ADF3-9E07B3C0251C}" type="TxLink">
            <a:rPr lang="en-US" sz="1000" b="1">
              <a:solidFill>
                <a:schemeClr val="lt1"/>
              </a:solidFill>
              <a:latin typeface="+mn-lt"/>
              <a:ea typeface="+mn-ea"/>
              <a:cs typeface="+mn-cs"/>
            </a:rPr>
            <a:pPr marL="0" indent="0" algn="ctr"/>
            <a:t>Utility Information</a:t>
          </a:fld>
          <a:endParaRPr lang="en-US" sz="1000" b="1">
            <a:solidFill>
              <a:schemeClr val="lt1"/>
            </a:solidFill>
            <a:latin typeface="+mn-lt"/>
            <a:ea typeface="+mn-ea"/>
            <a:cs typeface="+mn-cs"/>
          </a:endParaRPr>
        </a:p>
      </xdr:txBody>
    </xdr:sp>
    <xdr:clientData/>
  </xdr:twoCellAnchor>
  <xdr:twoCellAnchor editAs="absolute">
    <xdr:from>
      <xdr:col>2</xdr:col>
      <xdr:colOff>1240790</xdr:colOff>
      <xdr:row>0</xdr:row>
      <xdr:rowOff>55880</xdr:rowOff>
    </xdr:from>
    <xdr:to>
      <xdr:col>3</xdr:col>
      <xdr:colOff>323298</xdr:colOff>
      <xdr:row>0</xdr:row>
      <xdr:rowOff>340995</xdr:rowOff>
    </xdr:to>
    <xdr:sp macro="" textlink="Titles!B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07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73834FC1-63F7-44CC-AA36-294FE8AE81CD}" type="TxLink">
            <a:rPr lang="en-US" sz="1000" b="1">
              <a:solidFill>
                <a:schemeClr val="lt1"/>
              </a:solidFill>
              <a:latin typeface="+mn-lt"/>
              <a:ea typeface="+mn-ea"/>
              <a:cs typeface="+mn-cs"/>
            </a:rPr>
            <a:pPr marL="0" indent="0" algn="ctr"/>
            <a:t>Program Descriptions</a:t>
          </a:fld>
          <a:endParaRPr lang="en-US" sz="1000" b="1">
            <a:solidFill>
              <a:schemeClr val="lt1"/>
            </a:solidFill>
            <a:latin typeface="+mn-lt"/>
            <a:ea typeface="+mn-ea"/>
            <a:cs typeface="+mn-cs"/>
          </a:endParaRPr>
        </a:p>
      </xdr:txBody>
    </xdr:sp>
    <xdr:clientData/>
  </xdr:twoCellAnchor>
  <xdr:twoCellAnchor editAs="absolute">
    <xdr:from>
      <xdr:col>3</xdr:col>
      <xdr:colOff>340995</xdr:colOff>
      <xdr:row>0</xdr:row>
      <xdr:rowOff>55880</xdr:rowOff>
    </xdr:from>
    <xdr:to>
      <xdr:col>5</xdr:col>
      <xdr:colOff>21597</xdr:colOff>
      <xdr:row>0</xdr:row>
      <xdr:rowOff>340995</xdr:rowOff>
    </xdr:to>
    <xdr:sp macro="" textlink="Titles!B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0700-000005000000}"/>
            </a:ext>
          </a:extLst>
        </xdr:cNvPr>
        <xdr:cNvSpPr/>
      </xdr:nvSpPr>
      <xdr:spPr>
        <a:xfrm>
          <a:off x="30384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129CACF9-68D3-404C-827A-92044E1CE1F2}" type="TxLink">
            <a:rPr lang="en-US" sz="1000" b="1">
              <a:solidFill>
                <a:schemeClr val="lt1"/>
              </a:solidFill>
              <a:latin typeface="+mn-lt"/>
              <a:ea typeface="+mn-ea"/>
              <a:cs typeface="+mn-cs"/>
            </a:rPr>
            <a:pPr marL="0" indent="0" algn="ctr"/>
            <a:t>Budgets</a:t>
          </a:fld>
          <a:endParaRPr lang="en-US" sz="1000" b="1">
            <a:solidFill>
              <a:schemeClr val="lt1"/>
            </a:solidFill>
            <a:latin typeface="+mn-lt"/>
            <a:ea typeface="+mn-ea"/>
            <a:cs typeface="+mn-cs"/>
          </a:endParaRPr>
        </a:p>
      </xdr:txBody>
    </xdr:sp>
    <xdr:clientData/>
  </xdr:twoCellAnchor>
  <xdr:twoCellAnchor editAs="absolute">
    <xdr:from>
      <xdr:col>5</xdr:col>
      <xdr:colOff>57150</xdr:colOff>
      <xdr:row>0</xdr:row>
      <xdr:rowOff>55880</xdr:rowOff>
    </xdr:from>
    <xdr:to>
      <xdr:col>7</xdr:col>
      <xdr:colOff>58445</xdr:colOff>
      <xdr:row>0</xdr:row>
      <xdr:rowOff>340995</xdr:rowOff>
    </xdr:to>
    <xdr:sp macro="" textlink="Titles!B5">
      <xdr:nvSpPr>
        <xdr:cNvPr id="6" name="Round Same Side Corner Rectangle 5">
          <a:extLst>
            <a:ext uri="{FF2B5EF4-FFF2-40B4-BE49-F238E27FC236}">
              <a16:creationId xmlns:a16="http://schemas.microsoft.com/office/drawing/2014/main" id="{00000000-0008-0000-0700-000006000000}"/>
            </a:ext>
          </a:extLst>
        </xdr:cNvPr>
        <xdr:cNvSpPr/>
      </xdr:nvSpPr>
      <xdr:spPr>
        <a:xfrm>
          <a:off x="4524375"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6B56A3C5-87B5-41E3-AC2C-CB116FA89D8B}" type="TxLink">
            <a:rPr lang="en-US" sz="1000" b="1">
              <a:solidFill>
                <a:sysClr val="windowText" lastClr="000000"/>
              </a:solidFill>
              <a:latin typeface="+mn-lt"/>
              <a:ea typeface="+mn-ea"/>
              <a:cs typeface="+mn-cs"/>
            </a:rPr>
            <a:pPr marL="0" indent="0" algn="ctr"/>
            <a:t>Savings &amp; Participants</a:t>
          </a:fld>
          <a:endParaRPr lang="en-US" sz="1000" b="1">
            <a:solidFill>
              <a:sysClr val="windowText" lastClr="000000"/>
            </a:solidFill>
            <a:latin typeface="+mn-lt"/>
            <a:ea typeface="+mn-ea"/>
            <a:cs typeface="+mn-cs"/>
          </a:endParaRPr>
        </a:p>
      </xdr:txBody>
    </xdr:sp>
    <xdr:clientData/>
  </xdr:twoCellAnchor>
  <xdr:twoCellAnchor editAs="absolute">
    <xdr:from>
      <xdr:col>7</xdr:col>
      <xdr:colOff>55880</xdr:colOff>
      <xdr:row>0</xdr:row>
      <xdr:rowOff>55880</xdr:rowOff>
    </xdr:from>
    <xdr:to>
      <xdr:col>8</xdr:col>
      <xdr:colOff>168947</xdr:colOff>
      <xdr:row>0</xdr:row>
      <xdr:rowOff>340995</xdr:rowOff>
    </xdr:to>
    <xdr:sp macro="" textlink="Titles!B6">
      <xdr:nvSpPr>
        <xdr:cNvPr id="7" name="Round Same Side Corner Rectangle 6">
          <a:hlinkClick xmlns:r="http://schemas.openxmlformats.org/officeDocument/2006/relationships" r:id="rId4" tooltip="Click"/>
          <a:extLst>
            <a:ext uri="{FF2B5EF4-FFF2-40B4-BE49-F238E27FC236}">
              <a16:creationId xmlns:a16="http://schemas.microsoft.com/office/drawing/2014/main" id="{00000000-0008-0000-07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19B1AD31-B620-48DE-BD60-48B14F1F0BF9}" type="TxLink">
            <a:rPr lang="en-US" sz="1000" b="1"/>
            <a:pPr algn="ctr"/>
            <a:t>Training</a:t>
          </a:fld>
          <a:endParaRPr lang="en-US" sz="1000" b="1"/>
        </a:p>
      </xdr:txBody>
    </xdr:sp>
    <xdr:clientData/>
  </xdr:twoCellAnchor>
  <xdr:twoCellAnchor editAs="absolute">
    <xdr:from>
      <xdr:col>8</xdr:col>
      <xdr:colOff>172719</xdr:colOff>
      <xdr:row>0</xdr:row>
      <xdr:rowOff>55880</xdr:rowOff>
    </xdr:from>
    <xdr:to>
      <xdr:col>11</xdr:col>
      <xdr:colOff>1975</xdr:colOff>
      <xdr:row>0</xdr:row>
      <xdr:rowOff>342900</xdr:rowOff>
    </xdr:to>
    <xdr:sp macro="" textlink="Titles!B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07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05E10640-3F7C-4DF1-AEA7-6679EB7EAB6C}"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856732</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7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53628</xdr:colOff>
      <xdr:row>1</xdr:row>
      <xdr:rowOff>441323</xdr:rowOff>
    </xdr:from>
    <xdr:to>
      <xdr:col>10</xdr:col>
      <xdr:colOff>249842</xdr:colOff>
      <xdr:row>1</xdr:row>
      <xdr:rowOff>894599</xdr:rowOff>
    </xdr:to>
    <xdr:sp macro="" textlink="">
      <xdr:nvSpPr>
        <xdr:cNvPr id="10" name="Rounded Rectangle 6">
          <a:extLst>
            <a:ext uri="{FF2B5EF4-FFF2-40B4-BE49-F238E27FC236}">
              <a16:creationId xmlns:a16="http://schemas.microsoft.com/office/drawing/2014/main" id="{00000000-0008-0000-0700-00000A000000}"/>
            </a:ext>
          </a:extLst>
        </xdr:cNvPr>
        <xdr:cNvSpPr>
          <a:spLocks noChangeArrowheads="1"/>
        </xdr:cNvSpPr>
      </xdr:nvSpPr>
      <xdr:spPr bwMode="auto">
        <a:xfrm>
          <a:off x="120361" y="811355"/>
          <a:ext cx="8710871" cy="461531"/>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net demand savings, net energy savings, number of participants and the participant definition for each program.   Select the Participant Definition from the dropdown option.</a:t>
          </a:r>
          <a:endParaRPr lang="en-US"/>
        </a:p>
      </xdr:txBody>
    </xdr:sp>
    <xdr:clientData/>
  </xdr:twoCellAnchor>
  <xdr:twoCellAnchor editAs="absolute">
    <xdr:from>
      <xdr:col>2</xdr:col>
      <xdr:colOff>1235075</xdr:colOff>
      <xdr:row>0</xdr:row>
      <xdr:rowOff>295027</xdr:rowOff>
    </xdr:from>
    <xdr:to>
      <xdr:col>8</xdr:col>
      <xdr:colOff>170204</xdr:colOff>
      <xdr:row>1</xdr:row>
      <xdr:rowOff>277595</xdr:rowOff>
    </xdr:to>
    <xdr:sp macro="" textlink="Titles!F5">
      <xdr:nvSpPr>
        <xdr:cNvPr id="11" name="TextBox 10">
          <a:extLst>
            <a:ext uri="{FF2B5EF4-FFF2-40B4-BE49-F238E27FC236}">
              <a16:creationId xmlns:a16="http://schemas.microsoft.com/office/drawing/2014/main" id="{00000000-0008-0000-0700-00000B000000}"/>
            </a:ext>
          </a:extLst>
        </xdr:cNvPr>
        <xdr:cNvSpPr txBox="1"/>
      </xdr:nvSpPr>
      <xdr:spPr>
        <a:xfrm>
          <a:off x="1553730" y="295027"/>
          <a:ext cx="6132565"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A3A4B947-3019-4EDD-90D3-A2E338B7CF3B}" type="TxLink">
            <a:rPr lang="en-US" sz="1600" b="1" i="1" u="none"/>
            <a:pPr algn="ctr"/>
            <a:t>EAL - 2025 EE Portfolio Information</a:t>
          </a:fld>
          <a:endParaRPr lang="en-US" sz="1600" b="1" i="1" u="none"/>
        </a:p>
      </xdr:txBody>
    </xdr:sp>
    <xdr:clientData/>
  </xdr:twoCellAnchor>
  <xdr:twoCellAnchor editAs="absolute">
    <xdr:from>
      <xdr:col>2</xdr:col>
      <xdr:colOff>1922145</xdr:colOff>
      <xdr:row>1</xdr:row>
      <xdr:rowOff>132080</xdr:rowOff>
    </xdr:from>
    <xdr:to>
      <xdr:col>7</xdr:col>
      <xdr:colOff>856650</xdr:colOff>
      <xdr:row>1</xdr:row>
      <xdr:rowOff>416095</xdr:rowOff>
    </xdr:to>
    <xdr:sp macro="" textlink="Titles!B5">
      <xdr:nvSpPr>
        <xdr:cNvPr id="12" name="TextBox 11">
          <a:extLst>
            <a:ext uri="{FF2B5EF4-FFF2-40B4-BE49-F238E27FC236}">
              <a16:creationId xmlns:a16="http://schemas.microsoft.com/office/drawing/2014/main" id="{00000000-0008-0000-0700-00000C000000}"/>
            </a:ext>
          </a:extLst>
        </xdr:cNvPr>
        <xdr:cNvSpPr txBox="1"/>
      </xdr:nvSpPr>
      <xdr:spPr>
        <a:xfrm>
          <a:off x="2255000" y="499572"/>
          <a:ext cx="4718778"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66DCFCCD-4E13-4CA7-8D91-296D3388A518}" type="TxLink">
            <a:rPr lang="en-US" sz="1200" b="0"/>
            <a:pPr algn="ctr"/>
            <a:t>Savings &amp; Participants</a:t>
          </a:fld>
          <a:endParaRPr lang="en-US" sz="1200" b="0"/>
        </a:p>
      </xdr:txBody>
    </xdr:sp>
    <xdr:clientData/>
  </xdr:twoCellAnchor>
  <xdr:twoCellAnchor editAs="absolute">
    <xdr:from>
      <xdr:col>8</xdr:col>
      <xdr:colOff>245110</xdr:colOff>
      <xdr:row>1</xdr:row>
      <xdr:rowOff>95250</xdr:rowOff>
    </xdr:from>
    <xdr:to>
      <xdr:col>8</xdr:col>
      <xdr:colOff>859790</xdr:colOff>
      <xdr:row>1</xdr:row>
      <xdr:rowOff>323850</xdr:rowOff>
    </xdr:to>
    <xdr:sp macro="" textlink="">
      <xdr:nvSpPr>
        <xdr:cNvPr id="13" name="Rounded Rectangle 12">
          <a:hlinkClick xmlns:r="http://schemas.openxmlformats.org/officeDocument/2006/relationships" r:id="rId3" tooltip="Click"/>
          <a:extLst>
            <a:ext uri="{FF2B5EF4-FFF2-40B4-BE49-F238E27FC236}">
              <a16:creationId xmlns:a16="http://schemas.microsoft.com/office/drawing/2014/main" id="{00000000-0008-0000-07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9</xdr:col>
      <xdr:colOff>38100</xdr:colOff>
      <xdr:row>1</xdr:row>
      <xdr:rowOff>95250</xdr:rowOff>
    </xdr:from>
    <xdr:to>
      <xdr:col>10</xdr:col>
      <xdr:colOff>285728</xdr:colOff>
      <xdr:row>1</xdr:row>
      <xdr:rowOff>324485</xdr:rowOff>
    </xdr:to>
    <xdr:sp macro="" textlink="">
      <xdr:nvSpPr>
        <xdr:cNvPr id="14" name="Rounded Rectangle 13">
          <a:hlinkClick xmlns:r="http://schemas.openxmlformats.org/officeDocument/2006/relationships" r:id="rId4" tooltip="Click"/>
          <a:extLst>
            <a:ext uri="{FF2B5EF4-FFF2-40B4-BE49-F238E27FC236}">
              <a16:creationId xmlns:a16="http://schemas.microsoft.com/office/drawing/2014/main" id="{00000000-0008-0000-07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7</xdr:col>
      <xdr:colOff>199159</xdr:colOff>
      <xdr:row>3</xdr:row>
      <xdr:rowOff>34636</xdr:rowOff>
    </xdr:from>
    <xdr:to>
      <xdr:col>7</xdr:col>
      <xdr:colOff>1047634</xdr:colOff>
      <xdr:row>3</xdr:row>
      <xdr:rowOff>209664</xdr:rowOff>
    </xdr:to>
    <xdr:sp macro="" textlink="">
      <xdr:nvSpPr>
        <xdr:cNvPr id="15" name="Rounded Rectangle 14">
          <a:hlinkClick xmlns:r="http://schemas.openxmlformats.org/officeDocument/2006/relationships" r:id="rId7" tooltip="Click"/>
          <a:extLst>
            <a:ext uri="{FF2B5EF4-FFF2-40B4-BE49-F238E27FC236}">
              <a16:creationId xmlns:a16="http://schemas.microsoft.com/office/drawing/2014/main" id="{00000000-0008-0000-0700-00000F000000}"/>
            </a:ext>
          </a:extLst>
        </xdr:cNvPr>
        <xdr:cNvSpPr/>
      </xdr:nvSpPr>
      <xdr:spPr>
        <a:xfrm>
          <a:off x="6130636" y="1515341"/>
          <a:ext cx="852920" cy="170583"/>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Definitions</a:t>
          </a:r>
        </a:p>
      </xdr:txBody>
    </xdr:sp>
    <xdr:clientData/>
  </xdr:twoCellAnchor>
</xdr:wsDr>
</file>

<file path=xl/drawings/drawing9.xml><?xml version="1.0" encoding="utf-8"?>
<xdr:wsDr xmlns:xdr="http://schemas.openxmlformats.org/drawingml/2006/spreadsheetDrawing" xmlns:a="http://schemas.openxmlformats.org/drawingml/2006/main">
  <xdr:twoCellAnchor editAs="absolute">
    <xdr:from>
      <xdr:col>1</xdr:col>
      <xdr:colOff>15240</xdr:colOff>
      <xdr:row>1</xdr:row>
      <xdr:rowOff>0</xdr:rowOff>
    </xdr:from>
    <xdr:to>
      <xdr:col>11</xdr:col>
      <xdr:colOff>0</xdr:colOff>
      <xdr:row>1</xdr:row>
      <xdr:rowOff>398145</xdr:rowOff>
    </xdr:to>
    <xdr:sp macro="" textlink="">
      <xdr:nvSpPr>
        <xdr:cNvPr id="1469635" name="Rectangle 365">
          <a:extLst>
            <a:ext uri="{FF2B5EF4-FFF2-40B4-BE49-F238E27FC236}">
              <a16:creationId xmlns:a16="http://schemas.microsoft.com/office/drawing/2014/main" id="{00000000-0008-0000-0800-0000C36C1600}"/>
            </a:ext>
          </a:extLst>
        </xdr:cNvPr>
        <xdr:cNvSpPr>
          <a:spLocks noChangeArrowheads="1"/>
        </xdr:cNvSpPr>
      </xdr:nvSpPr>
      <xdr:spPr bwMode="auto">
        <a:xfrm>
          <a:off x="78798" y="363682"/>
          <a:ext cx="8848725"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15240</xdr:colOff>
      <xdr:row>0</xdr:row>
      <xdr:rowOff>60959</xdr:rowOff>
    </xdr:from>
    <xdr:to>
      <xdr:col>2</xdr:col>
      <xdr:colOff>1237952</xdr:colOff>
      <xdr:row>0</xdr:row>
      <xdr:rowOff>340994</xdr:rowOff>
    </xdr:to>
    <xdr:sp macro="" textlink="Titles!B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08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B5795B2A-C06F-49D6-9109-2B08D4C3C1BC}" type="TxLink">
            <a:rPr lang="en-US" sz="1000" b="1">
              <a:solidFill>
                <a:schemeClr val="lt1"/>
              </a:solidFill>
              <a:latin typeface="+mn-lt"/>
              <a:ea typeface="+mn-ea"/>
              <a:cs typeface="+mn-cs"/>
            </a:rPr>
            <a:pPr marL="0" indent="0" algn="ctr"/>
            <a:t>Utility Information</a:t>
          </a:fld>
          <a:endParaRPr lang="en-US" sz="1000" b="1">
            <a:solidFill>
              <a:schemeClr val="lt1"/>
            </a:solidFill>
            <a:latin typeface="+mn-lt"/>
            <a:ea typeface="+mn-ea"/>
            <a:cs typeface="+mn-cs"/>
          </a:endParaRPr>
        </a:p>
      </xdr:txBody>
    </xdr:sp>
    <xdr:clientData/>
  </xdr:twoCellAnchor>
  <xdr:twoCellAnchor editAs="absolute">
    <xdr:from>
      <xdr:col>2</xdr:col>
      <xdr:colOff>1236345</xdr:colOff>
      <xdr:row>0</xdr:row>
      <xdr:rowOff>55245</xdr:rowOff>
    </xdr:from>
    <xdr:to>
      <xdr:col>4</xdr:col>
      <xdr:colOff>251385</xdr:colOff>
      <xdr:row>0</xdr:row>
      <xdr:rowOff>340995</xdr:rowOff>
    </xdr:to>
    <xdr:sp macro="" textlink="Titles!B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08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878C4614-27C1-4702-9726-88CB1BB8AC48}" type="TxLink">
            <a:rPr lang="en-US" sz="1000" b="1">
              <a:solidFill>
                <a:schemeClr val="lt1"/>
              </a:solidFill>
              <a:latin typeface="+mn-lt"/>
              <a:ea typeface="+mn-ea"/>
              <a:cs typeface="+mn-cs"/>
            </a:rPr>
            <a:pPr marL="0" indent="0" algn="ctr"/>
            <a:t>Program Descriptions</a:t>
          </a:fld>
          <a:endParaRPr lang="en-US" sz="1000" b="1">
            <a:solidFill>
              <a:schemeClr val="lt1"/>
            </a:solidFill>
            <a:latin typeface="+mn-lt"/>
            <a:ea typeface="+mn-ea"/>
            <a:cs typeface="+mn-cs"/>
          </a:endParaRPr>
        </a:p>
      </xdr:txBody>
    </xdr:sp>
    <xdr:clientData/>
  </xdr:twoCellAnchor>
  <xdr:twoCellAnchor editAs="absolute">
    <xdr:from>
      <xdr:col>4</xdr:col>
      <xdr:colOff>285750</xdr:colOff>
      <xdr:row>0</xdr:row>
      <xdr:rowOff>55245</xdr:rowOff>
    </xdr:from>
    <xdr:to>
      <xdr:col>5</xdr:col>
      <xdr:colOff>706704</xdr:colOff>
      <xdr:row>0</xdr:row>
      <xdr:rowOff>340995</xdr:rowOff>
    </xdr:to>
    <xdr:sp macro="" textlink="Titles!B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0800-000005000000}"/>
            </a:ext>
          </a:extLst>
        </xdr:cNvPr>
        <xdr:cNvSpPr/>
      </xdr:nvSpPr>
      <xdr:spPr>
        <a:xfrm>
          <a:off x="30384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0A5E81DD-0BBC-411B-A66F-3EDC49507280}" type="TxLink">
            <a:rPr lang="en-US" sz="1000" b="1">
              <a:solidFill>
                <a:schemeClr val="lt1"/>
              </a:solidFill>
              <a:latin typeface="+mn-lt"/>
              <a:ea typeface="+mn-ea"/>
              <a:cs typeface="+mn-cs"/>
            </a:rPr>
            <a:pPr marL="0" indent="0" algn="ctr"/>
            <a:t>Budgets</a:t>
          </a:fld>
          <a:endParaRPr lang="en-US" sz="1000" b="1">
            <a:solidFill>
              <a:schemeClr val="lt1"/>
            </a:solidFill>
            <a:latin typeface="+mn-lt"/>
            <a:ea typeface="+mn-ea"/>
            <a:cs typeface="+mn-cs"/>
          </a:endParaRPr>
        </a:p>
      </xdr:txBody>
    </xdr:sp>
    <xdr:clientData/>
  </xdr:twoCellAnchor>
  <xdr:twoCellAnchor editAs="absolute">
    <xdr:from>
      <xdr:col>5</xdr:col>
      <xdr:colOff>702945</xdr:colOff>
      <xdr:row>0</xdr:row>
      <xdr:rowOff>55245</xdr:rowOff>
    </xdr:from>
    <xdr:to>
      <xdr:col>7</xdr:col>
      <xdr:colOff>79998</xdr:colOff>
      <xdr:row>0</xdr:row>
      <xdr:rowOff>340995</xdr:rowOff>
    </xdr:to>
    <xdr:sp macro="" textlink="Titles!B5">
      <xdr:nvSpPr>
        <xdr:cNvPr id="6" name="Round Same Side Corner Rectangle 5">
          <a:hlinkClick xmlns:r="http://schemas.openxmlformats.org/officeDocument/2006/relationships" r:id="rId4" tooltip="Click"/>
          <a:extLst>
            <a:ext uri="{FF2B5EF4-FFF2-40B4-BE49-F238E27FC236}">
              <a16:creationId xmlns:a16="http://schemas.microsoft.com/office/drawing/2014/main" id="{00000000-0008-0000-08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4442AE60-A3A1-4F5B-8167-9682DC8D8A26}" type="TxLink">
            <a:rPr lang="en-US" sz="1000" b="1">
              <a:solidFill>
                <a:schemeClr val="lt1"/>
              </a:solidFill>
              <a:latin typeface="+mn-lt"/>
              <a:ea typeface="+mn-ea"/>
              <a:cs typeface="+mn-cs"/>
            </a:rPr>
            <a:pPr marL="0" indent="0" algn="ctr"/>
            <a:t>Savings &amp; Participants</a:t>
          </a:fld>
          <a:endParaRPr lang="en-US" sz="1000" b="1">
            <a:solidFill>
              <a:schemeClr val="lt1"/>
            </a:solidFill>
            <a:latin typeface="+mn-lt"/>
            <a:ea typeface="+mn-ea"/>
            <a:cs typeface="+mn-cs"/>
          </a:endParaRPr>
        </a:p>
      </xdr:txBody>
    </xdr:sp>
    <xdr:clientData/>
  </xdr:twoCellAnchor>
  <xdr:twoCellAnchor editAs="absolute">
    <xdr:from>
      <xdr:col>7</xdr:col>
      <xdr:colOff>95250</xdr:colOff>
      <xdr:row>0</xdr:row>
      <xdr:rowOff>55245</xdr:rowOff>
    </xdr:from>
    <xdr:to>
      <xdr:col>8</xdr:col>
      <xdr:colOff>512382</xdr:colOff>
      <xdr:row>0</xdr:row>
      <xdr:rowOff>340995</xdr:rowOff>
    </xdr:to>
    <xdr:sp macro="" textlink="Titles!B6">
      <xdr:nvSpPr>
        <xdr:cNvPr id="7" name="Round Same Side Corner Rectangle 6">
          <a:extLst>
            <a:ext uri="{FF2B5EF4-FFF2-40B4-BE49-F238E27FC236}">
              <a16:creationId xmlns:a16="http://schemas.microsoft.com/office/drawing/2014/main" id="{00000000-0008-0000-0800-000007000000}"/>
            </a:ext>
          </a:extLst>
        </xdr:cNvPr>
        <xdr:cNvSpPr/>
      </xdr:nvSpPr>
      <xdr:spPr>
        <a:xfrm>
          <a:off x="6000750"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9C082A71-55B9-4947-84CB-24BDF9505EE6}" type="TxLink">
            <a:rPr lang="en-US" sz="1000" b="1">
              <a:solidFill>
                <a:sysClr val="windowText" lastClr="000000"/>
              </a:solidFill>
              <a:latin typeface="+mn-lt"/>
              <a:ea typeface="+mn-ea"/>
              <a:cs typeface="+mn-cs"/>
            </a:rPr>
            <a:pPr marL="0" indent="0" algn="ctr"/>
            <a:t>Training</a:t>
          </a:fld>
          <a:endParaRPr lang="en-US" sz="1000" b="1">
            <a:solidFill>
              <a:sysClr val="windowText" lastClr="000000"/>
            </a:solidFill>
            <a:latin typeface="+mn-lt"/>
            <a:ea typeface="+mn-ea"/>
            <a:cs typeface="+mn-cs"/>
          </a:endParaRPr>
        </a:p>
      </xdr:txBody>
    </xdr:sp>
    <xdr:clientData/>
  </xdr:twoCellAnchor>
  <xdr:twoCellAnchor editAs="absolute">
    <xdr:from>
      <xdr:col>8</xdr:col>
      <xdr:colOff>512444</xdr:colOff>
      <xdr:row>0</xdr:row>
      <xdr:rowOff>55245</xdr:rowOff>
    </xdr:from>
    <xdr:to>
      <xdr:col>11</xdr:col>
      <xdr:colOff>1904</xdr:colOff>
      <xdr:row>0</xdr:row>
      <xdr:rowOff>342900</xdr:rowOff>
    </xdr:to>
    <xdr:sp macro="" textlink="Titles!B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08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2E981FC7-65A3-4A2F-831E-3CE479F208A1}"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853557</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8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91440</xdr:colOff>
      <xdr:row>1</xdr:row>
      <xdr:rowOff>441959</xdr:rowOff>
    </xdr:from>
    <xdr:to>
      <xdr:col>10</xdr:col>
      <xdr:colOff>643895</xdr:colOff>
      <xdr:row>1</xdr:row>
      <xdr:rowOff>781092</xdr:rowOff>
    </xdr:to>
    <xdr:sp macro="" textlink="">
      <xdr:nvSpPr>
        <xdr:cNvPr id="10" name="Rounded Rectangle 6">
          <a:extLst>
            <a:ext uri="{FF2B5EF4-FFF2-40B4-BE49-F238E27FC236}">
              <a16:creationId xmlns:a16="http://schemas.microsoft.com/office/drawing/2014/main" id="{00000000-0008-0000-08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details for both External and Internal Training by clicking the "Details" button.  Provide the Cost associated with the training.</a:t>
          </a:r>
          <a:endParaRPr lang="en-US" sz="900"/>
        </a:p>
      </xdr:txBody>
    </xdr:sp>
    <xdr:clientData/>
  </xdr:twoCellAnchor>
  <xdr:twoCellAnchor editAs="absolute">
    <xdr:from>
      <xdr:col>2</xdr:col>
      <xdr:colOff>1234440</xdr:colOff>
      <xdr:row>0</xdr:row>
      <xdr:rowOff>289457</xdr:rowOff>
    </xdr:from>
    <xdr:to>
      <xdr:col>8</xdr:col>
      <xdr:colOff>514345</xdr:colOff>
      <xdr:row>1</xdr:row>
      <xdr:rowOff>283801</xdr:rowOff>
    </xdr:to>
    <xdr:sp macro="" textlink="Titles!F5">
      <xdr:nvSpPr>
        <xdr:cNvPr id="11" name="TextBox 10">
          <a:extLst>
            <a:ext uri="{FF2B5EF4-FFF2-40B4-BE49-F238E27FC236}">
              <a16:creationId xmlns:a16="http://schemas.microsoft.com/office/drawing/2014/main" id="{00000000-0008-0000-0800-00000B000000}"/>
            </a:ext>
          </a:extLst>
        </xdr:cNvPr>
        <xdr:cNvSpPr txBox="1"/>
      </xdr:nvSpPr>
      <xdr:spPr>
        <a:xfrm>
          <a:off x="1558636" y="297077"/>
          <a:ext cx="6085951"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3955B165-5C3B-4241-9031-C509FF291122}" type="TxLink">
            <a:rPr lang="en-US" sz="1600" b="1" i="1" u="none"/>
            <a:pPr algn="ctr"/>
            <a:t>EAL - 2025 EE Portfolio Information</a:t>
          </a:fld>
          <a:endParaRPr lang="en-US" sz="1600" b="1" i="1" u="none"/>
        </a:p>
      </xdr:txBody>
    </xdr:sp>
    <xdr:clientData/>
  </xdr:twoCellAnchor>
  <xdr:twoCellAnchor editAs="absolute">
    <xdr:from>
      <xdr:col>3</xdr:col>
      <xdr:colOff>512445</xdr:colOff>
      <xdr:row>1</xdr:row>
      <xdr:rowOff>131445</xdr:rowOff>
    </xdr:from>
    <xdr:to>
      <xdr:col>7</xdr:col>
      <xdr:colOff>897260</xdr:colOff>
      <xdr:row>1</xdr:row>
      <xdr:rowOff>415460</xdr:rowOff>
    </xdr:to>
    <xdr:sp macro="" textlink="Titles!B6">
      <xdr:nvSpPr>
        <xdr:cNvPr id="12" name="TextBox 11">
          <a:extLst>
            <a:ext uri="{FF2B5EF4-FFF2-40B4-BE49-F238E27FC236}">
              <a16:creationId xmlns:a16="http://schemas.microsoft.com/office/drawing/2014/main" id="{00000000-0008-0000-0800-00000C000000}"/>
            </a:ext>
          </a:extLst>
        </xdr:cNvPr>
        <xdr:cNvSpPr txBox="1"/>
      </xdr:nvSpPr>
      <xdr:spPr>
        <a:xfrm>
          <a:off x="2274050" y="498937"/>
          <a:ext cx="467210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9D1D7748-B02B-4F13-80AB-FB58A88D5E1B}" type="TxLink">
            <a:rPr lang="en-US" sz="1200" b="0"/>
            <a:pPr algn="ctr"/>
            <a:t>Training</a:t>
          </a:fld>
          <a:endParaRPr lang="en-US" sz="1200" b="0"/>
        </a:p>
      </xdr:txBody>
    </xdr:sp>
    <xdr:clientData/>
  </xdr:twoCellAnchor>
  <xdr:twoCellAnchor editAs="absolute">
    <xdr:from>
      <xdr:col>8</xdr:col>
      <xdr:colOff>586740</xdr:colOff>
      <xdr:row>1</xdr:row>
      <xdr:rowOff>95250</xdr:rowOff>
    </xdr:from>
    <xdr:to>
      <xdr:col>9</xdr:col>
      <xdr:colOff>340995</xdr:colOff>
      <xdr:row>1</xdr:row>
      <xdr:rowOff>323850</xdr:rowOff>
    </xdr:to>
    <xdr:sp macro="" textlink="">
      <xdr:nvSpPr>
        <xdr:cNvPr id="13" name="Rounded Rectangle 12">
          <a:hlinkClick xmlns:r="http://schemas.openxmlformats.org/officeDocument/2006/relationships" r:id="rId4" tooltip="Click"/>
          <a:extLst>
            <a:ext uri="{FF2B5EF4-FFF2-40B4-BE49-F238E27FC236}">
              <a16:creationId xmlns:a16="http://schemas.microsoft.com/office/drawing/2014/main" id="{00000000-0008-0000-08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10</xdr:col>
      <xdr:colOff>0</xdr:colOff>
      <xdr:row>1</xdr:row>
      <xdr:rowOff>95250</xdr:rowOff>
    </xdr:from>
    <xdr:to>
      <xdr:col>10</xdr:col>
      <xdr:colOff>630610</xdr:colOff>
      <xdr:row>1</xdr:row>
      <xdr:rowOff>323850</xdr:rowOff>
    </xdr:to>
    <xdr:sp macro="" textlink="">
      <xdr:nvSpPr>
        <xdr:cNvPr id="14" name="Rounded Rectangle 13">
          <a:hlinkClick xmlns:r="http://schemas.openxmlformats.org/officeDocument/2006/relationships" r:id="rId5" tooltip="Click"/>
          <a:extLst>
            <a:ext uri="{FF2B5EF4-FFF2-40B4-BE49-F238E27FC236}">
              <a16:creationId xmlns:a16="http://schemas.microsoft.com/office/drawing/2014/main" id="{00000000-0008-0000-08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absolute">
    <xdr:from>
      <xdr:col>2</xdr:col>
      <xdr:colOff>19050</xdr:colOff>
      <xdr:row>6</xdr:row>
      <xdr:rowOff>15241</xdr:rowOff>
    </xdr:from>
    <xdr:to>
      <xdr:col>2</xdr:col>
      <xdr:colOff>1087758</xdr:colOff>
      <xdr:row>7</xdr:row>
      <xdr:rowOff>53341</xdr:rowOff>
    </xdr:to>
    <xdr:sp macro="" textlink="">
      <xdr:nvSpPr>
        <xdr:cNvPr id="15" name="Rounded Rectangle 14">
          <a:hlinkClick xmlns:r="http://schemas.openxmlformats.org/officeDocument/2006/relationships" r:id="rId7" tooltip="Click"/>
          <a:extLst>
            <a:ext uri="{FF2B5EF4-FFF2-40B4-BE49-F238E27FC236}">
              <a16:creationId xmlns:a16="http://schemas.microsoft.com/office/drawing/2014/main" id="{00000000-0008-0000-0800-00000F000000}"/>
            </a:ext>
          </a:extLst>
        </xdr:cNvPr>
        <xdr:cNvSpPr/>
      </xdr:nvSpPr>
      <xdr:spPr>
        <a:xfrm>
          <a:off x="333375" y="1857376"/>
          <a:ext cx="10763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baseline="0">
              <a:solidFill>
                <a:sysClr val="windowText" lastClr="000000"/>
              </a:solidFill>
            </a:rPr>
            <a:t>Details</a:t>
          </a:r>
          <a:endParaRPr lang="en-US" b="1">
            <a:solidFill>
              <a:sysClr val="windowText" lastClr="000000"/>
            </a:solidFill>
          </a:endParaRPr>
        </a:p>
      </xdr:txBody>
    </xdr:sp>
    <xdr:clientData/>
  </xdr:twoCellAnchor>
  <xdr:twoCellAnchor editAs="absolute">
    <xdr:from>
      <xdr:col>2</xdr:col>
      <xdr:colOff>15240</xdr:colOff>
      <xdr:row>12</xdr:row>
      <xdr:rowOff>15240</xdr:rowOff>
    </xdr:from>
    <xdr:to>
      <xdr:col>2</xdr:col>
      <xdr:colOff>1087549</xdr:colOff>
      <xdr:row>13</xdr:row>
      <xdr:rowOff>53340</xdr:rowOff>
    </xdr:to>
    <xdr:sp macro="" textlink="">
      <xdr:nvSpPr>
        <xdr:cNvPr id="16" name="Rounded Rectangle 15">
          <a:hlinkClick xmlns:r="http://schemas.openxmlformats.org/officeDocument/2006/relationships" r:id="rId8" tooltip="Click"/>
          <a:extLst>
            <a:ext uri="{FF2B5EF4-FFF2-40B4-BE49-F238E27FC236}">
              <a16:creationId xmlns:a16="http://schemas.microsoft.com/office/drawing/2014/main" id="{00000000-0008-0000-0800-000010000000}"/>
            </a:ext>
          </a:extLst>
        </xdr:cNvPr>
        <xdr:cNvSpPr/>
      </xdr:nvSpPr>
      <xdr:spPr>
        <a:xfrm>
          <a:off x="323850" y="3000375"/>
          <a:ext cx="10763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baseline="0">
              <a:solidFill>
                <a:sysClr val="windowText" lastClr="000000"/>
              </a:solidFill>
            </a:rPr>
            <a:t>Details</a:t>
          </a:r>
          <a:endParaRPr lang="en-US" b="1">
            <a:solidFill>
              <a:sysClr val="windowText" lastClr="000000"/>
            </a:solidFill>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C6:N162" totalsRowShown="0" headerRowDxfId="116" headerRowBorderDxfId="115" tableBorderDxfId="114" totalsRowBorderDxfId="113" headerRowCellStyle="Heading 2">
  <tableColumns count="12">
    <tableColumn id="1" xr3:uid="{00000000-0010-0000-0000-000001000000}" name="Event No." dataDxfId="112" dataCellStyle="Normal - Numbering">
      <calculatedColumnFormula>ROW()-6</calculatedColumnFormula>
    </tableColumn>
    <tableColumn id="12" xr3:uid="{00000000-0010-0000-0000-00000C000000}" name="Test" dataDxfId="111" dataCellStyle="Number_#,###">
      <calculatedColumnFormula>IF(AND(ISBLANK(Table2[[#This Row],[Start Date]]),ISBLANK(Table2[[#This Row],[Class]]),ISBLANK(Table2[[#This Row],[Class Description]]),ISBLANK(Table2[[#This Row],[No. of Attendees
(A)]])),0,IF(OR(ISBLANK(Table2[[#This Row],[Class]]),ISBLANK(Table2[[#This Row],[No. of Attendees
(A)]]),ISBLANK(Table2[[#This Row],[Length of Session
(B)]])),1,0))</calculatedColumnFormula>
    </tableColumn>
    <tableColumn id="2" xr3:uid="{00000000-0010-0000-0000-000002000000}" name="Start Date" dataDxfId="110"/>
    <tableColumn id="3" xr3:uid="{00000000-0010-0000-0000-000003000000}" name="Class" dataDxfId="109"/>
    <tableColumn id="4" xr3:uid="{00000000-0010-0000-0000-000004000000}" name="Class Description" dataDxfId="108"/>
    <tableColumn id="5" xr3:uid="{00000000-0010-0000-0000-000005000000}" name="Training Location" dataDxfId="107"/>
    <tableColumn id="6" xr3:uid="{00000000-0010-0000-0000-000006000000}" name="Sponsor" dataDxfId="106"/>
    <tableColumn id="7" xr3:uid="{00000000-0010-0000-0000-000007000000}" name="No. of Attendees_x000a_(A)" dataDxfId="105" dataCellStyle="Number_#,###"/>
    <tableColumn id="8" xr3:uid="{00000000-0010-0000-0000-000008000000}" name="Length of Session_x000a_(B)" dataDxfId="104" dataCellStyle="Number_#,###"/>
    <tableColumn id="9" xr3:uid="{00000000-0010-0000-0000-000009000000}" name="Training Session Man-Hours_x000a_(A x B)" dataDxfId="103" dataCellStyle="Number_#,###">
      <calculatedColumnFormula>J7*K7</calculatedColumnFormula>
    </tableColumn>
    <tableColumn id="10" xr3:uid="{00000000-0010-0000-0000-00000A000000}" name="Any Certificates Awarded?_x000a_(Y or N)" dataDxfId="102"/>
    <tableColumn id="11" xr3:uid="{00000000-0010-0000-0000-00000B000000}" name="# of Certificates Awarded" dataDxfId="101"/>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22" displayName="Table22" ref="C6:N93" totalsRowShown="0" headerRowDxfId="100" headerRowBorderDxfId="99" tableBorderDxfId="98" totalsRowBorderDxfId="97" headerRowCellStyle="Heading 2">
  <tableColumns count="12">
    <tableColumn id="1" xr3:uid="{00000000-0010-0000-0100-000001000000}" name="Event No." dataDxfId="96" dataCellStyle="Normal - Numbering">
      <calculatedColumnFormula>ROW()-6</calculatedColumnFormula>
    </tableColumn>
    <tableColumn id="12" xr3:uid="{00000000-0010-0000-0100-00000C000000}" name="Test" dataDxfId="95" dataCellStyle="Number_#,###">
      <calculatedColumnFormula>IF(AND(ISBLANK(Table22[[#This Row],[Start Date]]),ISBLANK(Table22[[#This Row],[Class]]),ISBLANK(Table22[[#This Row],[Class Description]]),ISBLANK(Table22[[#This Row],[No. of Attendees
(A)]])),0,IF(OR(ISBLANK(Table22[[#This Row],[Class]]),ISBLANK(Table22[[#This Row],[No. of Attendees
(A)]]),ISBLANK(Table22[[#This Row],[Length of Session
(B)]])),1,0))</calculatedColumnFormula>
    </tableColumn>
    <tableColumn id="2" xr3:uid="{00000000-0010-0000-0100-000002000000}" name="Start Date" dataDxfId="94"/>
    <tableColumn id="3" xr3:uid="{00000000-0010-0000-0100-000003000000}" name="Class" dataDxfId="93"/>
    <tableColumn id="4" xr3:uid="{00000000-0010-0000-0100-000004000000}" name="Class Description" dataDxfId="92"/>
    <tableColumn id="5" xr3:uid="{00000000-0010-0000-0100-000005000000}" name="Training Location" dataDxfId="91"/>
    <tableColumn id="6" xr3:uid="{00000000-0010-0000-0100-000006000000}" name="Sponsor" dataDxfId="90"/>
    <tableColumn id="7" xr3:uid="{00000000-0010-0000-0100-000007000000}" name="No. of Attendees_x000a_(A)" dataDxfId="89" dataCellStyle="Number_#,###"/>
    <tableColumn id="8" xr3:uid="{00000000-0010-0000-0100-000008000000}" name="Length of Session_x000a_(B)" dataDxfId="88" dataCellStyle="Number_#,###"/>
    <tableColumn id="9" xr3:uid="{00000000-0010-0000-0100-000009000000}" name="Training Session Man-Hours_x000a_(A x B)" dataDxfId="87" dataCellStyle="Number_#,###">
      <calculatedColumnFormula>J7*K7</calculatedColumnFormula>
    </tableColumn>
    <tableColumn id="10" xr3:uid="{00000000-0010-0000-0100-00000A000000}" name="Any Certificates Awarded?_x000a_(Y or N)" dataDxfId="86"/>
    <tableColumn id="11" xr3:uid="{00000000-0010-0000-0100-00000B000000}" name="# of Certificates Awarded" dataDxfId="85"/>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tx2">
            <a:lumMod val="75000"/>
          </a:schemeClr>
        </a:solidFill>
      </a:spPr>
      <a:bodyPr vertOverflow="clip" horzOverflow="clip" rtlCol="0" anchor="ctr"/>
      <a:lstStyle>
        <a:defPPr algn="ctr">
          <a:defRPr sz="1000" b="1">
            <a:solidFill>
              <a:schemeClr val="bg1"/>
            </a:solidFill>
            <a:latin typeface="+mn-lt"/>
          </a:defRPr>
        </a:defPPr>
      </a:lstStyle>
      <a:style>
        <a:lnRef idx="2">
          <a:schemeClr val="accent1">
            <a:shade val="50000"/>
          </a:schemeClr>
        </a:lnRef>
        <a:fillRef idx="1">
          <a:schemeClr val="accent1"/>
        </a:fillRef>
        <a:effectRef idx="0">
          <a:schemeClr val="accent1"/>
        </a:effectRef>
        <a:fontRef idx="minor">
          <a:schemeClr val="lt1"/>
        </a:fontRef>
      </a:style>
    </a:spDef>
    <a:lnDef>
      <a:spPr bwMode="auto">
        <a:xfrm>
          <a:off x="0" y="0"/>
          <a:ext cx="1" cy="1"/>
        </a:xfrm>
        <a:custGeom>
          <a:avLst/>
          <a:gdLst/>
          <a:ahLst/>
          <a:cxnLst/>
          <a:rect l="0" t="0" r="0" b="0"/>
          <a:pathLst/>
        </a:custGeom>
        <a:solidFill>
          <a:srgbClr val="4F81BD"/>
        </a:solidFill>
        <a:ln w="25400" cap="flat" cmpd="sng" algn="ctr">
          <a:solidFill>
            <a:srgbClr val="385D8A"/>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CC21"/>
  <sheetViews>
    <sheetView showGridLines="0" showRowColHeaders="0" tabSelected="1" zoomScale="130" zoomScaleNormal="130" workbookViewId="0"/>
  </sheetViews>
  <sheetFormatPr defaultRowHeight="12.75" x14ac:dyDescent="0.2"/>
  <cols>
    <col min="1" max="1" width="1" customWidth="1"/>
    <col min="2" max="82" width="1.5703125" customWidth="1"/>
    <col min="85" max="85" width="10.42578125" customWidth="1"/>
    <col min="86" max="86" width="2.42578125" customWidth="1"/>
  </cols>
  <sheetData>
    <row r="1" spans="2:81" ht="56.25" customHeight="1" x14ac:dyDescent="0.2">
      <c r="E1" s="40"/>
      <c r="F1" s="40"/>
      <c r="G1" s="40"/>
      <c r="S1" s="173" t="s">
        <v>0</v>
      </c>
    </row>
    <row r="2" spans="2:81" ht="56.25" customHeight="1" x14ac:dyDescent="0.2">
      <c r="E2" s="41"/>
      <c r="F2" s="41"/>
      <c r="G2" s="41"/>
      <c r="T2" s="174" t="s">
        <v>1</v>
      </c>
    </row>
    <row r="3" spans="2:81" ht="13.5" thickBot="1" x14ac:dyDescent="0.25">
      <c r="B3" s="582"/>
      <c r="C3" s="582"/>
      <c r="D3" s="582"/>
      <c r="E3" s="582"/>
      <c r="F3" s="582"/>
      <c r="G3" s="582"/>
      <c r="H3" s="582"/>
      <c r="I3" s="582"/>
      <c r="J3" s="582"/>
      <c r="K3" s="582"/>
      <c r="L3" s="582"/>
      <c r="M3" s="582"/>
      <c r="N3" s="582"/>
      <c r="O3" s="582"/>
      <c r="P3" s="582"/>
      <c r="Q3" s="582"/>
      <c r="R3" s="582"/>
      <c r="S3" s="582"/>
      <c r="T3" s="582"/>
      <c r="U3" s="582"/>
      <c r="V3" s="582"/>
      <c r="W3" s="582"/>
      <c r="X3" s="582"/>
      <c r="Y3" s="582"/>
      <c r="Z3" s="582"/>
      <c r="AA3" s="582"/>
      <c r="AB3" s="582"/>
      <c r="AC3" s="582"/>
      <c r="AD3" s="582"/>
      <c r="AE3" s="582"/>
      <c r="AF3" s="582"/>
      <c r="AG3" s="582"/>
      <c r="AH3" s="582"/>
      <c r="AI3" s="582"/>
      <c r="AJ3" s="582"/>
      <c r="AK3" s="582"/>
      <c r="AL3" s="582"/>
      <c r="AM3" s="582"/>
      <c r="AN3" s="582"/>
      <c r="AO3" s="582"/>
      <c r="AP3" s="582"/>
      <c r="AQ3" s="582"/>
      <c r="AR3" s="582"/>
      <c r="AS3" s="582"/>
      <c r="AT3" s="582"/>
      <c r="AU3" s="582"/>
      <c r="AV3" s="582"/>
      <c r="AW3" s="582"/>
      <c r="AX3" s="582"/>
      <c r="AY3" s="582"/>
      <c r="AZ3" s="582"/>
      <c r="BA3" s="582"/>
      <c r="BB3" s="582"/>
      <c r="BC3" s="582"/>
      <c r="BD3" s="582"/>
      <c r="BE3" s="582"/>
      <c r="BF3" s="582"/>
      <c r="BG3" s="582"/>
      <c r="BH3" s="582"/>
      <c r="BI3" s="582"/>
      <c r="BJ3" s="582"/>
      <c r="BK3" s="582"/>
      <c r="BL3" s="582"/>
      <c r="BM3" s="582"/>
      <c r="BN3" s="582"/>
      <c r="BO3" s="582"/>
      <c r="BP3" s="582"/>
      <c r="BQ3" s="582"/>
      <c r="BR3" s="582"/>
      <c r="BS3" s="582"/>
      <c r="BT3" s="582"/>
      <c r="BU3" s="582"/>
      <c r="BV3" s="582"/>
      <c r="BW3" s="582"/>
      <c r="BX3" s="582"/>
      <c r="BY3" s="582"/>
      <c r="BZ3" s="582"/>
      <c r="CA3" s="582"/>
      <c r="CB3" s="582"/>
      <c r="CC3" s="582"/>
    </row>
    <row r="4" spans="2:81" ht="15.75" x14ac:dyDescent="0.25">
      <c r="B4" s="638" t="s">
        <v>2</v>
      </c>
      <c r="C4" s="639"/>
      <c r="D4" s="639"/>
      <c r="E4" s="639"/>
      <c r="F4" s="639"/>
      <c r="G4" s="639"/>
      <c r="H4" s="639"/>
      <c r="I4" s="639"/>
      <c r="J4" s="639"/>
      <c r="K4" s="639"/>
      <c r="L4" s="639"/>
      <c r="M4" s="639"/>
      <c r="N4" s="639"/>
      <c r="O4" s="639"/>
      <c r="P4" s="639"/>
      <c r="Q4" s="640"/>
      <c r="R4" s="638" t="s">
        <v>3</v>
      </c>
      <c r="S4" s="639"/>
      <c r="T4" s="639"/>
      <c r="U4" s="639"/>
      <c r="V4" s="639"/>
      <c r="W4" s="639"/>
      <c r="X4" s="639"/>
      <c r="Y4" s="639"/>
      <c r="Z4" s="639"/>
      <c r="AA4" s="639"/>
      <c r="AB4" s="639"/>
      <c r="AC4" s="639"/>
      <c r="AD4" s="639"/>
      <c r="AE4" s="639"/>
      <c r="AF4" s="639"/>
      <c r="AG4" s="639"/>
      <c r="AH4" s="639"/>
      <c r="AI4" s="639"/>
      <c r="AJ4" s="639"/>
      <c r="AK4" s="639"/>
      <c r="AL4" s="639"/>
      <c r="AM4" s="639"/>
      <c r="AN4" s="639"/>
      <c r="AO4" s="639"/>
      <c r="AP4" s="639"/>
      <c r="AQ4" s="639"/>
      <c r="AR4" s="639"/>
      <c r="AS4" s="639"/>
      <c r="AT4" s="639"/>
      <c r="AU4" s="639"/>
      <c r="AV4" s="639"/>
      <c r="AW4" s="639"/>
      <c r="AX4" s="639"/>
      <c r="AY4" s="639"/>
      <c r="AZ4" s="639"/>
      <c r="BA4" s="639"/>
      <c r="BB4" s="639"/>
      <c r="BC4" s="639"/>
      <c r="BD4" s="639"/>
      <c r="BE4" s="639"/>
      <c r="BF4" s="639"/>
      <c r="BG4" s="639"/>
      <c r="BH4" s="639"/>
      <c r="BI4" s="639"/>
      <c r="BJ4" s="639"/>
      <c r="BK4" s="639"/>
      <c r="BL4" s="639"/>
      <c r="BM4" s="639"/>
      <c r="BN4" s="639"/>
      <c r="BO4" s="639"/>
      <c r="BP4" s="639"/>
      <c r="BQ4" s="639"/>
      <c r="BR4" s="639"/>
      <c r="BS4" s="639"/>
      <c r="BT4" s="639"/>
      <c r="BU4" s="639"/>
      <c r="BV4" s="639"/>
      <c r="BW4" s="639"/>
      <c r="BX4" s="639"/>
      <c r="BY4" s="639"/>
      <c r="BZ4" s="639"/>
      <c r="CA4" s="639"/>
      <c r="CB4" s="639"/>
      <c r="CC4" s="640"/>
    </row>
    <row r="5" spans="2:81" ht="10.35" customHeight="1" x14ac:dyDescent="0.2">
      <c r="B5" s="96"/>
      <c r="C5" s="58"/>
      <c r="D5" s="58"/>
      <c r="E5" s="58"/>
      <c r="F5" s="58"/>
      <c r="G5" s="58"/>
      <c r="H5" s="58"/>
      <c r="I5" s="58"/>
      <c r="J5" s="58"/>
      <c r="K5" s="58"/>
      <c r="L5" s="58"/>
      <c r="M5" s="58"/>
      <c r="N5" s="58"/>
      <c r="O5" s="58"/>
      <c r="P5" s="58"/>
      <c r="Q5" s="97"/>
      <c r="R5" s="96"/>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97"/>
    </row>
    <row r="6" spans="2:81" ht="10.35" customHeight="1" x14ac:dyDescent="0.2">
      <c r="B6" s="96"/>
      <c r="C6" s="58"/>
      <c r="D6" s="58"/>
      <c r="E6" s="58"/>
      <c r="F6" s="58"/>
      <c r="G6" s="58"/>
      <c r="H6" s="58"/>
      <c r="I6" s="58"/>
      <c r="J6" s="58"/>
      <c r="K6" s="58"/>
      <c r="L6" s="58"/>
      <c r="M6" s="58"/>
      <c r="N6" s="58"/>
      <c r="O6" s="58"/>
      <c r="P6" s="58"/>
      <c r="Q6" s="97"/>
      <c r="R6" s="96"/>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c r="BI6" s="58"/>
      <c r="BJ6" s="58"/>
      <c r="BK6" s="58"/>
      <c r="BL6" s="58"/>
      <c r="BM6" s="58"/>
      <c r="BN6" s="58"/>
      <c r="BO6" s="58"/>
      <c r="BP6" s="58"/>
      <c r="BQ6" s="58"/>
      <c r="BR6" s="58"/>
      <c r="BS6" s="58"/>
      <c r="BT6" s="58"/>
      <c r="BU6" s="58"/>
      <c r="BV6" s="58"/>
      <c r="BW6" s="58"/>
      <c r="BX6" s="58"/>
      <c r="BY6" s="58"/>
      <c r="BZ6" s="58"/>
      <c r="CA6" s="58"/>
      <c r="CB6" s="58"/>
      <c r="CC6" s="97"/>
    </row>
    <row r="7" spans="2:81" ht="10.35" customHeight="1" x14ac:dyDescent="0.2">
      <c r="B7" s="96"/>
      <c r="C7" s="58"/>
      <c r="D7" s="58"/>
      <c r="E7" s="58"/>
      <c r="F7" s="58"/>
      <c r="G7" s="58"/>
      <c r="H7" s="58"/>
      <c r="I7" s="58"/>
      <c r="J7" s="58"/>
      <c r="K7" s="58"/>
      <c r="L7" s="58"/>
      <c r="M7" s="58"/>
      <c r="N7" s="58"/>
      <c r="O7" s="58"/>
      <c r="P7" s="58"/>
      <c r="Q7" s="97"/>
      <c r="R7" s="96"/>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c r="BP7" s="58"/>
      <c r="BQ7" s="58"/>
      <c r="BR7" s="58"/>
      <c r="BS7" s="58"/>
      <c r="BT7" s="58"/>
      <c r="BU7" s="58"/>
      <c r="BV7" s="58"/>
      <c r="BW7" s="58"/>
      <c r="BX7" s="58"/>
      <c r="BY7" s="58"/>
      <c r="BZ7" s="58"/>
      <c r="CA7" s="58"/>
      <c r="CB7" s="58"/>
      <c r="CC7" s="97"/>
    </row>
    <row r="8" spans="2:81" ht="10.35" customHeight="1" x14ac:dyDescent="0.2">
      <c r="B8" s="96"/>
      <c r="C8" s="58"/>
      <c r="D8" s="58"/>
      <c r="E8" s="58"/>
      <c r="F8" s="58"/>
      <c r="G8" s="58"/>
      <c r="H8" s="58"/>
      <c r="I8" s="58"/>
      <c r="J8" s="58"/>
      <c r="K8" s="58"/>
      <c r="L8" s="58"/>
      <c r="M8" s="58"/>
      <c r="N8" s="58"/>
      <c r="O8" s="58"/>
      <c r="P8" s="58"/>
      <c r="Q8" s="97"/>
      <c r="R8" s="96"/>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97"/>
    </row>
    <row r="9" spans="2:81" ht="10.35" customHeight="1" x14ac:dyDescent="0.2">
      <c r="B9" s="96"/>
      <c r="C9" s="58"/>
      <c r="D9" s="58"/>
      <c r="E9" s="58"/>
      <c r="F9" s="58"/>
      <c r="G9" s="58"/>
      <c r="H9" s="58"/>
      <c r="I9" s="58"/>
      <c r="J9" s="58"/>
      <c r="K9" s="58"/>
      <c r="L9" s="58"/>
      <c r="M9" s="58"/>
      <c r="N9" s="58"/>
      <c r="O9" s="58"/>
      <c r="P9" s="58"/>
      <c r="Q9" s="97"/>
      <c r="R9" s="96"/>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c r="BM9" s="58"/>
      <c r="BN9" s="58"/>
      <c r="BO9" s="58"/>
      <c r="BP9" s="58"/>
      <c r="BQ9" s="58"/>
      <c r="BR9" s="58"/>
      <c r="BS9" s="58"/>
      <c r="BT9" s="58"/>
      <c r="BU9" s="58"/>
      <c r="BV9" s="58"/>
      <c r="BW9" s="58"/>
      <c r="BX9" s="58"/>
      <c r="BY9" s="58"/>
      <c r="BZ9" s="58"/>
      <c r="CA9" s="58"/>
      <c r="CB9" s="58"/>
      <c r="CC9" s="97"/>
    </row>
    <row r="10" spans="2:81" ht="10.35" customHeight="1" x14ac:dyDescent="0.2">
      <c r="B10" s="96"/>
      <c r="C10" s="58"/>
      <c r="D10" s="58"/>
      <c r="E10" s="58"/>
      <c r="F10" s="58"/>
      <c r="G10" s="58"/>
      <c r="H10" s="58"/>
      <c r="I10" s="58"/>
      <c r="J10" s="58"/>
      <c r="K10" s="58"/>
      <c r="L10" s="58"/>
      <c r="M10" s="58"/>
      <c r="N10" s="58"/>
      <c r="O10" s="58"/>
      <c r="P10" s="58"/>
      <c r="Q10" s="97"/>
      <c r="R10" s="96"/>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c r="BD10" s="58"/>
      <c r="BE10" s="58"/>
      <c r="BF10" s="58"/>
      <c r="BG10" s="58"/>
      <c r="BH10" s="58"/>
      <c r="BI10" s="58"/>
      <c r="BJ10" s="58"/>
      <c r="BK10" s="58"/>
      <c r="BL10" s="58"/>
      <c r="BM10" s="58"/>
      <c r="BN10" s="58"/>
      <c r="BO10" s="58"/>
      <c r="BP10" s="58"/>
      <c r="BQ10" s="58"/>
      <c r="BR10" s="58"/>
      <c r="BS10" s="58"/>
      <c r="BT10" s="58"/>
      <c r="BU10" s="58"/>
      <c r="BV10" s="58"/>
      <c r="BW10" s="58"/>
      <c r="BX10" s="58"/>
      <c r="BY10" s="58"/>
      <c r="BZ10" s="58"/>
      <c r="CA10" s="58"/>
      <c r="CB10" s="58"/>
      <c r="CC10" s="97"/>
    </row>
    <row r="11" spans="2:81" ht="10.35" customHeight="1" thickBot="1" x14ac:dyDescent="0.25">
      <c r="B11" s="98"/>
      <c r="C11" s="350"/>
      <c r="D11" s="350"/>
      <c r="E11" s="350"/>
      <c r="F11" s="350"/>
      <c r="G11" s="350"/>
      <c r="H11" s="350"/>
      <c r="I11" s="350"/>
      <c r="J11" s="350"/>
      <c r="K11" s="350"/>
      <c r="L11" s="350"/>
      <c r="M11" s="350"/>
      <c r="N11" s="350"/>
      <c r="O11" s="350"/>
      <c r="P11" s="350"/>
      <c r="Q11" s="99"/>
      <c r="R11" s="98"/>
      <c r="S11" s="350"/>
      <c r="T11" s="350"/>
      <c r="U11" s="350"/>
      <c r="V11" s="350"/>
      <c r="W11" s="350"/>
      <c r="X11" s="350"/>
      <c r="Y11" s="350"/>
      <c r="Z11" s="350"/>
      <c r="AA11" s="350"/>
      <c r="AB11" s="350"/>
      <c r="AC11" s="350"/>
      <c r="AD11" s="350"/>
      <c r="AE11" s="350"/>
      <c r="AF11" s="350"/>
      <c r="AG11" s="350"/>
      <c r="AH11" s="350"/>
      <c r="AI11" s="350"/>
      <c r="AJ11" s="350"/>
      <c r="AK11" s="350"/>
      <c r="AL11" s="350"/>
      <c r="AM11" s="350"/>
      <c r="AN11" s="350"/>
      <c r="AO11" s="350"/>
      <c r="AP11" s="350"/>
      <c r="AQ11" s="350"/>
      <c r="AR11" s="350"/>
      <c r="AS11" s="350"/>
      <c r="AT11" s="350"/>
      <c r="AU11" s="350"/>
      <c r="AV11" s="350"/>
      <c r="AW11" s="350"/>
      <c r="AX11" s="350"/>
      <c r="AY11" s="350"/>
      <c r="AZ11" s="350"/>
      <c r="BA11" s="350"/>
      <c r="BB11" s="350"/>
      <c r="BC11" s="350"/>
      <c r="BD11" s="350"/>
      <c r="BE11" s="350"/>
      <c r="BF11" s="350"/>
      <c r="BG11" s="350"/>
      <c r="BH11" s="350"/>
      <c r="BI11" s="350"/>
      <c r="BJ11" s="350"/>
      <c r="BK11" s="350"/>
      <c r="BL11" s="350"/>
      <c r="BM11" s="350"/>
      <c r="BN11" s="350"/>
      <c r="BO11" s="350"/>
      <c r="BP11" s="350"/>
      <c r="BQ11" s="350"/>
      <c r="BR11" s="350"/>
      <c r="BS11" s="350"/>
      <c r="BT11" s="350"/>
      <c r="BU11" s="350"/>
      <c r="BV11" s="350"/>
      <c r="BW11" s="350"/>
      <c r="BX11" s="350"/>
      <c r="BY11" s="350"/>
      <c r="BZ11" s="350"/>
      <c r="CA11" s="350"/>
      <c r="CB11" s="350"/>
      <c r="CC11" s="99"/>
    </row>
    <row r="14" spans="2:81" ht="13.5" thickBot="1" x14ac:dyDescent="0.25"/>
    <row r="15" spans="2:81" ht="15.75" x14ac:dyDescent="0.25">
      <c r="B15" s="638" t="s">
        <v>4</v>
      </c>
      <c r="C15" s="639"/>
      <c r="D15" s="639"/>
      <c r="E15" s="639"/>
      <c r="F15" s="639"/>
      <c r="G15" s="639"/>
      <c r="H15" s="639"/>
      <c r="I15" s="639"/>
      <c r="J15" s="639"/>
      <c r="K15" s="639"/>
      <c r="L15" s="639"/>
      <c r="M15" s="639"/>
      <c r="N15" s="639"/>
      <c r="O15" s="639"/>
      <c r="P15" s="639"/>
      <c r="Q15" s="639"/>
      <c r="R15" s="639"/>
      <c r="S15" s="639"/>
      <c r="T15" s="639"/>
      <c r="U15" s="639"/>
      <c r="V15" s="639"/>
      <c r="W15" s="639"/>
      <c r="X15" s="639"/>
      <c r="Y15" s="639"/>
      <c r="Z15" s="639"/>
      <c r="AA15" s="639"/>
      <c r="AB15" s="639"/>
      <c r="AC15" s="639"/>
      <c r="AD15" s="639"/>
      <c r="AE15" s="639"/>
      <c r="AF15" s="639"/>
      <c r="AG15" s="639"/>
      <c r="AH15" s="639"/>
      <c r="AI15" s="639"/>
      <c r="AJ15" s="639"/>
      <c r="AK15" s="639"/>
      <c r="AL15" s="639"/>
      <c r="AM15" s="639"/>
      <c r="AN15" s="639"/>
      <c r="AO15" s="640"/>
      <c r="AP15" s="638" t="s">
        <v>5</v>
      </c>
      <c r="AQ15" s="639"/>
      <c r="AR15" s="639"/>
      <c r="AS15" s="639"/>
      <c r="AT15" s="639"/>
      <c r="AU15" s="639"/>
      <c r="AV15" s="639"/>
      <c r="AW15" s="639"/>
      <c r="AX15" s="639"/>
      <c r="AY15" s="639"/>
      <c r="AZ15" s="639"/>
      <c r="BA15" s="639"/>
      <c r="BB15" s="639"/>
      <c r="BC15" s="639"/>
      <c r="BD15" s="639"/>
      <c r="BE15" s="639"/>
      <c r="BF15" s="639"/>
      <c r="BG15" s="639"/>
      <c r="BH15" s="639"/>
      <c r="BI15" s="639"/>
      <c r="BJ15" s="639"/>
      <c r="BK15" s="639"/>
      <c r="BL15" s="639"/>
      <c r="BM15" s="640"/>
      <c r="BN15" s="638" t="s">
        <v>6</v>
      </c>
      <c r="BO15" s="639"/>
      <c r="BP15" s="639"/>
      <c r="BQ15" s="639"/>
      <c r="BR15" s="639"/>
      <c r="BS15" s="639"/>
      <c r="BT15" s="639"/>
      <c r="BU15" s="639"/>
      <c r="BV15" s="639"/>
      <c r="BW15" s="639"/>
      <c r="BX15" s="639"/>
      <c r="BY15" s="639"/>
      <c r="BZ15" s="639"/>
      <c r="CA15" s="639"/>
      <c r="CB15" s="639"/>
      <c r="CC15" s="640"/>
    </row>
    <row r="16" spans="2:81" ht="54.75" customHeight="1" x14ac:dyDescent="0.2">
      <c r="B16" s="632" t="s">
        <v>7</v>
      </c>
      <c r="C16" s="633"/>
      <c r="D16" s="633"/>
      <c r="E16" s="633"/>
      <c r="F16" s="633"/>
      <c r="G16" s="633"/>
      <c r="H16" s="633"/>
      <c r="I16" s="634"/>
      <c r="J16" s="636" t="s">
        <v>8</v>
      </c>
      <c r="K16" s="633"/>
      <c r="L16" s="633"/>
      <c r="M16" s="633"/>
      <c r="N16" s="633"/>
      <c r="O16" s="633"/>
      <c r="P16" s="633"/>
      <c r="Q16" s="634"/>
      <c r="R16" s="636" t="s">
        <v>9</v>
      </c>
      <c r="S16" s="633"/>
      <c r="T16" s="633"/>
      <c r="U16" s="633"/>
      <c r="V16" s="633"/>
      <c r="W16" s="633"/>
      <c r="X16" s="633"/>
      <c r="Y16" s="634"/>
      <c r="Z16" s="636" t="s">
        <v>10</v>
      </c>
      <c r="AA16" s="633"/>
      <c r="AB16" s="633"/>
      <c r="AC16" s="633"/>
      <c r="AD16" s="633"/>
      <c r="AE16" s="633"/>
      <c r="AF16" s="633"/>
      <c r="AG16" s="634"/>
      <c r="AH16" s="636" t="s">
        <v>11</v>
      </c>
      <c r="AI16" s="633"/>
      <c r="AJ16" s="633"/>
      <c r="AK16" s="633"/>
      <c r="AL16" s="633"/>
      <c r="AM16" s="633"/>
      <c r="AN16" s="633"/>
      <c r="AO16" s="637"/>
      <c r="AP16" s="632" t="s">
        <v>12</v>
      </c>
      <c r="AQ16" s="633"/>
      <c r="AR16" s="633"/>
      <c r="AS16" s="633"/>
      <c r="AT16" s="633"/>
      <c r="AU16" s="633"/>
      <c r="AV16" s="633"/>
      <c r="AW16" s="634"/>
      <c r="AX16" s="636" t="s">
        <v>13</v>
      </c>
      <c r="AY16" s="633"/>
      <c r="AZ16" s="633"/>
      <c r="BA16" s="633"/>
      <c r="BB16" s="633"/>
      <c r="BC16" s="633"/>
      <c r="BD16" s="633"/>
      <c r="BE16" s="634"/>
      <c r="BF16" s="636" t="s">
        <v>14</v>
      </c>
      <c r="BG16" s="633"/>
      <c r="BH16" s="633"/>
      <c r="BI16" s="633"/>
      <c r="BJ16" s="633"/>
      <c r="BK16" s="633"/>
      <c r="BL16" s="633"/>
      <c r="BM16" s="637"/>
      <c r="BN16" s="632" t="s">
        <v>15</v>
      </c>
      <c r="BO16" s="633"/>
      <c r="BP16" s="633"/>
      <c r="BQ16" s="633"/>
      <c r="BR16" s="633"/>
      <c r="BS16" s="633"/>
      <c r="BT16" s="633"/>
      <c r="BU16" s="634"/>
      <c r="BV16" s="636" t="s">
        <v>16</v>
      </c>
      <c r="BW16" s="633"/>
      <c r="BX16" s="633"/>
      <c r="BY16" s="633"/>
      <c r="BZ16" s="633"/>
      <c r="CA16" s="633"/>
      <c r="CB16" s="633"/>
      <c r="CC16" s="637"/>
    </row>
    <row r="17" spans="2:81" ht="8.1" customHeight="1" x14ac:dyDescent="0.2">
      <c r="B17" s="530"/>
      <c r="C17" s="583"/>
      <c r="D17" s="583"/>
      <c r="E17" s="583"/>
      <c r="F17" s="583"/>
      <c r="G17" s="583"/>
      <c r="H17" s="583"/>
      <c r="I17" s="584"/>
      <c r="J17" s="585"/>
      <c r="K17" s="583"/>
      <c r="L17" s="583"/>
      <c r="M17" s="583"/>
      <c r="N17" s="583"/>
      <c r="O17" s="583"/>
      <c r="P17" s="583"/>
      <c r="Q17" s="584"/>
      <c r="R17" s="585"/>
      <c r="S17" s="583"/>
      <c r="T17" s="583"/>
      <c r="U17" s="583"/>
      <c r="V17" s="583"/>
      <c r="W17" s="583"/>
      <c r="X17" s="583"/>
      <c r="Y17" s="584"/>
      <c r="Z17" s="585"/>
      <c r="AA17" s="583"/>
      <c r="AB17" s="583"/>
      <c r="AC17" s="583"/>
      <c r="AD17" s="583"/>
      <c r="AE17" s="583"/>
      <c r="AF17" s="583"/>
      <c r="AG17" s="584"/>
      <c r="AH17" s="585"/>
      <c r="AI17" s="583"/>
      <c r="AJ17" s="583"/>
      <c r="AK17" s="583"/>
      <c r="AL17" s="583"/>
      <c r="AM17" s="583"/>
      <c r="AN17" s="583"/>
      <c r="AO17" s="531"/>
      <c r="AP17" s="530"/>
      <c r="AQ17" s="583"/>
      <c r="AR17" s="583"/>
      <c r="AS17" s="583"/>
      <c r="AT17" s="583"/>
      <c r="AU17" s="583"/>
      <c r="AV17" s="583"/>
      <c r="AW17" s="584"/>
      <c r="AX17" s="585"/>
      <c r="AY17" s="583"/>
      <c r="AZ17" s="583"/>
      <c r="BA17" s="583"/>
      <c r="BB17" s="583"/>
      <c r="BC17" s="583"/>
      <c r="BD17" s="583"/>
      <c r="BE17" s="584"/>
      <c r="BF17" s="585"/>
      <c r="BG17" s="583"/>
      <c r="BH17" s="583"/>
      <c r="BI17" s="583"/>
      <c r="BJ17" s="583"/>
      <c r="BK17" s="583"/>
      <c r="BL17" s="583"/>
      <c r="BM17" s="531"/>
      <c r="BN17" s="530"/>
      <c r="BO17" s="583"/>
      <c r="BP17" s="583"/>
      <c r="BQ17" s="583"/>
      <c r="BR17" s="583"/>
      <c r="BS17" s="583"/>
      <c r="BT17" s="583"/>
      <c r="BU17" s="584"/>
      <c r="BV17" s="585"/>
      <c r="BW17" s="583"/>
      <c r="BX17" s="583"/>
      <c r="BY17" s="583"/>
      <c r="BZ17" s="583"/>
      <c r="CA17" s="583"/>
      <c r="CB17" s="583"/>
      <c r="CC17" s="531"/>
    </row>
    <row r="18" spans="2:81" ht="22.5" customHeight="1" x14ac:dyDescent="0.2">
      <c r="B18" s="268"/>
      <c r="C18" s="635"/>
      <c r="D18" s="635"/>
      <c r="E18" s="635"/>
      <c r="F18" s="635"/>
      <c r="G18" s="635"/>
      <c r="H18" s="635"/>
      <c r="I18" s="269"/>
      <c r="J18" s="270"/>
      <c r="K18" s="635"/>
      <c r="L18" s="635"/>
      <c r="M18" s="635"/>
      <c r="N18" s="635"/>
      <c r="O18" s="635"/>
      <c r="P18" s="635"/>
      <c r="Q18" s="269"/>
      <c r="R18" s="270"/>
      <c r="S18" s="635"/>
      <c r="T18" s="635"/>
      <c r="U18" s="635"/>
      <c r="V18" s="635"/>
      <c r="W18" s="635"/>
      <c r="X18" s="635"/>
      <c r="Y18" s="269"/>
      <c r="Z18" s="270"/>
      <c r="AA18" s="635"/>
      <c r="AB18" s="635"/>
      <c r="AC18" s="635"/>
      <c r="AD18" s="635"/>
      <c r="AE18" s="635"/>
      <c r="AF18" s="635"/>
      <c r="AG18" s="269"/>
      <c r="AH18" s="270"/>
      <c r="AI18" s="635"/>
      <c r="AJ18" s="635"/>
      <c r="AK18" s="635"/>
      <c r="AL18" s="635"/>
      <c r="AM18" s="635"/>
      <c r="AN18" s="635"/>
      <c r="AO18" s="271"/>
      <c r="AP18" s="268"/>
      <c r="AQ18" s="635"/>
      <c r="AR18" s="635"/>
      <c r="AS18" s="635"/>
      <c r="AT18" s="635"/>
      <c r="AU18" s="635"/>
      <c r="AV18" s="635"/>
      <c r="AW18" s="269"/>
      <c r="AX18" s="270"/>
      <c r="AY18" s="635"/>
      <c r="AZ18" s="635"/>
      <c r="BA18" s="635"/>
      <c r="BB18" s="635"/>
      <c r="BC18" s="635"/>
      <c r="BD18" s="635"/>
      <c r="BE18" s="269"/>
      <c r="BF18" s="270"/>
      <c r="BG18" s="635"/>
      <c r="BH18" s="635"/>
      <c r="BI18" s="635"/>
      <c r="BJ18" s="635"/>
      <c r="BK18" s="635"/>
      <c r="BL18" s="635"/>
      <c r="BM18" s="271"/>
      <c r="BN18" s="268"/>
      <c r="BO18" s="635"/>
      <c r="BP18" s="635"/>
      <c r="BQ18" s="635"/>
      <c r="BR18" s="635"/>
      <c r="BS18" s="635"/>
      <c r="BT18" s="635"/>
      <c r="BU18" s="269"/>
      <c r="BV18" s="270"/>
      <c r="BW18" s="635"/>
      <c r="BX18" s="635"/>
      <c r="BY18" s="635"/>
      <c r="BZ18" s="635"/>
      <c r="CA18" s="635"/>
      <c r="CB18" s="635"/>
      <c r="CC18" s="271"/>
    </row>
    <row r="19" spans="2:81" ht="8.1" customHeight="1" thickBot="1" x14ac:dyDescent="0.25">
      <c r="B19" s="272"/>
      <c r="C19" s="351"/>
      <c r="D19" s="351"/>
      <c r="E19" s="351"/>
      <c r="F19" s="351"/>
      <c r="G19" s="351"/>
      <c r="H19" s="351"/>
      <c r="I19" s="273"/>
      <c r="J19" s="274"/>
      <c r="K19" s="351"/>
      <c r="L19" s="351"/>
      <c r="M19" s="351"/>
      <c r="N19" s="351"/>
      <c r="O19" s="351"/>
      <c r="P19" s="351"/>
      <c r="Q19" s="273"/>
      <c r="R19" s="274"/>
      <c r="S19" s="351"/>
      <c r="T19" s="351"/>
      <c r="U19" s="351"/>
      <c r="V19" s="351"/>
      <c r="W19" s="351"/>
      <c r="X19" s="351"/>
      <c r="Y19" s="273"/>
      <c r="Z19" s="274"/>
      <c r="AA19" s="351"/>
      <c r="AB19" s="351"/>
      <c r="AC19" s="351"/>
      <c r="AD19" s="351"/>
      <c r="AE19" s="351"/>
      <c r="AF19" s="351"/>
      <c r="AG19" s="273"/>
      <c r="AH19" s="274"/>
      <c r="AI19" s="351"/>
      <c r="AJ19" s="351"/>
      <c r="AK19" s="351"/>
      <c r="AL19" s="351"/>
      <c r="AM19" s="351"/>
      <c r="AN19" s="351"/>
      <c r="AO19" s="275"/>
      <c r="AP19" s="272"/>
      <c r="AQ19" s="351"/>
      <c r="AR19" s="351"/>
      <c r="AS19" s="351"/>
      <c r="AT19" s="351"/>
      <c r="AU19" s="351"/>
      <c r="AV19" s="351"/>
      <c r="AW19" s="273"/>
      <c r="AX19" s="274"/>
      <c r="AY19" s="351"/>
      <c r="AZ19" s="351"/>
      <c r="BA19" s="351"/>
      <c r="BB19" s="351"/>
      <c r="BC19" s="351"/>
      <c r="BD19" s="351"/>
      <c r="BE19" s="273"/>
      <c r="BF19" s="274"/>
      <c r="BG19" s="351"/>
      <c r="BH19" s="351"/>
      <c r="BI19" s="351"/>
      <c r="BJ19" s="351"/>
      <c r="BK19" s="351"/>
      <c r="BL19" s="351"/>
      <c r="BM19" s="275"/>
      <c r="BN19" s="272"/>
      <c r="BO19" s="351"/>
      <c r="BP19" s="351"/>
      <c r="BQ19" s="351"/>
      <c r="BR19" s="351"/>
      <c r="BS19" s="351"/>
      <c r="BT19" s="351"/>
      <c r="BU19" s="273"/>
      <c r="BV19" s="274"/>
      <c r="BW19" s="351"/>
      <c r="BX19" s="351"/>
      <c r="BY19" s="351"/>
      <c r="BZ19" s="351"/>
      <c r="CA19" s="351"/>
      <c r="CB19" s="351"/>
      <c r="CC19" s="275"/>
    </row>
    <row r="21" spans="2:81" ht="12.75" customHeight="1" x14ac:dyDescent="0.2"/>
  </sheetData>
  <mergeCells count="25">
    <mergeCell ref="B15:AO15"/>
    <mergeCell ref="B4:Q4"/>
    <mergeCell ref="AP15:BM15"/>
    <mergeCell ref="BN15:CC15"/>
    <mergeCell ref="R4:CC4"/>
    <mergeCell ref="AH16:AO16"/>
    <mergeCell ref="AI18:AN18"/>
    <mergeCell ref="AP16:AW16"/>
    <mergeCell ref="AQ18:AV18"/>
    <mergeCell ref="BW18:CB18"/>
    <mergeCell ref="BV16:CC16"/>
    <mergeCell ref="AX16:BE16"/>
    <mergeCell ref="AY18:BD18"/>
    <mergeCell ref="BF16:BM16"/>
    <mergeCell ref="BG18:BL18"/>
    <mergeCell ref="BN16:BU16"/>
    <mergeCell ref="BO18:BT18"/>
    <mergeCell ref="B16:I16"/>
    <mergeCell ref="C18:H18"/>
    <mergeCell ref="J16:Q16"/>
    <mergeCell ref="R16:Y16"/>
    <mergeCell ref="Z16:AG16"/>
    <mergeCell ref="K18:P18"/>
    <mergeCell ref="S18:X18"/>
    <mergeCell ref="AA18:AF18"/>
  </mergeCells>
  <pageMargins left="0.5" right="0.5" top="0.75" bottom="0.75" header="0.3" footer="0.3"/>
  <pageSetup scale="94"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O163"/>
  <sheetViews>
    <sheetView showGridLines="0" zoomScaleNormal="100" workbookViewId="0">
      <pane ySplit="6" topLeftCell="A7" activePane="bottomLeft" state="frozen"/>
      <selection pane="bottomLeft" activeCell="A7" sqref="A7"/>
    </sheetView>
  </sheetViews>
  <sheetFormatPr defaultColWidth="9.42578125" defaultRowHeight="12.75" x14ac:dyDescent="0.2"/>
  <cols>
    <col min="1" max="1" width="1" style="2" customWidth="1"/>
    <col min="2" max="2" width="1.5703125" style="2" customWidth="1"/>
    <col min="3" max="3" width="11.42578125" style="2" customWidth="1"/>
    <col min="4" max="4" width="8.5703125" style="2" hidden="1" customWidth="1"/>
    <col min="5" max="5" width="11.42578125" style="2" customWidth="1"/>
    <col min="6" max="6" width="16.5703125" style="2" customWidth="1"/>
    <col min="7" max="7" width="27" style="2" customWidth="1"/>
    <col min="8" max="8" width="17.42578125" style="2" customWidth="1"/>
    <col min="9" max="9" width="19" style="2" customWidth="1"/>
    <col min="10" max="10" width="11.42578125" style="2" customWidth="1"/>
    <col min="11" max="12" width="9.5703125" style="2" customWidth="1"/>
    <col min="13" max="13" width="10" style="2" customWidth="1"/>
    <col min="14" max="14" width="10.42578125" style="2" customWidth="1"/>
    <col min="15" max="15" width="2.5703125" style="2" customWidth="1"/>
    <col min="16" max="16" width="1" style="2" customWidth="1"/>
    <col min="17" max="16384" width="9.42578125" style="2"/>
  </cols>
  <sheetData>
    <row r="1" spans="2:15" ht="5.0999999999999996" customHeight="1" thickBot="1" x14ac:dyDescent="0.25"/>
    <row r="2" spans="2:15" ht="38.25" customHeight="1" thickBot="1" x14ac:dyDescent="0.25">
      <c r="B2" s="660" t="s">
        <v>193</v>
      </c>
      <c r="C2" s="660"/>
      <c r="D2" s="660"/>
      <c r="E2" s="660"/>
      <c r="F2" s="660"/>
      <c r="G2" s="660"/>
      <c r="H2" s="660"/>
      <c r="I2" s="660"/>
      <c r="J2" s="660"/>
      <c r="K2" s="660"/>
      <c r="L2" s="660"/>
      <c r="M2" s="660"/>
      <c r="N2" s="660"/>
      <c r="O2" s="660"/>
    </row>
    <row r="3" spans="2:15" ht="45" customHeight="1" x14ac:dyDescent="0.2"/>
    <row r="4" spans="2:15" ht="14.25" customHeight="1" x14ac:dyDescent="0.2">
      <c r="E4" s="194" t="str">
        <f>IF(D163&gt;0,"Incomplete - All required information for each training must be completed.","")</f>
        <v/>
      </c>
    </row>
    <row r="5" spans="2:15" ht="7.5" customHeight="1" x14ac:dyDescent="0.2"/>
    <row r="6" spans="2:15" ht="51" x14ac:dyDescent="0.2">
      <c r="C6" s="216" t="s">
        <v>194</v>
      </c>
      <c r="D6" s="216" t="s">
        <v>195</v>
      </c>
      <c r="E6" s="216" t="s">
        <v>196</v>
      </c>
      <c r="F6" s="216" t="s">
        <v>197</v>
      </c>
      <c r="G6" s="216" t="s">
        <v>198</v>
      </c>
      <c r="H6" s="216" t="s">
        <v>199</v>
      </c>
      <c r="I6" s="216" t="s">
        <v>200</v>
      </c>
      <c r="J6" s="216" t="s">
        <v>201</v>
      </c>
      <c r="K6" s="216" t="s">
        <v>202</v>
      </c>
      <c r="L6" s="216" t="s">
        <v>203</v>
      </c>
      <c r="M6" s="216" t="s">
        <v>204</v>
      </c>
      <c r="N6" s="217" t="s">
        <v>205</v>
      </c>
    </row>
    <row r="7" spans="2:15" x14ac:dyDescent="0.2">
      <c r="C7" s="215">
        <f t="shared" ref="C7:C24" si="0">ROW()-6</f>
        <v>1</v>
      </c>
      <c r="D7" s="14">
        <f>IF(AND(ISBLANK(Table2[[#This Row],[Start Date]]),ISBLANK(Table2[[#This Row],[Class]]),ISBLANK(Table2[[#This Row],[Class Description]]),ISBLANK(Table2[[#This Row],[No. of Attendees
(A)]])),0,IF(OR(ISBLANK(Table2[[#This Row],[Class]]),ISBLANK(Table2[[#This Row],[No. of Attendees
(A)]]),ISBLANK(Table2[[#This Row],[Length of Session
(B)]])),1,0))</f>
        <v>0</v>
      </c>
      <c r="E7" s="548">
        <v>45660</v>
      </c>
      <c r="F7" s="549" t="s">
        <v>206</v>
      </c>
      <c r="G7" s="549" t="s">
        <v>207</v>
      </c>
      <c r="H7" s="549" t="s">
        <v>208</v>
      </c>
      <c r="I7" s="549" t="s">
        <v>209</v>
      </c>
      <c r="J7" s="550">
        <v>3</v>
      </c>
      <c r="K7" s="550">
        <v>0.33</v>
      </c>
      <c r="L7" s="218">
        <f>J7*K7</f>
        <v>0.99</v>
      </c>
      <c r="M7" s="551" t="s">
        <v>210</v>
      </c>
      <c r="N7" s="550">
        <v>3</v>
      </c>
    </row>
    <row r="8" spans="2:15" ht="12.75" customHeight="1" x14ac:dyDescent="0.2">
      <c r="C8" s="215">
        <f t="shared" si="0"/>
        <v>2</v>
      </c>
      <c r="D8" s="14">
        <f>IF(AND(ISBLANK(Table2[[#This Row],[Start Date]]),ISBLANK(Table2[[#This Row],[Class]]),ISBLANK(Table2[[#This Row],[Class Description]]),ISBLANK(Table2[[#This Row],[No. of Attendees
(A)]])),0,IF(OR(ISBLANK(Table2[[#This Row],[Class]]),ISBLANK(Table2[[#This Row],[No. of Attendees
(A)]]),ISBLANK(Table2[[#This Row],[Length of Session
(B)]])),1,0))</f>
        <v>0</v>
      </c>
      <c r="E8" s="548">
        <v>45671</v>
      </c>
      <c r="F8" s="549" t="s">
        <v>211</v>
      </c>
      <c r="G8" s="549" t="s">
        <v>212</v>
      </c>
      <c r="H8" s="549" t="s">
        <v>208</v>
      </c>
      <c r="I8" s="549" t="s">
        <v>213</v>
      </c>
      <c r="J8" s="550">
        <v>15</v>
      </c>
      <c r="K8" s="550">
        <v>1</v>
      </c>
      <c r="L8" s="218">
        <f>J8*K8</f>
        <v>15</v>
      </c>
      <c r="M8" s="551" t="s">
        <v>210</v>
      </c>
      <c r="N8" s="550">
        <v>15</v>
      </c>
    </row>
    <row r="9" spans="2:15" ht="12.75" customHeight="1" x14ac:dyDescent="0.2">
      <c r="C9" s="215">
        <f t="shared" si="0"/>
        <v>3</v>
      </c>
      <c r="D9" s="14">
        <f>IF(AND(ISBLANK(Table2[[#This Row],[Start Date]]),ISBLANK(Table2[[#This Row],[Class]]),ISBLANK(Table2[[#This Row],[Class Description]]),ISBLANK(Table2[[#This Row],[No. of Attendees
(A)]])),0,IF(OR(ISBLANK(Table2[[#This Row],[Class]]),ISBLANK(Table2[[#This Row],[No. of Attendees
(A)]]),ISBLANK(Table2[[#This Row],[Length of Session
(B)]])),1,0))</f>
        <v>0</v>
      </c>
      <c r="E9" s="552">
        <v>45684</v>
      </c>
      <c r="F9" s="549" t="s">
        <v>214</v>
      </c>
      <c r="G9" s="553" t="s">
        <v>215</v>
      </c>
      <c r="H9" s="553" t="s">
        <v>208</v>
      </c>
      <c r="I9" s="553" t="s">
        <v>216</v>
      </c>
      <c r="J9" s="550">
        <v>10</v>
      </c>
      <c r="K9" s="550">
        <v>1.5</v>
      </c>
      <c r="L9" s="218">
        <f>J9*K9</f>
        <v>15</v>
      </c>
      <c r="M9" s="554" t="s">
        <v>217</v>
      </c>
      <c r="N9" s="550">
        <v>0</v>
      </c>
    </row>
    <row r="10" spans="2:15" x14ac:dyDescent="0.2">
      <c r="C10" s="215">
        <f t="shared" si="0"/>
        <v>4</v>
      </c>
      <c r="D10" s="14">
        <f>IF(AND(ISBLANK(Table2[[#This Row],[Start Date]]),ISBLANK(Table2[[#This Row],[Class]]),ISBLANK(Table2[[#This Row],[Class Description]]),ISBLANK(Table2[[#This Row],[No. of Attendees
(A)]])),0,IF(OR(ISBLANK(Table2[[#This Row],[Class]]),ISBLANK(Table2[[#This Row],[No. of Attendees
(A)]]),ISBLANK(Table2[[#This Row],[Length of Session
(B)]])),1,0))</f>
        <v>0</v>
      </c>
      <c r="E10" s="548">
        <v>45691</v>
      </c>
      <c r="F10" s="549" t="s">
        <v>218</v>
      </c>
      <c r="G10" s="549" t="s">
        <v>214</v>
      </c>
      <c r="H10" s="549" t="s">
        <v>219</v>
      </c>
      <c r="I10" s="549" t="s">
        <v>216</v>
      </c>
      <c r="J10" s="555">
        <v>3</v>
      </c>
      <c r="K10" s="555">
        <v>8</v>
      </c>
      <c r="L10" s="218">
        <f>J10*K10</f>
        <v>24</v>
      </c>
      <c r="M10" s="556" t="s">
        <v>210</v>
      </c>
      <c r="N10" s="555">
        <v>3</v>
      </c>
    </row>
    <row r="11" spans="2:15" x14ac:dyDescent="0.2">
      <c r="C11" s="215">
        <f t="shared" si="0"/>
        <v>5</v>
      </c>
      <c r="D11" s="14">
        <f>IF(AND(ISBLANK(Table2[[#This Row],[Start Date]]),ISBLANK(Table2[[#This Row],[Class]]),ISBLANK(Table2[[#This Row],[Class Description]]),ISBLANK(Table2[[#This Row],[No. of Attendees
(A)]])),0,IF(OR(ISBLANK(Table2[[#This Row],[Class]]),ISBLANK(Table2[[#This Row],[No. of Attendees
(A)]]),ISBLANK(Table2[[#This Row],[Length of Session
(B)]])),1,0))</f>
        <v>0</v>
      </c>
      <c r="E11" s="557">
        <v>45693</v>
      </c>
      <c r="F11" s="558" t="s">
        <v>214</v>
      </c>
      <c r="G11" s="558" t="s">
        <v>220</v>
      </c>
      <c r="H11" s="558" t="s">
        <v>221</v>
      </c>
      <c r="I11" s="558" t="s">
        <v>222</v>
      </c>
      <c r="J11" s="559">
        <v>2</v>
      </c>
      <c r="K11" s="559">
        <v>1.5</v>
      </c>
      <c r="L11" s="218">
        <f>J11*K11</f>
        <v>3</v>
      </c>
      <c r="M11" s="554" t="s">
        <v>217</v>
      </c>
      <c r="N11" s="560">
        <v>0</v>
      </c>
    </row>
    <row r="12" spans="2:15" ht="25.5" x14ac:dyDescent="0.2">
      <c r="C12" s="215">
        <f t="shared" si="0"/>
        <v>6</v>
      </c>
      <c r="D12" s="14">
        <f>IF(AND(ISBLANK(Table2[[#This Row],[Start Date]]),ISBLANK(Table2[[#This Row],[Class]]),ISBLANK(Table2[[#This Row],[Class Description]]),ISBLANK(Table2[[#This Row],[No. of Attendees
(A)]])),0,IF(OR(ISBLANK(Table2[[#This Row],[Class]]),ISBLANK(Table2[[#This Row],[No. of Attendees
(A)]]),ISBLANK(Table2[[#This Row],[Length of Session
(B)]])),1,0))</f>
        <v>0</v>
      </c>
      <c r="E12" s="561">
        <v>45694</v>
      </c>
      <c r="F12" s="562" t="s">
        <v>214</v>
      </c>
      <c r="G12" s="562" t="s">
        <v>223</v>
      </c>
      <c r="H12" s="562" t="s">
        <v>208</v>
      </c>
      <c r="I12" s="562" t="s">
        <v>222</v>
      </c>
      <c r="J12" s="563">
        <v>2</v>
      </c>
      <c r="K12" s="563">
        <v>1.5</v>
      </c>
      <c r="L12" s="218">
        <f t="shared" ref="L12:L24" si="1">J12*K12</f>
        <v>3</v>
      </c>
      <c r="M12" s="556" t="s">
        <v>217</v>
      </c>
      <c r="N12" s="555">
        <v>0</v>
      </c>
    </row>
    <row r="13" spans="2:15" x14ac:dyDescent="0.2">
      <c r="C13" s="215">
        <f t="shared" si="0"/>
        <v>7</v>
      </c>
      <c r="D13" s="14">
        <f>IF(AND(ISBLANK(Table2[[#This Row],[Start Date]]),ISBLANK(Table2[[#This Row],[Class]]),ISBLANK(Table2[[#This Row],[Class Description]]),ISBLANK(Table2[[#This Row],[No. of Attendees
(A)]])),0,IF(OR(ISBLANK(Table2[[#This Row],[Class]]),ISBLANK(Table2[[#This Row],[No. of Attendees
(A)]]),ISBLANK(Table2[[#This Row],[Length of Session
(B)]])),1,0))</f>
        <v>0</v>
      </c>
      <c r="E13" s="552">
        <v>45699</v>
      </c>
      <c r="F13" s="549" t="s">
        <v>211</v>
      </c>
      <c r="G13" s="553" t="s">
        <v>212</v>
      </c>
      <c r="H13" s="553" t="s">
        <v>208</v>
      </c>
      <c r="I13" s="549" t="s">
        <v>213</v>
      </c>
      <c r="J13" s="564">
        <v>15</v>
      </c>
      <c r="K13" s="564">
        <v>1</v>
      </c>
      <c r="L13" s="218">
        <f t="shared" si="1"/>
        <v>15</v>
      </c>
      <c r="M13" s="554" t="s">
        <v>217</v>
      </c>
      <c r="N13" s="555">
        <v>0</v>
      </c>
    </row>
    <row r="14" spans="2:15" x14ac:dyDescent="0.2">
      <c r="C14" s="215">
        <f t="shared" si="0"/>
        <v>8</v>
      </c>
      <c r="D14" s="14">
        <f>IF(AND(ISBLANK(Table2[[#This Row],[Start Date]]),ISBLANK(Table2[[#This Row],[Class]]),ISBLANK(Table2[[#This Row],[Class Description]]),ISBLANK(Table2[[#This Row],[No. of Attendees
(A)]])),0,IF(OR(ISBLANK(Table2[[#This Row],[Class]]),ISBLANK(Table2[[#This Row],[No. of Attendees
(A)]]),ISBLANK(Table2[[#This Row],[Length of Session
(B)]])),1,0))</f>
        <v>0</v>
      </c>
      <c r="E14" s="552">
        <v>45699</v>
      </c>
      <c r="F14" s="553" t="s">
        <v>224</v>
      </c>
      <c r="G14" s="553" t="s">
        <v>225</v>
      </c>
      <c r="H14" s="553" t="s">
        <v>221</v>
      </c>
      <c r="I14" s="553" t="s">
        <v>222</v>
      </c>
      <c r="J14" s="550">
        <v>58</v>
      </c>
      <c r="K14" s="559">
        <v>4</v>
      </c>
      <c r="L14" s="218">
        <f t="shared" si="1"/>
        <v>232</v>
      </c>
      <c r="M14" s="554" t="s">
        <v>210</v>
      </c>
      <c r="N14" s="555">
        <v>10</v>
      </c>
    </row>
    <row r="15" spans="2:15" x14ac:dyDescent="0.2">
      <c r="C15" s="215">
        <f t="shared" si="0"/>
        <v>9</v>
      </c>
      <c r="D15" s="14">
        <f>IF(AND(ISBLANK(Table2[[#This Row],[Start Date]]),ISBLANK(Table2[[#This Row],[Class]]),ISBLANK(Table2[[#This Row],[Class Description]]),ISBLANK(Table2[[#This Row],[No. of Attendees
(A)]])),0,IF(OR(ISBLANK(Table2[[#This Row],[Class]]),ISBLANK(Table2[[#This Row],[No. of Attendees
(A)]]),ISBLANK(Table2[[#This Row],[Length of Session
(B)]])),1,0))</f>
        <v>0</v>
      </c>
      <c r="E15" s="552">
        <v>45699</v>
      </c>
      <c r="F15" s="553" t="s">
        <v>226</v>
      </c>
      <c r="G15" s="553" t="s">
        <v>227</v>
      </c>
      <c r="H15" s="553" t="s">
        <v>221</v>
      </c>
      <c r="I15" s="553" t="s">
        <v>228</v>
      </c>
      <c r="J15" s="559">
        <v>1</v>
      </c>
      <c r="K15" s="559">
        <v>12</v>
      </c>
      <c r="L15" s="218">
        <f t="shared" si="1"/>
        <v>12</v>
      </c>
      <c r="M15" s="554" t="s">
        <v>217</v>
      </c>
      <c r="N15" s="555">
        <v>0</v>
      </c>
    </row>
    <row r="16" spans="2:15" x14ac:dyDescent="0.2">
      <c r="C16" s="215">
        <f t="shared" si="0"/>
        <v>10</v>
      </c>
      <c r="D16" s="14">
        <f>IF(AND(ISBLANK(Table2[[#This Row],[Start Date]]),ISBLANK(Table2[[#This Row],[Class]]),ISBLANK(Table2[[#This Row],[Class Description]]),ISBLANK(Table2[[#This Row],[No. of Attendees
(A)]])),0,IF(OR(ISBLANK(Table2[[#This Row],[Class]]),ISBLANK(Table2[[#This Row],[No. of Attendees
(A)]]),ISBLANK(Table2[[#This Row],[Length of Session
(B)]])),1,0))</f>
        <v>0</v>
      </c>
      <c r="E16" s="552">
        <v>45700</v>
      </c>
      <c r="F16" s="553" t="s">
        <v>214</v>
      </c>
      <c r="G16" s="553" t="s">
        <v>229</v>
      </c>
      <c r="H16" s="553" t="s">
        <v>230</v>
      </c>
      <c r="I16" s="553" t="s">
        <v>222</v>
      </c>
      <c r="J16" s="559">
        <v>2</v>
      </c>
      <c r="K16" s="559">
        <v>1.5</v>
      </c>
      <c r="L16" s="218">
        <f t="shared" si="1"/>
        <v>3</v>
      </c>
      <c r="M16" s="554" t="s">
        <v>217</v>
      </c>
      <c r="N16" s="555">
        <v>0</v>
      </c>
    </row>
    <row r="17" spans="3:14" x14ac:dyDescent="0.2">
      <c r="C17" s="215">
        <f t="shared" si="0"/>
        <v>11</v>
      </c>
      <c r="D17" s="14">
        <f>IF(AND(ISBLANK(Table2[[#This Row],[Start Date]]),ISBLANK(Table2[[#This Row],[Class]]),ISBLANK(Table2[[#This Row],[Class Description]]),ISBLANK(Table2[[#This Row],[No. of Attendees
(A)]])),0,IF(OR(ISBLANK(Table2[[#This Row],[Class]]),ISBLANK(Table2[[#This Row],[No. of Attendees
(A)]]),ISBLANK(Table2[[#This Row],[Length of Session
(B)]])),1,0))</f>
        <v>0</v>
      </c>
      <c r="E17" s="548">
        <v>45705</v>
      </c>
      <c r="F17" s="549" t="s">
        <v>231</v>
      </c>
      <c r="G17" s="553" t="s">
        <v>232</v>
      </c>
      <c r="H17" s="549" t="s">
        <v>233</v>
      </c>
      <c r="I17" s="549" t="s">
        <v>222</v>
      </c>
      <c r="J17" s="550">
        <v>3</v>
      </c>
      <c r="K17" s="550">
        <v>7</v>
      </c>
      <c r="L17" s="218">
        <f t="shared" si="1"/>
        <v>21</v>
      </c>
      <c r="M17" s="554" t="s">
        <v>217</v>
      </c>
      <c r="N17" s="555">
        <v>0</v>
      </c>
    </row>
    <row r="18" spans="3:14" x14ac:dyDescent="0.2">
      <c r="C18" s="215">
        <f t="shared" si="0"/>
        <v>12</v>
      </c>
      <c r="D18" s="14">
        <f>IF(AND(ISBLANK(Table2[[#This Row],[Start Date]]),ISBLANK(Table2[[#This Row],[Class]]),ISBLANK(Table2[[#This Row],[Class Description]]),ISBLANK(Table2[[#This Row],[No. of Attendees
(A)]])),0,IF(OR(ISBLANK(Table2[[#This Row],[Class]]),ISBLANK(Table2[[#This Row],[No. of Attendees
(A)]]),ISBLANK(Table2[[#This Row],[Length of Session
(B)]])),1,0))</f>
        <v>0</v>
      </c>
      <c r="E18" s="552">
        <v>45714</v>
      </c>
      <c r="F18" s="549" t="s">
        <v>234</v>
      </c>
      <c r="G18" s="549" t="s">
        <v>235</v>
      </c>
      <c r="H18" s="553" t="s">
        <v>230</v>
      </c>
      <c r="I18" s="553" t="s">
        <v>222</v>
      </c>
      <c r="J18" s="564">
        <v>50</v>
      </c>
      <c r="K18" s="564">
        <v>3</v>
      </c>
      <c r="L18" s="218">
        <f t="shared" si="1"/>
        <v>150</v>
      </c>
      <c r="M18" s="556" t="s">
        <v>210</v>
      </c>
      <c r="N18" s="555">
        <v>1</v>
      </c>
    </row>
    <row r="19" spans="3:14" x14ac:dyDescent="0.2">
      <c r="C19" s="215">
        <f t="shared" si="0"/>
        <v>13</v>
      </c>
      <c r="D19" s="14">
        <f>IF(AND(ISBLANK(Table2[[#This Row],[Start Date]]),ISBLANK(Table2[[#This Row],[Class]]),ISBLANK(Table2[[#This Row],[Class Description]]),ISBLANK(Table2[[#This Row],[No. of Attendees
(A)]])),0,IF(OR(ISBLANK(Table2[[#This Row],[Class]]),ISBLANK(Table2[[#This Row],[No. of Attendees
(A)]]),ISBLANK(Table2[[#This Row],[Length of Session
(B)]])),1,0))</f>
        <v>0</v>
      </c>
      <c r="E19" s="552">
        <v>45721</v>
      </c>
      <c r="F19" s="549" t="s">
        <v>236</v>
      </c>
      <c r="G19" s="553" t="s">
        <v>237</v>
      </c>
      <c r="H19" s="553" t="s">
        <v>238</v>
      </c>
      <c r="I19" s="549" t="s">
        <v>216</v>
      </c>
      <c r="J19" s="564">
        <v>6</v>
      </c>
      <c r="K19" s="564">
        <v>28</v>
      </c>
      <c r="L19" s="218">
        <f t="shared" si="1"/>
        <v>168</v>
      </c>
      <c r="M19" s="554" t="s">
        <v>210</v>
      </c>
      <c r="N19" s="555">
        <v>3</v>
      </c>
    </row>
    <row r="20" spans="3:14" x14ac:dyDescent="0.2">
      <c r="C20" s="215">
        <f t="shared" si="0"/>
        <v>14</v>
      </c>
      <c r="D20" s="14">
        <f>IF(AND(ISBLANK(Table2[[#This Row],[Start Date]]),ISBLANK(Table2[[#This Row],[Class]]),ISBLANK(Table2[[#This Row],[Class Description]]),ISBLANK(Table2[[#This Row],[No. of Attendees
(A)]])),0,IF(OR(ISBLANK(Table2[[#This Row],[Class]]),ISBLANK(Table2[[#This Row],[No. of Attendees
(A)]]),ISBLANK(Table2[[#This Row],[Length of Session
(B)]])),1,0))</f>
        <v>0</v>
      </c>
      <c r="E20" s="552">
        <v>45721</v>
      </c>
      <c r="F20" s="553" t="s">
        <v>214</v>
      </c>
      <c r="G20" s="553" t="s">
        <v>223</v>
      </c>
      <c r="H20" s="553" t="s">
        <v>230</v>
      </c>
      <c r="I20" s="549" t="s">
        <v>222</v>
      </c>
      <c r="J20" s="559">
        <v>1</v>
      </c>
      <c r="K20" s="559">
        <v>1.5</v>
      </c>
      <c r="L20" s="218">
        <f t="shared" si="1"/>
        <v>1.5</v>
      </c>
      <c r="M20" s="554" t="s">
        <v>217</v>
      </c>
      <c r="N20" s="555">
        <v>0</v>
      </c>
    </row>
    <row r="21" spans="3:14" x14ac:dyDescent="0.2">
      <c r="C21" s="215">
        <f t="shared" si="0"/>
        <v>15</v>
      </c>
      <c r="D21" s="14">
        <f>IF(AND(ISBLANK(Table2[[#This Row],[Start Date]]),ISBLANK(Table2[[#This Row],[Class]]),ISBLANK(Table2[[#This Row],[Class Description]]),ISBLANK(Table2[[#This Row],[No. of Attendees
(A)]])),0,IF(OR(ISBLANK(Table2[[#This Row],[Class]]),ISBLANK(Table2[[#This Row],[No. of Attendees
(A)]]),ISBLANK(Table2[[#This Row],[Length of Session
(B)]])),1,0))</f>
        <v>0</v>
      </c>
      <c r="E21" s="548">
        <v>45722</v>
      </c>
      <c r="F21" s="549" t="s">
        <v>239</v>
      </c>
      <c r="G21" s="565" t="s">
        <v>240</v>
      </c>
      <c r="H21" s="549" t="s">
        <v>241</v>
      </c>
      <c r="I21" s="549" t="s">
        <v>242</v>
      </c>
      <c r="J21" s="555">
        <v>1</v>
      </c>
      <c r="K21" s="555">
        <v>1</v>
      </c>
      <c r="L21" s="218">
        <f t="shared" si="1"/>
        <v>1</v>
      </c>
      <c r="M21" s="554" t="s">
        <v>217</v>
      </c>
      <c r="N21" s="555">
        <v>0</v>
      </c>
    </row>
    <row r="22" spans="3:14" x14ac:dyDescent="0.2">
      <c r="C22" s="215">
        <f t="shared" si="0"/>
        <v>16</v>
      </c>
      <c r="D22" s="14">
        <f>IF(AND(ISBLANK(Table2[[#This Row],[Start Date]]),ISBLANK(Table2[[#This Row],[Class]]),ISBLANK(Table2[[#This Row],[Class Description]]),ISBLANK(Table2[[#This Row],[No. of Attendees
(A)]])),0,IF(OR(ISBLANK(Table2[[#This Row],[Class]]),ISBLANK(Table2[[#This Row],[No. of Attendees
(A)]]),ISBLANK(Table2[[#This Row],[Length of Session
(B)]])),1,0))</f>
        <v>0</v>
      </c>
      <c r="E22" s="552">
        <v>45726</v>
      </c>
      <c r="F22" s="553" t="s">
        <v>243</v>
      </c>
      <c r="G22" s="553" t="s">
        <v>244</v>
      </c>
      <c r="H22" s="553" t="s">
        <v>245</v>
      </c>
      <c r="I22" s="549" t="s">
        <v>243</v>
      </c>
      <c r="J22" s="559">
        <v>7</v>
      </c>
      <c r="K22" s="559">
        <v>24</v>
      </c>
      <c r="L22" s="218">
        <f t="shared" si="1"/>
        <v>168</v>
      </c>
      <c r="M22" s="554" t="s">
        <v>217</v>
      </c>
      <c r="N22" s="555">
        <v>0</v>
      </c>
    </row>
    <row r="23" spans="3:14" x14ac:dyDescent="0.2">
      <c r="C23" s="215">
        <f t="shared" si="0"/>
        <v>17</v>
      </c>
      <c r="D23" s="14">
        <f>IF(AND(ISBLANK(Table2[[#This Row],[Start Date]]),ISBLANK(Table2[[#This Row],[Class]]),ISBLANK(Table2[[#This Row],[Class Description]]),ISBLANK(Table2[[#This Row],[No. of Attendees
(A)]])),0,IF(OR(ISBLANK(Table2[[#This Row],[Class]]),ISBLANK(Table2[[#This Row],[No. of Attendees
(A)]]),ISBLANK(Table2[[#This Row],[Length of Session
(B)]])),1,0))</f>
        <v>0</v>
      </c>
      <c r="E23" s="548">
        <v>45726</v>
      </c>
      <c r="F23" s="566" t="s">
        <v>246</v>
      </c>
      <c r="G23" s="549" t="s">
        <v>212</v>
      </c>
      <c r="H23" s="549" t="s">
        <v>247</v>
      </c>
      <c r="I23" s="549" t="s">
        <v>216</v>
      </c>
      <c r="J23" s="567">
        <v>2</v>
      </c>
      <c r="K23" s="567">
        <v>24</v>
      </c>
      <c r="L23" s="218">
        <f t="shared" si="1"/>
        <v>48</v>
      </c>
      <c r="M23" s="556" t="s">
        <v>217</v>
      </c>
      <c r="N23" s="568">
        <v>0</v>
      </c>
    </row>
    <row r="24" spans="3:14" x14ac:dyDescent="0.2">
      <c r="C24" s="215">
        <f t="shared" si="0"/>
        <v>18</v>
      </c>
      <c r="D24" s="14">
        <f>IF(AND(ISBLANK(Table2[[#This Row],[Start Date]]),ISBLANK(Table2[[#This Row],[Class]]),ISBLANK(Table2[[#This Row],[Class Description]]),ISBLANK(Table2[[#This Row],[No. of Attendees
(A)]])),0,IF(OR(ISBLANK(Table2[[#This Row],[Class]]),ISBLANK(Table2[[#This Row],[No. of Attendees
(A)]]),ISBLANK(Table2[[#This Row],[Length of Session
(B)]])),1,0))</f>
        <v>0</v>
      </c>
      <c r="E24" s="552">
        <v>45727</v>
      </c>
      <c r="F24" s="553" t="s">
        <v>211</v>
      </c>
      <c r="G24" s="553" t="s">
        <v>212</v>
      </c>
      <c r="H24" s="553" t="s">
        <v>208</v>
      </c>
      <c r="I24" s="553" t="s">
        <v>213</v>
      </c>
      <c r="J24" s="559">
        <v>15</v>
      </c>
      <c r="K24" s="559">
        <v>1</v>
      </c>
      <c r="L24" s="218">
        <f t="shared" si="1"/>
        <v>15</v>
      </c>
      <c r="M24" s="554" t="s">
        <v>217</v>
      </c>
      <c r="N24" s="560">
        <v>0</v>
      </c>
    </row>
    <row r="25" spans="3:14" x14ac:dyDescent="0.2">
      <c r="C25" s="215">
        <f>ROW()-6</f>
        <v>19</v>
      </c>
      <c r="D25" s="14">
        <f>IF(AND(ISBLANK(Table2[[#This Row],[Start Date]]),ISBLANK(Table2[[#This Row],[Class]]),ISBLANK(Table2[[#This Row],[Class Description]]),ISBLANK(Table2[[#This Row],[No. of Attendees
(A)]])),0,IF(OR(ISBLANK(Table2[[#This Row],[Class]]),ISBLANK(Table2[[#This Row],[No. of Attendees
(A)]]),ISBLANK(Table2[[#This Row],[Length of Session
(B)]])),1,0))</f>
        <v>0</v>
      </c>
      <c r="E25" s="548">
        <v>45728</v>
      </c>
      <c r="F25" s="549" t="s">
        <v>214</v>
      </c>
      <c r="G25" s="549" t="s">
        <v>223</v>
      </c>
      <c r="H25" s="549" t="s">
        <v>221</v>
      </c>
      <c r="I25" s="549" t="s">
        <v>222</v>
      </c>
      <c r="J25" s="555">
        <v>1</v>
      </c>
      <c r="K25" s="555">
        <v>1.5</v>
      </c>
      <c r="L25" s="218">
        <f>J25*K25</f>
        <v>1.5</v>
      </c>
      <c r="M25" s="554" t="s">
        <v>210</v>
      </c>
      <c r="N25" s="560">
        <v>1</v>
      </c>
    </row>
    <row r="26" spans="3:14" x14ac:dyDescent="0.2">
      <c r="C26" s="215">
        <f>ROW()-6</f>
        <v>20</v>
      </c>
      <c r="D26" s="14"/>
      <c r="E26" s="552">
        <v>45735</v>
      </c>
      <c r="F26" s="549" t="s">
        <v>248</v>
      </c>
      <c r="G26" s="553" t="s">
        <v>249</v>
      </c>
      <c r="H26" s="553" t="s">
        <v>208</v>
      </c>
      <c r="I26" s="549" t="s">
        <v>222</v>
      </c>
      <c r="J26" s="559">
        <v>1</v>
      </c>
      <c r="K26" s="559">
        <v>6</v>
      </c>
      <c r="L26" s="218">
        <f>J26*K26</f>
        <v>6</v>
      </c>
      <c r="M26" s="554" t="s">
        <v>217</v>
      </c>
      <c r="N26" s="560">
        <v>0</v>
      </c>
    </row>
    <row r="27" spans="3:14" x14ac:dyDescent="0.2">
      <c r="C27" s="215">
        <f>ROW()-6</f>
        <v>21</v>
      </c>
      <c r="D27" s="14"/>
      <c r="E27" s="548">
        <v>45736</v>
      </c>
      <c r="F27" s="549" t="s">
        <v>214</v>
      </c>
      <c r="G27" s="549" t="s">
        <v>215</v>
      </c>
      <c r="H27" s="549" t="s">
        <v>208</v>
      </c>
      <c r="I27" s="549" t="s">
        <v>216</v>
      </c>
      <c r="J27" s="550">
        <v>11</v>
      </c>
      <c r="K27" s="550">
        <v>1</v>
      </c>
      <c r="L27" s="218">
        <f>J27*K27</f>
        <v>11</v>
      </c>
      <c r="M27" s="554" t="s">
        <v>217</v>
      </c>
      <c r="N27" s="560">
        <v>0</v>
      </c>
    </row>
    <row r="28" spans="3:14" x14ac:dyDescent="0.2">
      <c r="C28" s="215">
        <f>ROW()-6</f>
        <v>22</v>
      </c>
      <c r="D28" s="14">
        <f>IF(AND(ISBLANK(Table2[[#This Row],[Start Date]]),ISBLANK(Table2[[#This Row],[Class]]),ISBLANK(Table2[[#This Row],[Class Description]]),ISBLANK(Table2[[#This Row],[No. of Attendees
(A)]])),0,IF(OR(ISBLANK(Table2[[#This Row],[Class]]),ISBLANK(Table2[[#This Row],[No. of Attendees
(A)]]),ISBLANK(Table2[[#This Row],[Length of Session
(B)]])),1,0))</f>
        <v>0</v>
      </c>
      <c r="E28" s="548">
        <v>45736</v>
      </c>
      <c r="F28" s="549" t="s">
        <v>250</v>
      </c>
      <c r="G28" s="549" t="s">
        <v>251</v>
      </c>
      <c r="H28" s="549" t="s">
        <v>241</v>
      </c>
      <c r="I28" s="549" t="s">
        <v>242</v>
      </c>
      <c r="J28" s="550">
        <v>2</v>
      </c>
      <c r="K28" s="550">
        <v>1</v>
      </c>
      <c r="L28" s="218">
        <f>J28*K28</f>
        <v>2</v>
      </c>
      <c r="M28" s="554" t="s">
        <v>210</v>
      </c>
      <c r="N28" s="560">
        <v>2</v>
      </c>
    </row>
    <row r="29" spans="3:14" x14ac:dyDescent="0.2">
      <c r="C29" s="215">
        <f t="shared" ref="C29:C60" si="2">ROW()-6</f>
        <v>23</v>
      </c>
      <c r="D29" s="14">
        <f>IF(AND(ISBLANK(Table2[[#This Row],[Start Date]]),ISBLANK(Table2[[#This Row],[Class]]),ISBLANK(Table2[[#This Row],[Class Description]]),ISBLANK(Table2[[#This Row],[No. of Attendees
(A)]])),0,IF(OR(ISBLANK(Table2[[#This Row],[Class]]),ISBLANK(Table2[[#This Row],[No. of Attendees
(A)]]),ISBLANK(Table2[[#This Row],[Length of Session
(B)]])),1,0))</f>
        <v>0</v>
      </c>
      <c r="E29" s="552">
        <v>45742</v>
      </c>
      <c r="F29" s="549" t="s">
        <v>248</v>
      </c>
      <c r="G29" s="553" t="s">
        <v>252</v>
      </c>
      <c r="H29" s="553" t="s">
        <v>208</v>
      </c>
      <c r="I29" s="549" t="s">
        <v>253</v>
      </c>
      <c r="J29" s="559">
        <v>5</v>
      </c>
      <c r="K29" s="559">
        <v>6</v>
      </c>
      <c r="L29" s="218">
        <f t="shared" ref="L29:L60" si="3">J29*K29</f>
        <v>30</v>
      </c>
      <c r="M29" s="554" t="s">
        <v>217</v>
      </c>
      <c r="N29" s="560">
        <v>0</v>
      </c>
    </row>
    <row r="30" spans="3:14" x14ac:dyDescent="0.2">
      <c r="C30" s="215">
        <f t="shared" si="2"/>
        <v>24</v>
      </c>
      <c r="D30" s="14">
        <f>IF(AND(ISBLANK(Table2[[#This Row],[Start Date]]),ISBLANK(Table2[[#This Row],[Class]]),ISBLANK(Table2[[#This Row],[Class Description]]),ISBLANK(Table2[[#This Row],[No. of Attendees
(A)]])),0,IF(OR(ISBLANK(Table2[[#This Row],[Class]]),ISBLANK(Table2[[#This Row],[No. of Attendees
(A)]]),ISBLANK(Table2[[#This Row],[Length of Session
(B)]])),1,0))</f>
        <v>0</v>
      </c>
      <c r="E30" s="552">
        <v>45750</v>
      </c>
      <c r="F30" s="549" t="s">
        <v>254</v>
      </c>
      <c r="G30" s="553" t="s">
        <v>255</v>
      </c>
      <c r="H30" s="553" t="s">
        <v>221</v>
      </c>
      <c r="I30" s="549" t="s">
        <v>222</v>
      </c>
      <c r="J30" s="559">
        <v>6</v>
      </c>
      <c r="K30" s="559">
        <v>6</v>
      </c>
      <c r="L30" s="218">
        <f t="shared" si="3"/>
        <v>36</v>
      </c>
      <c r="M30" s="554" t="s">
        <v>210</v>
      </c>
      <c r="N30" s="560">
        <v>6</v>
      </c>
    </row>
    <row r="31" spans="3:14" x14ac:dyDescent="0.2">
      <c r="C31" s="215">
        <f t="shared" si="2"/>
        <v>25</v>
      </c>
      <c r="D31" s="14">
        <f>IF(AND(ISBLANK(Table2[[#This Row],[Start Date]]),ISBLANK(Table2[[#This Row],[Class]]),ISBLANK(Table2[[#This Row],[Class Description]]),ISBLANK(Table2[[#This Row],[No. of Attendees
(A)]])),0,IF(OR(ISBLANK(Table2[[#This Row],[Class]]),ISBLANK(Table2[[#This Row],[No. of Attendees
(A)]]),ISBLANK(Table2[[#This Row],[Length of Session
(B)]])),1,0))</f>
        <v>0</v>
      </c>
      <c r="E31" s="552">
        <v>45750</v>
      </c>
      <c r="F31" s="549" t="s">
        <v>256</v>
      </c>
      <c r="G31" s="553" t="s">
        <v>257</v>
      </c>
      <c r="H31" s="553" t="s">
        <v>208</v>
      </c>
      <c r="I31" s="549" t="s">
        <v>209</v>
      </c>
      <c r="J31" s="564">
        <v>3</v>
      </c>
      <c r="K31" s="564">
        <v>0.25</v>
      </c>
      <c r="L31" s="218">
        <f t="shared" si="3"/>
        <v>0.75</v>
      </c>
      <c r="M31" s="554" t="s">
        <v>217</v>
      </c>
      <c r="N31" s="560">
        <v>0</v>
      </c>
    </row>
    <row r="32" spans="3:14" x14ac:dyDescent="0.2">
      <c r="C32" s="215">
        <f t="shared" si="2"/>
        <v>26</v>
      </c>
      <c r="D32" s="14">
        <f>IF(AND(ISBLANK(Table2[[#This Row],[Start Date]]),ISBLANK(Table2[[#This Row],[Class]]),ISBLANK(Table2[[#This Row],[Class Description]]),ISBLANK(Table2[[#This Row],[No. of Attendees
(A)]])),0,IF(OR(ISBLANK(Table2[[#This Row],[Class]]),ISBLANK(Table2[[#This Row],[No. of Attendees
(A)]]),ISBLANK(Table2[[#This Row],[Length of Session
(B)]])),1,0))</f>
        <v>0</v>
      </c>
      <c r="E32" s="548">
        <v>45754</v>
      </c>
      <c r="F32" s="549" t="s">
        <v>218</v>
      </c>
      <c r="G32" s="549" t="s">
        <v>214</v>
      </c>
      <c r="H32" s="549" t="s">
        <v>258</v>
      </c>
      <c r="I32" s="549" t="s">
        <v>216</v>
      </c>
      <c r="J32" s="550">
        <v>3</v>
      </c>
      <c r="K32" s="550">
        <v>5</v>
      </c>
      <c r="L32" s="218">
        <f t="shared" si="3"/>
        <v>15</v>
      </c>
      <c r="M32" s="551" t="s">
        <v>210</v>
      </c>
      <c r="N32" s="550">
        <v>3</v>
      </c>
    </row>
    <row r="33" spans="3:14" x14ac:dyDescent="0.2">
      <c r="C33" s="215">
        <f t="shared" si="2"/>
        <v>27</v>
      </c>
      <c r="D33" s="14">
        <f>IF(AND(ISBLANK(Table2[[#This Row],[Start Date]]),ISBLANK(Table2[[#This Row],[Class]]),ISBLANK(Table2[[#This Row],[Class Description]]),ISBLANK(Table2[[#This Row],[No. of Attendees
(A)]])),0,IF(OR(ISBLANK(Table2[[#This Row],[Class]]),ISBLANK(Table2[[#This Row],[No. of Attendees
(A)]]),ISBLANK(Table2[[#This Row],[Length of Session
(B)]])),1,0))</f>
        <v>0</v>
      </c>
      <c r="E33" s="552">
        <v>45754</v>
      </c>
      <c r="F33" s="553" t="s">
        <v>259</v>
      </c>
      <c r="G33" s="553" t="s">
        <v>260</v>
      </c>
      <c r="H33" s="553" t="s">
        <v>261</v>
      </c>
      <c r="I33" s="553" t="s">
        <v>262</v>
      </c>
      <c r="J33" s="559">
        <v>5</v>
      </c>
      <c r="K33" s="559">
        <v>20</v>
      </c>
      <c r="L33" s="218">
        <f t="shared" si="3"/>
        <v>100</v>
      </c>
      <c r="M33" s="554" t="s">
        <v>217</v>
      </c>
      <c r="N33" s="560">
        <v>0</v>
      </c>
    </row>
    <row r="34" spans="3:14" x14ac:dyDescent="0.2">
      <c r="C34" s="215">
        <f t="shared" si="2"/>
        <v>28</v>
      </c>
      <c r="D34" s="14">
        <f>IF(AND(ISBLANK(Table2[[#This Row],[Start Date]]),ISBLANK(Table2[[#This Row],[Class]]),ISBLANK(Table2[[#This Row],[Class Description]]),ISBLANK(Table2[[#This Row],[No. of Attendees
(A)]])),0,IF(OR(ISBLANK(Table2[[#This Row],[Class]]),ISBLANK(Table2[[#This Row],[No. of Attendees
(A)]]),ISBLANK(Table2[[#This Row],[Length of Session
(B)]])),1,0))</f>
        <v>0</v>
      </c>
      <c r="E34" s="552">
        <v>45755</v>
      </c>
      <c r="F34" s="553" t="s">
        <v>211</v>
      </c>
      <c r="G34" s="553" t="s">
        <v>212</v>
      </c>
      <c r="H34" s="553" t="s">
        <v>208</v>
      </c>
      <c r="I34" s="553" t="s">
        <v>213</v>
      </c>
      <c r="J34" s="559">
        <v>15</v>
      </c>
      <c r="K34" s="559">
        <v>1</v>
      </c>
      <c r="L34" s="218">
        <f t="shared" si="3"/>
        <v>15</v>
      </c>
      <c r="M34" s="554" t="s">
        <v>217</v>
      </c>
      <c r="N34" s="560">
        <v>0</v>
      </c>
    </row>
    <row r="35" spans="3:14" x14ac:dyDescent="0.2">
      <c r="C35" s="215">
        <f t="shared" si="2"/>
        <v>29</v>
      </c>
      <c r="D35" s="14">
        <f>IF(AND(ISBLANK(Table2[[#This Row],[Start Date]]),ISBLANK(Table2[[#This Row],[Class]]),ISBLANK(Table2[[#This Row],[Class Description]]),ISBLANK(Table2[[#This Row],[No. of Attendees
(A)]])),0,IF(OR(ISBLANK(Table2[[#This Row],[Class]]),ISBLANK(Table2[[#This Row],[No. of Attendees
(A)]]),ISBLANK(Table2[[#This Row],[Length of Session
(B)]])),1,0))</f>
        <v>0</v>
      </c>
      <c r="E35" s="552">
        <v>45756</v>
      </c>
      <c r="F35" s="553" t="s">
        <v>263</v>
      </c>
      <c r="G35" s="553" t="s">
        <v>264</v>
      </c>
      <c r="H35" s="553" t="s">
        <v>241</v>
      </c>
      <c r="I35" s="549" t="s">
        <v>265</v>
      </c>
      <c r="J35" s="559">
        <v>1</v>
      </c>
      <c r="K35" s="559">
        <v>1</v>
      </c>
      <c r="L35" s="218">
        <f t="shared" si="3"/>
        <v>1</v>
      </c>
      <c r="M35" s="554" t="s">
        <v>210</v>
      </c>
      <c r="N35" s="560">
        <v>1</v>
      </c>
    </row>
    <row r="36" spans="3:14" ht="25.5" x14ac:dyDescent="0.2">
      <c r="C36" s="215">
        <f t="shared" si="2"/>
        <v>30</v>
      </c>
      <c r="D36" s="14">
        <f>IF(AND(ISBLANK(Table2[[#This Row],[Start Date]]),ISBLANK(Table2[[#This Row],[Class]]),ISBLANK(Table2[[#This Row],[Class Description]]),ISBLANK(Table2[[#This Row],[No. of Attendees
(A)]])),0,IF(OR(ISBLANK(Table2[[#This Row],[Class]]),ISBLANK(Table2[[#This Row],[No. of Attendees
(A)]]),ISBLANK(Table2[[#This Row],[Length of Session
(B)]])),1,0))</f>
        <v>0</v>
      </c>
      <c r="E36" s="561">
        <v>45756</v>
      </c>
      <c r="F36" s="562" t="s">
        <v>248</v>
      </c>
      <c r="G36" s="562" t="s">
        <v>249</v>
      </c>
      <c r="H36" s="562" t="s">
        <v>208</v>
      </c>
      <c r="I36" s="562" t="s">
        <v>222</v>
      </c>
      <c r="J36" s="563">
        <v>2</v>
      </c>
      <c r="K36" s="563">
        <v>6</v>
      </c>
      <c r="L36" s="218">
        <f t="shared" si="3"/>
        <v>12</v>
      </c>
      <c r="M36" s="556" t="s">
        <v>217</v>
      </c>
      <c r="N36" s="555">
        <v>0</v>
      </c>
    </row>
    <row r="37" spans="3:14" x14ac:dyDescent="0.2">
      <c r="C37" s="215">
        <f t="shared" si="2"/>
        <v>31</v>
      </c>
      <c r="D37" s="14">
        <f>IF(AND(ISBLANK(Table2[[#This Row],[Start Date]]),ISBLANK(Table2[[#This Row],[Class]]),ISBLANK(Table2[[#This Row],[Class Description]]),ISBLANK(Table2[[#This Row],[No. of Attendees
(A)]])),0,IF(OR(ISBLANK(Table2[[#This Row],[Class]]),ISBLANK(Table2[[#This Row],[No. of Attendees
(A)]]),ISBLANK(Table2[[#This Row],[Length of Session
(B)]])),1,0))</f>
        <v>0</v>
      </c>
      <c r="E37" s="256">
        <v>45761</v>
      </c>
      <c r="F37" s="553" t="s">
        <v>218</v>
      </c>
      <c r="G37" s="257" t="s">
        <v>214</v>
      </c>
      <c r="H37" s="258" t="s">
        <v>266</v>
      </c>
      <c r="I37" s="553" t="s">
        <v>216</v>
      </c>
      <c r="J37" s="259">
        <v>2</v>
      </c>
      <c r="K37" s="259">
        <v>6</v>
      </c>
      <c r="L37" s="218">
        <f t="shared" si="3"/>
        <v>12</v>
      </c>
      <c r="M37" s="554" t="s">
        <v>217</v>
      </c>
      <c r="N37" s="550">
        <v>0</v>
      </c>
    </row>
    <row r="38" spans="3:14" ht="25.5" x14ac:dyDescent="0.2">
      <c r="C38" s="215">
        <f t="shared" si="2"/>
        <v>32</v>
      </c>
      <c r="D38" s="14">
        <f>IF(AND(ISBLANK(Table2[[#This Row],[Start Date]]),ISBLANK(Table2[[#This Row],[Class]]),ISBLANK(Table2[[#This Row],[Class Description]]),ISBLANK(Table2[[#This Row],[No. of Attendees
(A)]])),0,IF(OR(ISBLANK(Table2[[#This Row],[Class]]),ISBLANK(Table2[[#This Row],[No. of Attendees
(A)]]),ISBLANK(Table2[[#This Row],[Length of Session
(B)]])),1,0))</f>
        <v>0</v>
      </c>
      <c r="E38" s="569">
        <v>45763</v>
      </c>
      <c r="F38" s="570" t="s">
        <v>267</v>
      </c>
      <c r="G38" s="570" t="s">
        <v>268</v>
      </c>
      <c r="H38" s="570" t="s">
        <v>221</v>
      </c>
      <c r="I38" s="570" t="s">
        <v>213</v>
      </c>
      <c r="J38" s="568">
        <v>2</v>
      </c>
      <c r="K38" s="568">
        <v>2</v>
      </c>
      <c r="L38" s="218">
        <f t="shared" si="3"/>
        <v>4</v>
      </c>
      <c r="M38" s="556" t="s">
        <v>217</v>
      </c>
      <c r="N38" s="555">
        <v>0</v>
      </c>
    </row>
    <row r="39" spans="3:14" x14ac:dyDescent="0.2">
      <c r="C39" s="215">
        <f t="shared" si="2"/>
        <v>33</v>
      </c>
      <c r="D39" s="14">
        <f>IF(AND(ISBLANK(Table2[[#This Row],[Start Date]]),ISBLANK(Table2[[#This Row],[Class]]),ISBLANK(Table2[[#This Row],[Class Description]]),ISBLANK(Table2[[#This Row],[No. of Attendees
(A)]])),0,IF(OR(ISBLANK(Table2[[#This Row],[Class]]),ISBLANK(Table2[[#This Row],[No. of Attendees
(A)]]),ISBLANK(Table2[[#This Row],[Length of Session
(B)]])),1,0))</f>
        <v>0</v>
      </c>
      <c r="E39" s="552">
        <v>45764</v>
      </c>
      <c r="F39" s="549" t="s">
        <v>218</v>
      </c>
      <c r="G39" s="553" t="s">
        <v>214</v>
      </c>
      <c r="H39" s="553" t="s">
        <v>269</v>
      </c>
      <c r="I39" s="549" t="s">
        <v>216</v>
      </c>
      <c r="J39" s="559">
        <v>3</v>
      </c>
      <c r="K39" s="559">
        <v>5</v>
      </c>
      <c r="L39" s="218">
        <f t="shared" si="3"/>
        <v>15</v>
      </c>
      <c r="M39" s="554" t="s">
        <v>210</v>
      </c>
      <c r="N39" s="560">
        <v>3</v>
      </c>
    </row>
    <row r="40" spans="3:14" x14ac:dyDescent="0.2">
      <c r="C40" s="215">
        <f t="shared" si="2"/>
        <v>34</v>
      </c>
      <c r="D40" s="14">
        <f>IF(AND(ISBLANK(Table2[[#This Row],[Start Date]]),ISBLANK(Table2[[#This Row],[Class]]),ISBLANK(Table2[[#This Row],[Class Description]]),ISBLANK(Table2[[#This Row],[No. of Attendees
(A)]])),0,IF(OR(ISBLANK(Table2[[#This Row],[Class]]),ISBLANK(Table2[[#This Row],[No. of Attendees
(A)]]),ISBLANK(Table2[[#This Row],[Length of Session
(B)]])),1,0))</f>
        <v>0</v>
      </c>
      <c r="E40" s="256">
        <v>45768</v>
      </c>
      <c r="F40" s="553" t="s">
        <v>218</v>
      </c>
      <c r="G40" s="258" t="s">
        <v>214</v>
      </c>
      <c r="H40" s="258" t="s">
        <v>270</v>
      </c>
      <c r="I40" s="553" t="s">
        <v>216</v>
      </c>
      <c r="J40" s="260">
        <v>2</v>
      </c>
      <c r="K40" s="260">
        <v>5</v>
      </c>
      <c r="L40" s="218">
        <f t="shared" si="3"/>
        <v>10</v>
      </c>
      <c r="M40" s="554" t="s">
        <v>217</v>
      </c>
      <c r="N40" s="560">
        <v>0</v>
      </c>
    </row>
    <row r="41" spans="3:14" x14ac:dyDescent="0.2">
      <c r="C41" s="215">
        <f t="shared" si="2"/>
        <v>35</v>
      </c>
      <c r="D41" s="14">
        <f>IF(AND(ISBLANK(Table2[[#This Row],[Start Date]]),ISBLANK(Table2[[#This Row],[Class]]),ISBLANK(Table2[[#This Row],[Class Description]]),ISBLANK(Table2[[#This Row],[No. of Attendees
(A)]])),0,IF(OR(ISBLANK(Table2[[#This Row],[Class]]),ISBLANK(Table2[[#This Row],[No. of Attendees
(A)]]),ISBLANK(Table2[[#This Row],[Length of Session
(B)]])),1,0))</f>
        <v>0</v>
      </c>
      <c r="E41" s="256">
        <v>45768</v>
      </c>
      <c r="F41" s="553" t="s">
        <v>271</v>
      </c>
      <c r="G41" s="258" t="s">
        <v>272</v>
      </c>
      <c r="H41" s="258" t="s">
        <v>273</v>
      </c>
      <c r="I41" s="553" t="s">
        <v>274</v>
      </c>
      <c r="J41" s="259">
        <v>3</v>
      </c>
      <c r="K41" s="260">
        <v>4</v>
      </c>
      <c r="L41" s="218">
        <f t="shared" si="3"/>
        <v>12</v>
      </c>
      <c r="M41" s="554" t="s">
        <v>217</v>
      </c>
      <c r="N41" s="560" t="s">
        <v>275</v>
      </c>
    </row>
    <row r="42" spans="3:14" x14ac:dyDescent="0.2">
      <c r="C42" s="215">
        <f t="shared" si="2"/>
        <v>36</v>
      </c>
      <c r="D42" s="14">
        <f>IF(AND(ISBLANK(Table2[[#This Row],[Start Date]]),ISBLANK(Table2[[#This Row],[Class]]),ISBLANK(Table2[[#This Row],[Class Description]]),ISBLANK(Table2[[#This Row],[No. of Attendees
(A)]])),0,IF(OR(ISBLANK(Table2[[#This Row],[Class]]),ISBLANK(Table2[[#This Row],[No. of Attendees
(A)]]),ISBLANK(Table2[[#This Row],[Length of Session
(B)]])),1,0))</f>
        <v>0</v>
      </c>
      <c r="E42" s="261">
        <v>45769</v>
      </c>
      <c r="F42" s="549" t="s">
        <v>271</v>
      </c>
      <c r="G42" s="258" t="s">
        <v>272</v>
      </c>
      <c r="H42" s="257" t="s">
        <v>273</v>
      </c>
      <c r="I42" s="549" t="s">
        <v>274</v>
      </c>
      <c r="J42" s="262">
        <v>3</v>
      </c>
      <c r="K42" s="260">
        <v>6</v>
      </c>
      <c r="L42" s="218">
        <f t="shared" si="3"/>
        <v>18</v>
      </c>
      <c r="M42" s="554" t="s">
        <v>210</v>
      </c>
      <c r="N42" s="560">
        <v>3</v>
      </c>
    </row>
    <row r="43" spans="3:14" x14ac:dyDescent="0.2">
      <c r="C43" s="215">
        <f t="shared" si="2"/>
        <v>37</v>
      </c>
      <c r="D43" s="14">
        <f>IF(AND(ISBLANK(Table2[[#This Row],[Start Date]]),ISBLANK(Table2[[#This Row],[Class]]),ISBLANK(Table2[[#This Row],[Class Description]]),ISBLANK(Table2[[#This Row],[No. of Attendees
(A)]])),0,IF(OR(ISBLANK(Table2[[#This Row],[Class]]),ISBLANK(Table2[[#This Row],[No. of Attendees
(A)]]),ISBLANK(Table2[[#This Row],[Length of Session
(B)]])),1,0))</f>
        <v>0</v>
      </c>
      <c r="E43" s="261">
        <v>45770</v>
      </c>
      <c r="F43" s="549" t="s">
        <v>248</v>
      </c>
      <c r="G43" s="257" t="s">
        <v>249</v>
      </c>
      <c r="H43" s="257" t="s">
        <v>208</v>
      </c>
      <c r="I43" s="549" t="s">
        <v>222</v>
      </c>
      <c r="J43" s="259">
        <v>5</v>
      </c>
      <c r="K43" s="259">
        <v>6</v>
      </c>
      <c r="L43" s="218">
        <f t="shared" si="3"/>
        <v>30</v>
      </c>
      <c r="M43" s="554" t="s">
        <v>217</v>
      </c>
      <c r="N43" s="560">
        <v>0</v>
      </c>
    </row>
    <row r="44" spans="3:14" ht="25.5" x14ac:dyDescent="0.2">
      <c r="C44" s="215">
        <f t="shared" si="2"/>
        <v>38</v>
      </c>
      <c r="D44" s="14">
        <f>IF(AND(ISBLANK(Table2[[#This Row],[Start Date]]),ISBLANK(Table2[[#This Row],[Class]]),ISBLANK(Table2[[#This Row],[Class Description]]),ISBLANK(Table2[[#This Row],[No. of Attendees
(A)]])),0,IF(OR(ISBLANK(Table2[[#This Row],[Class]]),ISBLANK(Table2[[#This Row],[No. of Attendees
(A)]]),ISBLANK(Table2[[#This Row],[Length of Session
(B)]])),1,0))</f>
        <v>0</v>
      </c>
      <c r="E44" s="561">
        <v>45777</v>
      </c>
      <c r="F44" s="571" t="s">
        <v>234</v>
      </c>
      <c r="G44" s="570" t="s">
        <v>276</v>
      </c>
      <c r="H44" s="562" t="s">
        <v>241</v>
      </c>
      <c r="I44" s="562" t="s">
        <v>222</v>
      </c>
      <c r="J44" s="563">
        <v>148</v>
      </c>
      <c r="K44" s="563">
        <v>1.5</v>
      </c>
      <c r="L44" s="218">
        <f t="shared" si="3"/>
        <v>222</v>
      </c>
      <c r="M44" s="556" t="s">
        <v>217</v>
      </c>
      <c r="N44" s="560">
        <v>0</v>
      </c>
    </row>
    <row r="45" spans="3:14" ht="25.5" x14ac:dyDescent="0.2">
      <c r="C45" s="215">
        <f t="shared" si="2"/>
        <v>39</v>
      </c>
      <c r="D45" s="14">
        <f>IF(AND(ISBLANK(Table2[[#This Row],[Start Date]]),ISBLANK(Table2[[#This Row],[Class]]),ISBLANK(Table2[[#This Row],[Class Description]]),ISBLANK(Table2[[#This Row],[No. of Attendees
(A)]])),0,IF(OR(ISBLANK(Table2[[#This Row],[Class]]),ISBLANK(Table2[[#This Row],[No. of Attendees
(A)]]),ISBLANK(Table2[[#This Row],[Length of Session
(B)]])),1,0))</f>
        <v>0</v>
      </c>
      <c r="E45" s="263">
        <v>45782</v>
      </c>
      <c r="F45" s="571" t="s">
        <v>277</v>
      </c>
      <c r="G45" s="264" t="s">
        <v>44</v>
      </c>
      <c r="H45" s="265" t="s">
        <v>278</v>
      </c>
      <c r="I45" s="562" t="s">
        <v>279</v>
      </c>
      <c r="J45" s="266">
        <v>2</v>
      </c>
      <c r="K45" s="266">
        <v>24</v>
      </c>
      <c r="L45" s="218">
        <f t="shared" si="3"/>
        <v>48</v>
      </c>
      <c r="M45" s="556" t="s">
        <v>217</v>
      </c>
      <c r="N45" s="560">
        <v>0</v>
      </c>
    </row>
    <row r="46" spans="3:14" x14ac:dyDescent="0.2">
      <c r="C46" s="215">
        <f t="shared" si="2"/>
        <v>40</v>
      </c>
      <c r="D46" s="14">
        <f>IF(AND(ISBLANK(Table2[[#This Row],[Start Date]]),ISBLANK(Table2[[#This Row],[Class]]),ISBLANK(Table2[[#This Row],[Class Description]]),ISBLANK(Table2[[#This Row],[No. of Attendees
(A)]])),0,IF(OR(ISBLANK(Table2[[#This Row],[Class]]),ISBLANK(Table2[[#This Row],[No. of Attendees
(A)]]),ISBLANK(Table2[[#This Row],[Length of Session
(B)]])),1,0))</f>
        <v>0</v>
      </c>
      <c r="E46" s="552">
        <v>45790</v>
      </c>
      <c r="F46" s="549" t="s">
        <v>211</v>
      </c>
      <c r="G46" s="553" t="s">
        <v>212</v>
      </c>
      <c r="H46" s="553" t="s">
        <v>208</v>
      </c>
      <c r="I46" s="549" t="s">
        <v>213</v>
      </c>
      <c r="J46" s="564">
        <v>15</v>
      </c>
      <c r="K46" s="564">
        <v>1</v>
      </c>
      <c r="L46" s="218">
        <f t="shared" si="3"/>
        <v>15</v>
      </c>
      <c r="M46" s="554" t="s">
        <v>210</v>
      </c>
      <c r="N46" s="560">
        <v>1</v>
      </c>
    </row>
    <row r="47" spans="3:14" x14ac:dyDescent="0.2">
      <c r="C47" s="215">
        <f t="shared" si="2"/>
        <v>41</v>
      </c>
      <c r="D47" s="14">
        <f>IF(AND(ISBLANK(Table2[[#This Row],[Start Date]]),ISBLANK(Table2[[#This Row],[Class]]),ISBLANK(Table2[[#This Row],[Class Description]]),ISBLANK(Table2[[#This Row],[No. of Attendees
(A)]])),0,IF(OR(ISBLANK(Table2[[#This Row],[Class]]),ISBLANK(Table2[[#This Row],[No. of Attendees
(A)]]),ISBLANK(Table2[[#This Row],[Length of Session
(B)]])),1,0))</f>
        <v>0</v>
      </c>
      <c r="E47" s="261">
        <v>45798</v>
      </c>
      <c r="F47" s="549" t="s">
        <v>280</v>
      </c>
      <c r="G47" s="258" t="s">
        <v>268</v>
      </c>
      <c r="H47" s="257" t="s">
        <v>281</v>
      </c>
      <c r="I47" s="549" t="s">
        <v>213</v>
      </c>
      <c r="J47" s="262">
        <v>3</v>
      </c>
      <c r="K47" s="260">
        <v>4</v>
      </c>
      <c r="L47" s="218">
        <f t="shared" si="3"/>
        <v>12</v>
      </c>
      <c r="M47" s="554" t="s">
        <v>217</v>
      </c>
      <c r="N47" s="560">
        <v>0</v>
      </c>
    </row>
    <row r="48" spans="3:14" x14ac:dyDescent="0.2">
      <c r="C48" s="215">
        <f t="shared" si="2"/>
        <v>42</v>
      </c>
      <c r="D48" s="14">
        <f>IF(AND(ISBLANK(Table2[[#This Row],[Start Date]]),ISBLANK(Table2[[#This Row],[Class]]),ISBLANK(Table2[[#This Row],[Class Description]]),ISBLANK(Table2[[#This Row],[No. of Attendees
(A)]])),0,IF(OR(ISBLANK(Table2[[#This Row],[Class]]),ISBLANK(Table2[[#This Row],[No. of Attendees
(A)]]),ISBLANK(Table2[[#This Row],[Length of Session
(B)]])),1,0))</f>
        <v>0</v>
      </c>
      <c r="E48" s="256">
        <v>45810</v>
      </c>
      <c r="F48" s="553" t="s">
        <v>282</v>
      </c>
      <c r="G48" s="258" t="s">
        <v>244</v>
      </c>
      <c r="H48" s="258" t="s">
        <v>283</v>
      </c>
      <c r="I48" s="553" t="s">
        <v>216</v>
      </c>
      <c r="J48" s="260">
        <v>4</v>
      </c>
      <c r="K48" s="260">
        <v>16</v>
      </c>
      <c r="L48" s="218">
        <f t="shared" si="3"/>
        <v>64</v>
      </c>
      <c r="M48" s="554" t="s">
        <v>217</v>
      </c>
      <c r="N48" s="560">
        <v>0</v>
      </c>
    </row>
    <row r="49" spans="3:14" x14ac:dyDescent="0.2">
      <c r="C49" s="215">
        <f t="shared" si="2"/>
        <v>43</v>
      </c>
      <c r="D49" s="14">
        <f>IF(AND(ISBLANK(Table2[[#This Row],[Start Date]]),ISBLANK(Table2[[#This Row],[Class]]),ISBLANK(Table2[[#This Row],[Class Description]]),ISBLANK(Table2[[#This Row],[No. of Attendees
(A)]])),0,IF(OR(ISBLANK(Table2[[#This Row],[Class]]),ISBLANK(Table2[[#This Row],[No. of Attendees
(A)]]),ISBLANK(Table2[[#This Row],[Length of Session
(B)]])),1,0))</f>
        <v>0</v>
      </c>
      <c r="E49" s="261">
        <v>45812</v>
      </c>
      <c r="F49" s="549" t="s">
        <v>248</v>
      </c>
      <c r="G49" s="257" t="s">
        <v>249</v>
      </c>
      <c r="H49" s="258" t="s">
        <v>208</v>
      </c>
      <c r="I49" s="549" t="s">
        <v>222</v>
      </c>
      <c r="J49" s="260">
        <v>12</v>
      </c>
      <c r="K49" s="260">
        <v>6</v>
      </c>
      <c r="L49" s="218">
        <f t="shared" si="3"/>
        <v>72</v>
      </c>
      <c r="M49" s="554" t="s">
        <v>217</v>
      </c>
      <c r="N49" s="560">
        <v>0</v>
      </c>
    </row>
    <row r="50" spans="3:14" x14ac:dyDescent="0.2">
      <c r="C50" s="215">
        <f t="shared" si="2"/>
        <v>44</v>
      </c>
      <c r="D50" s="14">
        <f>IF(AND(ISBLANK(Table2[[#This Row],[Start Date]]),ISBLANK(Table2[[#This Row],[Class]]),ISBLANK(Table2[[#This Row],[Class Description]]),ISBLANK(Table2[[#This Row],[No. of Attendees
(A)]])),0,IF(OR(ISBLANK(Table2[[#This Row],[Class]]),ISBLANK(Table2[[#This Row],[No. of Attendees
(A)]]),ISBLANK(Table2[[#This Row],[Length of Session
(B)]])),1,0))</f>
        <v>0</v>
      </c>
      <c r="E50" s="552">
        <v>45812</v>
      </c>
      <c r="F50" s="553" t="s">
        <v>284</v>
      </c>
      <c r="G50" s="553" t="s">
        <v>285</v>
      </c>
      <c r="H50" s="553" t="s">
        <v>208</v>
      </c>
      <c r="I50" s="553" t="s">
        <v>209</v>
      </c>
      <c r="J50" s="559">
        <v>3</v>
      </c>
      <c r="K50" s="559">
        <v>0.5</v>
      </c>
      <c r="L50" s="218">
        <f t="shared" si="3"/>
        <v>1.5</v>
      </c>
      <c r="M50" s="554" t="s">
        <v>217</v>
      </c>
      <c r="N50" s="560">
        <v>0</v>
      </c>
    </row>
    <row r="51" spans="3:14" x14ac:dyDescent="0.2">
      <c r="C51" s="215">
        <f t="shared" si="2"/>
        <v>45</v>
      </c>
      <c r="D51" s="14">
        <f>IF(AND(ISBLANK(Table2[[#This Row],[Start Date]]),ISBLANK(Table2[[#This Row],[Class]]),ISBLANK(Table2[[#This Row],[Class Description]]),ISBLANK(Table2[[#This Row],[No. of Attendees
(A)]])),0,IF(OR(ISBLANK(Table2[[#This Row],[Class]]),ISBLANK(Table2[[#This Row],[No. of Attendees
(A)]]),ISBLANK(Table2[[#This Row],[Length of Session
(B)]])),1,0))</f>
        <v>0</v>
      </c>
      <c r="E51" s="261">
        <v>45813</v>
      </c>
      <c r="F51" s="553" t="s">
        <v>231</v>
      </c>
      <c r="G51" s="257" t="s">
        <v>286</v>
      </c>
      <c r="H51" s="257" t="s">
        <v>221</v>
      </c>
      <c r="I51" s="549" t="s">
        <v>222</v>
      </c>
      <c r="J51" s="259">
        <v>3</v>
      </c>
      <c r="K51" s="259">
        <v>7</v>
      </c>
      <c r="L51" s="218">
        <f t="shared" si="3"/>
        <v>21</v>
      </c>
      <c r="M51" s="554" t="s">
        <v>217</v>
      </c>
      <c r="N51" s="560">
        <v>0</v>
      </c>
    </row>
    <row r="52" spans="3:14" x14ac:dyDescent="0.2">
      <c r="C52" s="215">
        <f t="shared" si="2"/>
        <v>46</v>
      </c>
      <c r="D52" s="14">
        <f>IF(AND(ISBLANK(Table2[[#This Row],[Start Date]]),ISBLANK(Table2[[#This Row],[Class]]),ISBLANK(Table2[[#This Row],[Class Description]]),ISBLANK(Table2[[#This Row],[No. of Attendees
(A)]])),0,IF(OR(ISBLANK(Table2[[#This Row],[Class]]),ISBLANK(Table2[[#This Row],[No. of Attendees
(A)]]),ISBLANK(Table2[[#This Row],[Length of Session
(B)]])),1,0))</f>
        <v>0</v>
      </c>
      <c r="E52" s="261">
        <v>45818</v>
      </c>
      <c r="F52" s="549" t="s">
        <v>211</v>
      </c>
      <c r="G52" s="257" t="s">
        <v>212</v>
      </c>
      <c r="H52" s="257" t="s">
        <v>208</v>
      </c>
      <c r="I52" s="549" t="s">
        <v>213</v>
      </c>
      <c r="J52" s="259">
        <v>15</v>
      </c>
      <c r="K52" s="259">
        <v>1</v>
      </c>
      <c r="L52" s="218">
        <f t="shared" si="3"/>
        <v>15</v>
      </c>
      <c r="M52" s="554" t="s">
        <v>217</v>
      </c>
      <c r="N52" s="560">
        <v>0</v>
      </c>
    </row>
    <row r="53" spans="3:14" x14ac:dyDescent="0.2">
      <c r="C53" s="215">
        <f t="shared" si="2"/>
        <v>47</v>
      </c>
      <c r="D53" s="14">
        <f>IF(AND(ISBLANK(Table2[[#This Row],[Start Date]]),ISBLANK(Table2[[#This Row],[Class]]),ISBLANK(Table2[[#This Row],[Class Description]]),ISBLANK(Table2[[#This Row],[No. of Attendees
(A)]])),0,IF(OR(ISBLANK(Table2[[#This Row],[Class]]),ISBLANK(Table2[[#This Row],[No. of Attendees
(A)]]),ISBLANK(Table2[[#This Row],[Length of Session
(B)]])),1,0))</f>
        <v>0</v>
      </c>
      <c r="E53" s="552">
        <v>45820</v>
      </c>
      <c r="F53" s="549" t="s">
        <v>231</v>
      </c>
      <c r="G53" s="553" t="s">
        <v>287</v>
      </c>
      <c r="H53" s="553" t="s">
        <v>221</v>
      </c>
      <c r="I53" s="549" t="s">
        <v>222</v>
      </c>
      <c r="J53" s="559">
        <v>2</v>
      </c>
      <c r="K53" s="559">
        <v>8</v>
      </c>
      <c r="L53" s="218">
        <f t="shared" si="3"/>
        <v>16</v>
      </c>
      <c r="M53" s="554" t="s">
        <v>217</v>
      </c>
      <c r="N53" s="560">
        <v>0</v>
      </c>
    </row>
    <row r="54" spans="3:14" x14ac:dyDescent="0.2">
      <c r="C54" s="215">
        <f t="shared" si="2"/>
        <v>48</v>
      </c>
      <c r="D54" s="14">
        <f>IF(AND(ISBLANK(Table2[[#This Row],[Start Date]]),ISBLANK(Table2[[#This Row],[Class]]),ISBLANK(Table2[[#This Row],[Class Description]]),ISBLANK(Table2[[#This Row],[No. of Attendees
(A)]])),0,IF(OR(ISBLANK(Table2[[#This Row],[Class]]),ISBLANK(Table2[[#This Row],[No. of Attendees
(A)]]),ISBLANK(Table2[[#This Row],[Length of Session
(B)]])),1,0))</f>
        <v>0</v>
      </c>
      <c r="E54" s="256">
        <v>45820</v>
      </c>
      <c r="F54" s="549" t="s">
        <v>288</v>
      </c>
      <c r="G54" s="258" t="s">
        <v>289</v>
      </c>
      <c r="H54" s="258" t="s">
        <v>221</v>
      </c>
      <c r="I54" s="549" t="s">
        <v>290</v>
      </c>
      <c r="J54" s="260">
        <v>1</v>
      </c>
      <c r="K54" s="260">
        <v>2</v>
      </c>
      <c r="L54" s="218">
        <f t="shared" si="3"/>
        <v>2</v>
      </c>
      <c r="M54" s="554" t="s">
        <v>210</v>
      </c>
      <c r="N54" s="560">
        <v>1</v>
      </c>
    </row>
    <row r="55" spans="3:14" x14ac:dyDescent="0.2">
      <c r="C55" s="215">
        <f t="shared" si="2"/>
        <v>49</v>
      </c>
      <c r="D55" s="14">
        <f>IF(AND(ISBLANK(Table2[[#This Row],[Start Date]]),ISBLANK(Table2[[#This Row],[Class]]),ISBLANK(Table2[[#This Row],[Class Description]]),ISBLANK(Table2[[#This Row],[No. of Attendees
(A)]])),0,IF(OR(ISBLANK(Table2[[#This Row],[Class]]),ISBLANK(Table2[[#This Row],[No. of Attendees
(A)]]),ISBLANK(Table2[[#This Row],[Length of Session
(B)]])),1,0))</f>
        <v>0</v>
      </c>
      <c r="E55" s="548">
        <v>45820</v>
      </c>
      <c r="F55" s="549" t="s">
        <v>291</v>
      </c>
      <c r="G55" s="549" t="s">
        <v>292</v>
      </c>
      <c r="H55" s="549" t="s">
        <v>221</v>
      </c>
      <c r="I55" s="549" t="s">
        <v>290</v>
      </c>
      <c r="J55" s="550">
        <v>1</v>
      </c>
      <c r="K55" s="550">
        <v>2</v>
      </c>
      <c r="L55" s="218">
        <f t="shared" si="3"/>
        <v>2</v>
      </c>
      <c r="M55" s="551" t="s">
        <v>210</v>
      </c>
      <c r="N55" s="550">
        <v>1</v>
      </c>
    </row>
    <row r="56" spans="3:14" x14ac:dyDescent="0.2">
      <c r="C56" s="215">
        <f t="shared" si="2"/>
        <v>50</v>
      </c>
      <c r="D56" s="14">
        <f>IF(AND(ISBLANK(Table2[[#This Row],[Start Date]]),ISBLANK(Table2[[#This Row],[Class]]),ISBLANK(Table2[[#This Row],[Class Description]]),ISBLANK(Table2[[#This Row],[No. of Attendees
(A)]])),0,IF(OR(ISBLANK(Table2[[#This Row],[Class]]),ISBLANK(Table2[[#This Row],[No. of Attendees
(A)]]),ISBLANK(Table2[[#This Row],[Length of Session
(B)]])),1,0))</f>
        <v>0</v>
      </c>
      <c r="E56" s="261">
        <v>45826</v>
      </c>
      <c r="F56" s="549" t="s">
        <v>214</v>
      </c>
      <c r="G56" s="549" t="s">
        <v>293</v>
      </c>
      <c r="H56" s="258" t="s">
        <v>208</v>
      </c>
      <c r="I56" s="549" t="s">
        <v>222</v>
      </c>
      <c r="J56" s="259">
        <v>4</v>
      </c>
      <c r="K56" s="550">
        <v>1.5</v>
      </c>
      <c r="L56" s="218">
        <f t="shared" si="3"/>
        <v>6</v>
      </c>
      <c r="M56" s="554" t="s">
        <v>217</v>
      </c>
      <c r="N56" s="550">
        <v>0</v>
      </c>
    </row>
    <row r="57" spans="3:14" x14ac:dyDescent="0.2">
      <c r="C57" s="215">
        <f t="shared" si="2"/>
        <v>51</v>
      </c>
      <c r="D57" s="14">
        <f>IF(AND(ISBLANK(Table2[[#This Row],[Start Date]]),ISBLANK(Table2[[#This Row],[Class]]),ISBLANK(Table2[[#This Row],[Class Description]]),ISBLANK(Table2[[#This Row],[No. of Attendees
(A)]])),0,IF(OR(ISBLANK(Table2[[#This Row],[Class]]),ISBLANK(Table2[[#This Row],[No. of Attendees
(A)]]),ISBLANK(Table2[[#This Row],[Length of Session
(B)]])),1,0))</f>
        <v>0</v>
      </c>
      <c r="E57" s="256">
        <v>45832</v>
      </c>
      <c r="F57" s="549" t="s">
        <v>294</v>
      </c>
      <c r="G57" s="553" t="s">
        <v>244</v>
      </c>
      <c r="H57" s="258" t="s">
        <v>295</v>
      </c>
      <c r="I57" s="549" t="s">
        <v>296</v>
      </c>
      <c r="J57" s="260">
        <v>1</v>
      </c>
      <c r="K57" s="559">
        <v>16</v>
      </c>
      <c r="L57" s="218">
        <f t="shared" si="3"/>
        <v>16</v>
      </c>
      <c r="M57" s="554" t="s">
        <v>217</v>
      </c>
      <c r="N57" s="550">
        <v>0</v>
      </c>
    </row>
    <row r="58" spans="3:14" x14ac:dyDescent="0.2">
      <c r="C58" s="215">
        <f t="shared" si="2"/>
        <v>52</v>
      </c>
      <c r="D58" s="14">
        <f>IF(AND(ISBLANK(Table2[[#This Row],[Start Date]]),ISBLANK(Table2[[#This Row],[Class]]),ISBLANK(Table2[[#This Row],[Class Description]]),ISBLANK(Table2[[#This Row],[No. of Attendees
(A)]])),0,IF(OR(ISBLANK(Table2[[#This Row],[Class]]),ISBLANK(Table2[[#This Row],[No. of Attendees
(A)]]),ISBLANK(Table2[[#This Row],[Length of Session
(B)]])),1,0))</f>
        <v>0</v>
      </c>
      <c r="E58" s="548">
        <v>45834</v>
      </c>
      <c r="F58" s="549" t="s">
        <v>234</v>
      </c>
      <c r="G58" s="549" t="s">
        <v>297</v>
      </c>
      <c r="H58" s="553" t="s">
        <v>241</v>
      </c>
      <c r="I58" s="549" t="s">
        <v>222</v>
      </c>
      <c r="J58" s="559">
        <v>165</v>
      </c>
      <c r="K58" s="559">
        <v>2</v>
      </c>
      <c r="L58" s="218">
        <f t="shared" si="3"/>
        <v>330</v>
      </c>
      <c r="M58" s="554" t="s">
        <v>217</v>
      </c>
      <c r="N58" s="550">
        <v>0</v>
      </c>
    </row>
    <row r="59" spans="3:14" x14ac:dyDescent="0.2">
      <c r="C59" s="215">
        <f t="shared" si="2"/>
        <v>53</v>
      </c>
      <c r="D59" s="14">
        <f>IF(AND(ISBLANK(Table2[[#This Row],[Start Date]]),ISBLANK(Table2[[#This Row],[Class]]),ISBLANK(Table2[[#This Row],[Class Description]]),ISBLANK(Table2[[#This Row],[No. of Attendees
(A)]])),0,IF(OR(ISBLANK(Table2[[#This Row],[Class]]),ISBLANK(Table2[[#This Row],[No. of Attendees
(A)]]),ISBLANK(Table2[[#This Row],[Length of Session
(B)]])),1,0))</f>
        <v>0</v>
      </c>
      <c r="E59" s="261">
        <v>45834</v>
      </c>
      <c r="F59" s="549" t="s">
        <v>298</v>
      </c>
      <c r="G59" s="553" t="s">
        <v>299</v>
      </c>
      <c r="H59" s="258" t="s">
        <v>241</v>
      </c>
      <c r="I59" s="549" t="s">
        <v>242</v>
      </c>
      <c r="J59" s="260">
        <v>1</v>
      </c>
      <c r="K59" s="559">
        <v>1</v>
      </c>
      <c r="L59" s="218">
        <f t="shared" si="3"/>
        <v>1</v>
      </c>
      <c r="M59" s="554" t="s">
        <v>210</v>
      </c>
      <c r="N59" s="550">
        <v>1</v>
      </c>
    </row>
    <row r="60" spans="3:14" x14ac:dyDescent="0.2">
      <c r="C60" s="215">
        <f t="shared" si="2"/>
        <v>54</v>
      </c>
      <c r="D60" s="14">
        <f>IF(AND(ISBLANK(Table2[[#This Row],[Start Date]]),ISBLANK(Table2[[#This Row],[Class]]),ISBLANK(Table2[[#This Row],[Class Description]]),ISBLANK(Table2[[#This Row],[No. of Attendees
(A)]])),0,IF(OR(ISBLANK(Table2[[#This Row],[Class]]),ISBLANK(Table2[[#This Row],[No. of Attendees
(A)]]),ISBLANK(Table2[[#This Row],[Length of Session
(B)]])),1,0))</f>
        <v>0</v>
      </c>
      <c r="E60" s="261">
        <v>45835</v>
      </c>
      <c r="F60" s="549" t="s">
        <v>300</v>
      </c>
      <c r="G60" s="553" t="s">
        <v>212</v>
      </c>
      <c r="H60" s="258" t="s">
        <v>208</v>
      </c>
      <c r="I60" s="549" t="s">
        <v>213</v>
      </c>
      <c r="J60" s="260">
        <v>25</v>
      </c>
      <c r="K60" s="559">
        <v>1</v>
      </c>
      <c r="L60" s="218">
        <f t="shared" si="3"/>
        <v>25</v>
      </c>
      <c r="M60" s="554" t="s">
        <v>217</v>
      </c>
      <c r="N60" s="550">
        <v>0</v>
      </c>
    </row>
    <row r="61" spans="3:14" x14ac:dyDescent="0.2">
      <c r="C61" s="215">
        <f t="shared" ref="C61:C92" si="4">ROW()-6</f>
        <v>55</v>
      </c>
      <c r="D61" s="14">
        <f>IF(AND(ISBLANK(Table2[[#This Row],[Start Date]]),ISBLANK(Table2[[#This Row],[Class]]),ISBLANK(Table2[[#This Row],[Class Description]]),ISBLANK(Table2[[#This Row],[No. of Attendees
(A)]])),0,IF(OR(ISBLANK(Table2[[#This Row],[Class]]),ISBLANK(Table2[[#This Row],[No. of Attendees
(A)]]),ISBLANK(Table2[[#This Row],[Length of Session
(B)]])),1,0))</f>
        <v>0</v>
      </c>
      <c r="E61" s="256">
        <v>45839</v>
      </c>
      <c r="F61" s="549" t="s">
        <v>301</v>
      </c>
      <c r="G61" s="553" t="s">
        <v>212</v>
      </c>
      <c r="H61" s="258" t="s">
        <v>302</v>
      </c>
      <c r="I61" s="549" t="s">
        <v>303</v>
      </c>
      <c r="J61" s="260">
        <v>15</v>
      </c>
      <c r="K61" s="559">
        <v>1</v>
      </c>
      <c r="L61" s="218">
        <f t="shared" ref="L61:L92" si="5">J61*K61</f>
        <v>15</v>
      </c>
      <c r="M61" s="554" t="s">
        <v>210</v>
      </c>
      <c r="N61" s="550">
        <v>1</v>
      </c>
    </row>
    <row r="62" spans="3:14" x14ac:dyDescent="0.2">
      <c r="C62" s="215">
        <f t="shared" si="4"/>
        <v>56</v>
      </c>
      <c r="D62" s="14">
        <f>IF(AND(ISBLANK(Table2[[#This Row],[Start Date]]),ISBLANK(Table2[[#This Row],[Class]]),ISBLANK(Table2[[#This Row],[Class Description]]),ISBLANK(Table2[[#This Row],[No. of Attendees
(A)]])),0,IF(OR(ISBLANK(Table2[[#This Row],[Class]]),ISBLANK(Table2[[#This Row],[No. of Attendees
(A)]]),ISBLANK(Table2[[#This Row],[Length of Session
(B)]])),1,0))</f>
        <v>0</v>
      </c>
      <c r="E62" s="552">
        <v>45840</v>
      </c>
      <c r="F62" s="553" t="s">
        <v>304</v>
      </c>
      <c r="G62" s="553" t="s">
        <v>212</v>
      </c>
      <c r="H62" s="258" t="s">
        <v>305</v>
      </c>
      <c r="I62" s="553" t="s">
        <v>303</v>
      </c>
      <c r="J62" s="559">
        <v>10</v>
      </c>
      <c r="K62" s="559">
        <v>1</v>
      </c>
      <c r="L62" s="218">
        <f t="shared" si="5"/>
        <v>10</v>
      </c>
      <c r="M62" s="554" t="s">
        <v>217</v>
      </c>
      <c r="N62" s="550">
        <v>0</v>
      </c>
    </row>
    <row r="63" spans="3:14" x14ac:dyDescent="0.2">
      <c r="C63" s="215">
        <f t="shared" si="4"/>
        <v>57</v>
      </c>
      <c r="D63" s="14">
        <f>IF(AND(ISBLANK(Table2[[#This Row],[Start Date]]),ISBLANK(Table2[[#This Row],[Class]]),ISBLANK(Table2[[#This Row],[Class Description]]),ISBLANK(Table2[[#This Row],[No. of Attendees
(A)]])),0,IF(OR(ISBLANK(Table2[[#This Row],[Class]]),ISBLANK(Table2[[#This Row],[No. of Attendees
(A)]]),ISBLANK(Table2[[#This Row],[Length of Session
(B)]])),1,0))</f>
        <v>0</v>
      </c>
      <c r="E63" s="261">
        <v>45840</v>
      </c>
      <c r="F63" s="549" t="s">
        <v>214</v>
      </c>
      <c r="G63" s="258" t="s">
        <v>223</v>
      </c>
      <c r="H63" s="257" t="s">
        <v>208</v>
      </c>
      <c r="I63" s="549" t="s">
        <v>222</v>
      </c>
      <c r="J63" s="262">
        <v>3</v>
      </c>
      <c r="K63" s="260">
        <v>1.5</v>
      </c>
      <c r="L63" s="218">
        <f t="shared" si="5"/>
        <v>4.5</v>
      </c>
      <c r="M63" s="554" t="s">
        <v>217</v>
      </c>
      <c r="N63" s="550">
        <v>0</v>
      </c>
    </row>
    <row r="64" spans="3:14" x14ac:dyDescent="0.2">
      <c r="C64" s="215">
        <f t="shared" si="4"/>
        <v>58</v>
      </c>
      <c r="D64" s="14">
        <f>IF(AND(ISBLANK(Table2[[#This Row],[Start Date]]),ISBLANK(Table2[[#This Row],[Class]]),ISBLANK(Table2[[#This Row],[Class Description]]),ISBLANK(Table2[[#This Row],[No. of Attendees
(A)]])),0,IF(OR(ISBLANK(Table2[[#This Row],[Class]]),ISBLANK(Table2[[#This Row],[No. of Attendees
(A)]]),ISBLANK(Table2[[#This Row],[Length of Session
(B)]])),1,0))</f>
        <v>0</v>
      </c>
      <c r="E64" s="261">
        <v>45841</v>
      </c>
      <c r="F64" s="549" t="s">
        <v>306</v>
      </c>
      <c r="G64" s="258" t="s">
        <v>212</v>
      </c>
      <c r="H64" s="258" t="s">
        <v>307</v>
      </c>
      <c r="I64" s="549" t="s">
        <v>303</v>
      </c>
      <c r="J64" s="260">
        <v>12</v>
      </c>
      <c r="K64" s="260">
        <v>1</v>
      </c>
      <c r="L64" s="218">
        <f t="shared" si="5"/>
        <v>12</v>
      </c>
      <c r="M64" s="554" t="s">
        <v>217</v>
      </c>
      <c r="N64" s="550">
        <v>0</v>
      </c>
    </row>
    <row r="65" spans="3:14" x14ac:dyDescent="0.2">
      <c r="C65" s="215">
        <f t="shared" si="4"/>
        <v>59</v>
      </c>
      <c r="D65" s="14">
        <f>IF(AND(ISBLANK(Table2[[#This Row],[Start Date]]),ISBLANK(Table2[[#This Row],[Class]]),ISBLANK(Table2[[#This Row],[Class Description]]),ISBLANK(Table2[[#This Row],[No. of Attendees
(A)]])),0,IF(OR(ISBLANK(Table2[[#This Row],[Class]]),ISBLANK(Table2[[#This Row],[No. of Attendees
(A)]]),ISBLANK(Table2[[#This Row],[Length of Session
(B)]])),1,0))</f>
        <v>0</v>
      </c>
      <c r="E65" s="261">
        <v>45841</v>
      </c>
      <c r="F65" s="549" t="s">
        <v>308</v>
      </c>
      <c r="G65" s="257" t="s">
        <v>309</v>
      </c>
      <c r="H65" s="258" t="s">
        <v>208</v>
      </c>
      <c r="I65" s="549" t="s">
        <v>209</v>
      </c>
      <c r="J65" s="267">
        <v>3</v>
      </c>
      <c r="K65" s="267">
        <v>0.5</v>
      </c>
      <c r="L65" s="218">
        <f t="shared" si="5"/>
        <v>1.5</v>
      </c>
      <c r="M65" s="554" t="s">
        <v>210</v>
      </c>
      <c r="N65" s="550">
        <v>0</v>
      </c>
    </row>
    <row r="66" spans="3:14" x14ac:dyDescent="0.2">
      <c r="C66" s="215">
        <f t="shared" si="4"/>
        <v>60</v>
      </c>
      <c r="D66" s="14">
        <f>IF(AND(ISBLANK(Table2[[#This Row],[Start Date]]),ISBLANK(Table2[[#This Row],[Class]]),ISBLANK(Table2[[#This Row],[Class Description]]),ISBLANK(Table2[[#This Row],[No. of Attendees
(A)]])),0,IF(OR(ISBLANK(Table2[[#This Row],[Class]]),ISBLANK(Table2[[#This Row],[No. of Attendees
(A)]]),ISBLANK(Table2[[#This Row],[Length of Session
(B)]])),1,0))</f>
        <v>0</v>
      </c>
      <c r="E66" s="261">
        <v>45846</v>
      </c>
      <c r="F66" s="549" t="s">
        <v>231</v>
      </c>
      <c r="G66" s="257" t="s">
        <v>232</v>
      </c>
      <c r="H66" s="257" t="s">
        <v>221</v>
      </c>
      <c r="I66" s="549" t="s">
        <v>222</v>
      </c>
      <c r="J66" s="259">
        <v>1</v>
      </c>
      <c r="K66" s="259">
        <v>7</v>
      </c>
      <c r="L66" s="218">
        <f t="shared" si="5"/>
        <v>7</v>
      </c>
      <c r="M66" s="551" t="s">
        <v>210</v>
      </c>
      <c r="N66" s="550">
        <v>1</v>
      </c>
    </row>
    <row r="67" spans="3:14" x14ac:dyDescent="0.2">
      <c r="C67" s="215">
        <f t="shared" si="4"/>
        <v>61</v>
      </c>
      <c r="D67" s="14">
        <f>IF(AND(ISBLANK(Table2[[#This Row],[Start Date]]),ISBLANK(Table2[[#This Row],[Class]]),ISBLANK(Table2[[#This Row],[Class Description]]),ISBLANK(Table2[[#This Row],[No. of Attendees
(A)]])),0,IF(OR(ISBLANK(Table2[[#This Row],[Class]]),ISBLANK(Table2[[#This Row],[No. of Attendees
(A)]]),ISBLANK(Table2[[#This Row],[Length of Session
(B)]])),1,0))</f>
        <v>0</v>
      </c>
      <c r="E67" s="261">
        <v>45847</v>
      </c>
      <c r="F67" s="549" t="s">
        <v>231</v>
      </c>
      <c r="G67" s="257" t="s">
        <v>232</v>
      </c>
      <c r="H67" s="257" t="s">
        <v>221</v>
      </c>
      <c r="I67" s="549" t="s">
        <v>222</v>
      </c>
      <c r="J67" s="259">
        <v>1</v>
      </c>
      <c r="K67" s="259">
        <v>7</v>
      </c>
      <c r="L67" s="218">
        <f t="shared" si="5"/>
        <v>7</v>
      </c>
      <c r="M67" s="551" t="s">
        <v>217</v>
      </c>
      <c r="N67" s="550">
        <v>0</v>
      </c>
    </row>
    <row r="68" spans="3:14" x14ac:dyDescent="0.2">
      <c r="C68" s="215">
        <f t="shared" si="4"/>
        <v>62</v>
      </c>
      <c r="D68" s="14">
        <f>IF(AND(ISBLANK(Table2[[#This Row],[Start Date]]),ISBLANK(Table2[[#This Row],[Class]]),ISBLANK(Table2[[#This Row],[Class Description]]),ISBLANK(Table2[[#This Row],[No. of Attendees
(A)]])),0,IF(OR(ISBLANK(Table2[[#This Row],[Class]]),ISBLANK(Table2[[#This Row],[No. of Attendees
(A)]]),ISBLANK(Table2[[#This Row],[Length of Session
(B)]])),1,0))</f>
        <v>0</v>
      </c>
      <c r="E68" s="548">
        <v>45848</v>
      </c>
      <c r="F68" s="549" t="s">
        <v>231</v>
      </c>
      <c r="G68" s="257" t="s">
        <v>232</v>
      </c>
      <c r="H68" s="257" t="s">
        <v>221</v>
      </c>
      <c r="I68" s="549" t="s">
        <v>222</v>
      </c>
      <c r="J68" s="262">
        <v>1</v>
      </c>
      <c r="K68" s="262">
        <v>7</v>
      </c>
      <c r="L68" s="218">
        <f t="shared" si="5"/>
        <v>7</v>
      </c>
      <c r="M68" s="554" t="s">
        <v>217</v>
      </c>
      <c r="N68" s="550">
        <v>0</v>
      </c>
    </row>
    <row r="69" spans="3:14" x14ac:dyDescent="0.2">
      <c r="C69" s="215">
        <f t="shared" si="4"/>
        <v>63</v>
      </c>
      <c r="D69" s="14">
        <f>IF(AND(ISBLANK(Table2[[#This Row],[Start Date]]),ISBLANK(Table2[[#This Row],[Class]]),ISBLANK(Table2[[#This Row],[Class Description]]),ISBLANK(Table2[[#This Row],[No. of Attendees
(A)]])),0,IF(OR(ISBLANK(Table2[[#This Row],[Class]]),ISBLANK(Table2[[#This Row],[No. of Attendees
(A)]]),ISBLANK(Table2[[#This Row],[Length of Session
(B)]])),1,0))</f>
        <v>0</v>
      </c>
      <c r="E69" s="256">
        <v>45854</v>
      </c>
      <c r="F69" s="553" t="s">
        <v>231</v>
      </c>
      <c r="G69" s="258" t="s">
        <v>232</v>
      </c>
      <c r="H69" s="257" t="s">
        <v>221</v>
      </c>
      <c r="I69" s="553" t="s">
        <v>222</v>
      </c>
      <c r="J69" s="260">
        <v>3</v>
      </c>
      <c r="K69" s="260">
        <v>7</v>
      </c>
      <c r="L69" s="218">
        <f t="shared" si="5"/>
        <v>21</v>
      </c>
      <c r="M69" s="554" t="s">
        <v>217</v>
      </c>
      <c r="N69" s="550">
        <v>0</v>
      </c>
    </row>
    <row r="70" spans="3:14" x14ac:dyDescent="0.2">
      <c r="C70" s="215">
        <f t="shared" si="4"/>
        <v>64</v>
      </c>
      <c r="D70" s="14">
        <f>IF(AND(ISBLANK(Table2[[#This Row],[Start Date]]),ISBLANK(Table2[[#This Row],[Class]]),ISBLANK(Table2[[#This Row],[Class Description]]),ISBLANK(Table2[[#This Row],[No. of Attendees
(A)]])),0,IF(OR(ISBLANK(Table2[[#This Row],[Class]]),ISBLANK(Table2[[#This Row],[No. of Attendees
(A)]]),ISBLANK(Table2[[#This Row],[Length of Session
(B)]])),1,0))</f>
        <v>0</v>
      </c>
      <c r="E70" s="256">
        <v>45859</v>
      </c>
      <c r="F70" s="553" t="s">
        <v>214</v>
      </c>
      <c r="G70" s="258" t="s">
        <v>220</v>
      </c>
      <c r="H70" s="257" t="s">
        <v>221</v>
      </c>
      <c r="I70" s="553" t="s">
        <v>222</v>
      </c>
      <c r="J70" s="260">
        <v>1</v>
      </c>
      <c r="K70" s="260">
        <v>1.5</v>
      </c>
      <c r="L70" s="218">
        <f t="shared" si="5"/>
        <v>1.5</v>
      </c>
      <c r="M70" s="554" t="s">
        <v>210</v>
      </c>
      <c r="N70" s="550">
        <v>1</v>
      </c>
    </row>
    <row r="71" spans="3:14" x14ac:dyDescent="0.2">
      <c r="C71" s="215">
        <f t="shared" si="4"/>
        <v>65</v>
      </c>
      <c r="D71" s="14">
        <f>IF(AND(ISBLANK(Table2[[#This Row],[Start Date]]),ISBLANK(Table2[[#This Row],[Class]]),ISBLANK(Table2[[#This Row],[Class Description]]),ISBLANK(Table2[[#This Row],[No. of Attendees
(A)]])),0,IF(OR(ISBLANK(Table2[[#This Row],[Class]]),ISBLANK(Table2[[#This Row],[No. of Attendees
(A)]]),ISBLANK(Table2[[#This Row],[Length of Session
(B)]])),1,0))</f>
        <v>0</v>
      </c>
      <c r="E71" s="261">
        <v>45861</v>
      </c>
      <c r="F71" s="549" t="s">
        <v>214</v>
      </c>
      <c r="G71" s="257" t="s">
        <v>215</v>
      </c>
      <c r="H71" s="257" t="s">
        <v>208</v>
      </c>
      <c r="I71" s="549" t="s">
        <v>216</v>
      </c>
      <c r="J71" s="259">
        <v>17</v>
      </c>
      <c r="K71" s="259">
        <v>1</v>
      </c>
      <c r="L71" s="218">
        <f t="shared" si="5"/>
        <v>17</v>
      </c>
      <c r="M71" s="551" t="s">
        <v>217</v>
      </c>
      <c r="N71" s="550">
        <v>0</v>
      </c>
    </row>
    <row r="72" spans="3:14" x14ac:dyDescent="0.2">
      <c r="C72" s="215">
        <f t="shared" si="4"/>
        <v>66</v>
      </c>
      <c r="D72" s="14">
        <f>IF(AND(ISBLANK(Table2[[#This Row],[Start Date]]),ISBLANK(Table2[[#This Row],[Class]]),ISBLANK(Table2[[#This Row],[Class Description]]),ISBLANK(Table2[[#This Row],[No. of Attendees
(A)]])),0,IF(OR(ISBLANK(Table2[[#This Row],[Class]]),ISBLANK(Table2[[#This Row],[No. of Attendees
(A)]]),ISBLANK(Table2[[#This Row],[Length of Session
(B)]])),1,0))</f>
        <v>0</v>
      </c>
      <c r="E72" s="256">
        <v>45861</v>
      </c>
      <c r="F72" s="549" t="s">
        <v>248</v>
      </c>
      <c r="G72" s="258" t="s">
        <v>249</v>
      </c>
      <c r="H72" s="258" t="s">
        <v>208</v>
      </c>
      <c r="I72" s="549" t="s">
        <v>222</v>
      </c>
      <c r="J72" s="260">
        <v>4</v>
      </c>
      <c r="K72" s="260">
        <v>6</v>
      </c>
      <c r="L72" s="218">
        <f t="shared" si="5"/>
        <v>24</v>
      </c>
      <c r="M72" s="554" t="s">
        <v>217</v>
      </c>
      <c r="N72" s="550">
        <v>0</v>
      </c>
    </row>
    <row r="73" spans="3:14" x14ac:dyDescent="0.2">
      <c r="C73" s="215">
        <f t="shared" si="4"/>
        <v>67</v>
      </c>
      <c r="D73" s="14">
        <f>IF(AND(ISBLANK(Table2[[#This Row],[Start Date]]),ISBLANK(Table2[[#This Row],[Class]]),ISBLANK(Table2[[#This Row],[Class Description]]),ISBLANK(Table2[[#This Row],[No. of Attendees
(A)]])),0,IF(OR(ISBLANK(Table2[[#This Row],[Class]]),ISBLANK(Table2[[#This Row],[No. of Attendees
(A)]]),ISBLANK(Table2[[#This Row],[Length of Session
(B)]])),1,0))</f>
        <v>0</v>
      </c>
      <c r="E73" s="261">
        <v>45866</v>
      </c>
      <c r="F73" s="549" t="s">
        <v>231</v>
      </c>
      <c r="G73" s="257" t="s">
        <v>232</v>
      </c>
      <c r="H73" s="258" t="s">
        <v>221</v>
      </c>
      <c r="I73" s="549" t="s">
        <v>222</v>
      </c>
      <c r="J73" s="262">
        <v>2</v>
      </c>
      <c r="K73" s="267">
        <v>7</v>
      </c>
      <c r="L73" s="218">
        <f t="shared" si="5"/>
        <v>14</v>
      </c>
      <c r="M73" s="554" t="s">
        <v>217</v>
      </c>
      <c r="N73" s="550">
        <v>0</v>
      </c>
    </row>
    <row r="74" spans="3:14" x14ac:dyDescent="0.2">
      <c r="C74" s="215">
        <f t="shared" si="4"/>
        <v>68</v>
      </c>
      <c r="D74" s="14">
        <f>IF(AND(ISBLANK(Table2[[#This Row],[Start Date]]),ISBLANK(Table2[[#This Row],[Class]]),ISBLANK(Table2[[#This Row],[Class Description]]),ISBLANK(Table2[[#This Row],[No. of Attendees
(A)]])),0,IF(OR(ISBLANK(Table2[[#This Row],[Class]]),ISBLANK(Table2[[#This Row],[No. of Attendees
(A)]]),ISBLANK(Table2[[#This Row],[Length of Session
(B)]])),1,0))</f>
        <v>0</v>
      </c>
      <c r="E74" s="552">
        <v>45867</v>
      </c>
      <c r="F74" s="549" t="s">
        <v>231</v>
      </c>
      <c r="G74" s="258" t="s">
        <v>232</v>
      </c>
      <c r="H74" s="258" t="s">
        <v>221</v>
      </c>
      <c r="I74" s="549" t="s">
        <v>222</v>
      </c>
      <c r="J74" s="260">
        <v>2</v>
      </c>
      <c r="K74" s="260">
        <v>7</v>
      </c>
      <c r="L74" s="218">
        <f t="shared" si="5"/>
        <v>14</v>
      </c>
      <c r="M74" s="554" t="s">
        <v>217</v>
      </c>
      <c r="N74" s="550">
        <v>0</v>
      </c>
    </row>
    <row r="75" spans="3:14" x14ac:dyDescent="0.2">
      <c r="C75" s="215">
        <f t="shared" si="4"/>
        <v>69</v>
      </c>
      <c r="D75" s="14">
        <f>IF(AND(ISBLANK(Table2[[#This Row],[Start Date]]),ISBLANK(Table2[[#This Row],[Class]]),ISBLANK(Table2[[#This Row],[Class Description]]),ISBLANK(Table2[[#This Row],[No. of Attendees
(A)]])),0,IF(OR(ISBLANK(Table2[[#This Row],[Class]]),ISBLANK(Table2[[#This Row],[No. of Attendees
(A)]]),ISBLANK(Table2[[#This Row],[Length of Session
(B)]])),1,0))</f>
        <v>0</v>
      </c>
      <c r="E75" s="256">
        <v>45868</v>
      </c>
      <c r="F75" s="549" t="s">
        <v>231</v>
      </c>
      <c r="G75" s="258" t="s">
        <v>232</v>
      </c>
      <c r="H75" s="258" t="s">
        <v>221</v>
      </c>
      <c r="I75" s="549" t="s">
        <v>222</v>
      </c>
      <c r="J75" s="260">
        <v>2</v>
      </c>
      <c r="K75" s="260">
        <v>7</v>
      </c>
      <c r="L75" s="218">
        <f t="shared" si="5"/>
        <v>14</v>
      </c>
      <c r="M75" s="554" t="s">
        <v>217</v>
      </c>
      <c r="N75" s="550">
        <v>0</v>
      </c>
    </row>
    <row r="76" spans="3:14" x14ac:dyDescent="0.2">
      <c r="C76" s="215">
        <f t="shared" si="4"/>
        <v>70</v>
      </c>
      <c r="D76" s="14">
        <f>IF(AND(ISBLANK(Table2[[#This Row],[Start Date]]),ISBLANK(Table2[[#This Row],[Class]]),ISBLANK(Table2[[#This Row],[Class Description]]),ISBLANK(Table2[[#This Row],[No. of Attendees
(A)]])),0,IF(OR(ISBLANK(Table2[[#This Row],[Class]]),ISBLANK(Table2[[#This Row],[No. of Attendees
(A)]]),ISBLANK(Table2[[#This Row],[Length of Session
(B)]])),1,0))</f>
        <v>0</v>
      </c>
      <c r="E76" s="261">
        <v>45868</v>
      </c>
      <c r="F76" s="549" t="s">
        <v>231</v>
      </c>
      <c r="G76" s="258" t="s">
        <v>232</v>
      </c>
      <c r="H76" s="258" t="s">
        <v>221</v>
      </c>
      <c r="I76" s="549" t="s">
        <v>222</v>
      </c>
      <c r="J76" s="262">
        <v>2</v>
      </c>
      <c r="K76" s="260">
        <v>7</v>
      </c>
      <c r="L76" s="218">
        <f t="shared" si="5"/>
        <v>14</v>
      </c>
      <c r="M76" s="554" t="s">
        <v>210</v>
      </c>
      <c r="N76" s="550">
        <v>2</v>
      </c>
    </row>
    <row r="77" spans="3:14" x14ac:dyDescent="0.2">
      <c r="C77" s="215">
        <f t="shared" si="4"/>
        <v>71</v>
      </c>
      <c r="D77" s="14">
        <f>IF(AND(ISBLANK(Table2[[#This Row],[Start Date]]),ISBLANK(Table2[[#This Row],[Class]]),ISBLANK(Table2[[#This Row],[Class Description]]),ISBLANK(Table2[[#This Row],[No. of Attendees
(A)]])),0,IF(OR(ISBLANK(Table2[[#This Row],[Class]]),ISBLANK(Table2[[#This Row],[No. of Attendees
(A)]]),ISBLANK(Table2[[#This Row],[Length of Session
(B)]])),1,0))</f>
        <v>0</v>
      </c>
      <c r="E77" s="261">
        <v>45873</v>
      </c>
      <c r="F77" s="549" t="s">
        <v>214</v>
      </c>
      <c r="G77" s="258" t="s">
        <v>223</v>
      </c>
      <c r="H77" s="258" t="s">
        <v>208</v>
      </c>
      <c r="I77" s="549" t="s">
        <v>222</v>
      </c>
      <c r="J77" s="259">
        <v>1</v>
      </c>
      <c r="K77" s="259">
        <v>1.5</v>
      </c>
      <c r="L77" s="218">
        <f t="shared" si="5"/>
        <v>1.5</v>
      </c>
      <c r="M77" s="554" t="s">
        <v>217</v>
      </c>
      <c r="N77" s="550">
        <v>0</v>
      </c>
    </row>
    <row r="78" spans="3:14" x14ac:dyDescent="0.2">
      <c r="C78" s="215">
        <f t="shared" si="4"/>
        <v>72</v>
      </c>
      <c r="D78" s="14">
        <f>IF(AND(ISBLANK(Table2[[#This Row],[Start Date]]),ISBLANK(Table2[[#This Row],[Class]]),ISBLANK(Table2[[#This Row],[Class Description]]),ISBLANK(Table2[[#This Row],[No. of Attendees
(A)]])),0,IF(OR(ISBLANK(Table2[[#This Row],[Class]]),ISBLANK(Table2[[#This Row],[No. of Attendees
(A)]]),ISBLANK(Table2[[#This Row],[Length of Session
(B)]])),1,0))</f>
        <v>0</v>
      </c>
      <c r="E78" s="548">
        <v>45875</v>
      </c>
      <c r="F78" s="549" t="s">
        <v>248</v>
      </c>
      <c r="G78" s="257" t="s">
        <v>249</v>
      </c>
      <c r="H78" s="257" t="s">
        <v>208</v>
      </c>
      <c r="I78" s="549" t="s">
        <v>222</v>
      </c>
      <c r="J78" s="259">
        <v>1</v>
      </c>
      <c r="K78" s="259">
        <v>6</v>
      </c>
      <c r="L78" s="218">
        <f t="shared" si="5"/>
        <v>6</v>
      </c>
      <c r="M78" s="554" t="s">
        <v>217</v>
      </c>
      <c r="N78" s="550">
        <v>0</v>
      </c>
    </row>
    <row r="79" spans="3:14" x14ac:dyDescent="0.2">
      <c r="C79" s="215">
        <f t="shared" si="4"/>
        <v>73</v>
      </c>
      <c r="D79" s="14">
        <f>IF(AND(ISBLANK(Table2[[#This Row],[Start Date]]),ISBLANK(Table2[[#This Row],[Class]]),ISBLANK(Table2[[#This Row],[Class Description]]),ISBLANK(Table2[[#This Row],[No. of Attendees
(A)]])),0,IF(OR(ISBLANK(Table2[[#This Row],[Class]]),ISBLANK(Table2[[#This Row],[No. of Attendees
(A)]]),ISBLANK(Table2[[#This Row],[Length of Session
(B)]])),1,0))</f>
        <v>0</v>
      </c>
      <c r="E79" s="548">
        <v>45881</v>
      </c>
      <c r="F79" s="549" t="s">
        <v>231</v>
      </c>
      <c r="G79" s="257" t="s">
        <v>232</v>
      </c>
      <c r="H79" s="258" t="s">
        <v>221</v>
      </c>
      <c r="I79" s="549" t="s">
        <v>222</v>
      </c>
      <c r="J79" s="260">
        <v>2</v>
      </c>
      <c r="K79" s="260">
        <v>7</v>
      </c>
      <c r="L79" s="218">
        <f t="shared" si="5"/>
        <v>14</v>
      </c>
      <c r="M79" s="554" t="s">
        <v>217</v>
      </c>
      <c r="N79" s="550">
        <v>0</v>
      </c>
    </row>
    <row r="80" spans="3:14" x14ac:dyDescent="0.2">
      <c r="C80" s="215">
        <f t="shared" si="4"/>
        <v>74</v>
      </c>
      <c r="D80" s="14">
        <f>IF(AND(ISBLANK(Table2[[#This Row],[Start Date]]),ISBLANK(Table2[[#This Row],[Class]]),ISBLANK(Table2[[#This Row],[Class Description]]),ISBLANK(Table2[[#This Row],[No. of Attendees
(A)]])),0,IF(OR(ISBLANK(Table2[[#This Row],[Class]]),ISBLANK(Table2[[#This Row],[No. of Attendees
(A)]]),ISBLANK(Table2[[#This Row],[Length of Session
(B)]])),1,0))</f>
        <v>0</v>
      </c>
      <c r="E80" s="552">
        <v>45882</v>
      </c>
      <c r="F80" s="549" t="s">
        <v>231</v>
      </c>
      <c r="G80" s="553" t="s">
        <v>232</v>
      </c>
      <c r="H80" s="258" t="s">
        <v>221</v>
      </c>
      <c r="I80" s="549" t="s">
        <v>222</v>
      </c>
      <c r="J80" s="559">
        <v>2</v>
      </c>
      <c r="K80" s="559">
        <v>7</v>
      </c>
      <c r="L80" s="218">
        <f t="shared" si="5"/>
        <v>14</v>
      </c>
      <c r="M80" s="554" t="s">
        <v>217</v>
      </c>
      <c r="N80" s="550">
        <v>0</v>
      </c>
    </row>
    <row r="81" spans="3:14" x14ac:dyDescent="0.2">
      <c r="C81" s="215">
        <f t="shared" si="4"/>
        <v>75</v>
      </c>
      <c r="D81" s="14">
        <f>IF(AND(ISBLANK(Table2[[#This Row],[Start Date]]),ISBLANK(Table2[[#This Row],[Class]]),ISBLANK(Table2[[#This Row],[Class Description]]),ISBLANK(Table2[[#This Row],[No. of Attendees
(A)]])),0,IF(OR(ISBLANK(Table2[[#This Row],[Class]]),ISBLANK(Table2[[#This Row],[No. of Attendees
(A)]]),ISBLANK(Table2[[#This Row],[Length of Session
(B)]])),1,0))</f>
        <v>0</v>
      </c>
      <c r="E81" s="548">
        <v>45883</v>
      </c>
      <c r="F81" s="549" t="s">
        <v>231</v>
      </c>
      <c r="G81" s="549" t="s">
        <v>232</v>
      </c>
      <c r="H81" s="258" t="s">
        <v>221</v>
      </c>
      <c r="I81" s="549" t="s">
        <v>222</v>
      </c>
      <c r="J81" s="550">
        <v>3</v>
      </c>
      <c r="K81" s="564">
        <v>7</v>
      </c>
      <c r="L81" s="218">
        <f t="shared" si="5"/>
        <v>21</v>
      </c>
      <c r="M81" s="554" t="s">
        <v>217</v>
      </c>
      <c r="N81" s="550">
        <v>0</v>
      </c>
    </row>
    <row r="82" spans="3:14" x14ac:dyDescent="0.2">
      <c r="C82" s="215">
        <f t="shared" si="4"/>
        <v>76</v>
      </c>
      <c r="D82" s="14">
        <f>IF(AND(ISBLANK(Table2[[#This Row],[Start Date]]),ISBLANK(Table2[[#This Row],[Class]]),ISBLANK(Table2[[#This Row],[Class Description]]),ISBLANK(Table2[[#This Row],[No. of Attendees
(A)]])),0,IF(OR(ISBLANK(Table2[[#This Row],[Class]]),ISBLANK(Table2[[#This Row],[No. of Attendees
(A)]]),ISBLANK(Table2[[#This Row],[Length of Session
(B)]])),1,0))</f>
        <v>0</v>
      </c>
      <c r="E82" s="552">
        <v>45888</v>
      </c>
      <c r="F82" s="549" t="s">
        <v>231</v>
      </c>
      <c r="G82" s="553" t="s">
        <v>232</v>
      </c>
      <c r="H82" s="258" t="s">
        <v>221</v>
      </c>
      <c r="I82" s="549" t="s">
        <v>222</v>
      </c>
      <c r="J82" s="564">
        <v>2</v>
      </c>
      <c r="K82" s="564">
        <v>7</v>
      </c>
      <c r="L82" s="218">
        <f t="shared" si="5"/>
        <v>14</v>
      </c>
      <c r="M82" s="554" t="s">
        <v>217</v>
      </c>
      <c r="N82" s="550">
        <v>0</v>
      </c>
    </row>
    <row r="83" spans="3:14" x14ac:dyDescent="0.2">
      <c r="C83" s="215">
        <f t="shared" si="4"/>
        <v>77</v>
      </c>
      <c r="D83" s="14">
        <f>IF(AND(ISBLANK(Table2[[#This Row],[Start Date]]),ISBLANK(Table2[[#This Row],[Class]]),ISBLANK(Table2[[#This Row],[Class Description]]),ISBLANK(Table2[[#This Row],[No. of Attendees
(A)]])),0,IF(OR(ISBLANK(Table2[[#This Row],[Class]]),ISBLANK(Table2[[#This Row],[No. of Attendees
(A)]]),ISBLANK(Table2[[#This Row],[Length of Session
(B)]])),1,0))</f>
        <v>0</v>
      </c>
      <c r="E83" s="548">
        <v>45889</v>
      </c>
      <c r="F83" s="549" t="s">
        <v>248</v>
      </c>
      <c r="G83" s="549" t="s">
        <v>249</v>
      </c>
      <c r="H83" s="553" t="s">
        <v>208</v>
      </c>
      <c r="I83" s="549" t="s">
        <v>222</v>
      </c>
      <c r="J83" s="555">
        <v>1</v>
      </c>
      <c r="K83" s="564">
        <v>6</v>
      </c>
      <c r="L83" s="218">
        <f t="shared" si="5"/>
        <v>6</v>
      </c>
      <c r="M83" s="554" t="s">
        <v>217</v>
      </c>
      <c r="N83" s="550">
        <v>0</v>
      </c>
    </row>
    <row r="84" spans="3:14" x14ac:dyDescent="0.2">
      <c r="C84" s="215">
        <f t="shared" si="4"/>
        <v>78</v>
      </c>
      <c r="D84" s="14">
        <f>IF(AND(ISBLANK(Table2[[#This Row],[Start Date]]),ISBLANK(Table2[[#This Row],[Class]]),ISBLANK(Table2[[#This Row],[Class Description]]),ISBLANK(Table2[[#This Row],[No. of Attendees
(A)]])),0,IF(OR(ISBLANK(Table2[[#This Row],[Class]]),ISBLANK(Table2[[#This Row],[No. of Attendees
(A)]]),ISBLANK(Table2[[#This Row],[Length of Session
(B)]])),1,0))</f>
        <v>0</v>
      </c>
      <c r="E84" s="548">
        <v>45890</v>
      </c>
      <c r="F84" s="549" t="s">
        <v>310</v>
      </c>
      <c r="G84" s="553" t="s">
        <v>311</v>
      </c>
      <c r="H84" s="549" t="s">
        <v>241</v>
      </c>
      <c r="I84" s="549" t="s">
        <v>242</v>
      </c>
      <c r="J84" s="555">
        <v>1</v>
      </c>
      <c r="K84" s="559">
        <v>1</v>
      </c>
      <c r="L84" s="218">
        <f t="shared" si="5"/>
        <v>1</v>
      </c>
      <c r="M84" s="554" t="s">
        <v>210</v>
      </c>
      <c r="N84" s="550">
        <v>1</v>
      </c>
    </row>
    <row r="85" spans="3:14" x14ac:dyDescent="0.2">
      <c r="C85" s="215">
        <f t="shared" si="4"/>
        <v>79</v>
      </c>
      <c r="D85" s="14">
        <f>IF(AND(ISBLANK(Table2[[#This Row],[Start Date]]),ISBLANK(Table2[[#This Row],[Class]]),ISBLANK(Table2[[#This Row],[Class Description]]),ISBLANK(Table2[[#This Row],[No. of Attendees
(A)]])),0,IF(OR(ISBLANK(Table2[[#This Row],[Class]]),ISBLANK(Table2[[#This Row],[No. of Attendees
(A)]]),ISBLANK(Table2[[#This Row],[Length of Session
(B)]])),1,0))</f>
        <v>0</v>
      </c>
      <c r="E85" s="552">
        <v>45890</v>
      </c>
      <c r="F85" s="553" t="s">
        <v>231</v>
      </c>
      <c r="G85" s="553" t="s">
        <v>232</v>
      </c>
      <c r="H85" s="553" t="s">
        <v>221</v>
      </c>
      <c r="I85" s="553" t="s">
        <v>222</v>
      </c>
      <c r="J85" s="559">
        <v>2</v>
      </c>
      <c r="K85" s="559">
        <v>7</v>
      </c>
      <c r="L85" s="218">
        <f t="shared" si="5"/>
        <v>14</v>
      </c>
      <c r="M85" s="554" t="s">
        <v>217</v>
      </c>
      <c r="N85" s="550">
        <v>0</v>
      </c>
    </row>
    <row r="86" spans="3:14" x14ac:dyDescent="0.2">
      <c r="C86" s="215">
        <f t="shared" si="4"/>
        <v>80</v>
      </c>
      <c r="D86" s="14">
        <f>IF(AND(ISBLANK(Table2[[#This Row],[Start Date]]),ISBLANK(Table2[[#This Row],[Class]]),ISBLANK(Table2[[#This Row],[Class Description]]),ISBLANK(Table2[[#This Row],[No. of Attendees
(A)]])),0,IF(OR(ISBLANK(Table2[[#This Row],[Class]]),ISBLANK(Table2[[#This Row],[No. of Attendees
(A)]]),ISBLANK(Table2[[#This Row],[Length of Session
(B)]])),1,0))</f>
        <v>0</v>
      </c>
      <c r="E86" s="548">
        <v>45894</v>
      </c>
      <c r="F86" s="549" t="s">
        <v>231</v>
      </c>
      <c r="G86" s="549" t="s">
        <v>232</v>
      </c>
      <c r="H86" s="553" t="s">
        <v>221</v>
      </c>
      <c r="I86" s="549" t="s">
        <v>222</v>
      </c>
      <c r="J86" s="564">
        <v>3</v>
      </c>
      <c r="K86" s="564">
        <v>7</v>
      </c>
      <c r="L86" s="218">
        <f t="shared" si="5"/>
        <v>21</v>
      </c>
      <c r="M86" s="554" t="s">
        <v>217</v>
      </c>
      <c r="N86" s="550">
        <v>0</v>
      </c>
    </row>
    <row r="87" spans="3:14" x14ac:dyDescent="0.2">
      <c r="C87" s="215">
        <f t="shared" si="4"/>
        <v>81</v>
      </c>
      <c r="D87" s="14">
        <f>IF(AND(ISBLANK(Table2[[#This Row],[Start Date]]),ISBLANK(Table2[[#This Row],[Class]]),ISBLANK(Table2[[#This Row],[Class Description]]),ISBLANK(Table2[[#This Row],[No. of Attendees
(A)]])),0,IF(OR(ISBLANK(Table2[[#This Row],[Class]]),ISBLANK(Table2[[#This Row],[No. of Attendees
(A)]]),ISBLANK(Table2[[#This Row],[Length of Session
(B)]])),1,0))</f>
        <v>0</v>
      </c>
      <c r="E87" s="548">
        <v>45895</v>
      </c>
      <c r="F87" s="549" t="s">
        <v>231</v>
      </c>
      <c r="G87" s="549" t="s">
        <v>232</v>
      </c>
      <c r="H87" s="553" t="s">
        <v>221</v>
      </c>
      <c r="I87" s="549" t="s">
        <v>222</v>
      </c>
      <c r="J87" s="555">
        <v>3</v>
      </c>
      <c r="K87" s="555">
        <v>7</v>
      </c>
      <c r="L87" s="218">
        <f t="shared" si="5"/>
        <v>21</v>
      </c>
      <c r="M87" s="554" t="s">
        <v>217</v>
      </c>
      <c r="N87" s="550">
        <v>0</v>
      </c>
    </row>
    <row r="88" spans="3:14" x14ac:dyDescent="0.2">
      <c r="C88" s="215">
        <f t="shared" si="4"/>
        <v>82</v>
      </c>
      <c r="D88" s="14">
        <f>IF(AND(ISBLANK(Table2[[#This Row],[Start Date]]),ISBLANK(Table2[[#This Row],[Class]]),ISBLANK(Table2[[#This Row],[Class Description]]),ISBLANK(Table2[[#This Row],[No. of Attendees
(A)]])),0,IF(OR(ISBLANK(Table2[[#This Row],[Class]]),ISBLANK(Table2[[#This Row],[No. of Attendees
(A)]]),ISBLANK(Table2[[#This Row],[Length of Session
(B)]])),1,0))</f>
        <v>0</v>
      </c>
      <c r="E88" s="548">
        <v>45896</v>
      </c>
      <c r="F88" s="549" t="s">
        <v>231</v>
      </c>
      <c r="G88" s="553" t="s">
        <v>232</v>
      </c>
      <c r="H88" s="553" t="s">
        <v>221</v>
      </c>
      <c r="I88" s="549" t="s">
        <v>222</v>
      </c>
      <c r="J88" s="550">
        <v>3</v>
      </c>
      <c r="K88" s="550">
        <v>7</v>
      </c>
      <c r="L88" s="218">
        <f t="shared" si="5"/>
        <v>21</v>
      </c>
      <c r="M88" s="554" t="s">
        <v>217</v>
      </c>
      <c r="N88" s="550">
        <v>0</v>
      </c>
    </row>
    <row r="89" spans="3:14" x14ac:dyDescent="0.2">
      <c r="C89" s="215">
        <f t="shared" si="4"/>
        <v>83</v>
      </c>
      <c r="D89" s="14">
        <f>IF(AND(ISBLANK(Table2[[#This Row],[Start Date]]),ISBLANK(Table2[[#This Row],[Class]]),ISBLANK(Table2[[#This Row],[Class Description]]),ISBLANK(Table2[[#This Row],[No. of Attendees
(A)]])),0,IF(OR(ISBLANK(Table2[[#This Row],[Class]]),ISBLANK(Table2[[#This Row],[No. of Attendees
(A)]]),ISBLANK(Table2[[#This Row],[Length of Session
(B)]])),1,0))</f>
        <v>0</v>
      </c>
      <c r="E89" s="552">
        <v>45897</v>
      </c>
      <c r="F89" s="553" t="s">
        <v>231</v>
      </c>
      <c r="G89" s="553" t="s">
        <v>232</v>
      </c>
      <c r="H89" s="553" t="s">
        <v>221</v>
      </c>
      <c r="I89" s="553" t="s">
        <v>222</v>
      </c>
      <c r="J89" s="559">
        <v>3</v>
      </c>
      <c r="K89" s="559">
        <v>7</v>
      </c>
      <c r="L89" s="218">
        <f t="shared" si="5"/>
        <v>21</v>
      </c>
      <c r="M89" s="554" t="s">
        <v>217</v>
      </c>
      <c r="N89" s="550">
        <v>0</v>
      </c>
    </row>
    <row r="90" spans="3:14" x14ac:dyDescent="0.2">
      <c r="C90" s="215">
        <f t="shared" si="4"/>
        <v>84</v>
      </c>
      <c r="D90" s="14">
        <f>IF(AND(ISBLANK(Table2[[#This Row],[Start Date]]),ISBLANK(Table2[[#This Row],[Class]]),ISBLANK(Table2[[#This Row],[Class Description]]),ISBLANK(Table2[[#This Row],[No. of Attendees
(A)]])),0,IF(OR(ISBLANK(Table2[[#This Row],[Class]]),ISBLANK(Table2[[#This Row],[No. of Attendees
(A)]]),ISBLANK(Table2[[#This Row],[Length of Session
(B)]])),1,0))</f>
        <v>0</v>
      </c>
      <c r="E90" s="548">
        <v>45903</v>
      </c>
      <c r="F90" s="549" t="s">
        <v>214</v>
      </c>
      <c r="G90" s="553" t="s">
        <v>223</v>
      </c>
      <c r="H90" s="553" t="s">
        <v>208</v>
      </c>
      <c r="I90" s="549" t="s">
        <v>222</v>
      </c>
      <c r="J90" s="559">
        <v>2</v>
      </c>
      <c r="K90" s="559">
        <v>1.5</v>
      </c>
      <c r="L90" s="218">
        <f t="shared" si="5"/>
        <v>3</v>
      </c>
      <c r="M90" s="554" t="s">
        <v>217</v>
      </c>
      <c r="N90" s="550">
        <v>0</v>
      </c>
    </row>
    <row r="91" spans="3:14" x14ac:dyDescent="0.2">
      <c r="C91" s="215">
        <f t="shared" si="4"/>
        <v>85</v>
      </c>
      <c r="D91" s="14">
        <f>IF(AND(ISBLANK(Table2[[#This Row],[Start Date]]),ISBLANK(Table2[[#This Row],[Class]]),ISBLANK(Table2[[#This Row],[Class Description]]),ISBLANK(Table2[[#This Row],[No. of Attendees
(A)]])),0,IF(OR(ISBLANK(Table2[[#This Row],[Class]]),ISBLANK(Table2[[#This Row],[No. of Attendees
(A)]]),ISBLANK(Table2[[#This Row],[Length of Session
(B)]])),1,0))</f>
        <v>0</v>
      </c>
      <c r="E91" s="552">
        <v>45904</v>
      </c>
      <c r="F91" s="553" t="s">
        <v>312</v>
      </c>
      <c r="G91" s="553" t="s">
        <v>313</v>
      </c>
      <c r="H91" s="553" t="s">
        <v>221</v>
      </c>
      <c r="I91" s="553" t="s">
        <v>73</v>
      </c>
      <c r="J91" s="550">
        <v>42</v>
      </c>
      <c r="K91" s="559">
        <v>1.5</v>
      </c>
      <c r="L91" s="218">
        <f t="shared" si="5"/>
        <v>63</v>
      </c>
      <c r="M91" s="554" t="s">
        <v>217</v>
      </c>
      <c r="N91" s="550">
        <v>0</v>
      </c>
    </row>
    <row r="92" spans="3:14" x14ac:dyDescent="0.2">
      <c r="C92" s="215">
        <f t="shared" si="4"/>
        <v>86</v>
      </c>
      <c r="D92" s="14">
        <f>IF(AND(ISBLANK(Table2[[#This Row],[Start Date]]),ISBLANK(Table2[[#This Row],[Class]]),ISBLANK(Table2[[#This Row],[Class Description]]),ISBLANK(Table2[[#This Row],[No. of Attendees
(A)]])),0,IF(OR(ISBLANK(Table2[[#This Row],[Class]]),ISBLANK(Table2[[#This Row],[No. of Attendees
(A)]]),ISBLANK(Table2[[#This Row],[Length of Session
(B)]])),1,0))</f>
        <v>0</v>
      </c>
      <c r="E92" s="548">
        <v>45908</v>
      </c>
      <c r="F92" s="549" t="s">
        <v>314</v>
      </c>
      <c r="G92" s="549" t="s">
        <v>214</v>
      </c>
      <c r="H92" s="549" t="s">
        <v>219</v>
      </c>
      <c r="I92" s="549" t="s">
        <v>216</v>
      </c>
      <c r="J92" s="550">
        <v>2</v>
      </c>
      <c r="K92" s="550">
        <v>2</v>
      </c>
      <c r="L92" s="218">
        <f t="shared" si="5"/>
        <v>4</v>
      </c>
      <c r="M92" s="554" t="s">
        <v>217</v>
      </c>
      <c r="N92" s="550">
        <v>0</v>
      </c>
    </row>
    <row r="93" spans="3:14" x14ac:dyDescent="0.2">
      <c r="C93" s="215">
        <f t="shared" ref="C93:C124" si="6">ROW()-6</f>
        <v>87</v>
      </c>
      <c r="D93" s="14">
        <f>IF(AND(ISBLANK(Table2[[#This Row],[Start Date]]),ISBLANK(Table2[[#This Row],[Class]]),ISBLANK(Table2[[#This Row],[Class Description]]),ISBLANK(Table2[[#This Row],[No. of Attendees
(A)]])),0,IF(OR(ISBLANK(Table2[[#This Row],[Class]]),ISBLANK(Table2[[#This Row],[No. of Attendees
(A)]]),ISBLANK(Table2[[#This Row],[Length of Session
(B)]])),1,0))</f>
        <v>0</v>
      </c>
      <c r="E93" s="552">
        <v>45909</v>
      </c>
      <c r="F93" s="549" t="s">
        <v>231</v>
      </c>
      <c r="G93" s="553" t="s">
        <v>232</v>
      </c>
      <c r="H93" s="553" t="s">
        <v>221</v>
      </c>
      <c r="I93" s="549" t="s">
        <v>222</v>
      </c>
      <c r="J93" s="559">
        <v>3</v>
      </c>
      <c r="K93" s="559">
        <v>7</v>
      </c>
      <c r="L93" s="218">
        <f t="shared" ref="L93:L124" si="7">J93*K93</f>
        <v>21</v>
      </c>
      <c r="M93" s="554" t="s">
        <v>217</v>
      </c>
      <c r="N93" s="550">
        <v>0</v>
      </c>
    </row>
    <row r="94" spans="3:14" x14ac:dyDescent="0.2">
      <c r="C94" s="215">
        <f t="shared" si="6"/>
        <v>88</v>
      </c>
      <c r="D94" s="14">
        <f>IF(AND(ISBLANK(Table2[[#This Row],[Start Date]]),ISBLANK(Table2[[#This Row],[Class]]),ISBLANK(Table2[[#This Row],[Class Description]]),ISBLANK(Table2[[#This Row],[No. of Attendees
(A)]])),0,IF(OR(ISBLANK(Table2[[#This Row],[Class]]),ISBLANK(Table2[[#This Row],[No. of Attendees
(A)]]),ISBLANK(Table2[[#This Row],[Length of Session
(B)]])),1,0))</f>
        <v>0</v>
      </c>
      <c r="E94" s="548">
        <v>45909</v>
      </c>
      <c r="F94" s="549" t="s">
        <v>315</v>
      </c>
      <c r="G94" s="549" t="s">
        <v>316</v>
      </c>
      <c r="H94" s="553" t="s">
        <v>221</v>
      </c>
      <c r="I94" s="549" t="s">
        <v>243</v>
      </c>
      <c r="J94" s="550">
        <v>2</v>
      </c>
      <c r="K94" s="550">
        <v>16</v>
      </c>
      <c r="L94" s="218">
        <f t="shared" si="7"/>
        <v>32</v>
      </c>
      <c r="M94" s="551" t="s">
        <v>217</v>
      </c>
      <c r="N94" s="550">
        <v>0</v>
      </c>
    </row>
    <row r="95" spans="3:14" x14ac:dyDescent="0.2">
      <c r="C95" s="215">
        <f t="shared" si="6"/>
        <v>89</v>
      </c>
      <c r="D95" s="14">
        <f>IF(AND(ISBLANK(Table2[[#This Row],[Start Date]]),ISBLANK(Table2[[#This Row],[Class]]),ISBLANK(Table2[[#This Row],[Class Description]]),ISBLANK(Table2[[#This Row],[No. of Attendees
(A)]])),0,IF(OR(ISBLANK(Table2[[#This Row],[Class]]),ISBLANK(Table2[[#This Row],[No. of Attendees
(A)]]),ISBLANK(Table2[[#This Row],[Length of Session
(B)]])),1,0))</f>
        <v>0</v>
      </c>
      <c r="E95" s="552">
        <v>45910</v>
      </c>
      <c r="F95" s="553" t="s">
        <v>231</v>
      </c>
      <c r="G95" s="553" t="s">
        <v>232</v>
      </c>
      <c r="H95" s="553" t="s">
        <v>221</v>
      </c>
      <c r="I95" s="553" t="s">
        <v>222</v>
      </c>
      <c r="J95" s="559">
        <v>3</v>
      </c>
      <c r="K95" s="559">
        <v>7</v>
      </c>
      <c r="L95" s="218">
        <f t="shared" si="7"/>
        <v>21</v>
      </c>
      <c r="M95" s="554" t="s">
        <v>210</v>
      </c>
      <c r="N95" s="560">
        <v>3</v>
      </c>
    </row>
    <row r="96" spans="3:14" x14ac:dyDescent="0.2">
      <c r="C96" s="215">
        <f t="shared" si="6"/>
        <v>90</v>
      </c>
      <c r="D96" s="14">
        <f>IF(AND(ISBLANK(Table2[[#This Row],[Start Date]]),ISBLANK(Table2[[#This Row],[Class]]),ISBLANK(Table2[[#This Row],[Class Description]]),ISBLANK(Table2[[#This Row],[No. of Attendees
(A)]])),0,IF(OR(ISBLANK(Table2[[#This Row],[Class]]),ISBLANK(Table2[[#This Row],[No. of Attendees
(A)]]),ISBLANK(Table2[[#This Row],[Length of Session
(B)]])),1,0))</f>
        <v>0</v>
      </c>
      <c r="E96" s="561">
        <v>45911</v>
      </c>
      <c r="F96" s="571" t="s">
        <v>231</v>
      </c>
      <c r="G96" s="571" t="s">
        <v>232</v>
      </c>
      <c r="H96" s="553" t="s">
        <v>221</v>
      </c>
      <c r="I96" s="562" t="s">
        <v>222</v>
      </c>
      <c r="J96" s="563">
        <v>2</v>
      </c>
      <c r="K96" s="563">
        <v>7</v>
      </c>
      <c r="L96" s="218">
        <f t="shared" si="7"/>
        <v>14</v>
      </c>
      <c r="M96" s="556" t="s">
        <v>217</v>
      </c>
      <c r="N96" s="560">
        <v>0</v>
      </c>
    </row>
    <row r="97" spans="3:14" x14ac:dyDescent="0.2">
      <c r="C97" s="215">
        <f t="shared" si="6"/>
        <v>91</v>
      </c>
      <c r="D97" s="14">
        <f>IF(AND(ISBLANK(Table2[[#This Row],[Start Date]]),ISBLANK(Table2[[#This Row],[Class]]),ISBLANK(Table2[[#This Row],[Class Description]]),ISBLANK(Table2[[#This Row],[No. of Attendees
(A)]])),0,IF(OR(ISBLANK(Table2[[#This Row],[Class]]),ISBLANK(Table2[[#This Row],[No. of Attendees
(A)]]),ISBLANK(Table2[[#This Row],[Length of Session
(B)]])),1,0))</f>
        <v>0</v>
      </c>
      <c r="E97" s="548">
        <v>45917</v>
      </c>
      <c r="F97" s="549" t="s">
        <v>248</v>
      </c>
      <c r="G97" s="549" t="s">
        <v>249</v>
      </c>
      <c r="H97" s="549" t="s">
        <v>208</v>
      </c>
      <c r="I97" s="549" t="s">
        <v>222</v>
      </c>
      <c r="J97" s="550">
        <v>2</v>
      </c>
      <c r="K97" s="550">
        <v>6</v>
      </c>
      <c r="L97" s="218">
        <f t="shared" si="7"/>
        <v>12</v>
      </c>
      <c r="M97" s="554" t="s">
        <v>217</v>
      </c>
      <c r="N97" s="560">
        <v>0</v>
      </c>
    </row>
    <row r="98" spans="3:14" x14ac:dyDescent="0.2">
      <c r="C98" s="215">
        <f t="shared" si="6"/>
        <v>92</v>
      </c>
      <c r="D98" s="14">
        <f>IF(AND(ISBLANK(Table2[[#This Row],[Start Date]]),ISBLANK(Table2[[#This Row],[Class]]),ISBLANK(Table2[[#This Row],[Class Description]]),ISBLANK(Table2[[#This Row],[No. of Attendees
(A)]])),0,IF(OR(ISBLANK(Table2[[#This Row],[Class]]),ISBLANK(Table2[[#This Row],[No. of Attendees
(A)]]),ISBLANK(Table2[[#This Row],[Length of Session
(B)]])),1,0))</f>
        <v>0</v>
      </c>
      <c r="E98" s="552">
        <v>45917</v>
      </c>
      <c r="F98" s="549" t="s">
        <v>231</v>
      </c>
      <c r="G98" s="553" t="s">
        <v>232</v>
      </c>
      <c r="H98" s="553" t="s">
        <v>221</v>
      </c>
      <c r="I98" s="549" t="s">
        <v>222</v>
      </c>
      <c r="J98" s="559">
        <v>3</v>
      </c>
      <c r="K98" s="559">
        <v>7</v>
      </c>
      <c r="L98" s="218">
        <f t="shared" si="7"/>
        <v>21</v>
      </c>
      <c r="M98" s="554" t="s">
        <v>217</v>
      </c>
      <c r="N98" s="560">
        <v>0</v>
      </c>
    </row>
    <row r="99" spans="3:14" x14ac:dyDescent="0.2">
      <c r="C99" s="215">
        <f t="shared" si="6"/>
        <v>93</v>
      </c>
      <c r="D99" s="14">
        <f>IF(AND(ISBLANK(Table2[[#This Row],[Start Date]]),ISBLANK(Table2[[#This Row],[Class]]),ISBLANK(Table2[[#This Row],[Class Description]]),ISBLANK(Table2[[#This Row],[No. of Attendees
(A)]])),0,IF(OR(ISBLANK(Table2[[#This Row],[Class]]),ISBLANK(Table2[[#This Row],[No. of Attendees
(A)]]),ISBLANK(Table2[[#This Row],[Length of Session
(B)]])),1,0))</f>
        <v>0</v>
      </c>
      <c r="E99" s="552">
        <v>45918</v>
      </c>
      <c r="F99" s="549" t="s">
        <v>231</v>
      </c>
      <c r="G99" s="553" t="s">
        <v>232</v>
      </c>
      <c r="H99" s="553" t="s">
        <v>221</v>
      </c>
      <c r="I99" s="549" t="s">
        <v>222</v>
      </c>
      <c r="J99" s="559">
        <v>3</v>
      </c>
      <c r="K99" s="559">
        <v>7</v>
      </c>
      <c r="L99" s="218">
        <f t="shared" si="7"/>
        <v>21</v>
      </c>
      <c r="M99" s="554" t="s">
        <v>217</v>
      </c>
      <c r="N99" s="560">
        <v>0</v>
      </c>
    </row>
    <row r="100" spans="3:14" x14ac:dyDescent="0.2">
      <c r="C100" s="215">
        <f t="shared" si="6"/>
        <v>94</v>
      </c>
      <c r="D100" s="14">
        <f>IF(AND(ISBLANK(Table2[[#This Row],[Start Date]]),ISBLANK(Table2[[#This Row],[Class]]),ISBLANK(Table2[[#This Row],[Class Description]]),ISBLANK(Table2[[#This Row],[No. of Attendees
(A)]])),0,IF(OR(ISBLANK(Table2[[#This Row],[Class]]),ISBLANK(Table2[[#This Row],[No. of Attendees
(A)]]),ISBLANK(Table2[[#This Row],[Length of Session
(B)]])),1,0))</f>
        <v>0</v>
      </c>
      <c r="E100" s="552">
        <v>45923</v>
      </c>
      <c r="F100" s="549" t="s">
        <v>317</v>
      </c>
      <c r="G100" s="553" t="s">
        <v>318</v>
      </c>
      <c r="H100" s="553" t="s">
        <v>241</v>
      </c>
      <c r="I100" s="549" t="s">
        <v>222</v>
      </c>
      <c r="J100" s="564">
        <v>38</v>
      </c>
      <c r="K100" s="564">
        <v>2</v>
      </c>
      <c r="L100" s="218">
        <f t="shared" si="7"/>
        <v>76</v>
      </c>
      <c r="M100" s="554" t="s">
        <v>217</v>
      </c>
      <c r="N100" s="560">
        <v>0</v>
      </c>
    </row>
    <row r="101" spans="3:14" x14ac:dyDescent="0.2">
      <c r="C101" s="215">
        <f t="shared" si="6"/>
        <v>95</v>
      </c>
      <c r="D101" s="14">
        <f>IF(AND(ISBLANK(Table2[[#This Row],[Start Date]]),ISBLANK(Table2[[#This Row],[Class]]),ISBLANK(Table2[[#This Row],[Class Description]]),ISBLANK(Table2[[#This Row],[No. of Attendees
(A)]])),0,IF(OR(ISBLANK(Table2[[#This Row],[Class]]),ISBLANK(Table2[[#This Row],[No. of Attendees
(A)]]),ISBLANK(Table2[[#This Row],[Length of Session
(B)]])),1,0))</f>
        <v>0</v>
      </c>
      <c r="E101" s="548">
        <v>45923</v>
      </c>
      <c r="F101" s="549" t="s">
        <v>231</v>
      </c>
      <c r="G101" s="549" t="s">
        <v>232</v>
      </c>
      <c r="H101" s="549" t="s">
        <v>221</v>
      </c>
      <c r="I101" s="549" t="s">
        <v>222</v>
      </c>
      <c r="J101" s="555">
        <v>2</v>
      </c>
      <c r="K101" s="555">
        <v>7</v>
      </c>
      <c r="L101" s="218">
        <f t="shared" si="7"/>
        <v>14</v>
      </c>
      <c r="M101" s="554" t="s">
        <v>217</v>
      </c>
      <c r="N101" s="560">
        <v>0</v>
      </c>
    </row>
    <row r="102" spans="3:14" x14ac:dyDescent="0.2">
      <c r="C102" s="215">
        <f t="shared" si="6"/>
        <v>96</v>
      </c>
      <c r="D102" s="14">
        <f>IF(AND(ISBLANK(Table2[[#This Row],[Start Date]]),ISBLANK(Table2[[#This Row],[Class]]),ISBLANK(Table2[[#This Row],[Class Description]]),ISBLANK(Table2[[#This Row],[No. of Attendees
(A)]])),0,IF(OR(ISBLANK(Table2[[#This Row],[Class]]),ISBLANK(Table2[[#This Row],[No. of Attendees
(A)]]),ISBLANK(Table2[[#This Row],[Length of Session
(B)]])),1,0))</f>
        <v>0</v>
      </c>
      <c r="E102" s="552">
        <v>45924</v>
      </c>
      <c r="F102" s="549" t="s">
        <v>231</v>
      </c>
      <c r="G102" s="549" t="s">
        <v>232</v>
      </c>
      <c r="H102" s="549" t="s">
        <v>221</v>
      </c>
      <c r="I102" s="549" t="s">
        <v>222</v>
      </c>
      <c r="J102" s="550">
        <v>2</v>
      </c>
      <c r="K102" s="550">
        <v>7</v>
      </c>
      <c r="L102" s="218">
        <f t="shared" si="7"/>
        <v>14</v>
      </c>
      <c r="M102" s="554" t="s">
        <v>217</v>
      </c>
      <c r="N102" s="560">
        <v>0</v>
      </c>
    </row>
    <row r="103" spans="3:14" x14ac:dyDescent="0.2">
      <c r="C103" s="215">
        <f t="shared" si="6"/>
        <v>97</v>
      </c>
      <c r="D103" s="14">
        <f>IF(AND(ISBLANK(Table2[[#This Row],[Start Date]]),ISBLANK(Table2[[#This Row],[Class]]),ISBLANK(Table2[[#This Row],[Class Description]]),ISBLANK(Table2[[#This Row],[No. of Attendees
(A)]])),0,IF(OR(ISBLANK(Table2[[#This Row],[Class]]),ISBLANK(Table2[[#This Row],[No. of Attendees
(A)]]),ISBLANK(Table2[[#This Row],[Length of Session
(B)]])),1,0))</f>
        <v>0</v>
      </c>
      <c r="E103" s="548">
        <v>45929</v>
      </c>
      <c r="F103" s="549" t="s">
        <v>231</v>
      </c>
      <c r="G103" s="549" t="s">
        <v>232</v>
      </c>
      <c r="H103" s="549" t="s">
        <v>221</v>
      </c>
      <c r="I103" s="549" t="s">
        <v>222</v>
      </c>
      <c r="J103" s="550">
        <v>2</v>
      </c>
      <c r="K103" s="564">
        <v>7</v>
      </c>
      <c r="L103" s="218">
        <f t="shared" si="7"/>
        <v>14</v>
      </c>
      <c r="M103" s="554" t="s">
        <v>217</v>
      </c>
      <c r="N103" s="560">
        <v>0</v>
      </c>
    </row>
    <row r="104" spans="3:14" x14ac:dyDescent="0.2">
      <c r="C104" s="215">
        <f t="shared" si="6"/>
        <v>98</v>
      </c>
      <c r="D104" s="14">
        <f>IF(AND(ISBLANK(Table2[[#This Row],[Start Date]]),ISBLANK(Table2[[#This Row],[Class]]),ISBLANK(Table2[[#This Row],[Class Description]]),ISBLANK(Table2[[#This Row],[No. of Attendees
(A)]])),0,IF(OR(ISBLANK(Table2[[#This Row],[Class]]),ISBLANK(Table2[[#This Row],[No. of Attendees
(A)]]),ISBLANK(Table2[[#This Row],[Length of Session
(B)]])),1,0))</f>
        <v>0</v>
      </c>
      <c r="E104" s="552">
        <v>45930</v>
      </c>
      <c r="F104" s="553" t="s">
        <v>231</v>
      </c>
      <c r="G104" s="553" t="s">
        <v>232</v>
      </c>
      <c r="H104" s="549" t="s">
        <v>221</v>
      </c>
      <c r="I104" s="553" t="s">
        <v>222</v>
      </c>
      <c r="J104" s="559">
        <v>2</v>
      </c>
      <c r="K104" s="559">
        <v>7</v>
      </c>
      <c r="L104" s="218">
        <f t="shared" si="7"/>
        <v>14</v>
      </c>
      <c r="M104" s="554" t="s">
        <v>217</v>
      </c>
      <c r="N104" s="560">
        <v>0</v>
      </c>
    </row>
    <row r="105" spans="3:14" x14ac:dyDescent="0.2">
      <c r="C105" s="215">
        <f t="shared" si="6"/>
        <v>99</v>
      </c>
      <c r="D105" s="14">
        <f>IF(AND(ISBLANK(Table2[[#This Row],[Start Date]]),ISBLANK(Table2[[#This Row],[Class]]),ISBLANK(Table2[[#This Row],[Class Description]]),ISBLANK(Table2[[#This Row],[No. of Attendees
(A)]])),0,IF(OR(ISBLANK(Table2[[#This Row],[Class]]),ISBLANK(Table2[[#This Row],[No. of Attendees
(A)]]),ISBLANK(Table2[[#This Row],[Length of Session
(B)]])),1,0))</f>
        <v>0</v>
      </c>
      <c r="E105" s="261">
        <v>45931</v>
      </c>
      <c r="F105" s="549" t="s">
        <v>231</v>
      </c>
      <c r="G105" s="257" t="s">
        <v>232</v>
      </c>
      <c r="H105" s="549" t="s">
        <v>221</v>
      </c>
      <c r="I105" s="257" t="s">
        <v>222</v>
      </c>
      <c r="J105" s="259">
        <v>2</v>
      </c>
      <c r="K105" s="259">
        <v>7</v>
      </c>
      <c r="L105" s="218">
        <f t="shared" si="7"/>
        <v>14</v>
      </c>
      <c r="M105" s="554" t="s">
        <v>217</v>
      </c>
      <c r="N105" s="560">
        <v>0</v>
      </c>
    </row>
    <row r="106" spans="3:14" x14ac:dyDescent="0.2">
      <c r="C106" s="215">
        <f t="shared" si="6"/>
        <v>100</v>
      </c>
      <c r="D106" s="14">
        <f>IF(AND(ISBLANK(Table2[[#This Row],[Start Date]]),ISBLANK(Table2[[#This Row],[Class]]),ISBLANK(Table2[[#This Row],[Class Description]]),ISBLANK(Table2[[#This Row],[No. of Attendees
(A)]])),0,IF(OR(ISBLANK(Table2[[#This Row],[Class]]),ISBLANK(Table2[[#This Row],[No. of Attendees
(A)]]),ISBLANK(Table2[[#This Row],[Length of Session
(B)]])),1,0))</f>
        <v>0</v>
      </c>
      <c r="E106" s="552">
        <v>45932</v>
      </c>
      <c r="F106" s="549" t="s">
        <v>231</v>
      </c>
      <c r="G106" s="257" t="s">
        <v>232</v>
      </c>
      <c r="H106" s="549" t="s">
        <v>221</v>
      </c>
      <c r="I106" s="553" t="s">
        <v>222</v>
      </c>
      <c r="J106" s="564">
        <v>2</v>
      </c>
      <c r="K106" s="564">
        <v>7</v>
      </c>
      <c r="L106" s="218">
        <f t="shared" si="7"/>
        <v>14</v>
      </c>
      <c r="M106" s="554" t="s">
        <v>217</v>
      </c>
      <c r="N106" s="555">
        <v>0</v>
      </c>
    </row>
    <row r="107" spans="3:14" x14ac:dyDescent="0.2">
      <c r="C107" s="215">
        <f t="shared" si="6"/>
        <v>101</v>
      </c>
      <c r="D107" s="14">
        <f>IF(AND(ISBLANK(Table2[[#This Row],[Start Date]]),ISBLANK(Table2[[#This Row],[Class]]),ISBLANK(Table2[[#This Row],[Class Description]]),ISBLANK(Table2[[#This Row],[No. of Attendees
(A)]])),0,IF(OR(ISBLANK(Table2[[#This Row],[Class]]),ISBLANK(Table2[[#This Row],[No. of Attendees
(A)]]),ISBLANK(Table2[[#This Row],[Length of Session
(B)]])),1,0))</f>
        <v>0</v>
      </c>
      <c r="E107" s="548">
        <v>45937</v>
      </c>
      <c r="F107" s="549" t="s">
        <v>231</v>
      </c>
      <c r="G107" s="257" t="s">
        <v>232</v>
      </c>
      <c r="H107" s="549" t="s">
        <v>221</v>
      </c>
      <c r="I107" s="549" t="s">
        <v>222</v>
      </c>
      <c r="J107" s="555">
        <v>2</v>
      </c>
      <c r="K107" s="555">
        <v>7</v>
      </c>
      <c r="L107" s="218">
        <f t="shared" si="7"/>
        <v>14</v>
      </c>
      <c r="M107" s="554" t="s">
        <v>217</v>
      </c>
      <c r="N107" s="555">
        <v>0</v>
      </c>
    </row>
    <row r="108" spans="3:14" x14ac:dyDescent="0.2">
      <c r="C108" s="215">
        <f t="shared" si="6"/>
        <v>102</v>
      </c>
      <c r="D108" s="14">
        <f>IF(AND(ISBLANK(Table2[[#This Row],[Start Date]]),ISBLANK(Table2[[#This Row],[Class]]),ISBLANK(Table2[[#This Row],[Class Description]]),ISBLANK(Table2[[#This Row],[No. of Attendees
(A)]])),0,IF(OR(ISBLANK(Table2[[#This Row],[Class]]),ISBLANK(Table2[[#This Row],[No. of Attendees
(A)]]),ISBLANK(Table2[[#This Row],[Length of Session
(B)]])),1,0))</f>
        <v>0</v>
      </c>
      <c r="E108" s="552">
        <v>45938</v>
      </c>
      <c r="F108" s="553" t="s">
        <v>231</v>
      </c>
      <c r="G108" s="553" t="s">
        <v>232</v>
      </c>
      <c r="H108" s="549" t="s">
        <v>221</v>
      </c>
      <c r="I108" s="553" t="s">
        <v>222</v>
      </c>
      <c r="J108" s="559">
        <v>1</v>
      </c>
      <c r="K108" s="559">
        <v>7</v>
      </c>
      <c r="L108" s="218">
        <f t="shared" si="7"/>
        <v>7</v>
      </c>
      <c r="M108" s="554" t="s">
        <v>217</v>
      </c>
      <c r="N108" s="560">
        <v>0</v>
      </c>
    </row>
    <row r="109" spans="3:14" x14ac:dyDescent="0.2">
      <c r="C109" s="215">
        <f t="shared" si="6"/>
        <v>103</v>
      </c>
      <c r="D109" s="14">
        <f>IF(AND(ISBLANK(Table2[[#This Row],[Start Date]]),ISBLANK(Table2[[#This Row],[Class]]),ISBLANK(Table2[[#This Row],[Class Description]]),ISBLANK(Table2[[#This Row],[No. of Attendees
(A)]])),0,IF(OR(ISBLANK(Table2[[#This Row],[Class]]),ISBLANK(Table2[[#This Row],[No. of Attendees
(A)]]),ISBLANK(Table2[[#This Row],[Length of Session
(B)]])),1,0))</f>
        <v>0</v>
      </c>
      <c r="E109" s="572">
        <v>45939</v>
      </c>
      <c r="F109" s="573" t="s">
        <v>231</v>
      </c>
      <c r="G109" s="574" t="s">
        <v>232</v>
      </c>
      <c r="H109" s="549" t="s">
        <v>221</v>
      </c>
      <c r="I109" s="574" t="s">
        <v>222</v>
      </c>
      <c r="J109" s="573">
        <v>1</v>
      </c>
      <c r="K109" s="573">
        <v>7</v>
      </c>
      <c r="L109" s="218">
        <f t="shared" si="7"/>
        <v>7</v>
      </c>
      <c r="M109" s="551" t="s">
        <v>217</v>
      </c>
      <c r="N109" s="573">
        <v>0</v>
      </c>
    </row>
    <row r="110" spans="3:14" x14ac:dyDescent="0.2">
      <c r="C110" s="215">
        <f t="shared" si="6"/>
        <v>104</v>
      </c>
      <c r="D110" s="14">
        <f>IF(AND(ISBLANK(Table2[[#This Row],[Start Date]]),ISBLANK(Table2[[#This Row],[Class]]),ISBLANK(Table2[[#This Row],[Class Description]]),ISBLANK(Table2[[#This Row],[No. of Attendees
(A)]])),0,IF(OR(ISBLANK(Table2[[#This Row],[Class]]),ISBLANK(Table2[[#This Row],[No. of Attendees
(A)]]),ISBLANK(Table2[[#This Row],[Length of Session
(B)]])),1,0))</f>
        <v>0</v>
      </c>
      <c r="E110" s="572">
        <v>45939</v>
      </c>
      <c r="F110" s="573" t="s">
        <v>256</v>
      </c>
      <c r="G110" s="574" t="s">
        <v>257</v>
      </c>
      <c r="H110" s="574" t="s">
        <v>208</v>
      </c>
      <c r="I110" s="574" t="s">
        <v>209</v>
      </c>
      <c r="J110" s="573">
        <v>3</v>
      </c>
      <c r="K110" s="573">
        <v>0.25</v>
      </c>
      <c r="L110" s="218">
        <f t="shared" si="7"/>
        <v>0.75</v>
      </c>
      <c r="M110" s="551" t="s">
        <v>217</v>
      </c>
      <c r="N110" s="573">
        <v>0</v>
      </c>
    </row>
    <row r="111" spans="3:14" x14ac:dyDescent="0.2">
      <c r="C111" s="215">
        <f t="shared" si="6"/>
        <v>105</v>
      </c>
      <c r="D111" s="14">
        <f>IF(AND(ISBLANK(Table2[[#This Row],[Start Date]]),ISBLANK(Table2[[#This Row],[Class]]),ISBLANK(Table2[[#This Row],[Class Description]]),ISBLANK(Table2[[#This Row],[No. of Attendees
(A)]])),0,IF(OR(ISBLANK(Table2[[#This Row],[Class]]),ISBLANK(Table2[[#This Row],[No. of Attendees
(A)]]),ISBLANK(Table2[[#This Row],[Length of Session
(B)]])),1,0))</f>
        <v>0</v>
      </c>
      <c r="E111" s="572">
        <v>45943</v>
      </c>
      <c r="F111" s="573" t="s">
        <v>319</v>
      </c>
      <c r="G111" s="574" t="s">
        <v>316</v>
      </c>
      <c r="H111" s="574" t="s">
        <v>221</v>
      </c>
      <c r="I111" s="574" t="s">
        <v>222</v>
      </c>
      <c r="J111" s="573">
        <v>3</v>
      </c>
      <c r="K111" s="573">
        <v>16</v>
      </c>
      <c r="L111" s="218">
        <f t="shared" si="7"/>
        <v>48</v>
      </c>
      <c r="M111" s="551" t="s">
        <v>217</v>
      </c>
      <c r="N111" s="573">
        <v>0</v>
      </c>
    </row>
    <row r="112" spans="3:14" x14ac:dyDescent="0.2">
      <c r="C112" s="215">
        <f t="shared" si="6"/>
        <v>106</v>
      </c>
      <c r="D112" s="14">
        <f>IF(AND(ISBLANK(Table2[[#This Row],[Start Date]]),ISBLANK(Table2[[#This Row],[Class]]),ISBLANK(Table2[[#This Row],[Class Description]]),ISBLANK(Table2[[#This Row],[No. of Attendees
(A)]])),0,IF(OR(ISBLANK(Table2[[#This Row],[Class]]),ISBLANK(Table2[[#This Row],[No. of Attendees
(A)]]),ISBLANK(Table2[[#This Row],[Length of Session
(B)]])),1,0))</f>
        <v>0</v>
      </c>
      <c r="E112" s="572">
        <v>45945</v>
      </c>
      <c r="F112" s="573" t="s">
        <v>231</v>
      </c>
      <c r="G112" s="574" t="s">
        <v>232</v>
      </c>
      <c r="H112" s="574" t="s">
        <v>221</v>
      </c>
      <c r="I112" s="574" t="s">
        <v>222</v>
      </c>
      <c r="J112" s="573">
        <v>3</v>
      </c>
      <c r="K112" s="573">
        <v>7</v>
      </c>
      <c r="L112" s="218">
        <f t="shared" si="7"/>
        <v>21</v>
      </c>
      <c r="M112" s="551" t="s">
        <v>217</v>
      </c>
      <c r="N112" s="573">
        <v>0</v>
      </c>
    </row>
    <row r="113" spans="3:14" x14ac:dyDescent="0.2">
      <c r="C113" s="215">
        <f t="shared" si="6"/>
        <v>107</v>
      </c>
      <c r="D113" s="14">
        <f>IF(AND(ISBLANK(Table2[[#This Row],[Start Date]]),ISBLANK(Table2[[#This Row],[Class]]),ISBLANK(Table2[[#This Row],[Class Description]]),ISBLANK(Table2[[#This Row],[No. of Attendees
(A)]])),0,IF(OR(ISBLANK(Table2[[#This Row],[Class]]),ISBLANK(Table2[[#This Row],[No. of Attendees
(A)]]),ISBLANK(Table2[[#This Row],[Length of Session
(B)]])),1,0))</f>
        <v>0</v>
      </c>
      <c r="E113" s="572">
        <v>45946</v>
      </c>
      <c r="F113" s="573" t="s">
        <v>231</v>
      </c>
      <c r="G113" s="574" t="s">
        <v>232</v>
      </c>
      <c r="H113" s="574" t="s">
        <v>221</v>
      </c>
      <c r="I113" s="574" t="s">
        <v>222</v>
      </c>
      <c r="J113" s="573">
        <v>3</v>
      </c>
      <c r="K113" s="573">
        <v>7</v>
      </c>
      <c r="L113" s="218">
        <f t="shared" si="7"/>
        <v>21</v>
      </c>
      <c r="M113" s="551" t="s">
        <v>217</v>
      </c>
      <c r="N113" s="573">
        <v>0</v>
      </c>
    </row>
    <row r="114" spans="3:14" x14ac:dyDescent="0.2">
      <c r="C114" s="215">
        <f t="shared" si="6"/>
        <v>108</v>
      </c>
      <c r="D114" s="14">
        <f>IF(AND(ISBLANK(Table2[[#This Row],[Start Date]]),ISBLANK(Table2[[#This Row],[Class]]),ISBLANK(Table2[[#This Row],[Class Description]]),ISBLANK(Table2[[#This Row],[No. of Attendees
(A)]])),0,IF(OR(ISBLANK(Table2[[#This Row],[Class]]),ISBLANK(Table2[[#This Row],[No. of Attendees
(A)]]),ISBLANK(Table2[[#This Row],[Length of Session
(B)]])),1,0))</f>
        <v>0</v>
      </c>
      <c r="E114" s="572">
        <v>45950</v>
      </c>
      <c r="F114" s="573" t="s">
        <v>214</v>
      </c>
      <c r="G114" s="574" t="s">
        <v>320</v>
      </c>
      <c r="H114" s="574" t="s">
        <v>208</v>
      </c>
      <c r="I114" s="574" t="s">
        <v>222</v>
      </c>
      <c r="J114" s="573">
        <v>4</v>
      </c>
      <c r="K114" s="573">
        <v>1.5</v>
      </c>
      <c r="L114" s="218">
        <f t="shared" si="7"/>
        <v>6</v>
      </c>
      <c r="M114" s="551" t="s">
        <v>217</v>
      </c>
      <c r="N114" s="573">
        <v>0</v>
      </c>
    </row>
    <row r="115" spans="3:14" x14ac:dyDescent="0.2">
      <c r="C115" s="215">
        <f t="shared" si="6"/>
        <v>109</v>
      </c>
      <c r="D115" s="14">
        <f>IF(AND(ISBLANK(Table2[[#This Row],[Start Date]]),ISBLANK(Table2[[#This Row],[Class]]),ISBLANK(Table2[[#This Row],[Class Description]]),ISBLANK(Table2[[#This Row],[No. of Attendees
(A)]])),0,IF(OR(ISBLANK(Table2[[#This Row],[Class]]),ISBLANK(Table2[[#This Row],[No. of Attendees
(A)]]),ISBLANK(Table2[[#This Row],[Length of Session
(B)]])),1,0))</f>
        <v>0</v>
      </c>
      <c r="E115" s="572">
        <v>45951</v>
      </c>
      <c r="F115" s="573" t="s">
        <v>214</v>
      </c>
      <c r="G115" s="573" t="s">
        <v>220</v>
      </c>
      <c r="H115" s="573" t="s">
        <v>208</v>
      </c>
      <c r="I115" s="573" t="s">
        <v>222</v>
      </c>
      <c r="J115" s="573">
        <v>2</v>
      </c>
      <c r="K115" s="573">
        <v>1.5</v>
      </c>
      <c r="L115" s="218">
        <f t="shared" si="7"/>
        <v>3</v>
      </c>
      <c r="M115" s="551" t="s">
        <v>217</v>
      </c>
      <c r="N115" s="573">
        <v>0</v>
      </c>
    </row>
    <row r="116" spans="3:14" x14ac:dyDescent="0.2">
      <c r="C116" s="215">
        <f t="shared" si="6"/>
        <v>110</v>
      </c>
      <c r="D116" s="14">
        <f>IF(AND(ISBLANK(Table2[[#This Row],[Start Date]]),ISBLANK(Table2[[#This Row],[Class]]),ISBLANK(Table2[[#This Row],[Class Description]]),ISBLANK(Table2[[#This Row],[No. of Attendees
(A)]])),0,IF(OR(ISBLANK(Table2[[#This Row],[Class]]),ISBLANK(Table2[[#This Row],[No. of Attendees
(A)]]),ISBLANK(Table2[[#This Row],[Length of Session
(B)]])),1,0))</f>
        <v>0</v>
      </c>
      <c r="E116" s="572">
        <v>45951</v>
      </c>
      <c r="F116" s="573" t="s">
        <v>231</v>
      </c>
      <c r="G116" s="574" t="s">
        <v>232</v>
      </c>
      <c r="H116" s="574" t="s">
        <v>221</v>
      </c>
      <c r="I116" s="574" t="s">
        <v>222</v>
      </c>
      <c r="J116" s="573">
        <v>2</v>
      </c>
      <c r="K116" s="573">
        <v>7</v>
      </c>
      <c r="L116" s="218">
        <f t="shared" si="7"/>
        <v>14</v>
      </c>
      <c r="M116" s="551" t="s">
        <v>217</v>
      </c>
      <c r="N116" s="573">
        <v>0</v>
      </c>
    </row>
    <row r="117" spans="3:14" x14ac:dyDescent="0.2">
      <c r="C117" s="215">
        <f t="shared" si="6"/>
        <v>111</v>
      </c>
      <c r="D117" s="14">
        <f>IF(AND(ISBLANK(Table2[[#This Row],[Start Date]]),ISBLANK(Table2[[#This Row],[Class]]),ISBLANK(Table2[[#This Row],[Class Description]]),ISBLANK(Table2[[#This Row],[No. of Attendees
(A)]])),0,IF(OR(ISBLANK(Table2[[#This Row],[Class]]),ISBLANK(Table2[[#This Row],[No. of Attendees
(A)]]),ISBLANK(Table2[[#This Row],[Length of Session
(B)]])),1,0))</f>
        <v>0</v>
      </c>
      <c r="E117" s="572">
        <v>45952</v>
      </c>
      <c r="F117" s="573" t="s">
        <v>231</v>
      </c>
      <c r="G117" s="574" t="s">
        <v>232</v>
      </c>
      <c r="H117" s="574" t="s">
        <v>221</v>
      </c>
      <c r="I117" s="574" t="s">
        <v>222</v>
      </c>
      <c r="J117" s="573">
        <v>2</v>
      </c>
      <c r="K117" s="573">
        <v>7</v>
      </c>
      <c r="L117" s="218">
        <f t="shared" si="7"/>
        <v>14</v>
      </c>
      <c r="M117" s="551" t="s">
        <v>217</v>
      </c>
      <c r="N117" s="573">
        <v>0</v>
      </c>
    </row>
    <row r="118" spans="3:14" x14ac:dyDescent="0.2">
      <c r="C118" s="215">
        <f t="shared" si="6"/>
        <v>112</v>
      </c>
      <c r="D118" s="14">
        <f>IF(AND(ISBLANK(Table2[[#This Row],[Start Date]]),ISBLANK(Table2[[#This Row],[Class]]),ISBLANK(Table2[[#This Row],[Class Description]]),ISBLANK(Table2[[#This Row],[No. of Attendees
(A)]])),0,IF(OR(ISBLANK(Table2[[#This Row],[Class]]),ISBLANK(Table2[[#This Row],[No. of Attendees
(A)]]),ISBLANK(Table2[[#This Row],[Length of Session
(B)]])),1,0))</f>
        <v>0</v>
      </c>
      <c r="E118" s="572">
        <v>45953</v>
      </c>
      <c r="F118" s="573" t="s">
        <v>231</v>
      </c>
      <c r="G118" s="574" t="s">
        <v>232</v>
      </c>
      <c r="H118" s="574" t="s">
        <v>221</v>
      </c>
      <c r="I118" s="574" t="s">
        <v>222</v>
      </c>
      <c r="J118" s="573">
        <v>2</v>
      </c>
      <c r="K118" s="573">
        <v>7</v>
      </c>
      <c r="L118" s="218">
        <f t="shared" si="7"/>
        <v>14</v>
      </c>
      <c r="M118" s="551" t="s">
        <v>217</v>
      </c>
      <c r="N118" s="573">
        <v>0</v>
      </c>
    </row>
    <row r="119" spans="3:14" x14ac:dyDescent="0.2">
      <c r="C119" s="215">
        <f t="shared" si="6"/>
        <v>113</v>
      </c>
      <c r="D119" s="14">
        <f>IF(AND(ISBLANK(Table2[[#This Row],[Start Date]]),ISBLANK(Table2[[#This Row],[Class]]),ISBLANK(Table2[[#This Row],[Class Description]]),ISBLANK(Table2[[#This Row],[No. of Attendees
(A)]])),0,IF(OR(ISBLANK(Table2[[#This Row],[Class]]),ISBLANK(Table2[[#This Row],[No. of Attendees
(A)]]),ISBLANK(Table2[[#This Row],[Length of Session
(B)]])),1,0))</f>
        <v>0</v>
      </c>
      <c r="E119" s="572">
        <v>45959</v>
      </c>
      <c r="F119" s="573" t="s">
        <v>214</v>
      </c>
      <c r="G119" s="574" t="s">
        <v>223</v>
      </c>
      <c r="H119" s="574" t="s">
        <v>208</v>
      </c>
      <c r="I119" s="574" t="s">
        <v>222</v>
      </c>
      <c r="J119" s="573">
        <v>2</v>
      </c>
      <c r="K119" s="573">
        <v>1.5</v>
      </c>
      <c r="L119" s="218">
        <f t="shared" si="7"/>
        <v>3</v>
      </c>
      <c r="M119" s="551" t="s">
        <v>217</v>
      </c>
      <c r="N119" s="573">
        <v>0</v>
      </c>
    </row>
    <row r="120" spans="3:14" x14ac:dyDescent="0.2">
      <c r="C120" s="215">
        <f t="shared" si="6"/>
        <v>114</v>
      </c>
      <c r="D120" s="14">
        <f>IF(AND(ISBLANK(Table2[[#This Row],[Start Date]]),ISBLANK(Table2[[#This Row],[Class]]),ISBLANK(Table2[[#This Row],[Class Description]]),ISBLANK(Table2[[#This Row],[No. of Attendees
(A)]])),0,IF(OR(ISBLANK(Table2[[#This Row],[Class]]),ISBLANK(Table2[[#This Row],[No. of Attendees
(A)]]),ISBLANK(Table2[[#This Row],[Length of Session
(B)]])),1,0))</f>
        <v>0</v>
      </c>
      <c r="E120" s="572">
        <v>45966</v>
      </c>
      <c r="F120" s="573" t="s">
        <v>321</v>
      </c>
      <c r="G120" s="574" t="s">
        <v>313</v>
      </c>
      <c r="H120" s="574" t="s">
        <v>241</v>
      </c>
      <c r="I120" s="574" t="s">
        <v>73</v>
      </c>
      <c r="J120" s="573">
        <v>51</v>
      </c>
      <c r="K120" s="573">
        <v>0.5</v>
      </c>
      <c r="L120" s="218">
        <f t="shared" si="7"/>
        <v>25.5</v>
      </c>
      <c r="M120" s="551" t="s">
        <v>217</v>
      </c>
      <c r="N120" s="573">
        <v>0</v>
      </c>
    </row>
    <row r="121" spans="3:14" x14ac:dyDescent="0.2">
      <c r="C121" s="215">
        <f t="shared" si="6"/>
        <v>115</v>
      </c>
      <c r="D121" s="14">
        <f>IF(AND(ISBLANK(Table2[[#This Row],[Start Date]]),ISBLANK(Table2[[#This Row],[Class]]),ISBLANK(Table2[[#This Row],[Class Description]]),ISBLANK(Table2[[#This Row],[No. of Attendees
(A)]])),0,IF(OR(ISBLANK(Table2[[#This Row],[Class]]),ISBLANK(Table2[[#This Row],[No. of Attendees
(A)]]),ISBLANK(Table2[[#This Row],[Length of Session
(B)]])),1,0))</f>
        <v>0</v>
      </c>
      <c r="E121" s="572">
        <v>45966</v>
      </c>
      <c r="F121" s="573" t="s">
        <v>214</v>
      </c>
      <c r="G121" s="574" t="s">
        <v>322</v>
      </c>
      <c r="H121" s="574" t="s">
        <v>208</v>
      </c>
      <c r="I121" s="574" t="s">
        <v>222</v>
      </c>
      <c r="J121" s="573">
        <v>1</v>
      </c>
      <c r="K121" s="573">
        <v>0.5</v>
      </c>
      <c r="L121" s="218">
        <f t="shared" si="7"/>
        <v>0.5</v>
      </c>
      <c r="M121" s="551" t="s">
        <v>210</v>
      </c>
      <c r="N121" s="573">
        <v>1</v>
      </c>
    </row>
    <row r="122" spans="3:14" x14ac:dyDescent="0.2">
      <c r="C122" s="215">
        <f t="shared" si="6"/>
        <v>116</v>
      </c>
      <c r="D122" s="14">
        <f>IF(AND(ISBLANK(Table2[[#This Row],[Start Date]]),ISBLANK(Table2[[#This Row],[Class]]),ISBLANK(Table2[[#This Row],[Class Description]]),ISBLANK(Table2[[#This Row],[No. of Attendees
(A)]])),0,IF(OR(ISBLANK(Table2[[#This Row],[Class]]),ISBLANK(Table2[[#This Row],[No. of Attendees
(A)]]),ISBLANK(Table2[[#This Row],[Length of Session
(B)]])),1,0))</f>
        <v>0</v>
      </c>
      <c r="E122" s="572">
        <v>45967</v>
      </c>
      <c r="F122" s="573" t="s">
        <v>323</v>
      </c>
      <c r="G122" s="574" t="s">
        <v>324</v>
      </c>
      <c r="H122" s="574" t="s">
        <v>241</v>
      </c>
      <c r="I122" s="574" t="s">
        <v>242</v>
      </c>
      <c r="J122" s="573">
        <v>1</v>
      </c>
      <c r="K122" s="573">
        <v>1</v>
      </c>
      <c r="L122" s="218">
        <f t="shared" si="7"/>
        <v>1</v>
      </c>
      <c r="M122" s="551" t="s">
        <v>210</v>
      </c>
      <c r="N122" s="573">
        <v>1</v>
      </c>
    </row>
    <row r="123" spans="3:14" x14ac:dyDescent="0.2">
      <c r="C123" s="215">
        <f t="shared" si="6"/>
        <v>117</v>
      </c>
      <c r="D123" s="14">
        <f>IF(AND(ISBLANK(Table2[[#This Row],[Start Date]]),ISBLANK(Table2[[#This Row],[Class]]),ISBLANK(Table2[[#This Row],[Class Description]]),ISBLANK(Table2[[#This Row],[No. of Attendees
(A)]])),0,IF(OR(ISBLANK(Table2[[#This Row],[Class]]),ISBLANK(Table2[[#This Row],[No. of Attendees
(A)]]),ISBLANK(Table2[[#This Row],[Length of Session
(B)]])),1,0))</f>
        <v>0</v>
      </c>
      <c r="E123" s="572">
        <v>45973</v>
      </c>
      <c r="F123" s="573" t="s">
        <v>325</v>
      </c>
      <c r="G123" s="574" t="s">
        <v>326</v>
      </c>
      <c r="H123" s="574" t="s">
        <v>327</v>
      </c>
      <c r="I123" s="574" t="s">
        <v>328</v>
      </c>
      <c r="J123" s="573">
        <v>10</v>
      </c>
      <c r="K123" s="573">
        <v>2</v>
      </c>
      <c r="L123" s="218">
        <f t="shared" si="7"/>
        <v>20</v>
      </c>
      <c r="M123" s="551" t="s">
        <v>217</v>
      </c>
      <c r="N123" s="573">
        <v>0</v>
      </c>
    </row>
    <row r="124" spans="3:14" x14ac:dyDescent="0.2">
      <c r="C124" s="215">
        <f t="shared" si="6"/>
        <v>118</v>
      </c>
      <c r="D124" s="14">
        <f>IF(AND(ISBLANK(Table2[[#This Row],[Start Date]]),ISBLANK(Table2[[#This Row],[Class]]),ISBLANK(Table2[[#This Row],[Class Description]]),ISBLANK(Table2[[#This Row],[No. of Attendees
(A)]])),0,IF(OR(ISBLANK(Table2[[#This Row],[Class]]),ISBLANK(Table2[[#This Row],[No. of Attendees
(A)]]),ISBLANK(Table2[[#This Row],[Length of Session
(B)]])),1,0))</f>
        <v>0</v>
      </c>
      <c r="E124" s="572">
        <v>45974</v>
      </c>
      <c r="F124" s="573" t="s">
        <v>329</v>
      </c>
      <c r="G124" s="574" t="s">
        <v>330</v>
      </c>
      <c r="H124" s="574" t="s">
        <v>241</v>
      </c>
      <c r="I124" s="574" t="s">
        <v>242</v>
      </c>
      <c r="J124" s="573">
        <v>1</v>
      </c>
      <c r="K124" s="573">
        <v>1</v>
      </c>
      <c r="L124" s="218">
        <f t="shared" si="7"/>
        <v>1</v>
      </c>
      <c r="M124" s="551" t="s">
        <v>217</v>
      </c>
      <c r="N124" s="573">
        <v>1</v>
      </c>
    </row>
    <row r="125" spans="3:14" x14ac:dyDescent="0.2">
      <c r="C125" s="215">
        <f t="shared" ref="C125:C156" si="8">ROW()-6</f>
        <v>119</v>
      </c>
      <c r="D125" s="14">
        <f>IF(AND(ISBLANK(Table2[[#This Row],[Start Date]]),ISBLANK(Table2[[#This Row],[Class]]),ISBLANK(Table2[[#This Row],[Class Description]]),ISBLANK(Table2[[#This Row],[No. of Attendees
(A)]])),0,IF(OR(ISBLANK(Table2[[#This Row],[Class]]),ISBLANK(Table2[[#This Row],[No. of Attendees
(A)]]),ISBLANK(Table2[[#This Row],[Length of Session
(B)]])),1,0))</f>
        <v>0</v>
      </c>
      <c r="E125" s="572">
        <v>45980</v>
      </c>
      <c r="F125" s="573" t="s">
        <v>231</v>
      </c>
      <c r="G125" s="574" t="s">
        <v>232</v>
      </c>
      <c r="H125" s="574" t="s">
        <v>221</v>
      </c>
      <c r="I125" s="574" t="s">
        <v>222</v>
      </c>
      <c r="J125" s="573">
        <v>1</v>
      </c>
      <c r="K125" s="573">
        <v>7</v>
      </c>
      <c r="L125" s="218">
        <f t="shared" ref="L125:L156" si="9">J125*K125</f>
        <v>7</v>
      </c>
      <c r="M125" s="551" t="s">
        <v>217</v>
      </c>
      <c r="N125" s="573">
        <v>0</v>
      </c>
    </row>
    <row r="126" spans="3:14" x14ac:dyDescent="0.2">
      <c r="C126" s="215">
        <f t="shared" si="8"/>
        <v>120</v>
      </c>
      <c r="D126" s="14">
        <f>IF(AND(ISBLANK(Table2[[#This Row],[Start Date]]),ISBLANK(Table2[[#This Row],[Class]]),ISBLANK(Table2[[#This Row],[Class Description]]),ISBLANK(Table2[[#This Row],[No. of Attendees
(A)]])),0,IF(OR(ISBLANK(Table2[[#This Row],[Class]]),ISBLANK(Table2[[#This Row],[No. of Attendees
(A)]]),ISBLANK(Table2[[#This Row],[Length of Session
(B)]])),1,0))</f>
        <v>0</v>
      </c>
      <c r="E126" s="572">
        <v>46002</v>
      </c>
      <c r="F126" s="573" t="s">
        <v>331</v>
      </c>
      <c r="G126" s="574" t="s">
        <v>332</v>
      </c>
      <c r="H126" s="574" t="s">
        <v>241</v>
      </c>
      <c r="I126" s="574" t="s">
        <v>242</v>
      </c>
      <c r="J126" s="573">
        <v>1</v>
      </c>
      <c r="K126" s="573">
        <v>1</v>
      </c>
      <c r="L126" s="218">
        <f t="shared" si="9"/>
        <v>1</v>
      </c>
      <c r="M126" s="551" t="s">
        <v>210</v>
      </c>
      <c r="N126" s="573">
        <v>1</v>
      </c>
    </row>
    <row r="127" spans="3:14" x14ac:dyDescent="0.2">
      <c r="C127" s="215">
        <f t="shared" si="8"/>
        <v>121</v>
      </c>
      <c r="D127" s="14">
        <f>IF(AND(ISBLANK(Table2[[#This Row],[Start Date]]),ISBLANK(Table2[[#This Row],[Class]]),ISBLANK(Table2[[#This Row],[Class Description]]),ISBLANK(Table2[[#This Row],[No. of Attendees
(A)]])),0,IF(OR(ISBLANK(Table2[[#This Row],[Class]]),ISBLANK(Table2[[#This Row],[No. of Attendees
(A)]]),ISBLANK(Table2[[#This Row],[Length of Session
(B)]])),1,0))</f>
        <v>0</v>
      </c>
      <c r="E127" s="572">
        <v>46008</v>
      </c>
      <c r="F127" s="573" t="s">
        <v>214</v>
      </c>
      <c r="G127" s="574" t="s">
        <v>215</v>
      </c>
      <c r="H127" s="574" t="s">
        <v>208</v>
      </c>
      <c r="I127" s="574" t="s">
        <v>216</v>
      </c>
      <c r="J127" s="573">
        <v>12</v>
      </c>
      <c r="K127" s="573">
        <v>1</v>
      </c>
      <c r="L127" s="218">
        <f t="shared" si="9"/>
        <v>12</v>
      </c>
      <c r="M127" s="551" t="s">
        <v>217</v>
      </c>
      <c r="N127" s="573">
        <v>0</v>
      </c>
    </row>
    <row r="128" spans="3:14" x14ac:dyDescent="0.2">
      <c r="C128" s="215">
        <f t="shared" si="8"/>
        <v>122</v>
      </c>
      <c r="D128" s="14">
        <f>IF(AND(ISBLANK(Table2[[#This Row],[Start Date]]),ISBLANK(Table2[[#This Row],[Class]]),ISBLANK(Table2[[#This Row],[Class Description]]),ISBLANK(Table2[[#This Row],[No. of Attendees
(A)]])),0,IF(OR(ISBLANK(Table2[[#This Row],[Class]]),ISBLANK(Table2[[#This Row],[No. of Attendees
(A)]]),ISBLANK(Table2[[#This Row],[Length of Session
(B)]])),1,0))</f>
        <v>0</v>
      </c>
      <c r="E128" s="572">
        <v>46008</v>
      </c>
      <c r="F128" s="573" t="s">
        <v>214</v>
      </c>
      <c r="G128" s="574" t="s">
        <v>223</v>
      </c>
      <c r="H128" s="574" t="s">
        <v>208</v>
      </c>
      <c r="I128" s="574" t="s">
        <v>222</v>
      </c>
      <c r="J128" s="573">
        <v>1</v>
      </c>
      <c r="K128" s="573">
        <v>1.5</v>
      </c>
      <c r="L128" s="218">
        <f t="shared" si="9"/>
        <v>1.5</v>
      </c>
      <c r="M128" s="551" t="s">
        <v>217</v>
      </c>
      <c r="N128" s="573">
        <v>0</v>
      </c>
    </row>
    <row r="129" spans="3:14" x14ac:dyDescent="0.2">
      <c r="C129" s="215">
        <f t="shared" si="8"/>
        <v>123</v>
      </c>
      <c r="D129" s="14">
        <f>IF(AND(ISBLANK(Table2[[#This Row],[Start Date]]),ISBLANK(Table2[[#This Row],[Class]]),ISBLANK(Table2[[#This Row],[Class Description]]),ISBLANK(Table2[[#This Row],[No. of Attendees
(A)]])),0,IF(OR(ISBLANK(Table2[[#This Row],[Class]]),ISBLANK(Table2[[#This Row],[No. of Attendees
(A)]]),ISBLANK(Table2[[#This Row],[Length of Session
(B)]])),1,0))</f>
        <v>0</v>
      </c>
      <c r="E129" s="572">
        <v>46009</v>
      </c>
      <c r="F129" s="573" t="s">
        <v>333</v>
      </c>
      <c r="G129" s="574" t="s">
        <v>334</v>
      </c>
      <c r="H129" s="574" t="s">
        <v>241</v>
      </c>
      <c r="I129" s="574" t="s">
        <v>242</v>
      </c>
      <c r="J129" s="573">
        <v>1</v>
      </c>
      <c r="K129" s="573">
        <v>1</v>
      </c>
      <c r="L129" s="218">
        <f t="shared" si="9"/>
        <v>1</v>
      </c>
      <c r="M129" s="551" t="s">
        <v>210</v>
      </c>
      <c r="N129" s="573">
        <v>1</v>
      </c>
    </row>
    <row r="130" spans="3:14" hidden="1" x14ac:dyDescent="0.2">
      <c r="C130" s="215">
        <f t="shared" si="8"/>
        <v>124</v>
      </c>
      <c r="D130" s="14">
        <f>IF(AND(ISBLANK(Table2[[#This Row],[Start Date]]),ISBLANK(Table2[[#This Row],[Class]]),ISBLANK(Table2[[#This Row],[Class Description]]),ISBLANK(Table2[[#This Row],[No. of Attendees
(A)]])),0,IF(OR(ISBLANK(Table2[[#This Row],[Class]]),ISBLANK(Table2[[#This Row],[No. of Attendees
(A)]]),ISBLANK(Table2[[#This Row],[Length of Session
(B)]])),1,0))</f>
        <v>0</v>
      </c>
      <c r="E130" s="572"/>
      <c r="F130" s="573"/>
      <c r="G130" s="573"/>
      <c r="H130" s="573"/>
      <c r="I130" s="573"/>
      <c r="J130" s="573"/>
      <c r="K130" s="573"/>
      <c r="L130" s="218">
        <f t="shared" si="9"/>
        <v>0</v>
      </c>
      <c r="M130" s="574"/>
      <c r="N130" s="573"/>
    </row>
    <row r="131" spans="3:14" hidden="1" x14ac:dyDescent="0.2">
      <c r="C131" s="215">
        <f t="shared" si="8"/>
        <v>125</v>
      </c>
      <c r="D131" s="14">
        <f>IF(AND(ISBLANK(Table2[[#This Row],[Start Date]]),ISBLANK(Table2[[#This Row],[Class]]),ISBLANK(Table2[[#This Row],[Class Description]]),ISBLANK(Table2[[#This Row],[No. of Attendees
(A)]])),0,IF(OR(ISBLANK(Table2[[#This Row],[Class]]),ISBLANK(Table2[[#This Row],[No. of Attendees
(A)]]),ISBLANK(Table2[[#This Row],[Length of Session
(B)]])),1,0))</f>
        <v>0</v>
      </c>
      <c r="E131" s="572"/>
      <c r="F131" s="573"/>
      <c r="G131" s="574"/>
      <c r="H131" s="574"/>
      <c r="I131" s="574"/>
      <c r="J131" s="573"/>
      <c r="K131" s="573"/>
      <c r="L131" s="218">
        <f t="shared" si="9"/>
        <v>0</v>
      </c>
      <c r="M131" s="574"/>
      <c r="N131" s="573"/>
    </row>
    <row r="132" spans="3:14" hidden="1" x14ac:dyDescent="0.2">
      <c r="C132" s="215">
        <f t="shared" si="8"/>
        <v>126</v>
      </c>
      <c r="D132" s="14">
        <f>IF(AND(ISBLANK(Table2[[#This Row],[Start Date]]),ISBLANK(Table2[[#This Row],[Class]]),ISBLANK(Table2[[#This Row],[Class Description]]),ISBLANK(Table2[[#This Row],[No. of Attendees
(A)]])),0,IF(OR(ISBLANK(Table2[[#This Row],[Class]]),ISBLANK(Table2[[#This Row],[No. of Attendees
(A)]]),ISBLANK(Table2[[#This Row],[Length of Session
(B)]])),1,0))</f>
        <v>0</v>
      </c>
      <c r="E132" s="572"/>
      <c r="F132" s="573"/>
      <c r="G132" s="574"/>
      <c r="H132" s="574"/>
      <c r="I132" s="574"/>
      <c r="J132" s="573"/>
      <c r="K132" s="573"/>
      <c r="L132" s="218">
        <f t="shared" si="9"/>
        <v>0</v>
      </c>
      <c r="M132" s="574"/>
      <c r="N132" s="573"/>
    </row>
    <row r="133" spans="3:14" hidden="1" x14ac:dyDescent="0.2">
      <c r="C133" s="215">
        <f t="shared" si="8"/>
        <v>127</v>
      </c>
      <c r="D133" s="14">
        <f>IF(AND(ISBLANK(Table2[[#This Row],[Start Date]]),ISBLANK(Table2[[#This Row],[Class]]),ISBLANK(Table2[[#This Row],[Class Description]]),ISBLANK(Table2[[#This Row],[No. of Attendees
(A)]])),0,IF(OR(ISBLANK(Table2[[#This Row],[Class]]),ISBLANK(Table2[[#This Row],[No. of Attendees
(A)]]),ISBLANK(Table2[[#This Row],[Length of Session
(B)]])),1,0))</f>
        <v>0</v>
      </c>
      <c r="E133" s="572"/>
      <c r="F133" s="573"/>
      <c r="G133" s="574"/>
      <c r="H133" s="574"/>
      <c r="I133" s="574"/>
      <c r="J133" s="573"/>
      <c r="K133" s="573"/>
      <c r="L133" s="218">
        <f t="shared" si="9"/>
        <v>0</v>
      </c>
      <c r="M133" s="574"/>
      <c r="N133" s="573"/>
    </row>
    <row r="134" spans="3:14" hidden="1" x14ac:dyDescent="0.2">
      <c r="C134" s="215">
        <f t="shared" si="8"/>
        <v>128</v>
      </c>
      <c r="D134" s="14">
        <f>IF(AND(ISBLANK(Table2[[#This Row],[Start Date]]),ISBLANK(Table2[[#This Row],[Class]]),ISBLANK(Table2[[#This Row],[Class Description]]),ISBLANK(Table2[[#This Row],[No. of Attendees
(A)]])),0,IF(OR(ISBLANK(Table2[[#This Row],[Class]]),ISBLANK(Table2[[#This Row],[No. of Attendees
(A)]]),ISBLANK(Table2[[#This Row],[Length of Session
(B)]])),1,0))</f>
        <v>0</v>
      </c>
      <c r="E134" s="572"/>
      <c r="F134" s="573"/>
      <c r="G134" s="574"/>
      <c r="H134" s="574"/>
      <c r="I134" s="574"/>
      <c r="J134" s="573"/>
      <c r="K134" s="573"/>
      <c r="L134" s="218">
        <f t="shared" si="9"/>
        <v>0</v>
      </c>
      <c r="M134" s="574"/>
      <c r="N134" s="573"/>
    </row>
    <row r="135" spans="3:14" hidden="1" x14ac:dyDescent="0.2">
      <c r="C135" s="215">
        <f t="shared" si="8"/>
        <v>129</v>
      </c>
      <c r="D135" s="14">
        <f>IF(AND(ISBLANK(Table2[[#This Row],[Start Date]]),ISBLANK(Table2[[#This Row],[Class]]),ISBLANK(Table2[[#This Row],[Class Description]]),ISBLANK(Table2[[#This Row],[No. of Attendees
(A)]])),0,IF(OR(ISBLANK(Table2[[#This Row],[Class]]),ISBLANK(Table2[[#This Row],[No. of Attendees
(A)]]),ISBLANK(Table2[[#This Row],[Length of Session
(B)]])),1,0))</f>
        <v>0</v>
      </c>
      <c r="E135" s="572"/>
      <c r="F135" s="573"/>
      <c r="G135" s="574"/>
      <c r="H135" s="574"/>
      <c r="I135" s="574"/>
      <c r="J135" s="573"/>
      <c r="K135" s="573"/>
      <c r="L135" s="218">
        <f t="shared" si="9"/>
        <v>0</v>
      </c>
      <c r="M135" s="574"/>
      <c r="N135" s="573"/>
    </row>
    <row r="136" spans="3:14" hidden="1" x14ac:dyDescent="0.2">
      <c r="C136" s="215">
        <f t="shared" si="8"/>
        <v>130</v>
      </c>
      <c r="D136" s="14">
        <f>IF(AND(ISBLANK(Table2[[#This Row],[Start Date]]),ISBLANK(Table2[[#This Row],[Class]]),ISBLANK(Table2[[#This Row],[Class Description]]),ISBLANK(Table2[[#This Row],[No. of Attendees
(A)]])),0,IF(OR(ISBLANK(Table2[[#This Row],[Class]]),ISBLANK(Table2[[#This Row],[No. of Attendees
(A)]]),ISBLANK(Table2[[#This Row],[Length of Session
(B)]])),1,0))</f>
        <v>0</v>
      </c>
      <c r="E136" s="572"/>
      <c r="F136" s="573"/>
      <c r="G136" s="574"/>
      <c r="H136" s="574"/>
      <c r="I136" s="574"/>
      <c r="J136" s="573"/>
      <c r="K136" s="573"/>
      <c r="L136" s="218">
        <f t="shared" si="9"/>
        <v>0</v>
      </c>
      <c r="M136" s="574"/>
      <c r="N136" s="573"/>
    </row>
    <row r="137" spans="3:14" hidden="1" x14ac:dyDescent="0.2">
      <c r="C137" s="215">
        <f t="shared" si="8"/>
        <v>131</v>
      </c>
      <c r="D137" s="14">
        <f>IF(AND(ISBLANK(Table2[[#This Row],[Start Date]]),ISBLANK(Table2[[#This Row],[Class]]),ISBLANK(Table2[[#This Row],[Class Description]]),ISBLANK(Table2[[#This Row],[No. of Attendees
(A)]])),0,IF(OR(ISBLANK(Table2[[#This Row],[Class]]),ISBLANK(Table2[[#This Row],[No. of Attendees
(A)]]),ISBLANK(Table2[[#This Row],[Length of Session
(B)]])),1,0))</f>
        <v>0</v>
      </c>
      <c r="E137" s="572"/>
      <c r="F137" s="573"/>
      <c r="G137" s="574"/>
      <c r="H137" s="574"/>
      <c r="I137" s="574"/>
      <c r="J137" s="573"/>
      <c r="K137" s="573"/>
      <c r="L137" s="218">
        <f t="shared" si="9"/>
        <v>0</v>
      </c>
      <c r="M137" s="574"/>
      <c r="N137" s="573"/>
    </row>
    <row r="138" spans="3:14" hidden="1" x14ac:dyDescent="0.2">
      <c r="C138" s="215">
        <f t="shared" si="8"/>
        <v>132</v>
      </c>
      <c r="D138" s="14">
        <f>IF(AND(ISBLANK(Table2[[#This Row],[Start Date]]),ISBLANK(Table2[[#This Row],[Class]]),ISBLANK(Table2[[#This Row],[Class Description]]),ISBLANK(Table2[[#This Row],[No. of Attendees
(A)]])),0,IF(OR(ISBLANK(Table2[[#This Row],[Class]]),ISBLANK(Table2[[#This Row],[No. of Attendees
(A)]]),ISBLANK(Table2[[#This Row],[Length of Session
(B)]])),1,0))</f>
        <v>0</v>
      </c>
      <c r="E138" s="572"/>
      <c r="F138" s="573"/>
      <c r="G138" s="574"/>
      <c r="H138" s="574"/>
      <c r="I138" s="574"/>
      <c r="J138" s="573"/>
      <c r="K138" s="573"/>
      <c r="L138" s="218">
        <f t="shared" si="9"/>
        <v>0</v>
      </c>
      <c r="M138" s="574"/>
      <c r="N138" s="573"/>
    </row>
    <row r="139" spans="3:14" hidden="1" x14ac:dyDescent="0.2">
      <c r="C139" s="215">
        <f t="shared" si="8"/>
        <v>133</v>
      </c>
      <c r="D139" s="14">
        <f>IF(AND(ISBLANK(Table2[[#This Row],[Start Date]]),ISBLANK(Table2[[#This Row],[Class]]),ISBLANK(Table2[[#This Row],[Class Description]]),ISBLANK(Table2[[#This Row],[No. of Attendees
(A)]])),0,IF(OR(ISBLANK(Table2[[#This Row],[Class]]),ISBLANK(Table2[[#This Row],[No. of Attendees
(A)]]),ISBLANK(Table2[[#This Row],[Length of Session
(B)]])),1,0))</f>
        <v>0</v>
      </c>
      <c r="E139" s="572"/>
      <c r="F139" s="573"/>
      <c r="G139" s="574"/>
      <c r="H139" s="574"/>
      <c r="I139" s="574"/>
      <c r="J139" s="573"/>
      <c r="K139" s="573"/>
      <c r="L139" s="218">
        <f t="shared" si="9"/>
        <v>0</v>
      </c>
      <c r="M139" s="574"/>
      <c r="N139" s="573"/>
    </row>
    <row r="140" spans="3:14" hidden="1" x14ac:dyDescent="0.2">
      <c r="C140" s="215">
        <f t="shared" si="8"/>
        <v>134</v>
      </c>
      <c r="D140" s="14">
        <f>IF(AND(ISBLANK(Table2[[#This Row],[Start Date]]),ISBLANK(Table2[[#This Row],[Class]]),ISBLANK(Table2[[#This Row],[Class Description]]),ISBLANK(Table2[[#This Row],[No. of Attendees
(A)]])),0,IF(OR(ISBLANK(Table2[[#This Row],[Class]]),ISBLANK(Table2[[#This Row],[No. of Attendees
(A)]]),ISBLANK(Table2[[#This Row],[Length of Session
(B)]])),1,0))</f>
        <v>0</v>
      </c>
      <c r="E140" s="572"/>
      <c r="F140" s="573"/>
      <c r="G140" s="574"/>
      <c r="H140" s="574"/>
      <c r="I140" s="574"/>
      <c r="J140" s="573"/>
      <c r="K140" s="573"/>
      <c r="L140" s="218">
        <f t="shared" si="9"/>
        <v>0</v>
      </c>
      <c r="M140" s="574"/>
      <c r="N140" s="573"/>
    </row>
    <row r="141" spans="3:14" hidden="1" x14ac:dyDescent="0.2">
      <c r="C141" s="215">
        <f t="shared" si="8"/>
        <v>135</v>
      </c>
      <c r="D141" s="14">
        <f>IF(AND(ISBLANK(Table2[[#This Row],[Start Date]]),ISBLANK(Table2[[#This Row],[Class]]),ISBLANK(Table2[[#This Row],[Class Description]]),ISBLANK(Table2[[#This Row],[No. of Attendees
(A)]])),0,IF(OR(ISBLANK(Table2[[#This Row],[Class]]),ISBLANK(Table2[[#This Row],[No. of Attendees
(A)]]),ISBLANK(Table2[[#This Row],[Length of Session
(B)]])),1,0))</f>
        <v>0</v>
      </c>
      <c r="E141" s="572"/>
      <c r="F141" s="573"/>
      <c r="G141" s="574"/>
      <c r="H141" s="574"/>
      <c r="I141" s="574"/>
      <c r="J141" s="573"/>
      <c r="K141" s="573"/>
      <c r="L141" s="218">
        <f t="shared" si="9"/>
        <v>0</v>
      </c>
      <c r="M141" s="574"/>
      <c r="N141" s="573"/>
    </row>
    <row r="142" spans="3:14" hidden="1" x14ac:dyDescent="0.2">
      <c r="C142" s="215">
        <f t="shared" si="8"/>
        <v>136</v>
      </c>
      <c r="D142" s="14">
        <f>IF(AND(ISBLANK(Table2[[#This Row],[Start Date]]),ISBLANK(Table2[[#This Row],[Class]]),ISBLANK(Table2[[#This Row],[Class Description]]),ISBLANK(Table2[[#This Row],[No. of Attendees
(A)]])),0,IF(OR(ISBLANK(Table2[[#This Row],[Class]]),ISBLANK(Table2[[#This Row],[No. of Attendees
(A)]]),ISBLANK(Table2[[#This Row],[Length of Session
(B)]])),1,0))</f>
        <v>0</v>
      </c>
      <c r="E142" s="572"/>
      <c r="F142" s="573"/>
      <c r="G142" s="574"/>
      <c r="H142" s="574"/>
      <c r="I142" s="574"/>
      <c r="J142" s="573"/>
      <c r="K142" s="573"/>
      <c r="L142" s="218">
        <f t="shared" si="9"/>
        <v>0</v>
      </c>
      <c r="M142" s="574"/>
      <c r="N142" s="573"/>
    </row>
    <row r="143" spans="3:14" hidden="1" x14ac:dyDescent="0.2">
      <c r="C143" s="215">
        <f t="shared" si="8"/>
        <v>137</v>
      </c>
      <c r="D143" s="14">
        <f>IF(AND(ISBLANK(Table2[[#This Row],[Start Date]]),ISBLANK(Table2[[#This Row],[Class]]),ISBLANK(Table2[[#This Row],[Class Description]]),ISBLANK(Table2[[#This Row],[No. of Attendees
(A)]])),0,IF(OR(ISBLANK(Table2[[#This Row],[Class]]),ISBLANK(Table2[[#This Row],[No. of Attendees
(A)]]),ISBLANK(Table2[[#This Row],[Length of Session
(B)]])),1,0))</f>
        <v>0</v>
      </c>
      <c r="E143" s="572"/>
      <c r="F143" s="573"/>
      <c r="G143" s="574"/>
      <c r="H143" s="574"/>
      <c r="I143" s="574"/>
      <c r="J143" s="573"/>
      <c r="K143" s="573"/>
      <c r="L143" s="218">
        <f t="shared" si="9"/>
        <v>0</v>
      </c>
      <c r="M143" s="574"/>
      <c r="N143" s="573"/>
    </row>
    <row r="144" spans="3:14" hidden="1" x14ac:dyDescent="0.2">
      <c r="C144" s="215">
        <f t="shared" si="8"/>
        <v>138</v>
      </c>
      <c r="D144" s="14">
        <f>IF(AND(ISBLANK(Table2[[#This Row],[Start Date]]),ISBLANK(Table2[[#This Row],[Class]]),ISBLANK(Table2[[#This Row],[Class Description]]),ISBLANK(Table2[[#This Row],[No. of Attendees
(A)]])),0,IF(OR(ISBLANK(Table2[[#This Row],[Class]]),ISBLANK(Table2[[#This Row],[No. of Attendees
(A)]]),ISBLANK(Table2[[#This Row],[Length of Session
(B)]])),1,0))</f>
        <v>0</v>
      </c>
      <c r="E144" s="572"/>
      <c r="F144" s="573"/>
      <c r="G144" s="574"/>
      <c r="H144" s="574"/>
      <c r="I144" s="574"/>
      <c r="J144" s="573"/>
      <c r="K144" s="573"/>
      <c r="L144" s="218">
        <f t="shared" si="9"/>
        <v>0</v>
      </c>
      <c r="M144" s="574"/>
      <c r="N144" s="573"/>
    </row>
    <row r="145" spans="3:14" hidden="1" x14ac:dyDescent="0.2">
      <c r="C145" s="215">
        <f t="shared" si="8"/>
        <v>139</v>
      </c>
      <c r="D145" s="14">
        <f>IF(AND(ISBLANK(Table2[[#This Row],[Start Date]]),ISBLANK(Table2[[#This Row],[Class]]),ISBLANK(Table2[[#This Row],[Class Description]]),ISBLANK(Table2[[#This Row],[No. of Attendees
(A)]])),0,IF(OR(ISBLANK(Table2[[#This Row],[Class]]),ISBLANK(Table2[[#This Row],[No. of Attendees
(A)]]),ISBLANK(Table2[[#This Row],[Length of Session
(B)]])),1,0))</f>
        <v>0</v>
      </c>
      <c r="E145" s="572"/>
      <c r="F145" s="573"/>
      <c r="G145" s="574"/>
      <c r="H145" s="574"/>
      <c r="I145" s="574"/>
      <c r="J145" s="573"/>
      <c r="K145" s="573"/>
      <c r="L145" s="218">
        <f t="shared" si="9"/>
        <v>0</v>
      </c>
      <c r="M145" s="574"/>
      <c r="N145" s="573"/>
    </row>
    <row r="146" spans="3:14" hidden="1" x14ac:dyDescent="0.2">
      <c r="C146" s="215">
        <f t="shared" si="8"/>
        <v>140</v>
      </c>
      <c r="D146" s="14">
        <f>IF(AND(ISBLANK(Table2[[#This Row],[Start Date]]),ISBLANK(Table2[[#This Row],[Class]]),ISBLANK(Table2[[#This Row],[Class Description]]),ISBLANK(Table2[[#This Row],[No. of Attendees
(A)]])),0,IF(OR(ISBLANK(Table2[[#This Row],[Class]]),ISBLANK(Table2[[#This Row],[No. of Attendees
(A)]]),ISBLANK(Table2[[#This Row],[Length of Session
(B)]])),1,0))</f>
        <v>0</v>
      </c>
      <c r="E146" s="572"/>
      <c r="F146" s="573"/>
      <c r="G146" s="574"/>
      <c r="H146" s="574"/>
      <c r="I146" s="574"/>
      <c r="J146" s="573"/>
      <c r="K146" s="573"/>
      <c r="L146" s="218">
        <f t="shared" si="9"/>
        <v>0</v>
      </c>
      <c r="M146" s="574"/>
      <c r="N146" s="573"/>
    </row>
    <row r="147" spans="3:14" hidden="1" x14ac:dyDescent="0.2">
      <c r="C147" s="215">
        <f t="shared" si="8"/>
        <v>141</v>
      </c>
      <c r="D147" s="14">
        <f>IF(AND(ISBLANK(Table2[[#This Row],[Start Date]]),ISBLANK(Table2[[#This Row],[Class]]),ISBLANK(Table2[[#This Row],[Class Description]]),ISBLANK(Table2[[#This Row],[No. of Attendees
(A)]])),0,IF(OR(ISBLANK(Table2[[#This Row],[Class]]),ISBLANK(Table2[[#This Row],[No. of Attendees
(A)]]),ISBLANK(Table2[[#This Row],[Length of Session
(B)]])),1,0))</f>
        <v>0</v>
      </c>
      <c r="E147" s="572"/>
      <c r="F147" s="573"/>
      <c r="G147" s="574"/>
      <c r="H147" s="574"/>
      <c r="I147" s="574"/>
      <c r="J147" s="573"/>
      <c r="K147" s="573"/>
      <c r="L147" s="218">
        <f t="shared" si="9"/>
        <v>0</v>
      </c>
      <c r="M147" s="574"/>
      <c r="N147" s="573"/>
    </row>
    <row r="148" spans="3:14" hidden="1" x14ac:dyDescent="0.2">
      <c r="C148" s="215">
        <f t="shared" si="8"/>
        <v>142</v>
      </c>
      <c r="D148" s="14">
        <f>IF(AND(ISBLANK(Table2[[#This Row],[Start Date]]),ISBLANK(Table2[[#This Row],[Class]]),ISBLANK(Table2[[#This Row],[Class Description]]),ISBLANK(Table2[[#This Row],[No. of Attendees
(A)]])),0,IF(OR(ISBLANK(Table2[[#This Row],[Class]]),ISBLANK(Table2[[#This Row],[No. of Attendees
(A)]]),ISBLANK(Table2[[#This Row],[Length of Session
(B)]])),1,0))</f>
        <v>0</v>
      </c>
      <c r="E148" s="572"/>
      <c r="F148" s="573"/>
      <c r="G148" s="574"/>
      <c r="H148" s="574"/>
      <c r="I148" s="574"/>
      <c r="J148" s="573"/>
      <c r="K148" s="573"/>
      <c r="L148" s="218">
        <f t="shared" si="9"/>
        <v>0</v>
      </c>
      <c r="M148" s="574"/>
      <c r="N148" s="573"/>
    </row>
    <row r="149" spans="3:14" hidden="1" x14ac:dyDescent="0.2">
      <c r="C149" s="215">
        <f t="shared" si="8"/>
        <v>143</v>
      </c>
      <c r="D149" s="14">
        <f>IF(AND(ISBLANK(Table2[[#This Row],[Start Date]]),ISBLANK(Table2[[#This Row],[Class]]),ISBLANK(Table2[[#This Row],[Class Description]]),ISBLANK(Table2[[#This Row],[No. of Attendees
(A)]])),0,IF(OR(ISBLANK(Table2[[#This Row],[Class]]),ISBLANK(Table2[[#This Row],[No. of Attendees
(A)]]),ISBLANK(Table2[[#This Row],[Length of Session
(B)]])),1,0))</f>
        <v>0</v>
      </c>
      <c r="E149" s="572"/>
      <c r="F149" s="573"/>
      <c r="G149" s="574"/>
      <c r="H149" s="574"/>
      <c r="I149" s="574"/>
      <c r="J149" s="573"/>
      <c r="K149" s="573"/>
      <c r="L149" s="218">
        <f t="shared" si="9"/>
        <v>0</v>
      </c>
      <c r="M149" s="574"/>
      <c r="N149" s="573"/>
    </row>
    <row r="150" spans="3:14" hidden="1" x14ac:dyDescent="0.2">
      <c r="C150" s="215">
        <f t="shared" si="8"/>
        <v>144</v>
      </c>
      <c r="D150" s="14">
        <f>IF(AND(ISBLANK(Table2[[#This Row],[Start Date]]),ISBLANK(Table2[[#This Row],[Class]]),ISBLANK(Table2[[#This Row],[Class Description]]),ISBLANK(Table2[[#This Row],[No. of Attendees
(A)]])),0,IF(OR(ISBLANK(Table2[[#This Row],[Class]]),ISBLANK(Table2[[#This Row],[No. of Attendees
(A)]]),ISBLANK(Table2[[#This Row],[Length of Session
(B)]])),1,0))</f>
        <v>0</v>
      </c>
      <c r="E150" s="572"/>
      <c r="F150" s="573"/>
      <c r="G150" s="574"/>
      <c r="H150" s="574"/>
      <c r="I150" s="574"/>
      <c r="J150" s="573"/>
      <c r="K150" s="573"/>
      <c r="L150" s="218">
        <f t="shared" si="9"/>
        <v>0</v>
      </c>
      <c r="M150" s="574"/>
      <c r="N150" s="573"/>
    </row>
    <row r="151" spans="3:14" hidden="1" x14ac:dyDescent="0.2">
      <c r="C151" s="215">
        <f t="shared" si="8"/>
        <v>145</v>
      </c>
      <c r="D151" s="14">
        <f>IF(AND(ISBLANK(Table2[[#This Row],[Start Date]]),ISBLANK(Table2[[#This Row],[Class]]),ISBLANK(Table2[[#This Row],[Class Description]]),ISBLANK(Table2[[#This Row],[No. of Attendees
(A)]])),0,IF(OR(ISBLANK(Table2[[#This Row],[Class]]),ISBLANK(Table2[[#This Row],[No. of Attendees
(A)]]),ISBLANK(Table2[[#This Row],[Length of Session
(B)]])),1,0))</f>
        <v>0</v>
      </c>
      <c r="E151" s="572"/>
      <c r="F151" s="573"/>
      <c r="G151" s="574"/>
      <c r="H151" s="574"/>
      <c r="I151" s="574"/>
      <c r="J151" s="573"/>
      <c r="K151" s="573"/>
      <c r="L151" s="218">
        <f t="shared" si="9"/>
        <v>0</v>
      </c>
      <c r="M151" s="574"/>
      <c r="N151" s="573"/>
    </row>
    <row r="152" spans="3:14" hidden="1" x14ac:dyDescent="0.2">
      <c r="C152" s="215">
        <f t="shared" si="8"/>
        <v>146</v>
      </c>
      <c r="D152" s="14">
        <f>IF(AND(ISBLANK(Table2[[#This Row],[Start Date]]),ISBLANK(Table2[[#This Row],[Class]]),ISBLANK(Table2[[#This Row],[Class Description]]),ISBLANK(Table2[[#This Row],[No. of Attendees
(A)]])),0,IF(OR(ISBLANK(Table2[[#This Row],[Class]]),ISBLANK(Table2[[#This Row],[No. of Attendees
(A)]]),ISBLANK(Table2[[#This Row],[Length of Session
(B)]])),1,0))</f>
        <v>0</v>
      </c>
      <c r="E152" s="572"/>
      <c r="F152" s="573"/>
      <c r="G152" s="574"/>
      <c r="H152" s="574"/>
      <c r="I152" s="574"/>
      <c r="J152" s="573"/>
      <c r="K152" s="573"/>
      <c r="L152" s="218">
        <f t="shared" si="9"/>
        <v>0</v>
      </c>
      <c r="M152" s="574"/>
      <c r="N152" s="573"/>
    </row>
    <row r="153" spans="3:14" hidden="1" x14ac:dyDescent="0.2">
      <c r="C153" s="215">
        <f t="shared" si="8"/>
        <v>147</v>
      </c>
      <c r="D153" s="14">
        <f>IF(AND(ISBLANK(Table2[[#This Row],[Start Date]]),ISBLANK(Table2[[#This Row],[Class]]),ISBLANK(Table2[[#This Row],[Class Description]]),ISBLANK(Table2[[#This Row],[No. of Attendees
(A)]])),0,IF(OR(ISBLANK(Table2[[#This Row],[Class]]),ISBLANK(Table2[[#This Row],[No. of Attendees
(A)]]),ISBLANK(Table2[[#This Row],[Length of Session
(B)]])),1,0))</f>
        <v>0</v>
      </c>
      <c r="E153" s="572"/>
      <c r="F153" s="573"/>
      <c r="G153" s="574"/>
      <c r="H153" s="574"/>
      <c r="I153" s="574"/>
      <c r="J153" s="573"/>
      <c r="K153" s="573"/>
      <c r="L153" s="218">
        <f t="shared" si="9"/>
        <v>0</v>
      </c>
      <c r="M153" s="574"/>
      <c r="N153" s="573"/>
    </row>
    <row r="154" spans="3:14" hidden="1" x14ac:dyDescent="0.2">
      <c r="C154" s="215">
        <f t="shared" si="8"/>
        <v>148</v>
      </c>
      <c r="D154" s="14">
        <f>IF(AND(ISBLANK(Table2[[#This Row],[Start Date]]),ISBLANK(Table2[[#This Row],[Class]]),ISBLANK(Table2[[#This Row],[Class Description]]),ISBLANK(Table2[[#This Row],[No. of Attendees
(A)]])),0,IF(OR(ISBLANK(Table2[[#This Row],[Class]]),ISBLANK(Table2[[#This Row],[No. of Attendees
(A)]]),ISBLANK(Table2[[#This Row],[Length of Session
(B)]])),1,0))</f>
        <v>0</v>
      </c>
      <c r="E154" s="572"/>
      <c r="F154" s="573"/>
      <c r="G154" s="574"/>
      <c r="H154" s="574"/>
      <c r="I154" s="574"/>
      <c r="J154" s="573"/>
      <c r="K154" s="573"/>
      <c r="L154" s="218">
        <f t="shared" si="9"/>
        <v>0</v>
      </c>
      <c r="M154" s="574"/>
      <c r="N154" s="573"/>
    </row>
    <row r="155" spans="3:14" hidden="1" x14ac:dyDescent="0.2">
      <c r="C155" s="215">
        <f t="shared" si="8"/>
        <v>149</v>
      </c>
      <c r="D155" s="14">
        <f>IF(AND(ISBLANK(Table2[[#This Row],[Start Date]]),ISBLANK(Table2[[#This Row],[Class]]),ISBLANK(Table2[[#This Row],[Class Description]]),ISBLANK(Table2[[#This Row],[No. of Attendees
(A)]])),0,IF(OR(ISBLANK(Table2[[#This Row],[Class]]),ISBLANK(Table2[[#This Row],[No. of Attendees
(A)]]),ISBLANK(Table2[[#This Row],[Length of Session
(B)]])),1,0))</f>
        <v>0</v>
      </c>
      <c r="E155" s="572"/>
      <c r="F155" s="573"/>
      <c r="G155" s="574"/>
      <c r="H155" s="574"/>
      <c r="I155" s="574"/>
      <c r="J155" s="573"/>
      <c r="K155" s="573"/>
      <c r="L155" s="218">
        <f t="shared" si="9"/>
        <v>0</v>
      </c>
      <c r="M155" s="574"/>
      <c r="N155" s="573"/>
    </row>
    <row r="156" spans="3:14" hidden="1" x14ac:dyDescent="0.2">
      <c r="C156" s="215">
        <f t="shared" si="8"/>
        <v>150</v>
      </c>
      <c r="D156" s="14">
        <f>IF(AND(ISBLANK(Table2[[#This Row],[Start Date]]),ISBLANK(Table2[[#This Row],[Class]]),ISBLANK(Table2[[#This Row],[Class Description]]),ISBLANK(Table2[[#This Row],[No. of Attendees
(A)]])),0,IF(OR(ISBLANK(Table2[[#This Row],[Class]]),ISBLANK(Table2[[#This Row],[No. of Attendees
(A)]]),ISBLANK(Table2[[#This Row],[Length of Session
(B)]])),1,0))</f>
        <v>0</v>
      </c>
      <c r="E156" s="572"/>
      <c r="F156" s="573"/>
      <c r="G156" s="574"/>
      <c r="H156" s="574"/>
      <c r="I156" s="574"/>
      <c r="J156" s="573"/>
      <c r="K156" s="573"/>
      <c r="L156" s="218">
        <f t="shared" si="9"/>
        <v>0</v>
      </c>
      <c r="M156" s="574"/>
      <c r="N156" s="573"/>
    </row>
    <row r="157" spans="3:14" hidden="1" x14ac:dyDescent="0.2">
      <c r="C157" s="215">
        <f t="shared" ref="C157:C162" si="10">ROW()-6</f>
        <v>151</v>
      </c>
      <c r="D157" s="14">
        <f>IF(AND(ISBLANK(Table2[[#This Row],[Start Date]]),ISBLANK(Table2[[#This Row],[Class]]),ISBLANK(Table2[[#This Row],[Class Description]]),ISBLANK(Table2[[#This Row],[No. of Attendees
(A)]])),0,IF(OR(ISBLANK(Table2[[#This Row],[Class]]),ISBLANK(Table2[[#This Row],[No. of Attendees
(A)]]),ISBLANK(Table2[[#This Row],[Length of Session
(B)]])),1,0))</f>
        <v>0</v>
      </c>
      <c r="E157" s="572"/>
      <c r="F157" s="573"/>
      <c r="G157" s="574"/>
      <c r="H157" s="574"/>
      <c r="I157" s="574"/>
      <c r="J157" s="573"/>
      <c r="K157" s="573"/>
      <c r="L157" s="218">
        <f t="shared" ref="L157:L162" si="11">J157*K157</f>
        <v>0</v>
      </c>
      <c r="M157" s="574"/>
      <c r="N157" s="573"/>
    </row>
    <row r="158" spans="3:14" hidden="1" x14ac:dyDescent="0.2">
      <c r="C158" s="215">
        <f t="shared" si="10"/>
        <v>152</v>
      </c>
      <c r="D158" s="14">
        <f>IF(AND(ISBLANK(Table2[[#This Row],[Start Date]]),ISBLANK(Table2[[#This Row],[Class]]),ISBLANK(Table2[[#This Row],[Class Description]]),ISBLANK(Table2[[#This Row],[No. of Attendees
(A)]])),0,IF(OR(ISBLANK(Table2[[#This Row],[Class]]),ISBLANK(Table2[[#This Row],[No. of Attendees
(A)]]),ISBLANK(Table2[[#This Row],[Length of Session
(B)]])),1,0))</f>
        <v>0</v>
      </c>
      <c r="E158" s="572"/>
      <c r="F158" s="573"/>
      <c r="G158" s="574"/>
      <c r="H158" s="574"/>
      <c r="I158" s="574"/>
      <c r="J158" s="573"/>
      <c r="K158" s="573"/>
      <c r="L158" s="218">
        <f t="shared" si="11"/>
        <v>0</v>
      </c>
      <c r="M158" s="574"/>
      <c r="N158" s="573"/>
    </row>
    <row r="159" spans="3:14" hidden="1" x14ac:dyDescent="0.2">
      <c r="C159" s="215">
        <f t="shared" si="10"/>
        <v>153</v>
      </c>
      <c r="D159" s="14">
        <f>IF(AND(ISBLANK(Table2[[#This Row],[Start Date]]),ISBLANK(Table2[[#This Row],[Class]]),ISBLANK(Table2[[#This Row],[Class Description]]),ISBLANK(Table2[[#This Row],[No. of Attendees
(A)]])),0,IF(OR(ISBLANK(Table2[[#This Row],[Class]]),ISBLANK(Table2[[#This Row],[No. of Attendees
(A)]]),ISBLANK(Table2[[#This Row],[Length of Session
(B)]])),1,0))</f>
        <v>0</v>
      </c>
      <c r="E159" s="572"/>
      <c r="F159" s="573"/>
      <c r="G159" s="574"/>
      <c r="H159" s="574"/>
      <c r="I159" s="574"/>
      <c r="J159" s="573"/>
      <c r="K159" s="573"/>
      <c r="L159" s="218">
        <f t="shared" si="11"/>
        <v>0</v>
      </c>
      <c r="M159" s="574"/>
      <c r="N159" s="573"/>
    </row>
    <row r="160" spans="3:14" hidden="1" x14ac:dyDescent="0.2">
      <c r="C160" s="215">
        <f t="shared" si="10"/>
        <v>154</v>
      </c>
      <c r="D160" s="14">
        <f>IF(AND(ISBLANK(Table2[[#This Row],[Start Date]]),ISBLANK(Table2[[#This Row],[Class]]),ISBLANK(Table2[[#This Row],[Class Description]]),ISBLANK(Table2[[#This Row],[No. of Attendees
(A)]])),0,IF(OR(ISBLANK(Table2[[#This Row],[Class]]),ISBLANK(Table2[[#This Row],[No. of Attendees
(A)]]),ISBLANK(Table2[[#This Row],[Length of Session
(B)]])),1,0))</f>
        <v>0</v>
      </c>
      <c r="E160" s="572"/>
      <c r="F160" s="573"/>
      <c r="G160" s="574"/>
      <c r="H160" s="574"/>
      <c r="I160" s="574"/>
      <c r="J160" s="573"/>
      <c r="K160" s="573"/>
      <c r="L160" s="218">
        <f t="shared" si="11"/>
        <v>0</v>
      </c>
      <c r="M160" s="574"/>
      <c r="N160" s="573"/>
    </row>
    <row r="161" spans="3:14" hidden="1" x14ac:dyDescent="0.2">
      <c r="C161" s="215">
        <f t="shared" si="10"/>
        <v>155</v>
      </c>
      <c r="D161" s="14">
        <f>IF(AND(ISBLANK(Table2[[#This Row],[Start Date]]),ISBLANK(Table2[[#This Row],[Class]]),ISBLANK(Table2[[#This Row],[Class Description]]),ISBLANK(Table2[[#This Row],[No. of Attendees
(A)]])),0,IF(OR(ISBLANK(Table2[[#This Row],[Class]]),ISBLANK(Table2[[#This Row],[No. of Attendees
(A)]]),ISBLANK(Table2[[#This Row],[Length of Session
(B)]])),1,0))</f>
        <v>0</v>
      </c>
      <c r="E161" s="572"/>
      <c r="F161" s="573"/>
      <c r="G161" s="574"/>
      <c r="H161" s="574"/>
      <c r="I161" s="574"/>
      <c r="J161" s="573"/>
      <c r="K161" s="573"/>
      <c r="L161" s="218">
        <f t="shared" si="11"/>
        <v>0</v>
      </c>
      <c r="M161" s="574"/>
      <c r="N161" s="573"/>
    </row>
    <row r="162" spans="3:14" hidden="1" x14ac:dyDescent="0.2">
      <c r="C162" s="215">
        <f t="shared" si="10"/>
        <v>156</v>
      </c>
      <c r="D162" s="14">
        <f>IF(AND(ISBLANK(Table2[[#This Row],[Start Date]]),ISBLANK(Table2[[#This Row],[Class]]),ISBLANK(Table2[[#This Row],[Class Description]]),ISBLANK(Table2[[#This Row],[No. of Attendees
(A)]])),0,IF(OR(ISBLANK(Table2[[#This Row],[Class]]),ISBLANK(Table2[[#This Row],[No. of Attendees
(A)]]),ISBLANK(Table2[[#This Row],[Length of Session
(B)]])),1,0))</f>
        <v>0</v>
      </c>
      <c r="E162" s="572"/>
      <c r="F162" s="573"/>
      <c r="G162" s="574"/>
      <c r="H162" s="574"/>
      <c r="I162" s="574"/>
      <c r="J162" s="573"/>
      <c r="K162" s="573"/>
      <c r="L162" s="218">
        <f t="shared" si="11"/>
        <v>0</v>
      </c>
      <c r="M162" s="574"/>
      <c r="N162" s="573"/>
    </row>
    <row r="163" spans="3:14" x14ac:dyDescent="0.2">
      <c r="C163" s="219" t="s">
        <v>335</v>
      </c>
      <c r="D163" s="223">
        <f>SUM(Table2[Test])</f>
        <v>0</v>
      </c>
      <c r="E163" s="219" t="s">
        <v>336</v>
      </c>
      <c r="F163" s="220">
        <f>COUNTA(Table2[Class])</f>
        <v>123</v>
      </c>
      <c r="G163" s="221"/>
      <c r="H163" s="221"/>
      <c r="I163" s="221"/>
      <c r="J163" s="222">
        <f>SUM(J7:J162)</f>
        <v>1006</v>
      </c>
      <c r="K163" s="221"/>
      <c r="L163" s="222">
        <f>SUM(L7:L162)</f>
        <v>3069.49</v>
      </c>
      <c r="M163" s="221"/>
      <c r="N163" s="222">
        <f>SUM(N7:N162)</f>
        <v>72</v>
      </c>
    </row>
  </sheetData>
  <sheetProtection formatCells="0" formatRows="0" insertRows="0"/>
  <mergeCells count="1">
    <mergeCell ref="B2:O2"/>
  </mergeCells>
  <pageMargins left="0.25" right="0.25" top="0.5" bottom="0.5" header="0.3" footer="0.3"/>
  <pageSetup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O94"/>
  <sheetViews>
    <sheetView showGridLines="0" zoomScaleNormal="100" workbookViewId="0">
      <pane ySplit="6" topLeftCell="A7" activePane="bottomLeft" state="frozen"/>
      <selection pane="bottomLeft" activeCell="A7" sqref="A7"/>
    </sheetView>
  </sheetViews>
  <sheetFormatPr defaultColWidth="9.42578125" defaultRowHeight="12.75" x14ac:dyDescent="0.2"/>
  <cols>
    <col min="1" max="1" width="1" style="2" customWidth="1"/>
    <col min="2" max="2" width="1.5703125" style="2" customWidth="1"/>
    <col min="3" max="3" width="11.42578125" style="2" customWidth="1"/>
    <col min="4" max="4" width="8.5703125" style="2" hidden="1" customWidth="1"/>
    <col min="5" max="5" width="11.42578125" style="2" customWidth="1"/>
    <col min="6" max="6" width="16.5703125" style="2" customWidth="1"/>
    <col min="7" max="7" width="27" style="2" customWidth="1"/>
    <col min="8" max="8" width="17.42578125" style="2" customWidth="1"/>
    <col min="9" max="9" width="19" style="2" customWidth="1"/>
    <col min="10" max="10" width="11.42578125" style="2" customWidth="1"/>
    <col min="11" max="12" width="9.5703125" style="2" customWidth="1"/>
    <col min="13" max="13" width="10" style="2" customWidth="1"/>
    <col min="14" max="14" width="10.42578125" style="2" customWidth="1"/>
    <col min="15" max="15" width="2.5703125" style="2" customWidth="1"/>
    <col min="16" max="16" width="1" style="2" customWidth="1"/>
    <col min="17" max="16384" width="9.42578125" style="2"/>
  </cols>
  <sheetData>
    <row r="1" spans="2:15" ht="5.0999999999999996" customHeight="1" thickBot="1" x14ac:dyDescent="0.25"/>
    <row r="2" spans="2:15" ht="38.25" customHeight="1" thickBot="1" x14ac:dyDescent="0.25">
      <c r="B2" s="660" t="s">
        <v>337</v>
      </c>
      <c r="C2" s="660"/>
      <c r="D2" s="660"/>
      <c r="E2" s="660"/>
      <c r="F2" s="660"/>
      <c r="G2" s="660"/>
      <c r="H2" s="660"/>
      <c r="I2" s="660"/>
      <c r="J2" s="660"/>
      <c r="K2" s="660"/>
      <c r="L2" s="660"/>
      <c r="M2" s="660"/>
      <c r="N2" s="660"/>
      <c r="O2" s="660"/>
    </row>
    <row r="3" spans="2:15" ht="45" customHeight="1" x14ac:dyDescent="0.2"/>
    <row r="4" spans="2:15" ht="14.25" customHeight="1" x14ac:dyDescent="0.2">
      <c r="E4" s="194" t="str">
        <f>IF(D94&gt;0,"Incomplete - All required information for each training must be completed.","")</f>
        <v/>
      </c>
    </row>
    <row r="5" spans="2:15" ht="7.5" customHeight="1" x14ac:dyDescent="0.2"/>
    <row r="6" spans="2:15" ht="51" x14ac:dyDescent="0.2">
      <c r="C6" s="216" t="s">
        <v>194</v>
      </c>
      <c r="D6" s="216" t="s">
        <v>195</v>
      </c>
      <c r="E6" s="216" t="s">
        <v>196</v>
      </c>
      <c r="F6" s="216" t="s">
        <v>197</v>
      </c>
      <c r="G6" s="216" t="s">
        <v>198</v>
      </c>
      <c r="H6" s="216" t="s">
        <v>199</v>
      </c>
      <c r="I6" s="216" t="s">
        <v>200</v>
      </c>
      <c r="J6" s="216" t="s">
        <v>201</v>
      </c>
      <c r="K6" s="216" t="s">
        <v>202</v>
      </c>
      <c r="L6" s="216" t="s">
        <v>203</v>
      </c>
      <c r="M6" s="216" t="s">
        <v>204</v>
      </c>
      <c r="N6" s="217" t="s">
        <v>205</v>
      </c>
    </row>
    <row r="7" spans="2:15" x14ac:dyDescent="0.2">
      <c r="C7" s="215">
        <f t="shared" ref="C7:C17" si="0">ROW()-6</f>
        <v>1</v>
      </c>
      <c r="D7" s="14">
        <f>IF(AND(ISBLANK(Table22[[#This Row],[Start Date]]),ISBLANK(Table22[[#This Row],[Class]]),ISBLANK(Table22[[#This Row],[Class Description]]),ISBLANK(Table22[[#This Row],[No. of Attendees
(A)]])),0,IF(OR(ISBLANK(Table22[[#This Row],[Class]]),ISBLANK(Table22[[#This Row],[No. of Attendees
(A)]]),ISBLANK(Table22[[#This Row],[Length of Session
(B)]])),1,0))</f>
        <v>0</v>
      </c>
      <c r="E7" s="575">
        <v>45662</v>
      </c>
      <c r="F7" s="473" t="s">
        <v>338</v>
      </c>
      <c r="G7" s="473" t="s">
        <v>339</v>
      </c>
      <c r="H7" s="473" t="s">
        <v>241</v>
      </c>
      <c r="I7" s="473" t="s">
        <v>228</v>
      </c>
      <c r="J7" s="473">
        <v>2</v>
      </c>
      <c r="K7" s="473">
        <v>0.5</v>
      </c>
      <c r="L7" s="218">
        <f t="shared" ref="L7:L13" si="1">J7*K7</f>
        <v>1</v>
      </c>
      <c r="M7" s="480" t="s">
        <v>217</v>
      </c>
      <c r="N7" s="473">
        <v>0</v>
      </c>
    </row>
    <row r="8" spans="2:15" ht="12.75" customHeight="1" x14ac:dyDescent="0.2">
      <c r="C8" s="215">
        <f t="shared" si="0"/>
        <v>2</v>
      </c>
      <c r="D8" s="14">
        <f>IF(AND(ISBLANK(Table22[[#This Row],[Start Date]]),ISBLANK(Table22[[#This Row],[Class]]),ISBLANK(Table22[[#This Row],[Class Description]]),ISBLANK(Table22[[#This Row],[No. of Attendees
(A)]])),0,IF(OR(ISBLANK(Table22[[#This Row],[Class]]),ISBLANK(Table22[[#This Row],[No. of Attendees
(A)]]),ISBLANK(Table22[[#This Row],[Length of Session
(B)]])),1,0))</f>
        <v>0</v>
      </c>
      <c r="E8" s="575">
        <v>45666</v>
      </c>
      <c r="F8" s="473" t="s">
        <v>340</v>
      </c>
      <c r="G8" s="473" t="s">
        <v>341</v>
      </c>
      <c r="H8" s="473" t="s">
        <v>241</v>
      </c>
      <c r="I8" s="473" t="s">
        <v>222</v>
      </c>
      <c r="J8" s="473">
        <v>141</v>
      </c>
      <c r="K8" s="473">
        <v>0.8</v>
      </c>
      <c r="L8" s="218">
        <f t="shared" si="1"/>
        <v>112.80000000000001</v>
      </c>
      <c r="M8" s="480" t="s">
        <v>210</v>
      </c>
      <c r="N8" s="473">
        <v>141</v>
      </c>
    </row>
    <row r="9" spans="2:15" ht="12.75" customHeight="1" x14ac:dyDescent="0.2">
      <c r="C9" s="215">
        <f t="shared" si="0"/>
        <v>3</v>
      </c>
      <c r="D9" s="14">
        <f>IF(AND(ISBLANK(Table22[[#This Row],[Start Date]]),ISBLANK(Table22[[#This Row],[Class]]),ISBLANK(Table22[[#This Row],[Class Description]]),ISBLANK(Table22[[#This Row],[No. of Attendees
(A)]])),0,IF(OR(ISBLANK(Table22[[#This Row],[Class]]),ISBLANK(Table22[[#This Row],[No. of Attendees
(A)]]),ISBLANK(Table22[[#This Row],[Length of Session
(B)]])),1,0))</f>
        <v>0</v>
      </c>
      <c r="E9" s="575">
        <v>45680</v>
      </c>
      <c r="F9" s="473" t="s">
        <v>342</v>
      </c>
      <c r="G9" s="473" t="s">
        <v>343</v>
      </c>
      <c r="H9" s="473" t="s">
        <v>241</v>
      </c>
      <c r="I9" s="473" t="s">
        <v>222</v>
      </c>
      <c r="J9" s="473">
        <v>128</v>
      </c>
      <c r="K9" s="473">
        <v>1</v>
      </c>
      <c r="L9" s="218">
        <f t="shared" si="1"/>
        <v>128</v>
      </c>
      <c r="M9" s="480" t="s">
        <v>210</v>
      </c>
      <c r="N9" s="473">
        <v>128</v>
      </c>
    </row>
    <row r="10" spans="2:15" x14ac:dyDescent="0.2">
      <c r="C10" s="215">
        <f t="shared" si="0"/>
        <v>4</v>
      </c>
      <c r="D10" s="14">
        <f>IF(AND(ISBLANK(Table22[[#This Row],[Start Date]]),ISBLANK(Table22[[#This Row],[Class]]),ISBLANK(Table22[[#This Row],[Class Description]]),ISBLANK(Table22[[#This Row],[No. of Attendees
(A)]])),0,IF(OR(ISBLANK(Table22[[#This Row],[Class]]),ISBLANK(Table22[[#This Row],[No. of Attendees
(A)]]),ISBLANK(Table22[[#This Row],[Length of Session
(B)]])),1,0))</f>
        <v>0</v>
      </c>
      <c r="E10" s="575">
        <v>45686</v>
      </c>
      <c r="F10" s="473" t="s">
        <v>344</v>
      </c>
      <c r="G10" s="473" t="s">
        <v>345</v>
      </c>
      <c r="H10" s="473" t="s">
        <v>208</v>
      </c>
      <c r="I10" s="473" t="s">
        <v>228</v>
      </c>
      <c r="J10" s="473">
        <v>1</v>
      </c>
      <c r="K10" s="473">
        <v>8</v>
      </c>
      <c r="L10" s="218">
        <f t="shared" si="1"/>
        <v>8</v>
      </c>
      <c r="M10" s="480" t="s">
        <v>217</v>
      </c>
      <c r="N10" s="473">
        <v>0</v>
      </c>
    </row>
    <row r="11" spans="2:15" x14ac:dyDescent="0.2">
      <c r="C11" s="215">
        <f t="shared" si="0"/>
        <v>5</v>
      </c>
      <c r="D11" s="14">
        <f>IF(AND(ISBLANK(Table22[[#This Row],[Start Date]]),ISBLANK(Table22[[#This Row],[Class]]),ISBLANK(Table22[[#This Row],[Class Description]]),ISBLANK(Table22[[#This Row],[No. of Attendees
(A)]])),0,IF(OR(ISBLANK(Table22[[#This Row],[Class]]),ISBLANK(Table22[[#This Row],[No. of Attendees
(A)]]),ISBLANK(Table22[[#This Row],[Length of Session
(B)]])),1,0))</f>
        <v>0</v>
      </c>
      <c r="E11" s="575">
        <v>45691</v>
      </c>
      <c r="F11" s="473" t="s">
        <v>346</v>
      </c>
      <c r="G11" s="473" t="s">
        <v>345</v>
      </c>
      <c r="H11" s="473" t="s">
        <v>208</v>
      </c>
      <c r="I11" s="473" t="s">
        <v>228</v>
      </c>
      <c r="J11" s="473">
        <v>3</v>
      </c>
      <c r="K11" s="473">
        <v>1</v>
      </c>
      <c r="L11" s="218">
        <f t="shared" si="1"/>
        <v>3</v>
      </c>
      <c r="M11" s="480" t="s">
        <v>217</v>
      </c>
      <c r="N11" s="473">
        <v>0</v>
      </c>
    </row>
    <row r="12" spans="2:15" x14ac:dyDescent="0.2">
      <c r="C12" s="215">
        <f t="shared" si="0"/>
        <v>6</v>
      </c>
      <c r="D12" s="14">
        <f>IF(AND(ISBLANK(Table22[[#This Row],[Start Date]]),ISBLANK(Table22[[#This Row],[Class]]),ISBLANK(Table22[[#This Row],[Class Description]]),ISBLANK(Table22[[#This Row],[No. of Attendees
(A)]])),0,IF(OR(ISBLANK(Table22[[#This Row],[Class]]),ISBLANK(Table22[[#This Row],[No. of Attendees
(A)]]),ISBLANK(Table22[[#This Row],[Length of Session
(B)]])),1,0))</f>
        <v>0</v>
      </c>
      <c r="E12" s="575">
        <v>45694</v>
      </c>
      <c r="F12" s="473" t="s">
        <v>347</v>
      </c>
      <c r="G12" s="473" t="s">
        <v>348</v>
      </c>
      <c r="H12" s="473" t="s">
        <v>241</v>
      </c>
      <c r="I12" s="473" t="s">
        <v>222</v>
      </c>
      <c r="J12" s="473">
        <v>140</v>
      </c>
      <c r="K12" s="473">
        <v>1</v>
      </c>
      <c r="L12" s="218">
        <f t="shared" si="1"/>
        <v>140</v>
      </c>
      <c r="M12" s="480" t="s">
        <v>210</v>
      </c>
      <c r="N12" s="473">
        <v>7</v>
      </c>
    </row>
    <row r="13" spans="2:15" x14ac:dyDescent="0.2">
      <c r="C13" s="215">
        <f t="shared" si="0"/>
        <v>7</v>
      </c>
      <c r="D13" s="14">
        <f>IF(AND(ISBLANK(Table22[[#This Row],[Start Date]]),ISBLANK(Table22[[#This Row],[Class]]),ISBLANK(Table22[[#This Row],[Class Description]]),ISBLANK(Table22[[#This Row],[No. of Attendees
(A)]])),0,IF(OR(ISBLANK(Table22[[#This Row],[Class]]),ISBLANK(Table22[[#This Row],[No. of Attendees
(A)]]),ISBLANK(Table22[[#This Row],[Length of Session
(B)]])),1,0))</f>
        <v>0</v>
      </c>
      <c r="E13" s="575">
        <v>45705</v>
      </c>
      <c r="F13" s="473" t="s">
        <v>349</v>
      </c>
      <c r="G13" s="473" t="s">
        <v>350</v>
      </c>
      <c r="H13" s="473" t="s">
        <v>208</v>
      </c>
      <c r="I13" s="473" t="s">
        <v>228</v>
      </c>
      <c r="J13" s="473">
        <v>5</v>
      </c>
      <c r="K13" s="473">
        <v>0.5</v>
      </c>
      <c r="L13" s="218">
        <f t="shared" si="1"/>
        <v>2.5</v>
      </c>
      <c r="M13" s="480" t="s">
        <v>217</v>
      </c>
      <c r="N13" s="473">
        <v>0</v>
      </c>
    </row>
    <row r="14" spans="2:15" x14ac:dyDescent="0.2">
      <c r="C14" s="215">
        <f>ROW()-6</f>
        <v>8</v>
      </c>
      <c r="D14" s="14">
        <f>IF(AND(ISBLANK(Table22[[#This Row],[Start Date]]),ISBLANK(Table22[[#This Row],[Class]]),ISBLANK(Table22[[#This Row],[Class Description]]),ISBLANK(Table22[[#This Row],[No. of Attendees
(A)]])),0,IF(OR(ISBLANK(Table22[[#This Row],[Class]]),ISBLANK(Table22[[#This Row],[No. of Attendees
(A)]]),ISBLANK(Table22[[#This Row],[Length of Session
(B)]])),1,0))</f>
        <v>0</v>
      </c>
      <c r="E14" s="575">
        <v>45708</v>
      </c>
      <c r="F14" s="473" t="s">
        <v>351</v>
      </c>
      <c r="G14" s="473" t="s">
        <v>352</v>
      </c>
      <c r="H14" s="473" t="s">
        <v>241</v>
      </c>
      <c r="I14" s="473" t="s">
        <v>222</v>
      </c>
      <c r="J14" s="473">
        <v>156</v>
      </c>
      <c r="K14" s="473">
        <v>1</v>
      </c>
      <c r="L14" s="218">
        <f>J14*K14</f>
        <v>156</v>
      </c>
      <c r="M14" s="480" t="s">
        <v>210</v>
      </c>
      <c r="N14" s="473">
        <v>156</v>
      </c>
    </row>
    <row r="15" spans="2:15" x14ac:dyDescent="0.2">
      <c r="C15" s="215">
        <f>ROW()-6</f>
        <v>9</v>
      </c>
      <c r="D15" s="14">
        <f>IF(AND(ISBLANK(Table22[[#This Row],[Start Date]]),ISBLANK(Table22[[#This Row],[Class]]),ISBLANK(Table22[[#This Row],[Class Description]]),ISBLANK(Table22[[#This Row],[No. of Attendees
(A)]])),0,IF(OR(ISBLANK(Table22[[#This Row],[Class]]),ISBLANK(Table22[[#This Row],[No. of Attendees
(A)]]),ISBLANK(Table22[[#This Row],[Length of Session
(B)]])),1,0))</f>
        <v>0</v>
      </c>
      <c r="E15" s="575">
        <v>45712</v>
      </c>
      <c r="F15" s="473" t="s">
        <v>353</v>
      </c>
      <c r="G15" s="473" t="s">
        <v>345</v>
      </c>
      <c r="H15" s="473" t="s">
        <v>208</v>
      </c>
      <c r="I15" s="473" t="s">
        <v>228</v>
      </c>
      <c r="J15" s="473">
        <v>1</v>
      </c>
      <c r="K15" s="473">
        <v>1</v>
      </c>
      <c r="L15" s="218">
        <f>J15*K15</f>
        <v>1</v>
      </c>
      <c r="M15" s="480" t="s">
        <v>217</v>
      </c>
      <c r="N15" s="473">
        <v>0</v>
      </c>
    </row>
    <row r="16" spans="2:15" x14ac:dyDescent="0.2">
      <c r="C16" s="215">
        <f>ROW()-6</f>
        <v>10</v>
      </c>
      <c r="D16" s="14">
        <f>IF(AND(ISBLANK(Table22[[#This Row],[Start Date]]),ISBLANK(Table22[[#This Row],[Class]]),ISBLANK(Table22[[#This Row],[Class Description]]),ISBLANK(Table22[[#This Row],[No. of Attendees
(A)]])),0,IF(OR(ISBLANK(Table22[[#This Row],[Class]]),ISBLANK(Table22[[#This Row],[No. of Attendees
(A)]]),ISBLANK(Table22[[#This Row],[Length of Session
(B)]])),1,0))</f>
        <v>0</v>
      </c>
      <c r="E16" s="576">
        <v>45722</v>
      </c>
      <c r="F16" s="473" t="s">
        <v>354</v>
      </c>
      <c r="G16" s="473" t="s">
        <v>354</v>
      </c>
      <c r="H16" s="473" t="s">
        <v>241</v>
      </c>
      <c r="I16" s="473" t="s">
        <v>222</v>
      </c>
      <c r="J16" s="473">
        <v>170</v>
      </c>
      <c r="K16" s="473">
        <v>0.8</v>
      </c>
      <c r="L16" s="218">
        <f>J16*K16</f>
        <v>136</v>
      </c>
      <c r="M16" s="480" t="s">
        <v>210</v>
      </c>
      <c r="N16" s="473">
        <v>170</v>
      </c>
    </row>
    <row r="17" spans="3:14" x14ac:dyDescent="0.2">
      <c r="C17" s="215">
        <f t="shared" si="0"/>
        <v>11</v>
      </c>
      <c r="D17" s="14">
        <f>IF(AND(ISBLANK(Table22[[#This Row],[Start Date]]),ISBLANK(Table22[[#This Row],[Class]]),ISBLANK(Table22[[#This Row],[Class Description]]),ISBLANK(Table22[[#This Row],[No. of Attendees
(A)]])),0,IF(OR(ISBLANK(Table22[[#This Row],[Class]]),ISBLANK(Table22[[#This Row],[No. of Attendees
(A)]]),ISBLANK(Table22[[#This Row],[Length of Session
(B)]])),1,0))</f>
        <v>0</v>
      </c>
      <c r="E17" s="575">
        <v>45733</v>
      </c>
      <c r="F17" s="473" t="s">
        <v>355</v>
      </c>
      <c r="G17" s="473" t="s">
        <v>356</v>
      </c>
      <c r="H17" s="473" t="s">
        <v>208</v>
      </c>
      <c r="I17" s="473" t="s">
        <v>228</v>
      </c>
      <c r="J17" s="473">
        <v>5</v>
      </c>
      <c r="K17" s="473">
        <v>0.5</v>
      </c>
      <c r="L17" s="218">
        <f>J17*K17</f>
        <v>2.5</v>
      </c>
      <c r="M17" s="480" t="s">
        <v>217</v>
      </c>
      <c r="N17" s="473">
        <v>0</v>
      </c>
    </row>
    <row r="18" spans="3:14" x14ac:dyDescent="0.2">
      <c r="C18" s="215">
        <f t="shared" ref="C18:C49" si="2">ROW()-6</f>
        <v>12</v>
      </c>
      <c r="D18" s="14">
        <f>IF(AND(ISBLANK(Table22[[#This Row],[Start Date]]),ISBLANK(Table22[[#This Row],[Class]]),ISBLANK(Table22[[#This Row],[Class Description]]),ISBLANK(Table22[[#This Row],[No. of Attendees
(A)]])),0,IF(OR(ISBLANK(Table22[[#This Row],[Class]]),ISBLANK(Table22[[#This Row],[No. of Attendees
(A)]]),ISBLANK(Table22[[#This Row],[Length of Session
(B)]])),1,0))</f>
        <v>0</v>
      </c>
      <c r="E18" s="575">
        <v>45743</v>
      </c>
      <c r="F18" s="473" t="s">
        <v>357</v>
      </c>
      <c r="G18" s="473" t="s">
        <v>358</v>
      </c>
      <c r="H18" s="473" t="s">
        <v>241</v>
      </c>
      <c r="I18" s="473" t="s">
        <v>222</v>
      </c>
      <c r="J18" s="473">
        <v>174</v>
      </c>
      <c r="K18" s="473">
        <v>1</v>
      </c>
      <c r="L18" s="218">
        <f t="shared" ref="L18:L49" si="3">J18*K18</f>
        <v>174</v>
      </c>
      <c r="M18" s="480" t="s">
        <v>210</v>
      </c>
      <c r="N18" s="473">
        <v>174</v>
      </c>
    </row>
    <row r="19" spans="3:14" x14ac:dyDescent="0.2">
      <c r="C19" s="215">
        <f t="shared" si="2"/>
        <v>13</v>
      </c>
      <c r="D19" s="14">
        <f>IF(AND(ISBLANK(Table22[[#This Row],[Start Date]]),ISBLANK(Table22[[#This Row],[Class]]),ISBLANK(Table22[[#This Row],[Class Description]]),ISBLANK(Table22[[#This Row],[No. of Attendees
(A)]])),0,IF(OR(ISBLANK(Table22[[#This Row],[Class]]),ISBLANK(Table22[[#This Row],[No. of Attendees
(A)]]),ISBLANK(Table22[[#This Row],[Length of Session
(B)]])),1,0))</f>
        <v>0</v>
      </c>
      <c r="E19" s="575">
        <v>45757</v>
      </c>
      <c r="F19" s="473" t="s">
        <v>359</v>
      </c>
      <c r="G19" s="473" t="s">
        <v>360</v>
      </c>
      <c r="H19" s="473" t="s">
        <v>241</v>
      </c>
      <c r="I19" s="473" t="s">
        <v>222</v>
      </c>
      <c r="J19" s="473">
        <v>157</v>
      </c>
      <c r="K19" s="473">
        <v>0.75</v>
      </c>
      <c r="L19" s="218">
        <f t="shared" si="3"/>
        <v>117.75</v>
      </c>
      <c r="M19" s="480" t="s">
        <v>210</v>
      </c>
      <c r="N19" s="473">
        <v>157</v>
      </c>
    </row>
    <row r="20" spans="3:14" x14ac:dyDescent="0.2">
      <c r="C20" s="215">
        <f t="shared" si="2"/>
        <v>14</v>
      </c>
      <c r="D20" s="14">
        <f>IF(AND(ISBLANK(Table22[[#This Row],[Start Date]]),ISBLANK(Table22[[#This Row],[Class]]),ISBLANK(Table22[[#This Row],[Class Description]]),ISBLANK(Table22[[#This Row],[No. of Attendees
(A)]])),0,IF(OR(ISBLANK(Table22[[#This Row],[Class]]),ISBLANK(Table22[[#This Row],[No. of Attendees
(A)]]),ISBLANK(Table22[[#This Row],[Length of Session
(B)]])),1,0))</f>
        <v>0</v>
      </c>
      <c r="E20" s="575">
        <v>45764</v>
      </c>
      <c r="F20" s="473" t="s">
        <v>361</v>
      </c>
      <c r="G20" s="473" t="s">
        <v>361</v>
      </c>
      <c r="H20" s="473" t="s">
        <v>241</v>
      </c>
      <c r="I20" s="473" t="s">
        <v>222</v>
      </c>
      <c r="J20" s="473">
        <v>161</v>
      </c>
      <c r="K20" s="473">
        <v>1</v>
      </c>
      <c r="L20" s="218">
        <f t="shared" si="3"/>
        <v>161</v>
      </c>
      <c r="M20" s="480" t="s">
        <v>210</v>
      </c>
      <c r="N20" s="473">
        <v>161</v>
      </c>
    </row>
    <row r="21" spans="3:14" x14ac:dyDescent="0.2">
      <c r="C21" s="215">
        <f t="shared" si="2"/>
        <v>15</v>
      </c>
      <c r="D21" s="14">
        <f>IF(AND(ISBLANK(Table22[[#This Row],[Start Date]]),ISBLANK(Table22[[#This Row],[Class]]),ISBLANK(Table22[[#This Row],[Class Description]]),ISBLANK(Table22[[#This Row],[No. of Attendees
(A)]])),0,IF(OR(ISBLANK(Table22[[#This Row],[Class]]),ISBLANK(Table22[[#This Row],[No. of Attendees
(A)]]),ISBLANK(Table22[[#This Row],[Length of Session
(B)]])),1,0))</f>
        <v>0</v>
      </c>
      <c r="E21" s="575">
        <v>45768</v>
      </c>
      <c r="F21" s="473" t="s">
        <v>362</v>
      </c>
      <c r="G21" s="473" t="s">
        <v>363</v>
      </c>
      <c r="H21" s="473" t="s">
        <v>241</v>
      </c>
      <c r="I21" s="473" t="s">
        <v>216</v>
      </c>
      <c r="J21" s="473">
        <v>1</v>
      </c>
      <c r="K21" s="473">
        <v>2</v>
      </c>
      <c r="L21" s="218">
        <f t="shared" si="3"/>
        <v>2</v>
      </c>
      <c r="M21" s="480" t="s">
        <v>210</v>
      </c>
      <c r="N21" s="473">
        <v>1</v>
      </c>
    </row>
    <row r="22" spans="3:14" x14ac:dyDescent="0.2">
      <c r="C22" s="215">
        <f t="shared" si="2"/>
        <v>16</v>
      </c>
      <c r="D22" s="14">
        <f>IF(AND(ISBLANK(Table22[[#This Row],[Start Date]]),ISBLANK(Table22[[#This Row],[Class]]),ISBLANK(Table22[[#This Row],[Class Description]]),ISBLANK(Table22[[#This Row],[No. of Attendees
(A)]])),0,IF(OR(ISBLANK(Table22[[#This Row],[Class]]),ISBLANK(Table22[[#This Row],[No. of Attendees
(A)]]),ISBLANK(Table22[[#This Row],[Length of Session
(B)]])),1,0))</f>
        <v>0</v>
      </c>
      <c r="E22" s="575">
        <v>45778</v>
      </c>
      <c r="F22" s="473" t="s">
        <v>364</v>
      </c>
      <c r="G22" s="473" t="s">
        <v>365</v>
      </c>
      <c r="H22" s="473" t="s">
        <v>241</v>
      </c>
      <c r="I22" s="473" t="s">
        <v>222</v>
      </c>
      <c r="J22" s="473">
        <v>156</v>
      </c>
      <c r="K22" s="473">
        <v>1</v>
      </c>
      <c r="L22" s="218">
        <f t="shared" si="3"/>
        <v>156</v>
      </c>
      <c r="M22" s="480" t="s">
        <v>210</v>
      </c>
      <c r="N22" s="473">
        <v>156</v>
      </c>
    </row>
    <row r="23" spans="3:14" x14ac:dyDescent="0.2">
      <c r="C23" s="215">
        <f t="shared" si="2"/>
        <v>17</v>
      </c>
      <c r="D23" s="14">
        <f>IF(AND(ISBLANK(Table22[[#This Row],[Start Date]]),ISBLANK(Table22[[#This Row],[Class]]),ISBLANK(Table22[[#This Row],[Class Description]]),ISBLANK(Table22[[#This Row],[No. of Attendees
(A)]])),0,IF(OR(ISBLANK(Table22[[#This Row],[Class]]),ISBLANK(Table22[[#This Row],[No. of Attendees
(A)]]),ISBLANK(Table22[[#This Row],[Length of Session
(B)]])),1,0))</f>
        <v>0</v>
      </c>
      <c r="E23" s="575">
        <v>45789</v>
      </c>
      <c r="F23" s="473" t="s">
        <v>366</v>
      </c>
      <c r="G23" s="473" t="s">
        <v>367</v>
      </c>
      <c r="H23" s="473" t="s">
        <v>208</v>
      </c>
      <c r="I23" s="473" t="s">
        <v>228</v>
      </c>
      <c r="J23" s="473">
        <v>1</v>
      </c>
      <c r="K23" s="473">
        <v>0.5</v>
      </c>
      <c r="L23" s="218">
        <f t="shared" si="3"/>
        <v>0.5</v>
      </c>
      <c r="M23" s="480" t="s">
        <v>217</v>
      </c>
      <c r="N23" s="473">
        <v>0</v>
      </c>
    </row>
    <row r="24" spans="3:14" x14ac:dyDescent="0.2">
      <c r="C24" s="215">
        <f t="shared" si="2"/>
        <v>18</v>
      </c>
      <c r="D24" s="14">
        <f>IF(AND(ISBLANK(Table22[[#This Row],[Start Date]]),ISBLANK(Table22[[#This Row],[Class]]),ISBLANK(Table22[[#This Row],[Class Description]]),ISBLANK(Table22[[#This Row],[No. of Attendees
(A)]])),0,IF(OR(ISBLANK(Table22[[#This Row],[Class]]),ISBLANK(Table22[[#This Row],[No. of Attendees
(A)]]),ISBLANK(Table22[[#This Row],[Length of Session
(B)]])),1,0))</f>
        <v>0</v>
      </c>
      <c r="E24" s="575">
        <v>45792</v>
      </c>
      <c r="F24" s="473" t="s">
        <v>368</v>
      </c>
      <c r="G24" s="473" t="s">
        <v>368</v>
      </c>
      <c r="H24" s="473" t="s">
        <v>241</v>
      </c>
      <c r="I24" s="473" t="s">
        <v>222</v>
      </c>
      <c r="J24" s="473">
        <v>171</v>
      </c>
      <c r="K24" s="473">
        <v>1</v>
      </c>
      <c r="L24" s="218">
        <f t="shared" si="3"/>
        <v>171</v>
      </c>
      <c r="M24" s="480" t="s">
        <v>210</v>
      </c>
      <c r="N24" s="473">
        <v>171</v>
      </c>
    </row>
    <row r="25" spans="3:14" x14ac:dyDescent="0.2">
      <c r="C25" s="215">
        <f t="shared" si="2"/>
        <v>19</v>
      </c>
      <c r="D25" s="14">
        <f>IF(AND(ISBLANK(Table22[[#This Row],[Start Date]]),ISBLANK(Table22[[#This Row],[Class]]),ISBLANK(Table22[[#This Row],[Class Description]]),ISBLANK(Table22[[#This Row],[No. of Attendees
(A)]])),0,IF(OR(ISBLANK(Table22[[#This Row],[Class]]),ISBLANK(Table22[[#This Row],[No. of Attendees
(A)]]),ISBLANK(Table22[[#This Row],[Length of Session
(B)]])),1,0))</f>
        <v>0</v>
      </c>
      <c r="E25" s="575">
        <v>45806</v>
      </c>
      <c r="F25" s="473" t="s">
        <v>369</v>
      </c>
      <c r="G25" s="473" t="s">
        <v>370</v>
      </c>
      <c r="H25" s="473" t="s">
        <v>241</v>
      </c>
      <c r="I25" s="473" t="s">
        <v>222</v>
      </c>
      <c r="J25" s="473">
        <v>161</v>
      </c>
      <c r="K25" s="473">
        <v>0.8</v>
      </c>
      <c r="L25" s="218">
        <f t="shared" si="3"/>
        <v>128.80000000000001</v>
      </c>
      <c r="M25" s="480" t="s">
        <v>210</v>
      </c>
      <c r="N25" s="473">
        <v>161</v>
      </c>
    </row>
    <row r="26" spans="3:14" x14ac:dyDescent="0.2">
      <c r="C26" s="215">
        <f t="shared" si="2"/>
        <v>20</v>
      </c>
      <c r="D26" s="14">
        <f>IF(AND(ISBLANK(Table22[[#This Row],[Start Date]]),ISBLANK(Table22[[#This Row],[Class]]),ISBLANK(Table22[[#This Row],[Class Description]]),ISBLANK(Table22[[#This Row],[No. of Attendees
(A)]])),0,IF(OR(ISBLANK(Table22[[#This Row],[Class]]),ISBLANK(Table22[[#This Row],[No. of Attendees
(A)]]),ISBLANK(Table22[[#This Row],[Length of Session
(B)]])),1,0))</f>
        <v>0</v>
      </c>
      <c r="E26" s="576">
        <v>45824</v>
      </c>
      <c r="F26" s="473" t="s">
        <v>371</v>
      </c>
      <c r="G26" s="473" t="s">
        <v>345</v>
      </c>
      <c r="H26" s="473" t="s">
        <v>241</v>
      </c>
      <c r="I26" s="473" t="s">
        <v>228</v>
      </c>
      <c r="J26" s="473">
        <v>2</v>
      </c>
      <c r="K26" s="473">
        <v>0.5</v>
      </c>
      <c r="L26" s="218">
        <f t="shared" si="3"/>
        <v>1</v>
      </c>
      <c r="M26" s="480" t="s">
        <v>217</v>
      </c>
      <c r="N26" s="473">
        <v>0</v>
      </c>
    </row>
    <row r="27" spans="3:14" x14ac:dyDescent="0.2">
      <c r="C27" s="215">
        <f t="shared" si="2"/>
        <v>21</v>
      </c>
      <c r="D27" s="14">
        <f>IF(AND(ISBLANK(Table22[[#This Row],[Start Date]]),ISBLANK(Table22[[#This Row],[Class]]),ISBLANK(Table22[[#This Row],[Class Description]]),ISBLANK(Table22[[#This Row],[No. of Attendees
(A)]])),0,IF(OR(ISBLANK(Table22[[#This Row],[Class]]),ISBLANK(Table22[[#This Row],[No. of Attendees
(A)]]),ISBLANK(Table22[[#This Row],[Length of Session
(B)]])),1,0))</f>
        <v>0</v>
      </c>
      <c r="E27" s="575">
        <v>45827</v>
      </c>
      <c r="F27" s="473" t="s">
        <v>372</v>
      </c>
      <c r="G27" s="473" t="s">
        <v>373</v>
      </c>
      <c r="H27" s="473" t="s">
        <v>241</v>
      </c>
      <c r="I27" s="473" t="s">
        <v>222</v>
      </c>
      <c r="J27" s="473">
        <v>118</v>
      </c>
      <c r="K27" s="473">
        <v>0.8</v>
      </c>
      <c r="L27" s="218">
        <f t="shared" si="3"/>
        <v>94.4</v>
      </c>
      <c r="M27" s="480" t="s">
        <v>210</v>
      </c>
      <c r="N27" s="473">
        <v>118</v>
      </c>
    </row>
    <row r="28" spans="3:14" x14ac:dyDescent="0.2">
      <c r="C28" s="215">
        <f t="shared" si="2"/>
        <v>22</v>
      </c>
      <c r="D28" s="14">
        <f>IF(AND(ISBLANK(Table22[[#This Row],[Start Date]]),ISBLANK(Table22[[#This Row],[Class]]),ISBLANK(Table22[[#This Row],[Class Description]]),ISBLANK(Table22[[#This Row],[No. of Attendees
(A)]])),0,IF(OR(ISBLANK(Table22[[#This Row],[Class]]),ISBLANK(Table22[[#This Row],[No. of Attendees
(A)]]),ISBLANK(Table22[[#This Row],[Length of Session
(B)]])),1,0))</f>
        <v>0</v>
      </c>
      <c r="E28" s="575">
        <v>45834</v>
      </c>
      <c r="F28" s="473" t="s">
        <v>374</v>
      </c>
      <c r="G28" s="473" t="s">
        <v>375</v>
      </c>
      <c r="H28" s="473" t="s">
        <v>241</v>
      </c>
      <c r="I28" s="473" t="s">
        <v>222</v>
      </c>
      <c r="J28" s="473">
        <v>155</v>
      </c>
      <c r="K28" s="473">
        <v>1</v>
      </c>
      <c r="L28" s="218">
        <f t="shared" si="3"/>
        <v>155</v>
      </c>
      <c r="M28" s="480" t="s">
        <v>210</v>
      </c>
      <c r="N28" s="473">
        <v>155</v>
      </c>
    </row>
    <row r="29" spans="3:14" x14ac:dyDescent="0.2">
      <c r="C29" s="215">
        <f t="shared" si="2"/>
        <v>23</v>
      </c>
      <c r="D29" s="14">
        <f>IF(AND(ISBLANK(Table22[[#This Row],[Start Date]]),ISBLANK(Table22[[#This Row],[Class]]),ISBLANK(Table22[[#This Row],[Class Description]]),ISBLANK(Table22[[#This Row],[No. of Attendees
(A)]])),0,IF(OR(ISBLANK(Table22[[#This Row],[Class]]),ISBLANK(Table22[[#This Row],[No. of Attendees
(A)]]),ISBLANK(Table22[[#This Row],[Length of Session
(B)]])),1,0))</f>
        <v>0</v>
      </c>
      <c r="E29" s="575">
        <v>45839</v>
      </c>
      <c r="F29" s="473" t="s">
        <v>376</v>
      </c>
      <c r="G29" s="473" t="s">
        <v>377</v>
      </c>
      <c r="H29" s="473" t="s">
        <v>208</v>
      </c>
      <c r="I29" s="473" t="s">
        <v>228</v>
      </c>
      <c r="J29" s="473">
        <v>5</v>
      </c>
      <c r="K29" s="473">
        <v>0.5</v>
      </c>
      <c r="L29" s="218">
        <f t="shared" si="3"/>
        <v>2.5</v>
      </c>
      <c r="M29" s="480" t="s">
        <v>217</v>
      </c>
      <c r="N29" s="473">
        <v>0</v>
      </c>
    </row>
    <row r="30" spans="3:14" x14ac:dyDescent="0.2">
      <c r="C30" s="215">
        <f t="shared" si="2"/>
        <v>24</v>
      </c>
      <c r="D30" s="14">
        <f>IF(AND(ISBLANK(Table22[[#This Row],[Start Date]]),ISBLANK(Table22[[#This Row],[Class]]),ISBLANK(Table22[[#This Row],[Class Description]]),ISBLANK(Table22[[#This Row],[No. of Attendees
(A)]])),0,IF(OR(ISBLANK(Table22[[#This Row],[Class]]),ISBLANK(Table22[[#This Row],[No. of Attendees
(A)]]),ISBLANK(Table22[[#This Row],[Length of Session
(B)]])),1,0))</f>
        <v>0</v>
      </c>
      <c r="E30" s="576">
        <v>45848</v>
      </c>
      <c r="F30" s="473" t="s">
        <v>378</v>
      </c>
      <c r="G30" s="473" t="s">
        <v>348</v>
      </c>
      <c r="H30" s="473" t="s">
        <v>241</v>
      </c>
      <c r="I30" s="473" t="s">
        <v>222</v>
      </c>
      <c r="J30" s="473">
        <v>161</v>
      </c>
      <c r="K30" s="473">
        <v>1</v>
      </c>
      <c r="L30" s="218">
        <f t="shared" si="3"/>
        <v>161</v>
      </c>
      <c r="M30" s="480" t="s">
        <v>210</v>
      </c>
      <c r="N30" s="473">
        <v>2</v>
      </c>
    </row>
    <row r="31" spans="3:14" x14ac:dyDescent="0.2">
      <c r="C31" s="215">
        <f t="shared" si="2"/>
        <v>25</v>
      </c>
      <c r="D31" s="14">
        <f>IF(AND(ISBLANK(Table22[[#This Row],[Start Date]]),ISBLANK(Table22[[#This Row],[Class]]),ISBLANK(Table22[[#This Row],[Class Description]]),ISBLANK(Table22[[#This Row],[No. of Attendees
(A)]])),0,IF(OR(ISBLANK(Table22[[#This Row],[Class]]),ISBLANK(Table22[[#This Row],[No. of Attendees
(A)]]),ISBLANK(Table22[[#This Row],[Length of Session
(B)]])),1,0))</f>
        <v>0</v>
      </c>
      <c r="E31" s="576">
        <v>45861</v>
      </c>
      <c r="F31" s="473" t="s">
        <v>379</v>
      </c>
      <c r="G31" s="473" t="s">
        <v>380</v>
      </c>
      <c r="H31" s="473" t="s">
        <v>241</v>
      </c>
      <c r="I31" s="473" t="s">
        <v>216</v>
      </c>
      <c r="J31" s="473">
        <v>14</v>
      </c>
      <c r="K31" s="473">
        <v>1.5</v>
      </c>
      <c r="L31" s="218">
        <f t="shared" si="3"/>
        <v>21</v>
      </c>
      <c r="M31" s="480" t="s">
        <v>217</v>
      </c>
      <c r="N31" s="473">
        <v>0</v>
      </c>
    </row>
    <row r="32" spans="3:14" x14ac:dyDescent="0.2">
      <c r="C32" s="215">
        <f t="shared" si="2"/>
        <v>26</v>
      </c>
      <c r="D32" s="14">
        <f>IF(AND(ISBLANK(Table22[[#This Row],[Start Date]]),ISBLANK(Table22[[#This Row],[Class]]),ISBLANK(Table22[[#This Row],[Class Description]]),ISBLANK(Table22[[#This Row],[No. of Attendees
(A)]])),0,IF(OR(ISBLANK(Table22[[#This Row],[Class]]),ISBLANK(Table22[[#This Row],[No. of Attendees
(A)]]),ISBLANK(Table22[[#This Row],[Length of Session
(B)]])),1,0))</f>
        <v>0</v>
      </c>
      <c r="E32" s="575">
        <v>45863</v>
      </c>
      <c r="F32" s="473" t="s">
        <v>379</v>
      </c>
      <c r="G32" s="473" t="s">
        <v>380</v>
      </c>
      <c r="H32" s="473" t="s">
        <v>241</v>
      </c>
      <c r="I32" s="473" t="s">
        <v>216</v>
      </c>
      <c r="J32" s="473">
        <v>14</v>
      </c>
      <c r="K32" s="473">
        <v>1.5</v>
      </c>
      <c r="L32" s="218">
        <f t="shared" si="3"/>
        <v>21</v>
      </c>
      <c r="M32" s="480" t="s">
        <v>217</v>
      </c>
      <c r="N32" s="473">
        <v>0</v>
      </c>
    </row>
    <row r="33" spans="3:14" x14ac:dyDescent="0.2">
      <c r="C33" s="215">
        <f t="shared" si="2"/>
        <v>27</v>
      </c>
      <c r="D33" s="14">
        <f>IF(AND(ISBLANK(Table22[[#This Row],[Start Date]]),ISBLANK(Table22[[#This Row],[Class]]),ISBLANK(Table22[[#This Row],[Class Description]]),ISBLANK(Table22[[#This Row],[No. of Attendees
(A)]])),0,IF(OR(ISBLANK(Table22[[#This Row],[Class]]),ISBLANK(Table22[[#This Row],[No. of Attendees
(A)]]),ISBLANK(Table22[[#This Row],[Length of Session
(B)]])),1,0))</f>
        <v>0</v>
      </c>
      <c r="E33" s="575">
        <v>45869</v>
      </c>
      <c r="F33" s="473" t="s">
        <v>381</v>
      </c>
      <c r="G33" s="473" t="s">
        <v>381</v>
      </c>
      <c r="H33" s="473" t="s">
        <v>241</v>
      </c>
      <c r="I33" s="473" t="s">
        <v>222</v>
      </c>
      <c r="J33" s="473">
        <v>173</v>
      </c>
      <c r="K33" s="473">
        <v>1</v>
      </c>
      <c r="L33" s="218">
        <f t="shared" si="3"/>
        <v>173</v>
      </c>
      <c r="M33" s="480" t="s">
        <v>210</v>
      </c>
      <c r="N33" s="473">
        <v>173</v>
      </c>
    </row>
    <row r="34" spans="3:14" x14ac:dyDescent="0.2">
      <c r="C34" s="215">
        <f t="shared" si="2"/>
        <v>28</v>
      </c>
      <c r="D34" s="14">
        <f>IF(AND(ISBLANK(Table22[[#This Row],[Start Date]]),ISBLANK(Table22[[#This Row],[Class]]),ISBLANK(Table22[[#This Row],[Class Description]]),ISBLANK(Table22[[#This Row],[No. of Attendees
(A)]])),0,IF(OR(ISBLANK(Table22[[#This Row],[Class]]),ISBLANK(Table22[[#This Row],[No. of Attendees
(A)]]),ISBLANK(Table22[[#This Row],[Length of Session
(B)]])),1,0))</f>
        <v>0</v>
      </c>
      <c r="E34" s="575">
        <v>45876</v>
      </c>
      <c r="F34" s="473" t="s">
        <v>379</v>
      </c>
      <c r="G34" s="473" t="s">
        <v>380</v>
      </c>
      <c r="H34" s="473" t="s">
        <v>241</v>
      </c>
      <c r="I34" s="473" t="s">
        <v>216</v>
      </c>
      <c r="J34" s="473">
        <v>14</v>
      </c>
      <c r="K34" s="473">
        <v>1.5</v>
      </c>
      <c r="L34" s="218">
        <f t="shared" si="3"/>
        <v>21</v>
      </c>
      <c r="M34" s="480" t="s">
        <v>217</v>
      </c>
      <c r="N34" s="473">
        <v>0</v>
      </c>
    </row>
    <row r="35" spans="3:14" x14ac:dyDescent="0.2">
      <c r="C35" s="215">
        <f t="shared" si="2"/>
        <v>29</v>
      </c>
      <c r="D35" s="14">
        <f>IF(AND(ISBLANK(Table22[[#This Row],[Start Date]]),ISBLANK(Table22[[#This Row],[Class]]),ISBLANK(Table22[[#This Row],[Class Description]]),ISBLANK(Table22[[#This Row],[No. of Attendees
(A)]])),0,IF(OR(ISBLANK(Table22[[#This Row],[Class]]),ISBLANK(Table22[[#This Row],[No. of Attendees
(A)]]),ISBLANK(Table22[[#This Row],[Length of Session
(B)]])),1,0))</f>
        <v>0</v>
      </c>
      <c r="E35" s="575">
        <v>45883</v>
      </c>
      <c r="F35" s="473" t="s">
        <v>382</v>
      </c>
      <c r="G35" s="473" t="s">
        <v>348</v>
      </c>
      <c r="H35" s="473" t="s">
        <v>241</v>
      </c>
      <c r="I35" s="473" t="s">
        <v>222</v>
      </c>
      <c r="J35" s="473">
        <v>170</v>
      </c>
      <c r="K35" s="473">
        <v>1</v>
      </c>
      <c r="L35" s="218">
        <f t="shared" si="3"/>
        <v>170</v>
      </c>
      <c r="M35" s="480" t="s">
        <v>210</v>
      </c>
      <c r="N35" s="473">
        <v>170</v>
      </c>
    </row>
    <row r="36" spans="3:14" x14ac:dyDescent="0.2">
      <c r="C36" s="215">
        <f t="shared" si="2"/>
        <v>30</v>
      </c>
      <c r="D36" s="14">
        <f>IF(AND(ISBLANK(Table22[[#This Row],[Start Date]]),ISBLANK(Table22[[#This Row],[Class]]),ISBLANK(Table22[[#This Row],[Class Description]]),ISBLANK(Table22[[#This Row],[No. of Attendees
(A)]])),0,IF(OR(ISBLANK(Table22[[#This Row],[Class]]),ISBLANK(Table22[[#This Row],[No. of Attendees
(A)]]),ISBLANK(Table22[[#This Row],[Length of Session
(B)]])),1,0))</f>
        <v>0</v>
      </c>
      <c r="E36" s="575">
        <v>45889</v>
      </c>
      <c r="F36" s="473" t="s">
        <v>379</v>
      </c>
      <c r="G36" s="473" t="s">
        <v>380</v>
      </c>
      <c r="H36" s="473" t="s">
        <v>241</v>
      </c>
      <c r="I36" s="473" t="s">
        <v>216</v>
      </c>
      <c r="J36" s="473">
        <v>14</v>
      </c>
      <c r="K36" s="473">
        <v>1.5</v>
      </c>
      <c r="L36" s="218">
        <f t="shared" si="3"/>
        <v>21</v>
      </c>
      <c r="M36" s="480" t="s">
        <v>217</v>
      </c>
      <c r="N36" s="473">
        <v>0</v>
      </c>
    </row>
    <row r="37" spans="3:14" x14ac:dyDescent="0.2">
      <c r="C37" s="215">
        <f t="shared" si="2"/>
        <v>31</v>
      </c>
      <c r="D37" s="14">
        <f>IF(AND(ISBLANK(Table22[[#This Row],[Start Date]]),ISBLANK(Table22[[#This Row],[Class]]),ISBLANK(Table22[[#This Row],[Class Description]]),ISBLANK(Table22[[#This Row],[No. of Attendees
(A)]])),0,IF(OR(ISBLANK(Table22[[#This Row],[Class]]),ISBLANK(Table22[[#This Row],[No. of Attendees
(A)]]),ISBLANK(Table22[[#This Row],[Length of Session
(B)]])),1,0))</f>
        <v>0</v>
      </c>
      <c r="E37" s="575">
        <v>45897</v>
      </c>
      <c r="F37" s="473" t="s">
        <v>383</v>
      </c>
      <c r="G37" s="473" t="s">
        <v>384</v>
      </c>
      <c r="H37" s="473" t="s">
        <v>241</v>
      </c>
      <c r="I37" s="473" t="s">
        <v>222</v>
      </c>
      <c r="J37" s="473">
        <v>158</v>
      </c>
      <c r="K37" s="473">
        <v>1</v>
      </c>
      <c r="L37" s="218">
        <f t="shared" si="3"/>
        <v>158</v>
      </c>
      <c r="M37" s="480" t="s">
        <v>210</v>
      </c>
      <c r="N37" s="473">
        <v>158</v>
      </c>
    </row>
    <row r="38" spans="3:14" x14ac:dyDescent="0.2">
      <c r="C38" s="215">
        <f t="shared" si="2"/>
        <v>32</v>
      </c>
      <c r="D38" s="14">
        <f>IF(AND(ISBLANK(Table22[[#This Row],[Start Date]]),ISBLANK(Table22[[#This Row],[Class]]),ISBLANK(Table22[[#This Row],[Class Description]]),ISBLANK(Table22[[#This Row],[No. of Attendees
(A)]])),0,IF(OR(ISBLANK(Table22[[#This Row],[Class]]),ISBLANK(Table22[[#This Row],[No. of Attendees
(A)]]),ISBLANK(Table22[[#This Row],[Length of Session
(B)]])),1,0))</f>
        <v>0</v>
      </c>
      <c r="E38" s="575">
        <v>45911</v>
      </c>
      <c r="F38" s="473" t="s">
        <v>385</v>
      </c>
      <c r="G38" s="473" t="s">
        <v>360</v>
      </c>
      <c r="H38" s="473" t="s">
        <v>241</v>
      </c>
      <c r="I38" s="473" t="s">
        <v>222</v>
      </c>
      <c r="J38" s="473">
        <v>120</v>
      </c>
      <c r="K38" s="473">
        <v>1</v>
      </c>
      <c r="L38" s="218">
        <f t="shared" si="3"/>
        <v>120</v>
      </c>
      <c r="M38" s="480" t="s">
        <v>210</v>
      </c>
      <c r="N38" s="473">
        <v>120</v>
      </c>
    </row>
    <row r="39" spans="3:14" x14ac:dyDescent="0.2">
      <c r="C39" s="215">
        <f t="shared" si="2"/>
        <v>33</v>
      </c>
      <c r="D39" s="14">
        <f>IF(AND(ISBLANK(Table22[[#This Row],[Start Date]]),ISBLANK(Table22[[#This Row],[Class]]),ISBLANK(Table22[[#This Row],[Class Description]]),ISBLANK(Table22[[#This Row],[No. of Attendees
(A)]])),0,IF(OR(ISBLANK(Table22[[#This Row],[Class]]),ISBLANK(Table22[[#This Row],[No. of Attendees
(A)]]),ISBLANK(Table22[[#This Row],[Length of Session
(B)]])),1,0))</f>
        <v>0</v>
      </c>
      <c r="E39" s="576">
        <v>45916</v>
      </c>
      <c r="F39" s="473" t="s">
        <v>386</v>
      </c>
      <c r="G39" s="473" t="s">
        <v>387</v>
      </c>
      <c r="H39" s="473" t="s">
        <v>261</v>
      </c>
      <c r="I39" s="473" t="s">
        <v>228</v>
      </c>
      <c r="J39" s="473">
        <v>5</v>
      </c>
      <c r="K39" s="473">
        <v>10</v>
      </c>
      <c r="L39" s="218">
        <f t="shared" si="3"/>
        <v>50</v>
      </c>
      <c r="M39" s="480" t="s">
        <v>217</v>
      </c>
      <c r="N39" s="473">
        <v>0</v>
      </c>
    </row>
    <row r="40" spans="3:14" x14ac:dyDescent="0.2">
      <c r="C40" s="215">
        <f t="shared" si="2"/>
        <v>34</v>
      </c>
      <c r="D40" s="14">
        <f>IF(AND(ISBLANK(Table22[[#This Row],[Start Date]]),ISBLANK(Table22[[#This Row],[Class]]),ISBLANK(Table22[[#This Row],[Class Description]]),ISBLANK(Table22[[#This Row],[No. of Attendees
(A)]])),0,IF(OR(ISBLANK(Table22[[#This Row],[Class]]),ISBLANK(Table22[[#This Row],[No. of Attendees
(A)]]),ISBLANK(Table22[[#This Row],[Length of Session
(B)]])),1,0))</f>
        <v>0</v>
      </c>
      <c r="E40" s="575">
        <v>45932</v>
      </c>
      <c r="F40" s="473" t="s">
        <v>388</v>
      </c>
      <c r="G40" s="473" t="s">
        <v>348</v>
      </c>
      <c r="H40" s="473" t="s">
        <v>241</v>
      </c>
      <c r="I40" s="473" t="s">
        <v>222</v>
      </c>
      <c r="J40" s="473">
        <v>159</v>
      </c>
      <c r="K40" s="473">
        <v>1</v>
      </c>
      <c r="L40" s="218">
        <f t="shared" si="3"/>
        <v>159</v>
      </c>
      <c r="M40" s="480" t="s">
        <v>210</v>
      </c>
      <c r="N40" s="473">
        <v>159</v>
      </c>
    </row>
    <row r="41" spans="3:14" x14ac:dyDescent="0.2">
      <c r="C41" s="215">
        <f t="shared" si="2"/>
        <v>35</v>
      </c>
      <c r="D41" s="14">
        <f>IF(AND(ISBLANK(Table22[[#This Row],[Start Date]]),ISBLANK(Table22[[#This Row],[Class]]),ISBLANK(Table22[[#This Row],[Class Description]]),ISBLANK(Table22[[#This Row],[No. of Attendees
(A)]])),0,IF(OR(ISBLANK(Table22[[#This Row],[Class]]),ISBLANK(Table22[[#This Row],[No. of Attendees
(A)]]),ISBLANK(Table22[[#This Row],[Length of Session
(B)]])),1,0))</f>
        <v>0</v>
      </c>
      <c r="E41" s="575">
        <v>45932</v>
      </c>
      <c r="F41" s="473" t="s">
        <v>389</v>
      </c>
      <c r="G41" s="473" t="s">
        <v>390</v>
      </c>
      <c r="H41" s="473" t="s">
        <v>391</v>
      </c>
      <c r="I41" s="473" t="s">
        <v>228</v>
      </c>
      <c r="J41" s="473">
        <v>1</v>
      </c>
      <c r="K41" s="473">
        <v>8</v>
      </c>
      <c r="L41" s="218">
        <f t="shared" si="3"/>
        <v>8</v>
      </c>
      <c r="M41" s="480" t="s">
        <v>217</v>
      </c>
      <c r="N41" s="473">
        <v>0</v>
      </c>
    </row>
    <row r="42" spans="3:14" x14ac:dyDescent="0.2">
      <c r="C42" s="215">
        <f t="shared" si="2"/>
        <v>36</v>
      </c>
      <c r="D42" s="14">
        <f>IF(AND(ISBLANK(Table22[[#This Row],[Start Date]]),ISBLANK(Table22[[#This Row],[Class]]),ISBLANK(Table22[[#This Row],[Class Description]]),ISBLANK(Table22[[#This Row],[No. of Attendees
(A)]])),0,IF(OR(ISBLANK(Table22[[#This Row],[Class]]),ISBLANK(Table22[[#This Row],[No. of Attendees
(A)]]),ISBLANK(Table22[[#This Row],[Length of Session
(B)]])),1,0))</f>
        <v>0</v>
      </c>
      <c r="E42" s="576">
        <v>45942</v>
      </c>
      <c r="F42" s="473" t="s">
        <v>392</v>
      </c>
      <c r="G42" s="473" t="s">
        <v>345</v>
      </c>
      <c r="H42" s="473" t="s">
        <v>208</v>
      </c>
      <c r="I42" s="473" t="s">
        <v>228</v>
      </c>
      <c r="J42" s="473">
        <v>4</v>
      </c>
      <c r="K42" s="473">
        <v>0.5</v>
      </c>
      <c r="L42" s="218">
        <f t="shared" si="3"/>
        <v>2</v>
      </c>
      <c r="M42" s="480" t="s">
        <v>217</v>
      </c>
      <c r="N42" s="473">
        <v>0</v>
      </c>
    </row>
    <row r="43" spans="3:14" x14ac:dyDescent="0.2">
      <c r="C43" s="215">
        <f t="shared" si="2"/>
        <v>37</v>
      </c>
      <c r="D43" s="14">
        <f>IF(AND(ISBLANK(Table22[[#This Row],[Start Date]]),ISBLANK(Table22[[#This Row],[Class]]),ISBLANK(Table22[[#This Row],[Class Description]]),ISBLANK(Table22[[#This Row],[No. of Attendees
(A)]])),0,IF(OR(ISBLANK(Table22[[#This Row],[Class]]),ISBLANK(Table22[[#This Row],[No. of Attendees
(A)]]),ISBLANK(Table22[[#This Row],[Length of Session
(B)]])),1,0))</f>
        <v>0</v>
      </c>
      <c r="E43" s="576">
        <v>45943</v>
      </c>
      <c r="F43" s="473" t="s">
        <v>393</v>
      </c>
      <c r="G43" s="473" t="s">
        <v>345</v>
      </c>
      <c r="H43" s="473" t="s">
        <v>208</v>
      </c>
      <c r="I43" s="473" t="s">
        <v>228</v>
      </c>
      <c r="J43" s="473">
        <v>5</v>
      </c>
      <c r="K43" s="473">
        <v>0.5</v>
      </c>
      <c r="L43" s="218">
        <f t="shared" si="3"/>
        <v>2.5</v>
      </c>
      <c r="M43" s="480" t="s">
        <v>217</v>
      </c>
      <c r="N43" s="473">
        <v>0</v>
      </c>
    </row>
    <row r="44" spans="3:14" x14ac:dyDescent="0.2">
      <c r="C44" s="215">
        <f t="shared" si="2"/>
        <v>38</v>
      </c>
      <c r="D44" s="14">
        <f>IF(AND(ISBLANK(Table22[[#This Row],[Start Date]]),ISBLANK(Table22[[#This Row],[Class]]),ISBLANK(Table22[[#This Row],[Class Description]]),ISBLANK(Table22[[#This Row],[No. of Attendees
(A)]])),0,IF(OR(ISBLANK(Table22[[#This Row],[Class]]),ISBLANK(Table22[[#This Row],[No. of Attendees
(A)]]),ISBLANK(Table22[[#This Row],[Length of Session
(B)]])),1,0))</f>
        <v>0</v>
      </c>
      <c r="E44" s="575">
        <v>45946</v>
      </c>
      <c r="F44" s="473" t="s">
        <v>394</v>
      </c>
      <c r="G44" s="473" t="s">
        <v>394</v>
      </c>
      <c r="H44" s="473" t="s">
        <v>241</v>
      </c>
      <c r="I44" s="473" t="s">
        <v>222</v>
      </c>
      <c r="J44" s="473">
        <v>143</v>
      </c>
      <c r="K44" s="473">
        <v>1</v>
      </c>
      <c r="L44" s="218">
        <f t="shared" si="3"/>
        <v>143</v>
      </c>
      <c r="M44" s="480" t="s">
        <v>210</v>
      </c>
      <c r="N44" s="473">
        <v>143</v>
      </c>
    </row>
    <row r="45" spans="3:14" x14ac:dyDescent="0.2">
      <c r="C45" s="215">
        <f t="shared" si="2"/>
        <v>39</v>
      </c>
      <c r="D45" s="14">
        <f>IF(AND(ISBLANK(Table22[[#This Row],[Start Date]]),ISBLANK(Table22[[#This Row],[Class]]),ISBLANK(Table22[[#This Row],[Class Description]]),ISBLANK(Table22[[#This Row],[No. of Attendees
(A)]])),0,IF(OR(ISBLANK(Table22[[#This Row],[Class]]),ISBLANK(Table22[[#This Row],[No. of Attendees
(A)]]),ISBLANK(Table22[[#This Row],[Length of Session
(B)]])),1,0))</f>
        <v>0</v>
      </c>
      <c r="E45" s="576">
        <v>45953</v>
      </c>
      <c r="F45" s="473" t="s">
        <v>395</v>
      </c>
      <c r="G45" s="473" t="s">
        <v>348</v>
      </c>
      <c r="H45" s="473" t="s">
        <v>241</v>
      </c>
      <c r="I45" s="473" t="s">
        <v>222</v>
      </c>
      <c r="J45" s="473">
        <v>174</v>
      </c>
      <c r="K45" s="473">
        <v>1</v>
      </c>
      <c r="L45" s="218">
        <f t="shared" si="3"/>
        <v>174</v>
      </c>
      <c r="M45" s="480" t="s">
        <v>210</v>
      </c>
      <c r="N45" s="473">
        <v>174</v>
      </c>
    </row>
    <row r="46" spans="3:14" x14ac:dyDescent="0.2">
      <c r="C46" s="215">
        <f t="shared" si="2"/>
        <v>40</v>
      </c>
      <c r="D46" s="14">
        <f>IF(AND(ISBLANK(Table22[[#This Row],[Start Date]]),ISBLANK(Table22[[#This Row],[Class]]),ISBLANK(Table22[[#This Row],[Class Description]]),ISBLANK(Table22[[#This Row],[No. of Attendees
(A)]])),0,IF(OR(ISBLANK(Table22[[#This Row],[Class]]),ISBLANK(Table22[[#This Row],[No. of Attendees
(A)]]),ISBLANK(Table22[[#This Row],[Length of Session
(B)]])),1,0))</f>
        <v>0</v>
      </c>
      <c r="E46" s="575">
        <v>45957</v>
      </c>
      <c r="F46" s="473" t="s">
        <v>396</v>
      </c>
      <c r="G46" s="473" t="s">
        <v>397</v>
      </c>
      <c r="H46" s="473" t="s">
        <v>241</v>
      </c>
      <c r="I46" s="473" t="s">
        <v>228</v>
      </c>
      <c r="J46" s="473">
        <v>2</v>
      </c>
      <c r="K46" s="473">
        <v>0.5</v>
      </c>
      <c r="L46" s="218">
        <f t="shared" si="3"/>
        <v>1</v>
      </c>
      <c r="M46" s="480" t="s">
        <v>217</v>
      </c>
      <c r="N46" s="473">
        <v>0</v>
      </c>
    </row>
    <row r="47" spans="3:14" x14ac:dyDescent="0.2">
      <c r="C47" s="215">
        <f t="shared" si="2"/>
        <v>41</v>
      </c>
      <c r="D47" s="14">
        <f>IF(AND(ISBLANK(Table22[[#This Row],[Start Date]]),ISBLANK(Table22[[#This Row],[Class]]),ISBLANK(Table22[[#This Row],[Class Description]]),ISBLANK(Table22[[#This Row],[No. of Attendees
(A)]])),0,IF(OR(ISBLANK(Table22[[#This Row],[Class]]),ISBLANK(Table22[[#This Row],[No. of Attendees
(A)]]),ISBLANK(Table22[[#This Row],[Length of Session
(B)]])),1,0))</f>
        <v>0</v>
      </c>
      <c r="E47" s="576">
        <v>45965</v>
      </c>
      <c r="F47" s="473" t="s">
        <v>398</v>
      </c>
      <c r="G47" s="473" t="s">
        <v>390</v>
      </c>
      <c r="H47" s="473" t="s">
        <v>208</v>
      </c>
      <c r="I47" s="473" t="s">
        <v>228</v>
      </c>
      <c r="J47" s="473">
        <v>1</v>
      </c>
      <c r="K47" s="473">
        <v>1</v>
      </c>
      <c r="L47" s="218">
        <f t="shared" si="3"/>
        <v>1</v>
      </c>
      <c r="M47" s="480" t="s">
        <v>217</v>
      </c>
      <c r="N47" s="473">
        <v>0</v>
      </c>
    </row>
    <row r="48" spans="3:14" x14ac:dyDescent="0.2">
      <c r="C48" s="215">
        <f t="shared" si="2"/>
        <v>42</v>
      </c>
      <c r="D48" s="14">
        <f>IF(AND(ISBLANK(Table22[[#This Row],[Start Date]]),ISBLANK(Table22[[#This Row],[Class]]),ISBLANK(Table22[[#This Row],[Class Description]]),ISBLANK(Table22[[#This Row],[No. of Attendees
(A)]])),0,IF(OR(ISBLANK(Table22[[#This Row],[Class]]),ISBLANK(Table22[[#This Row],[No. of Attendees
(A)]]),ISBLANK(Table22[[#This Row],[Length of Session
(B)]])),1,0))</f>
        <v>0</v>
      </c>
      <c r="E48" s="575">
        <v>45974</v>
      </c>
      <c r="F48" s="473" t="s">
        <v>399</v>
      </c>
      <c r="G48" s="473" t="s">
        <v>380</v>
      </c>
      <c r="H48" s="473" t="s">
        <v>241</v>
      </c>
      <c r="I48" s="473" t="s">
        <v>222</v>
      </c>
      <c r="J48" s="473">
        <v>150</v>
      </c>
      <c r="K48" s="473">
        <v>1</v>
      </c>
      <c r="L48" s="218">
        <f t="shared" si="3"/>
        <v>150</v>
      </c>
      <c r="M48" s="480" t="s">
        <v>210</v>
      </c>
      <c r="N48" s="473">
        <v>150</v>
      </c>
    </row>
    <row r="49" spans="3:14" x14ac:dyDescent="0.2">
      <c r="C49" s="215">
        <f t="shared" si="2"/>
        <v>43</v>
      </c>
      <c r="D49" s="14">
        <f>IF(AND(ISBLANK(Table22[[#This Row],[Start Date]]),ISBLANK(Table22[[#This Row],[Class]]),ISBLANK(Table22[[#This Row],[Class Description]]),ISBLANK(Table22[[#This Row],[No. of Attendees
(A)]])),0,IF(OR(ISBLANK(Table22[[#This Row],[Class]]),ISBLANK(Table22[[#This Row],[No. of Attendees
(A)]]),ISBLANK(Table22[[#This Row],[Length of Session
(B)]])),1,0))</f>
        <v>0</v>
      </c>
      <c r="E49" s="575">
        <v>45974</v>
      </c>
      <c r="F49" s="473" t="s">
        <v>400</v>
      </c>
      <c r="G49" s="473" t="s">
        <v>367</v>
      </c>
      <c r="H49" s="473" t="s">
        <v>261</v>
      </c>
      <c r="I49" s="473" t="s">
        <v>228</v>
      </c>
      <c r="J49" s="473">
        <v>1</v>
      </c>
      <c r="K49" s="473">
        <v>8</v>
      </c>
      <c r="L49" s="218">
        <f t="shared" si="3"/>
        <v>8</v>
      </c>
      <c r="M49" s="480" t="s">
        <v>217</v>
      </c>
      <c r="N49" s="473">
        <v>0</v>
      </c>
    </row>
    <row r="50" spans="3:14" x14ac:dyDescent="0.2">
      <c r="C50" s="215">
        <f t="shared" ref="C50:C81" si="4">ROW()-6</f>
        <v>44</v>
      </c>
      <c r="D50" s="14">
        <f>IF(AND(ISBLANK(Table22[[#This Row],[Start Date]]),ISBLANK(Table22[[#This Row],[Class]]),ISBLANK(Table22[[#This Row],[Class Description]]),ISBLANK(Table22[[#This Row],[No. of Attendees
(A)]])),0,IF(OR(ISBLANK(Table22[[#This Row],[Class]]),ISBLANK(Table22[[#This Row],[No. of Attendees
(A)]]),ISBLANK(Table22[[#This Row],[Length of Session
(B)]])),1,0))</f>
        <v>0</v>
      </c>
      <c r="E50" s="576">
        <v>45980</v>
      </c>
      <c r="F50" s="473" t="s">
        <v>401</v>
      </c>
      <c r="G50" s="473" t="s">
        <v>345</v>
      </c>
      <c r="H50" s="473" t="s">
        <v>208</v>
      </c>
      <c r="I50" s="473" t="s">
        <v>228</v>
      </c>
      <c r="J50" s="473">
        <v>3</v>
      </c>
      <c r="K50" s="473">
        <v>0.5</v>
      </c>
      <c r="L50" s="218">
        <f t="shared" ref="L50:L81" si="5">J50*K50</f>
        <v>1.5</v>
      </c>
      <c r="M50" s="480" t="s">
        <v>217</v>
      </c>
      <c r="N50" s="473">
        <v>0</v>
      </c>
    </row>
    <row r="51" spans="3:14" x14ac:dyDescent="0.2">
      <c r="C51" s="215">
        <f t="shared" si="4"/>
        <v>45</v>
      </c>
      <c r="D51" s="14">
        <f>IF(AND(ISBLANK(Table22[[#This Row],[Start Date]]),ISBLANK(Table22[[#This Row],[Class]]),ISBLANK(Table22[[#This Row],[Class Description]]),ISBLANK(Table22[[#This Row],[No. of Attendees
(A)]])),0,IF(OR(ISBLANK(Table22[[#This Row],[Class]]),ISBLANK(Table22[[#This Row],[No. of Attendees
(A)]]),ISBLANK(Table22[[#This Row],[Length of Session
(B)]])),1,0))</f>
        <v>0</v>
      </c>
      <c r="E51" s="575">
        <v>45992</v>
      </c>
      <c r="F51" s="473" t="s">
        <v>402</v>
      </c>
      <c r="G51" s="473" t="s">
        <v>390</v>
      </c>
      <c r="H51" s="473" t="s">
        <v>208</v>
      </c>
      <c r="I51" s="473" t="s">
        <v>228</v>
      </c>
      <c r="J51" s="473">
        <v>5</v>
      </c>
      <c r="K51" s="473">
        <v>2</v>
      </c>
      <c r="L51" s="218">
        <f t="shared" si="5"/>
        <v>10</v>
      </c>
      <c r="M51" s="480" t="s">
        <v>217</v>
      </c>
      <c r="N51" s="473">
        <v>0</v>
      </c>
    </row>
    <row r="52" spans="3:14" hidden="1" x14ac:dyDescent="0.2">
      <c r="C52" s="215">
        <f t="shared" si="4"/>
        <v>46</v>
      </c>
      <c r="D52" s="14">
        <f>IF(AND(ISBLANK(Table22[[#This Row],[Start Date]]),ISBLANK(Table22[[#This Row],[Class]]),ISBLANK(Table22[[#This Row],[Class Description]]),ISBLANK(Table22[[#This Row],[No. of Attendees
(A)]])),0,IF(OR(ISBLANK(Table22[[#This Row],[Class]]),ISBLANK(Table22[[#This Row],[No. of Attendees
(A)]]),ISBLANK(Table22[[#This Row],[Length of Session
(B)]])),1,0))</f>
        <v>0</v>
      </c>
      <c r="E52" s="575"/>
      <c r="F52" s="473"/>
      <c r="G52" s="473"/>
      <c r="H52" s="473"/>
      <c r="I52" s="473"/>
      <c r="J52" s="473"/>
      <c r="K52" s="473"/>
      <c r="L52" s="218">
        <f t="shared" si="5"/>
        <v>0</v>
      </c>
      <c r="M52" s="480"/>
      <c r="N52" s="473"/>
    </row>
    <row r="53" spans="3:14" ht="15" hidden="1" x14ac:dyDescent="0.2">
      <c r="C53" s="215">
        <f t="shared" si="4"/>
        <v>47</v>
      </c>
      <c r="D53" s="14">
        <f>IF(AND(ISBLANK(Table22[[#This Row],[Start Date]]),ISBLANK(Table22[[#This Row],[Class]]),ISBLANK(Table22[[#This Row],[Class Description]]),ISBLANK(Table22[[#This Row],[No. of Attendees
(A)]])),0,IF(OR(ISBLANK(Table22[[#This Row],[Class]]),ISBLANK(Table22[[#This Row],[No. of Attendees
(A)]]),ISBLANK(Table22[[#This Row],[Length of Session
(B)]])),1,0))</f>
        <v>0</v>
      </c>
      <c r="E53" s="577"/>
      <c r="F53" s="578"/>
      <c r="G53" s="473"/>
      <c r="H53" s="473"/>
      <c r="I53" s="473"/>
      <c r="J53" s="473"/>
      <c r="K53" s="473"/>
      <c r="L53" s="218">
        <f t="shared" si="5"/>
        <v>0</v>
      </c>
      <c r="M53" s="473"/>
      <c r="N53" s="473"/>
    </row>
    <row r="54" spans="3:14" ht="15" hidden="1" x14ac:dyDescent="0.2">
      <c r="C54" s="215">
        <f t="shared" si="4"/>
        <v>48</v>
      </c>
      <c r="D54" s="14">
        <f>IF(AND(ISBLANK(Table22[[#This Row],[Start Date]]),ISBLANK(Table22[[#This Row],[Class]]),ISBLANK(Table22[[#This Row],[Class Description]]),ISBLANK(Table22[[#This Row],[No. of Attendees
(A)]])),0,IF(OR(ISBLANK(Table22[[#This Row],[Class]]),ISBLANK(Table22[[#This Row],[No. of Attendees
(A)]]),ISBLANK(Table22[[#This Row],[Length of Session
(B)]])),1,0))</f>
        <v>0</v>
      </c>
      <c r="E54" s="577"/>
      <c r="F54" s="578"/>
      <c r="G54" s="473"/>
      <c r="H54" s="473"/>
      <c r="I54" s="473"/>
      <c r="J54" s="473"/>
      <c r="K54" s="473"/>
      <c r="L54" s="218">
        <f t="shared" si="5"/>
        <v>0</v>
      </c>
      <c r="M54" s="473"/>
      <c r="N54" s="473"/>
    </row>
    <row r="55" spans="3:14" ht="15" hidden="1" x14ac:dyDescent="0.2">
      <c r="C55" s="215">
        <f t="shared" si="4"/>
        <v>49</v>
      </c>
      <c r="D55" s="14">
        <f>IF(AND(ISBLANK(Table22[[#This Row],[Start Date]]),ISBLANK(Table22[[#This Row],[Class]]),ISBLANK(Table22[[#This Row],[Class Description]]),ISBLANK(Table22[[#This Row],[No. of Attendees
(A)]])),0,IF(OR(ISBLANK(Table22[[#This Row],[Class]]),ISBLANK(Table22[[#This Row],[No. of Attendees
(A)]]),ISBLANK(Table22[[#This Row],[Length of Session
(B)]])),1,0))</f>
        <v>0</v>
      </c>
      <c r="E55" s="577"/>
      <c r="F55" s="578"/>
      <c r="G55" s="473"/>
      <c r="H55" s="473"/>
      <c r="I55" s="473"/>
      <c r="J55" s="473"/>
      <c r="K55" s="473"/>
      <c r="L55" s="218">
        <f t="shared" si="5"/>
        <v>0</v>
      </c>
      <c r="M55" s="473"/>
      <c r="N55" s="473"/>
    </row>
    <row r="56" spans="3:14" ht="15" hidden="1" x14ac:dyDescent="0.2">
      <c r="C56" s="215">
        <f t="shared" si="4"/>
        <v>50</v>
      </c>
      <c r="D56" s="14">
        <f>IF(AND(ISBLANK(Table22[[#This Row],[Start Date]]),ISBLANK(Table22[[#This Row],[Class]]),ISBLANK(Table22[[#This Row],[Class Description]]),ISBLANK(Table22[[#This Row],[No. of Attendees
(A)]])),0,IF(OR(ISBLANK(Table22[[#This Row],[Class]]),ISBLANK(Table22[[#This Row],[No. of Attendees
(A)]]),ISBLANK(Table22[[#This Row],[Length of Session
(B)]])),1,0))</f>
        <v>0</v>
      </c>
      <c r="E56" s="577"/>
      <c r="F56" s="578"/>
      <c r="G56" s="473"/>
      <c r="H56" s="473"/>
      <c r="I56" s="473"/>
      <c r="J56" s="473"/>
      <c r="K56" s="473"/>
      <c r="L56" s="218">
        <f t="shared" si="5"/>
        <v>0</v>
      </c>
      <c r="M56" s="473"/>
      <c r="N56" s="473"/>
    </row>
    <row r="57" spans="3:14" ht="15" hidden="1" x14ac:dyDescent="0.2">
      <c r="C57" s="215">
        <f t="shared" si="4"/>
        <v>51</v>
      </c>
      <c r="D57" s="14">
        <f>IF(AND(ISBLANK(Table22[[#This Row],[Start Date]]),ISBLANK(Table22[[#This Row],[Class]]),ISBLANK(Table22[[#This Row],[Class Description]]),ISBLANK(Table22[[#This Row],[No. of Attendees
(A)]])),0,IF(OR(ISBLANK(Table22[[#This Row],[Class]]),ISBLANK(Table22[[#This Row],[No. of Attendees
(A)]]),ISBLANK(Table22[[#This Row],[Length of Session
(B)]])),1,0))</f>
        <v>0</v>
      </c>
      <c r="E57" s="577"/>
      <c r="F57" s="578"/>
      <c r="G57" s="473"/>
      <c r="H57" s="473"/>
      <c r="I57" s="473"/>
      <c r="J57" s="473"/>
      <c r="K57" s="473"/>
      <c r="L57" s="218">
        <f t="shared" si="5"/>
        <v>0</v>
      </c>
      <c r="M57" s="473"/>
      <c r="N57" s="473"/>
    </row>
    <row r="58" spans="3:14" ht="15" hidden="1" x14ac:dyDescent="0.2">
      <c r="C58" s="215">
        <f t="shared" si="4"/>
        <v>52</v>
      </c>
      <c r="D58" s="14">
        <f>IF(AND(ISBLANK(Table22[[#This Row],[Start Date]]),ISBLANK(Table22[[#This Row],[Class]]),ISBLANK(Table22[[#This Row],[Class Description]]),ISBLANK(Table22[[#This Row],[No. of Attendees
(A)]])),0,IF(OR(ISBLANK(Table22[[#This Row],[Class]]),ISBLANK(Table22[[#This Row],[No. of Attendees
(A)]]),ISBLANK(Table22[[#This Row],[Length of Session
(B)]])),1,0))</f>
        <v>0</v>
      </c>
      <c r="E58" s="577"/>
      <c r="F58" s="578"/>
      <c r="G58" s="473"/>
      <c r="H58" s="473"/>
      <c r="I58" s="473"/>
      <c r="J58" s="473"/>
      <c r="K58" s="473"/>
      <c r="L58" s="218">
        <f t="shared" si="5"/>
        <v>0</v>
      </c>
      <c r="M58" s="483"/>
      <c r="N58" s="473"/>
    </row>
    <row r="59" spans="3:14" hidden="1" x14ac:dyDescent="0.2">
      <c r="C59" s="215">
        <f t="shared" si="4"/>
        <v>53</v>
      </c>
      <c r="D59" s="14">
        <f>IF(AND(ISBLANK(Table22[[#This Row],[Start Date]]),ISBLANK(Table22[[#This Row],[Class]]),ISBLANK(Table22[[#This Row],[Class Description]]),ISBLANK(Table22[[#This Row],[No. of Attendees
(A)]])),0,IF(OR(ISBLANK(Table22[[#This Row],[Class]]),ISBLANK(Table22[[#This Row],[No. of Attendees
(A)]]),ISBLANK(Table22[[#This Row],[Length of Session
(B)]])),1,0))</f>
        <v>0</v>
      </c>
      <c r="E59" s="578"/>
      <c r="F59" s="473"/>
      <c r="G59" s="473"/>
      <c r="H59" s="473"/>
      <c r="I59" s="473"/>
      <c r="J59" s="473"/>
      <c r="K59" s="473"/>
      <c r="L59" s="218">
        <f t="shared" si="5"/>
        <v>0</v>
      </c>
      <c r="M59" s="473"/>
      <c r="N59" s="473"/>
    </row>
    <row r="60" spans="3:14" hidden="1" x14ac:dyDescent="0.2">
      <c r="C60" s="215">
        <f t="shared" si="4"/>
        <v>54</v>
      </c>
      <c r="D60" s="14">
        <f>IF(AND(ISBLANK(Table22[[#This Row],[Start Date]]),ISBLANK(Table22[[#This Row],[Class]]),ISBLANK(Table22[[#This Row],[Class Description]]),ISBLANK(Table22[[#This Row],[No. of Attendees
(A)]])),0,IF(OR(ISBLANK(Table22[[#This Row],[Class]]),ISBLANK(Table22[[#This Row],[No. of Attendees
(A)]]),ISBLANK(Table22[[#This Row],[Length of Session
(B)]])),1,0))</f>
        <v>0</v>
      </c>
      <c r="E60" s="578"/>
      <c r="F60" s="473"/>
      <c r="G60" s="483"/>
      <c r="H60" s="473"/>
      <c r="I60" s="473"/>
      <c r="J60" s="473"/>
      <c r="K60" s="473"/>
      <c r="L60" s="218">
        <f t="shared" si="5"/>
        <v>0</v>
      </c>
      <c r="M60" s="473"/>
      <c r="N60" s="473"/>
    </row>
    <row r="61" spans="3:14" hidden="1" x14ac:dyDescent="0.2">
      <c r="C61" s="215">
        <f t="shared" si="4"/>
        <v>55</v>
      </c>
      <c r="D61" s="14">
        <f>IF(AND(ISBLANK(Table22[[#This Row],[Start Date]]),ISBLANK(Table22[[#This Row],[Class]]),ISBLANK(Table22[[#This Row],[Class Description]]),ISBLANK(Table22[[#This Row],[No. of Attendees
(A)]])),0,IF(OR(ISBLANK(Table22[[#This Row],[Class]]),ISBLANK(Table22[[#This Row],[No. of Attendees
(A)]]),ISBLANK(Table22[[#This Row],[Length of Session
(B)]])),1,0))</f>
        <v>0</v>
      </c>
      <c r="E61" s="578"/>
      <c r="F61" s="473"/>
      <c r="G61" s="483"/>
      <c r="H61" s="473"/>
      <c r="I61" s="473"/>
      <c r="J61" s="473"/>
      <c r="K61" s="473"/>
      <c r="L61" s="218">
        <f t="shared" si="5"/>
        <v>0</v>
      </c>
      <c r="M61" s="473"/>
      <c r="N61" s="473"/>
    </row>
    <row r="62" spans="3:14" hidden="1" x14ac:dyDescent="0.2">
      <c r="C62" s="215">
        <f t="shared" si="4"/>
        <v>56</v>
      </c>
      <c r="D62" s="14">
        <f>IF(AND(ISBLANK(Table22[[#This Row],[Start Date]]),ISBLANK(Table22[[#This Row],[Class]]),ISBLANK(Table22[[#This Row],[Class Description]]),ISBLANK(Table22[[#This Row],[No. of Attendees
(A)]])),0,IF(OR(ISBLANK(Table22[[#This Row],[Class]]),ISBLANK(Table22[[#This Row],[No. of Attendees
(A)]]),ISBLANK(Table22[[#This Row],[Length of Session
(B)]])),1,0))</f>
        <v>0</v>
      </c>
      <c r="E62" s="578"/>
      <c r="F62" s="473"/>
      <c r="G62" s="483"/>
      <c r="H62" s="473"/>
      <c r="I62" s="473"/>
      <c r="J62" s="473"/>
      <c r="K62" s="473"/>
      <c r="L62" s="218">
        <f t="shared" si="5"/>
        <v>0</v>
      </c>
      <c r="M62" s="483"/>
      <c r="N62" s="473"/>
    </row>
    <row r="63" spans="3:14" hidden="1" x14ac:dyDescent="0.2">
      <c r="C63" s="215">
        <f t="shared" si="4"/>
        <v>57</v>
      </c>
      <c r="D63" s="14">
        <f>IF(AND(ISBLANK(Table22[[#This Row],[Start Date]]),ISBLANK(Table22[[#This Row],[Class]]),ISBLANK(Table22[[#This Row],[Class Description]]),ISBLANK(Table22[[#This Row],[No. of Attendees
(A)]])),0,IF(OR(ISBLANK(Table22[[#This Row],[Class]]),ISBLANK(Table22[[#This Row],[No. of Attendees
(A)]]),ISBLANK(Table22[[#This Row],[Length of Session
(B)]])),1,0))</f>
        <v>0</v>
      </c>
      <c r="E63" s="578"/>
      <c r="F63" s="473"/>
      <c r="G63" s="483"/>
      <c r="H63" s="473"/>
      <c r="I63" s="473"/>
      <c r="J63" s="473"/>
      <c r="K63" s="473"/>
      <c r="L63" s="218">
        <f t="shared" si="5"/>
        <v>0</v>
      </c>
      <c r="M63" s="473"/>
      <c r="N63" s="473"/>
    </row>
    <row r="64" spans="3:14" hidden="1" x14ac:dyDescent="0.2">
      <c r="C64" s="215">
        <f t="shared" si="4"/>
        <v>58</v>
      </c>
      <c r="D64" s="14">
        <f>IF(AND(ISBLANK(Table22[[#This Row],[Start Date]]),ISBLANK(Table22[[#This Row],[Class]]),ISBLANK(Table22[[#This Row],[Class Description]]),ISBLANK(Table22[[#This Row],[No. of Attendees
(A)]])),0,IF(OR(ISBLANK(Table22[[#This Row],[Class]]),ISBLANK(Table22[[#This Row],[No. of Attendees
(A)]]),ISBLANK(Table22[[#This Row],[Length of Session
(B)]])),1,0))</f>
        <v>0</v>
      </c>
      <c r="E64" s="578"/>
      <c r="F64" s="473"/>
      <c r="G64" s="483"/>
      <c r="H64" s="473"/>
      <c r="I64" s="473"/>
      <c r="J64" s="473"/>
      <c r="K64" s="473"/>
      <c r="L64" s="218">
        <f t="shared" si="5"/>
        <v>0</v>
      </c>
      <c r="M64" s="483"/>
      <c r="N64" s="473"/>
    </row>
    <row r="65" spans="3:14" hidden="1" x14ac:dyDescent="0.2">
      <c r="C65" s="215">
        <f t="shared" si="4"/>
        <v>59</v>
      </c>
      <c r="D65" s="14">
        <f>IF(AND(ISBLANK(Table22[[#This Row],[Start Date]]),ISBLANK(Table22[[#This Row],[Class]]),ISBLANK(Table22[[#This Row],[Class Description]]),ISBLANK(Table22[[#This Row],[No. of Attendees
(A)]])),0,IF(OR(ISBLANK(Table22[[#This Row],[Class]]),ISBLANK(Table22[[#This Row],[No. of Attendees
(A)]]),ISBLANK(Table22[[#This Row],[Length of Session
(B)]])),1,0))</f>
        <v>0</v>
      </c>
      <c r="E65" s="578"/>
      <c r="F65" s="473"/>
      <c r="G65" s="483"/>
      <c r="H65" s="473"/>
      <c r="I65" s="473"/>
      <c r="J65" s="473"/>
      <c r="K65" s="473"/>
      <c r="L65" s="218">
        <f t="shared" si="5"/>
        <v>0</v>
      </c>
      <c r="M65" s="483"/>
      <c r="N65" s="473"/>
    </row>
    <row r="66" spans="3:14" hidden="1" x14ac:dyDescent="0.2">
      <c r="C66" s="215">
        <f t="shared" si="4"/>
        <v>60</v>
      </c>
      <c r="D66" s="14">
        <f>IF(AND(ISBLANK(Table22[[#This Row],[Start Date]]),ISBLANK(Table22[[#This Row],[Class]]),ISBLANK(Table22[[#This Row],[Class Description]]),ISBLANK(Table22[[#This Row],[No. of Attendees
(A)]])),0,IF(OR(ISBLANK(Table22[[#This Row],[Class]]),ISBLANK(Table22[[#This Row],[No. of Attendees
(A)]]),ISBLANK(Table22[[#This Row],[Length of Session
(B)]])),1,0))</f>
        <v>0</v>
      </c>
      <c r="E66" s="578"/>
      <c r="F66" s="473"/>
      <c r="G66" s="483"/>
      <c r="H66" s="473"/>
      <c r="I66" s="473"/>
      <c r="J66" s="473"/>
      <c r="K66" s="473"/>
      <c r="L66" s="218">
        <f t="shared" si="5"/>
        <v>0</v>
      </c>
      <c r="M66" s="473"/>
      <c r="N66" s="473"/>
    </row>
    <row r="67" spans="3:14" hidden="1" x14ac:dyDescent="0.2">
      <c r="C67" s="215">
        <f t="shared" si="4"/>
        <v>61</v>
      </c>
      <c r="D67" s="14">
        <f>IF(AND(ISBLANK(Table22[[#This Row],[Start Date]]),ISBLANK(Table22[[#This Row],[Class]]),ISBLANK(Table22[[#This Row],[Class Description]]),ISBLANK(Table22[[#This Row],[No. of Attendees
(A)]])),0,IF(OR(ISBLANK(Table22[[#This Row],[Class]]),ISBLANK(Table22[[#This Row],[No. of Attendees
(A)]]),ISBLANK(Table22[[#This Row],[Length of Session
(B)]])),1,0))</f>
        <v>0</v>
      </c>
      <c r="E67" s="578"/>
      <c r="F67" s="473"/>
      <c r="G67" s="483"/>
      <c r="H67" s="473"/>
      <c r="I67" s="473"/>
      <c r="J67" s="473"/>
      <c r="K67" s="473"/>
      <c r="L67" s="218">
        <f t="shared" si="5"/>
        <v>0</v>
      </c>
      <c r="M67" s="473"/>
      <c r="N67" s="473"/>
    </row>
    <row r="68" spans="3:14" hidden="1" x14ac:dyDescent="0.2">
      <c r="C68" s="215">
        <f t="shared" si="4"/>
        <v>62</v>
      </c>
      <c r="D68" s="14">
        <f>IF(AND(ISBLANK(Table22[[#This Row],[Start Date]]),ISBLANK(Table22[[#This Row],[Class]]),ISBLANK(Table22[[#This Row],[Class Description]]),ISBLANK(Table22[[#This Row],[No. of Attendees
(A)]])),0,IF(OR(ISBLANK(Table22[[#This Row],[Class]]),ISBLANK(Table22[[#This Row],[No. of Attendees
(A)]]),ISBLANK(Table22[[#This Row],[Length of Session
(B)]])),1,0))</f>
        <v>0</v>
      </c>
      <c r="E68" s="578"/>
      <c r="F68" s="473"/>
      <c r="G68" s="473"/>
      <c r="H68" s="473"/>
      <c r="I68" s="473"/>
      <c r="J68" s="473"/>
      <c r="K68" s="473"/>
      <c r="L68" s="218">
        <f t="shared" si="5"/>
        <v>0</v>
      </c>
      <c r="M68" s="473"/>
      <c r="N68" s="473"/>
    </row>
    <row r="69" spans="3:14" hidden="1" x14ac:dyDescent="0.2">
      <c r="C69" s="215">
        <f t="shared" si="4"/>
        <v>63</v>
      </c>
      <c r="D69" s="14">
        <f>IF(AND(ISBLANK(Table22[[#This Row],[Start Date]]),ISBLANK(Table22[[#This Row],[Class]]),ISBLANK(Table22[[#This Row],[Class Description]]),ISBLANK(Table22[[#This Row],[No. of Attendees
(A)]])),0,IF(OR(ISBLANK(Table22[[#This Row],[Class]]),ISBLANK(Table22[[#This Row],[No. of Attendees
(A)]]),ISBLANK(Table22[[#This Row],[Length of Session
(B)]])),1,0))</f>
        <v>0</v>
      </c>
      <c r="E69" s="578"/>
      <c r="F69" s="473"/>
      <c r="G69" s="483"/>
      <c r="H69" s="473"/>
      <c r="I69" s="473"/>
      <c r="J69" s="473"/>
      <c r="K69" s="473"/>
      <c r="L69" s="218">
        <f t="shared" si="5"/>
        <v>0</v>
      </c>
      <c r="M69" s="473"/>
      <c r="N69" s="473"/>
    </row>
    <row r="70" spans="3:14" hidden="1" x14ac:dyDescent="0.2">
      <c r="C70" s="215">
        <f t="shared" si="4"/>
        <v>64</v>
      </c>
      <c r="D70" s="14">
        <f>IF(AND(ISBLANK(Table22[[#This Row],[Start Date]]),ISBLANK(Table22[[#This Row],[Class]]),ISBLANK(Table22[[#This Row],[Class Description]]),ISBLANK(Table22[[#This Row],[No. of Attendees
(A)]])),0,IF(OR(ISBLANK(Table22[[#This Row],[Class]]),ISBLANK(Table22[[#This Row],[No. of Attendees
(A)]]),ISBLANK(Table22[[#This Row],[Length of Session
(B)]])),1,0))</f>
        <v>0</v>
      </c>
      <c r="E70" s="578"/>
      <c r="F70" s="483"/>
      <c r="G70" s="473"/>
      <c r="H70" s="473"/>
      <c r="I70" s="473"/>
      <c r="J70" s="473"/>
      <c r="K70" s="473"/>
      <c r="L70" s="218">
        <f t="shared" si="5"/>
        <v>0</v>
      </c>
      <c r="M70" s="473"/>
      <c r="N70" s="473"/>
    </row>
    <row r="71" spans="3:14" hidden="1" x14ac:dyDescent="0.2">
      <c r="C71" s="215">
        <f t="shared" si="4"/>
        <v>65</v>
      </c>
      <c r="D71" s="14">
        <f>IF(AND(ISBLANK(Table22[[#This Row],[Start Date]]),ISBLANK(Table22[[#This Row],[Class]]),ISBLANK(Table22[[#This Row],[Class Description]]),ISBLANK(Table22[[#This Row],[No. of Attendees
(A)]])),0,IF(OR(ISBLANK(Table22[[#This Row],[Class]]),ISBLANK(Table22[[#This Row],[No. of Attendees
(A)]]),ISBLANK(Table22[[#This Row],[Length of Session
(B)]])),1,0))</f>
        <v>0</v>
      </c>
      <c r="E71" s="578"/>
      <c r="F71" s="473"/>
      <c r="G71" s="483"/>
      <c r="H71" s="473"/>
      <c r="I71" s="473"/>
      <c r="J71" s="473"/>
      <c r="K71" s="473"/>
      <c r="L71" s="218">
        <f t="shared" si="5"/>
        <v>0</v>
      </c>
      <c r="M71" s="473"/>
      <c r="N71" s="473"/>
    </row>
    <row r="72" spans="3:14" hidden="1" x14ac:dyDescent="0.2">
      <c r="C72" s="215">
        <f t="shared" si="4"/>
        <v>66</v>
      </c>
      <c r="D72" s="14">
        <f>IF(AND(ISBLANK(Table22[[#This Row],[Start Date]]),ISBLANK(Table22[[#This Row],[Class]]),ISBLANK(Table22[[#This Row],[Class Description]]),ISBLANK(Table22[[#This Row],[No. of Attendees
(A)]])),0,IF(OR(ISBLANK(Table22[[#This Row],[Class]]),ISBLANK(Table22[[#This Row],[No. of Attendees
(A)]]),ISBLANK(Table22[[#This Row],[Length of Session
(B)]])),1,0))</f>
        <v>0</v>
      </c>
      <c r="E72" s="578"/>
      <c r="F72" s="473"/>
      <c r="G72" s="483"/>
      <c r="H72" s="473"/>
      <c r="I72" s="473"/>
      <c r="J72" s="473"/>
      <c r="K72" s="473"/>
      <c r="L72" s="218">
        <f t="shared" si="5"/>
        <v>0</v>
      </c>
      <c r="M72" s="473"/>
      <c r="N72" s="473"/>
    </row>
    <row r="73" spans="3:14" hidden="1" x14ac:dyDescent="0.2">
      <c r="C73" s="215">
        <f t="shared" si="4"/>
        <v>67</v>
      </c>
      <c r="D73" s="14">
        <f>IF(AND(ISBLANK(Table22[[#This Row],[Start Date]]),ISBLANK(Table22[[#This Row],[Class]]),ISBLANK(Table22[[#This Row],[Class Description]]),ISBLANK(Table22[[#This Row],[No. of Attendees
(A)]])),0,IF(OR(ISBLANK(Table22[[#This Row],[Class]]),ISBLANK(Table22[[#This Row],[No. of Attendees
(A)]]),ISBLANK(Table22[[#This Row],[Length of Session
(B)]])),1,0))</f>
        <v>0</v>
      </c>
      <c r="E73" s="578"/>
      <c r="F73" s="473"/>
      <c r="G73" s="473"/>
      <c r="H73" s="473"/>
      <c r="I73" s="473"/>
      <c r="J73" s="473"/>
      <c r="K73" s="473"/>
      <c r="L73" s="218">
        <f t="shared" si="5"/>
        <v>0</v>
      </c>
      <c r="M73" s="473"/>
      <c r="N73" s="473"/>
    </row>
    <row r="74" spans="3:14" hidden="1" x14ac:dyDescent="0.2">
      <c r="C74" s="215">
        <f t="shared" si="4"/>
        <v>68</v>
      </c>
      <c r="D74" s="14">
        <f>IF(AND(ISBLANK(Table22[[#This Row],[Start Date]]),ISBLANK(Table22[[#This Row],[Class]]),ISBLANK(Table22[[#This Row],[Class Description]]),ISBLANK(Table22[[#This Row],[No. of Attendees
(A)]])),0,IF(OR(ISBLANK(Table22[[#This Row],[Class]]),ISBLANK(Table22[[#This Row],[No. of Attendees
(A)]]),ISBLANK(Table22[[#This Row],[Length of Session
(B)]])),1,0))</f>
        <v>0</v>
      </c>
      <c r="E74" s="578"/>
      <c r="F74" s="473"/>
      <c r="G74" s="483"/>
      <c r="H74" s="473"/>
      <c r="I74" s="473"/>
      <c r="J74" s="473"/>
      <c r="K74" s="473"/>
      <c r="L74" s="218">
        <f t="shared" si="5"/>
        <v>0</v>
      </c>
      <c r="M74" s="473"/>
      <c r="N74" s="473"/>
    </row>
    <row r="75" spans="3:14" hidden="1" x14ac:dyDescent="0.2">
      <c r="C75" s="215">
        <f t="shared" si="4"/>
        <v>69</v>
      </c>
      <c r="D75" s="14">
        <f>IF(AND(ISBLANK(Table22[[#This Row],[Start Date]]),ISBLANK(Table22[[#This Row],[Class]]),ISBLANK(Table22[[#This Row],[Class Description]]),ISBLANK(Table22[[#This Row],[No. of Attendees
(A)]])),0,IF(OR(ISBLANK(Table22[[#This Row],[Class]]),ISBLANK(Table22[[#This Row],[No. of Attendees
(A)]]),ISBLANK(Table22[[#This Row],[Length of Session
(B)]])),1,0))</f>
        <v>0</v>
      </c>
      <c r="E75" s="578"/>
      <c r="F75" s="473"/>
      <c r="G75" s="483"/>
      <c r="H75" s="473"/>
      <c r="I75" s="473"/>
      <c r="J75" s="473"/>
      <c r="K75" s="473"/>
      <c r="L75" s="218">
        <f t="shared" si="5"/>
        <v>0</v>
      </c>
      <c r="M75" s="473"/>
      <c r="N75" s="473"/>
    </row>
    <row r="76" spans="3:14" hidden="1" x14ac:dyDescent="0.2">
      <c r="C76" s="215">
        <f t="shared" si="4"/>
        <v>70</v>
      </c>
      <c r="D76" s="14">
        <f>IF(AND(ISBLANK(Table22[[#This Row],[Start Date]]),ISBLANK(Table22[[#This Row],[Class]]),ISBLANK(Table22[[#This Row],[Class Description]]),ISBLANK(Table22[[#This Row],[No. of Attendees
(A)]])),0,IF(OR(ISBLANK(Table22[[#This Row],[Class]]),ISBLANK(Table22[[#This Row],[No. of Attendees
(A)]]),ISBLANK(Table22[[#This Row],[Length of Session
(B)]])),1,0))</f>
        <v>0</v>
      </c>
      <c r="E76" s="578"/>
      <c r="F76" s="473"/>
      <c r="G76" s="483"/>
      <c r="H76" s="473"/>
      <c r="I76" s="473"/>
      <c r="J76" s="473"/>
      <c r="K76" s="473"/>
      <c r="L76" s="218">
        <f t="shared" si="5"/>
        <v>0</v>
      </c>
      <c r="M76" s="473"/>
      <c r="N76" s="473"/>
    </row>
    <row r="77" spans="3:14" hidden="1" x14ac:dyDescent="0.2">
      <c r="C77" s="215">
        <f t="shared" si="4"/>
        <v>71</v>
      </c>
      <c r="D77" s="14">
        <f>IF(AND(ISBLANK(Table22[[#This Row],[Start Date]]),ISBLANK(Table22[[#This Row],[Class]]),ISBLANK(Table22[[#This Row],[Class Description]]),ISBLANK(Table22[[#This Row],[No. of Attendees
(A)]])),0,IF(OR(ISBLANK(Table22[[#This Row],[Class]]),ISBLANK(Table22[[#This Row],[No. of Attendees
(A)]]),ISBLANK(Table22[[#This Row],[Length of Session
(B)]])),1,0))</f>
        <v>0</v>
      </c>
      <c r="E77" s="578"/>
      <c r="F77" s="473"/>
      <c r="G77" s="483"/>
      <c r="H77" s="473"/>
      <c r="I77" s="473"/>
      <c r="J77" s="473"/>
      <c r="K77" s="473"/>
      <c r="L77" s="218">
        <f t="shared" si="5"/>
        <v>0</v>
      </c>
      <c r="M77" s="473"/>
      <c r="N77" s="473"/>
    </row>
    <row r="78" spans="3:14" hidden="1" x14ac:dyDescent="0.2">
      <c r="C78" s="215">
        <f t="shared" si="4"/>
        <v>72</v>
      </c>
      <c r="D78" s="14">
        <f>IF(AND(ISBLANK(Table22[[#This Row],[Start Date]]),ISBLANK(Table22[[#This Row],[Class]]),ISBLANK(Table22[[#This Row],[Class Description]]),ISBLANK(Table22[[#This Row],[No. of Attendees
(A)]])),0,IF(OR(ISBLANK(Table22[[#This Row],[Class]]),ISBLANK(Table22[[#This Row],[No. of Attendees
(A)]]),ISBLANK(Table22[[#This Row],[Length of Session
(B)]])),1,0))</f>
        <v>0</v>
      </c>
      <c r="E78" s="578"/>
      <c r="F78" s="578"/>
      <c r="G78" s="578"/>
      <c r="H78" s="578"/>
      <c r="I78" s="578"/>
      <c r="J78" s="473"/>
      <c r="K78" s="473"/>
      <c r="L78" s="218">
        <f t="shared" si="5"/>
        <v>0</v>
      </c>
      <c r="M78" s="473"/>
      <c r="N78" s="473"/>
    </row>
    <row r="79" spans="3:14" hidden="1" x14ac:dyDescent="0.2">
      <c r="C79" s="215">
        <f t="shared" si="4"/>
        <v>73</v>
      </c>
      <c r="D79" s="14">
        <f>IF(AND(ISBLANK(Table22[[#This Row],[Start Date]]),ISBLANK(Table22[[#This Row],[Class]]),ISBLANK(Table22[[#This Row],[Class Description]]),ISBLANK(Table22[[#This Row],[No. of Attendees
(A)]])),0,IF(OR(ISBLANK(Table22[[#This Row],[Class]]),ISBLANK(Table22[[#This Row],[No. of Attendees
(A)]]),ISBLANK(Table22[[#This Row],[Length of Session
(B)]])),1,0))</f>
        <v>0</v>
      </c>
      <c r="E79" s="578"/>
      <c r="F79" s="578"/>
      <c r="G79" s="578"/>
      <c r="H79" s="578"/>
      <c r="I79" s="578"/>
      <c r="J79" s="473"/>
      <c r="K79" s="473"/>
      <c r="L79" s="218">
        <f t="shared" si="5"/>
        <v>0</v>
      </c>
      <c r="M79" s="473"/>
      <c r="N79" s="473"/>
    </row>
    <row r="80" spans="3:14" hidden="1" x14ac:dyDescent="0.2">
      <c r="C80" s="215">
        <f t="shared" si="4"/>
        <v>74</v>
      </c>
      <c r="D80" s="14">
        <f>IF(AND(ISBLANK(Table22[[#This Row],[Start Date]]),ISBLANK(Table22[[#This Row],[Class]]),ISBLANK(Table22[[#This Row],[Class Description]]),ISBLANK(Table22[[#This Row],[No. of Attendees
(A)]])),0,IF(OR(ISBLANK(Table22[[#This Row],[Class]]),ISBLANK(Table22[[#This Row],[No. of Attendees
(A)]]),ISBLANK(Table22[[#This Row],[Length of Session
(B)]])),1,0))</f>
        <v>0</v>
      </c>
      <c r="E80" s="578"/>
      <c r="F80" s="578"/>
      <c r="G80" s="578"/>
      <c r="H80" s="578"/>
      <c r="I80" s="578"/>
      <c r="J80" s="473"/>
      <c r="K80" s="473"/>
      <c r="L80" s="218">
        <f t="shared" si="5"/>
        <v>0</v>
      </c>
      <c r="M80" s="473"/>
      <c r="N80" s="473"/>
    </row>
    <row r="81" spans="3:14" hidden="1" x14ac:dyDescent="0.2">
      <c r="C81" s="215">
        <f t="shared" si="4"/>
        <v>75</v>
      </c>
      <c r="D81" s="14">
        <f>IF(AND(ISBLANK(Table22[[#This Row],[Start Date]]),ISBLANK(Table22[[#This Row],[Class]]),ISBLANK(Table22[[#This Row],[Class Description]]),ISBLANK(Table22[[#This Row],[No. of Attendees
(A)]])),0,IF(OR(ISBLANK(Table22[[#This Row],[Class]]),ISBLANK(Table22[[#This Row],[No. of Attendees
(A)]]),ISBLANK(Table22[[#This Row],[Length of Session
(B)]])),1,0))</f>
        <v>0</v>
      </c>
      <c r="E81" s="578"/>
      <c r="F81" s="578"/>
      <c r="G81" s="578"/>
      <c r="H81" s="578"/>
      <c r="I81" s="578"/>
      <c r="J81" s="473"/>
      <c r="K81" s="473"/>
      <c r="L81" s="218">
        <f t="shared" si="5"/>
        <v>0</v>
      </c>
      <c r="M81" s="473"/>
      <c r="N81" s="473"/>
    </row>
    <row r="82" spans="3:14" hidden="1" x14ac:dyDescent="0.2">
      <c r="C82" s="215">
        <f t="shared" ref="C82:C93" si="6">ROW()-6</f>
        <v>76</v>
      </c>
      <c r="D82" s="14">
        <f>IF(AND(ISBLANK(Table22[[#This Row],[Start Date]]),ISBLANK(Table22[[#This Row],[Class]]),ISBLANK(Table22[[#This Row],[Class Description]]),ISBLANK(Table22[[#This Row],[No. of Attendees
(A)]])),0,IF(OR(ISBLANK(Table22[[#This Row],[Class]]),ISBLANK(Table22[[#This Row],[No. of Attendees
(A)]]),ISBLANK(Table22[[#This Row],[Length of Session
(B)]])),1,0))</f>
        <v>0</v>
      </c>
      <c r="E82" s="578"/>
      <c r="F82" s="578"/>
      <c r="G82" s="578"/>
      <c r="H82" s="578"/>
      <c r="I82" s="578"/>
      <c r="J82" s="473"/>
      <c r="K82" s="473"/>
      <c r="L82" s="218">
        <f t="shared" ref="L82:L93" si="7">J82*K82</f>
        <v>0</v>
      </c>
      <c r="M82" s="473"/>
      <c r="N82" s="473"/>
    </row>
    <row r="83" spans="3:14" hidden="1" x14ac:dyDescent="0.2">
      <c r="C83" s="215">
        <f t="shared" si="6"/>
        <v>77</v>
      </c>
      <c r="D83" s="14">
        <f>IF(AND(ISBLANK(Table22[[#This Row],[Start Date]]),ISBLANK(Table22[[#This Row],[Class]]),ISBLANK(Table22[[#This Row],[Class Description]]),ISBLANK(Table22[[#This Row],[No. of Attendees
(A)]])),0,IF(OR(ISBLANK(Table22[[#This Row],[Class]]),ISBLANK(Table22[[#This Row],[No. of Attendees
(A)]]),ISBLANK(Table22[[#This Row],[Length of Session
(B)]])),1,0))</f>
        <v>0</v>
      </c>
      <c r="E83" s="578"/>
      <c r="F83" s="578"/>
      <c r="G83" s="578"/>
      <c r="H83" s="578"/>
      <c r="I83" s="578"/>
      <c r="J83" s="473"/>
      <c r="K83" s="473"/>
      <c r="L83" s="218">
        <f t="shared" si="7"/>
        <v>0</v>
      </c>
      <c r="M83" s="473"/>
      <c r="N83" s="473"/>
    </row>
    <row r="84" spans="3:14" hidden="1" x14ac:dyDescent="0.2">
      <c r="C84" s="215">
        <f t="shared" si="6"/>
        <v>78</v>
      </c>
      <c r="D84" s="14">
        <f>IF(AND(ISBLANK(Table22[[#This Row],[Start Date]]),ISBLANK(Table22[[#This Row],[Class]]),ISBLANK(Table22[[#This Row],[Class Description]]),ISBLANK(Table22[[#This Row],[No. of Attendees
(A)]])),0,IF(OR(ISBLANK(Table22[[#This Row],[Class]]),ISBLANK(Table22[[#This Row],[No. of Attendees
(A)]]),ISBLANK(Table22[[#This Row],[Length of Session
(B)]])),1,0))</f>
        <v>0</v>
      </c>
      <c r="E84" s="578"/>
      <c r="F84" s="578"/>
      <c r="G84" s="578"/>
      <c r="H84" s="578"/>
      <c r="I84" s="578"/>
      <c r="J84" s="473"/>
      <c r="K84" s="473"/>
      <c r="L84" s="218">
        <f t="shared" si="7"/>
        <v>0</v>
      </c>
      <c r="M84" s="473"/>
      <c r="N84" s="473"/>
    </row>
    <row r="85" spans="3:14" hidden="1" x14ac:dyDescent="0.2">
      <c r="C85" s="215">
        <f t="shared" si="6"/>
        <v>79</v>
      </c>
      <c r="D85" s="14">
        <f>IF(AND(ISBLANK(Table22[[#This Row],[Start Date]]),ISBLANK(Table22[[#This Row],[Class]]),ISBLANK(Table22[[#This Row],[Class Description]]),ISBLANK(Table22[[#This Row],[No. of Attendees
(A)]])),0,IF(OR(ISBLANK(Table22[[#This Row],[Class]]),ISBLANK(Table22[[#This Row],[No. of Attendees
(A)]]),ISBLANK(Table22[[#This Row],[Length of Session
(B)]])),1,0))</f>
        <v>0</v>
      </c>
      <c r="E85" s="578"/>
      <c r="F85" s="578"/>
      <c r="G85" s="578"/>
      <c r="H85" s="578"/>
      <c r="I85" s="578"/>
      <c r="J85" s="473"/>
      <c r="K85" s="473"/>
      <c r="L85" s="218">
        <f t="shared" si="7"/>
        <v>0</v>
      </c>
      <c r="M85" s="473"/>
      <c r="N85" s="473"/>
    </row>
    <row r="86" spans="3:14" hidden="1" x14ac:dyDescent="0.2">
      <c r="C86" s="215">
        <f t="shared" si="6"/>
        <v>80</v>
      </c>
      <c r="D86" s="14">
        <f>IF(AND(ISBLANK(Table22[[#This Row],[Start Date]]),ISBLANK(Table22[[#This Row],[Class]]),ISBLANK(Table22[[#This Row],[Class Description]]),ISBLANK(Table22[[#This Row],[No. of Attendees
(A)]])),0,IF(OR(ISBLANK(Table22[[#This Row],[Class]]),ISBLANK(Table22[[#This Row],[No. of Attendees
(A)]]),ISBLANK(Table22[[#This Row],[Length of Session
(B)]])),1,0))</f>
        <v>0</v>
      </c>
      <c r="E86" s="578"/>
      <c r="F86" s="578"/>
      <c r="G86" s="578"/>
      <c r="H86" s="578"/>
      <c r="I86" s="578"/>
      <c r="J86" s="473"/>
      <c r="K86" s="473"/>
      <c r="L86" s="218">
        <f t="shared" si="7"/>
        <v>0</v>
      </c>
      <c r="M86" s="473"/>
      <c r="N86" s="473"/>
    </row>
    <row r="87" spans="3:14" hidden="1" x14ac:dyDescent="0.2">
      <c r="C87" s="215">
        <f t="shared" si="6"/>
        <v>81</v>
      </c>
      <c r="D87" s="14">
        <f>IF(AND(ISBLANK(Table22[[#This Row],[Start Date]]),ISBLANK(Table22[[#This Row],[Class]]),ISBLANK(Table22[[#This Row],[Class Description]]),ISBLANK(Table22[[#This Row],[No. of Attendees
(A)]])),0,IF(OR(ISBLANK(Table22[[#This Row],[Class]]),ISBLANK(Table22[[#This Row],[No. of Attendees
(A)]]),ISBLANK(Table22[[#This Row],[Length of Session
(B)]])),1,0))</f>
        <v>0</v>
      </c>
      <c r="E87" s="578"/>
      <c r="F87" s="578"/>
      <c r="G87" s="578"/>
      <c r="H87" s="578"/>
      <c r="I87" s="578"/>
      <c r="J87" s="473"/>
      <c r="K87" s="473"/>
      <c r="L87" s="218">
        <f t="shared" si="7"/>
        <v>0</v>
      </c>
      <c r="M87" s="473"/>
      <c r="N87" s="473"/>
    </row>
    <row r="88" spans="3:14" hidden="1" x14ac:dyDescent="0.2">
      <c r="C88" s="215">
        <f t="shared" si="6"/>
        <v>82</v>
      </c>
      <c r="D88" s="14">
        <f>IF(AND(ISBLANK(Table22[[#This Row],[Start Date]]),ISBLANK(Table22[[#This Row],[Class]]),ISBLANK(Table22[[#This Row],[Class Description]]),ISBLANK(Table22[[#This Row],[No. of Attendees
(A)]])),0,IF(OR(ISBLANK(Table22[[#This Row],[Class]]),ISBLANK(Table22[[#This Row],[No. of Attendees
(A)]]),ISBLANK(Table22[[#This Row],[Length of Session
(B)]])),1,0))</f>
        <v>0</v>
      </c>
      <c r="E88" s="578"/>
      <c r="F88" s="578"/>
      <c r="G88" s="578"/>
      <c r="H88" s="578"/>
      <c r="I88" s="578"/>
      <c r="J88" s="473"/>
      <c r="K88" s="473"/>
      <c r="L88" s="218">
        <f t="shared" si="7"/>
        <v>0</v>
      </c>
      <c r="M88" s="473"/>
      <c r="N88" s="473"/>
    </row>
    <row r="89" spans="3:14" hidden="1" x14ac:dyDescent="0.2">
      <c r="C89" s="215">
        <f t="shared" si="6"/>
        <v>83</v>
      </c>
      <c r="D89" s="14">
        <f>IF(AND(ISBLANK(Table22[[#This Row],[Start Date]]),ISBLANK(Table22[[#This Row],[Class]]),ISBLANK(Table22[[#This Row],[Class Description]]),ISBLANK(Table22[[#This Row],[No. of Attendees
(A)]])),0,IF(OR(ISBLANK(Table22[[#This Row],[Class]]),ISBLANK(Table22[[#This Row],[No. of Attendees
(A)]]),ISBLANK(Table22[[#This Row],[Length of Session
(B)]])),1,0))</f>
        <v>0</v>
      </c>
      <c r="E89" s="578"/>
      <c r="F89" s="578"/>
      <c r="G89" s="578"/>
      <c r="H89" s="578"/>
      <c r="I89" s="578"/>
      <c r="J89" s="473"/>
      <c r="K89" s="473"/>
      <c r="L89" s="218">
        <f t="shared" si="7"/>
        <v>0</v>
      </c>
      <c r="M89" s="473"/>
      <c r="N89" s="473"/>
    </row>
    <row r="90" spans="3:14" hidden="1" x14ac:dyDescent="0.2">
      <c r="C90" s="215">
        <f t="shared" si="6"/>
        <v>84</v>
      </c>
      <c r="D90" s="14">
        <f>IF(AND(ISBLANK(Table22[[#This Row],[Start Date]]),ISBLANK(Table22[[#This Row],[Class]]),ISBLANK(Table22[[#This Row],[Class Description]]),ISBLANK(Table22[[#This Row],[No. of Attendees
(A)]])),0,IF(OR(ISBLANK(Table22[[#This Row],[Class]]),ISBLANK(Table22[[#This Row],[No. of Attendees
(A)]]),ISBLANK(Table22[[#This Row],[Length of Session
(B)]])),1,0))</f>
        <v>0</v>
      </c>
      <c r="E90" s="578"/>
      <c r="F90" s="578"/>
      <c r="G90" s="578"/>
      <c r="H90" s="578"/>
      <c r="I90" s="578"/>
      <c r="J90" s="473"/>
      <c r="K90" s="473"/>
      <c r="L90" s="218">
        <f t="shared" si="7"/>
        <v>0</v>
      </c>
      <c r="M90" s="473"/>
      <c r="N90" s="473"/>
    </row>
    <row r="91" spans="3:14" hidden="1" x14ac:dyDescent="0.2">
      <c r="C91" s="215">
        <f t="shared" si="6"/>
        <v>85</v>
      </c>
      <c r="D91" s="14">
        <f>IF(AND(ISBLANK(Table22[[#This Row],[Start Date]]),ISBLANK(Table22[[#This Row],[Class]]),ISBLANK(Table22[[#This Row],[Class Description]]),ISBLANK(Table22[[#This Row],[No. of Attendees
(A)]])),0,IF(OR(ISBLANK(Table22[[#This Row],[Class]]),ISBLANK(Table22[[#This Row],[No. of Attendees
(A)]]),ISBLANK(Table22[[#This Row],[Length of Session
(B)]])),1,0))</f>
        <v>0</v>
      </c>
      <c r="E91" s="578"/>
      <c r="F91" s="578"/>
      <c r="G91" s="578"/>
      <c r="H91" s="578"/>
      <c r="I91" s="578"/>
      <c r="J91" s="473"/>
      <c r="K91" s="473"/>
      <c r="L91" s="218">
        <f t="shared" si="7"/>
        <v>0</v>
      </c>
      <c r="M91" s="473"/>
      <c r="N91" s="473"/>
    </row>
    <row r="92" spans="3:14" hidden="1" x14ac:dyDescent="0.2">
      <c r="C92" s="215">
        <f t="shared" si="6"/>
        <v>86</v>
      </c>
      <c r="D92" s="14">
        <f>IF(AND(ISBLANK(Table22[[#This Row],[Start Date]]),ISBLANK(Table22[[#This Row],[Class]]),ISBLANK(Table22[[#This Row],[Class Description]]),ISBLANK(Table22[[#This Row],[No. of Attendees
(A)]])),0,IF(OR(ISBLANK(Table22[[#This Row],[Class]]),ISBLANK(Table22[[#This Row],[No. of Attendees
(A)]]),ISBLANK(Table22[[#This Row],[Length of Session
(B)]])),1,0))</f>
        <v>0</v>
      </c>
      <c r="E92" s="578"/>
      <c r="F92" s="578"/>
      <c r="G92" s="578"/>
      <c r="H92" s="578"/>
      <c r="I92" s="578"/>
      <c r="J92" s="473"/>
      <c r="K92" s="473"/>
      <c r="L92" s="218">
        <f t="shared" si="7"/>
        <v>0</v>
      </c>
      <c r="M92" s="473"/>
      <c r="N92" s="473"/>
    </row>
    <row r="93" spans="3:14" hidden="1" x14ac:dyDescent="0.2">
      <c r="C93" s="215">
        <f t="shared" si="6"/>
        <v>87</v>
      </c>
      <c r="D93" s="14">
        <f>IF(AND(ISBLANK(Table22[[#This Row],[Start Date]]),ISBLANK(Table22[[#This Row],[Class]]),ISBLANK(Table22[[#This Row],[Class Description]]),ISBLANK(Table22[[#This Row],[No. of Attendees
(A)]])),0,IF(OR(ISBLANK(Table22[[#This Row],[Class]]),ISBLANK(Table22[[#This Row],[No. of Attendees
(A)]]),ISBLANK(Table22[[#This Row],[Length of Session
(B)]])),1,0))</f>
        <v>0</v>
      </c>
      <c r="E93" s="578"/>
      <c r="F93" s="578"/>
      <c r="G93" s="578"/>
      <c r="H93" s="578"/>
      <c r="I93" s="578"/>
      <c r="J93" s="473"/>
      <c r="K93" s="473"/>
      <c r="L93" s="218">
        <f t="shared" si="7"/>
        <v>0</v>
      </c>
      <c r="M93" s="473"/>
      <c r="N93" s="473"/>
    </row>
    <row r="94" spans="3:14" x14ac:dyDescent="0.2">
      <c r="C94" s="219" t="s">
        <v>335</v>
      </c>
      <c r="D94" s="223">
        <f>SUM(Table22[Test])</f>
        <v>0</v>
      </c>
      <c r="E94" s="219" t="s">
        <v>336</v>
      </c>
      <c r="F94" s="220">
        <f>COUNTA(Table22[Class])</f>
        <v>45</v>
      </c>
      <c r="G94" s="221"/>
      <c r="H94" s="221"/>
      <c r="I94" s="221"/>
      <c r="J94" s="222">
        <f>SUM(J7:J93)</f>
        <v>3505</v>
      </c>
      <c r="K94" s="221"/>
      <c r="L94" s="222">
        <f>SUM(L7:L93)</f>
        <v>3430.75</v>
      </c>
      <c r="M94" s="221"/>
      <c r="N94" s="222">
        <f>SUM(N7:N93)</f>
        <v>3105</v>
      </c>
    </row>
  </sheetData>
  <mergeCells count="1">
    <mergeCell ref="B2:O2"/>
  </mergeCells>
  <pageMargins left="0.25" right="0.25" top="0.5" bottom="0.5" header="0.3" footer="0.3"/>
  <pageSetup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O112"/>
  <sheetViews>
    <sheetView showGridLines="0" showRowColHeaders="0" zoomScale="110" zoomScaleNormal="110" workbookViewId="0">
      <pane ySplit="2" topLeftCell="A3" activePane="bottomLeft" state="frozen"/>
      <selection pane="bottomLeft" activeCell="A3" sqref="A3"/>
    </sheetView>
  </sheetViews>
  <sheetFormatPr defaultColWidth="9.42578125" defaultRowHeight="12.75" x14ac:dyDescent="0.2"/>
  <cols>
    <col min="1" max="1" width="1" style="2" customWidth="1"/>
    <col min="2" max="2" width="4.42578125" style="2" customWidth="1"/>
    <col min="3" max="9" width="10.5703125" style="2" customWidth="1"/>
    <col min="10" max="10" width="9.42578125" style="2" customWidth="1"/>
    <col min="11" max="11" width="10.5703125" style="2" customWidth="1"/>
    <col min="12" max="12" width="9.42578125" style="2" customWidth="1"/>
    <col min="13" max="13" width="10.5703125" style="2" customWidth="1"/>
    <col min="14" max="14" width="9.42578125" style="2" customWidth="1"/>
    <col min="15" max="15" width="4.5703125" style="2" customWidth="1"/>
    <col min="16" max="16" width="1" style="2" customWidth="1"/>
    <col min="17" max="17" width="16" style="2" customWidth="1"/>
    <col min="18" max="16384" width="9.42578125" style="2"/>
  </cols>
  <sheetData>
    <row r="1" spans="2:15" ht="28.5" customHeight="1" x14ac:dyDescent="0.2"/>
    <row r="2" spans="2:15" ht="64.5" customHeight="1" x14ac:dyDescent="0.2">
      <c r="B2" s="461"/>
      <c r="C2" s="462"/>
      <c r="D2" s="462"/>
      <c r="E2" s="462"/>
      <c r="F2" s="462"/>
      <c r="G2" s="462"/>
      <c r="H2" s="462"/>
      <c r="I2" s="462"/>
      <c r="J2" s="462"/>
      <c r="K2" s="462"/>
      <c r="L2" s="462"/>
      <c r="M2" s="462"/>
      <c r="N2" s="462"/>
      <c r="O2" s="463"/>
    </row>
    <row r="3" spans="2:15" ht="7.5" customHeight="1" x14ac:dyDescent="0.2">
      <c r="B3" s="589"/>
      <c r="C3" s="590"/>
      <c r="D3" s="590"/>
      <c r="E3" s="590"/>
      <c r="F3" s="590"/>
      <c r="G3" s="590"/>
      <c r="H3" s="590"/>
      <c r="I3" s="590"/>
      <c r="J3" s="590"/>
      <c r="K3" s="590"/>
      <c r="L3" s="590"/>
      <c r="M3" s="590"/>
      <c r="N3" s="590"/>
      <c r="O3" s="591"/>
    </row>
    <row r="4" spans="2:15" ht="15" customHeight="1" x14ac:dyDescent="0.25">
      <c r="B4" s="3"/>
      <c r="C4" s="163"/>
      <c r="D4" s="154"/>
      <c r="E4" s="154"/>
      <c r="F4" s="154"/>
      <c r="G4" s="154"/>
      <c r="H4" s="154"/>
      <c r="I4" s="154"/>
      <c r="J4" s="154"/>
      <c r="K4" s="154"/>
      <c r="L4" s="154"/>
      <c r="M4" s="154"/>
      <c r="N4" s="154"/>
      <c r="O4" s="4"/>
    </row>
    <row r="5" spans="2:15" ht="15" customHeight="1" x14ac:dyDescent="0.2">
      <c r="B5" s="3"/>
      <c r="C5" s="164"/>
      <c r="D5" s="165"/>
      <c r="E5" s="154"/>
      <c r="F5" s="164"/>
      <c r="G5" s="164"/>
      <c r="I5" s="165"/>
      <c r="J5" s="154"/>
      <c r="K5" s="165"/>
      <c r="L5" s="154"/>
      <c r="M5" s="165"/>
      <c r="N5" s="154"/>
      <c r="O5" s="4"/>
    </row>
    <row r="6" spans="2:15" ht="50.25" customHeight="1" x14ac:dyDescent="0.2">
      <c r="B6" s="3"/>
      <c r="D6" s="166"/>
      <c r="E6" s="166"/>
      <c r="F6" s="166"/>
      <c r="G6" s="166"/>
      <c r="H6" s="166"/>
      <c r="I6" s="166"/>
      <c r="J6" s="167"/>
      <c r="K6" s="166"/>
      <c r="L6" s="167"/>
      <c r="M6" s="166"/>
      <c r="N6" s="167"/>
      <c r="O6" s="4"/>
    </row>
    <row r="7" spans="2:15" ht="11.25" customHeight="1" x14ac:dyDescent="0.2">
      <c r="B7" s="3"/>
      <c r="H7" s="168"/>
      <c r="I7" s="168"/>
      <c r="J7" s="168"/>
      <c r="K7" s="168"/>
      <c r="L7" s="168"/>
      <c r="M7" s="168"/>
      <c r="N7" s="168"/>
      <c r="O7" s="4"/>
    </row>
    <row r="8" spans="2:15" ht="15" customHeight="1" x14ac:dyDescent="0.2">
      <c r="B8" s="3"/>
      <c r="C8" s="112"/>
      <c r="D8" s="169"/>
      <c r="E8" s="170"/>
      <c r="F8" s="169"/>
      <c r="G8" s="169"/>
      <c r="H8" s="120"/>
      <c r="I8" s="120"/>
      <c r="J8" s="171"/>
      <c r="K8" s="172"/>
      <c r="L8" s="171"/>
      <c r="M8" s="120"/>
      <c r="N8" s="171"/>
      <c r="O8" s="4"/>
    </row>
    <row r="9" spans="2:15" ht="15" customHeight="1" x14ac:dyDescent="0.2">
      <c r="B9" s="3"/>
      <c r="C9" s="112"/>
      <c r="D9" s="169"/>
      <c r="E9" s="170"/>
      <c r="F9" s="169"/>
      <c r="G9" s="169"/>
      <c r="H9" s="120"/>
      <c r="I9" s="120"/>
      <c r="J9" s="171"/>
      <c r="K9" s="172"/>
      <c r="L9" s="171"/>
      <c r="M9" s="120"/>
      <c r="N9" s="171"/>
      <c r="O9" s="4"/>
    </row>
    <row r="10" spans="2:15" ht="15" customHeight="1" x14ac:dyDescent="0.25">
      <c r="B10" s="3"/>
      <c r="C10" s="112"/>
      <c r="D10" s="169"/>
      <c r="E10" s="663" t="s">
        <v>403</v>
      </c>
      <c r="F10" s="663"/>
      <c r="G10" s="663"/>
      <c r="H10" s="663"/>
      <c r="I10" s="663"/>
      <c r="J10" s="663"/>
      <c r="K10" s="172"/>
      <c r="L10" s="171"/>
      <c r="M10" s="120"/>
      <c r="N10" s="171"/>
      <c r="O10" s="4"/>
    </row>
    <row r="11" spans="2:15" ht="15" customHeight="1" x14ac:dyDescent="0.2">
      <c r="B11" s="3"/>
      <c r="C11" s="112"/>
      <c r="D11" s="169"/>
      <c r="E11" s="170"/>
      <c r="F11" s="169"/>
      <c r="G11" s="169"/>
      <c r="H11" s="120"/>
      <c r="I11" s="120"/>
      <c r="J11" s="171"/>
      <c r="K11" s="172"/>
      <c r="L11" s="171"/>
      <c r="M11" s="120"/>
      <c r="N11" s="171"/>
      <c r="O11" s="4"/>
    </row>
    <row r="12" spans="2:15" ht="15" customHeight="1" x14ac:dyDescent="0.2">
      <c r="B12" s="3"/>
      <c r="C12" s="112"/>
      <c r="D12" s="169"/>
      <c r="E12" s="170"/>
      <c r="F12" s="169"/>
      <c r="G12" s="169"/>
      <c r="H12" s="120"/>
      <c r="I12" s="120"/>
      <c r="J12" s="171"/>
      <c r="K12" s="172"/>
      <c r="L12" s="171"/>
      <c r="M12" s="120"/>
      <c r="N12" s="171"/>
      <c r="O12" s="4"/>
    </row>
    <row r="13" spans="2:15" ht="15" customHeight="1" x14ac:dyDescent="0.2">
      <c r="B13" s="3"/>
      <c r="O13" s="4"/>
    </row>
    <row r="14" spans="2:15" ht="15" customHeight="1" x14ac:dyDescent="0.2">
      <c r="B14" s="3"/>
      <c r="O14" s="4"/>
    </row>
    <row r="15" spans="2:15" ht="15" customHeight="1" x14ac:dyDescent="0.25">
      <c r="B15" s="3"/>
      <c r="D15" s="662"/>
      <c r="E15" s="662"/>
      <c r="F15" s="662"/>
      <c r="G15" s="662"/>
      <c r="H15" s="662"/>
      <c r="I15" s="662"/>
      <c r="J15" s="662"/>
      <c r="K15" s="662"/>
      <c r="L15" s="662"/>
      <c r="M15" s="662"/>
      <c r="O15" s="4"/>
    </row>
    <row r="16" spans="2:15" ht="15" customHeight="1" x14ac:dyDescent="0.2">
      <c r="B16" s="3"/>
      <c r="D16" s="622"/>
      <c r="E16" s="661"/>
      <c r="F16" s="661"/>
      <c r="G16" s="661"/>
      <c r="H16" s="661"/>
      <c r="I16" s="661"/>
      <c r="J16" s="661"/>
      <c r="K16" s="661"/>
      <c r="L16" s="661"/>
      <c r="M16" s="661"/>
      <c r="O16" s="4"/>
    </row>
    <row r="17" spans="2:15" ht="15" customHeight="1" x14ac:dyDescent="0.2">
      <c r="B17" s="3"/>
      <c r="D17" s="622"/>
      <c r="O17" s="4"/>
    </row>
    <row r="18" spans="2:15" ht="15" customHeight="1" x14ac:dyDescent="0.2">
      <c r="B18" s="3"/>
      <c r="D18" s="622"/>
      <c r="O18" s="4"/>
    </row>
    <row r="19" spans="2:15" ht="15" customHeight="1" x14ac:dyDescent="0.2">
      <c r="B19" s="3"/>
      <c r="D19" s="622"/>
      <c r="O19" s="4"/>
    </row>
    <row r="20" spans="2:15" ht="15" customHeight="1" x14ac:dyDescent="0.2">
      <c r="B20" s="3"/>
      <c r="D20" s="622"/>
      <c r="O20" s="4"/>
    </row>
    <row r="21" spans="2:15" ht="15" customHeight="1" x14ac:dyDescent="0.2">
      <c r="B21" s="3"/>
      <c r="D21" s="622"/>
      <c r="O21" s="4"/>
    </row>
    <row r="22" spans="2:15" ht="15" customHeight="1" x14ac:dyDescent="0.2">
      <c r="B22" s="3"/>
      <c r="D22" s="622"/>
      <c r="O22" s="4"/>
    </row>
    <row r="23" spans="2:15" ht="15" customHeight="1" x14ac:dyDescent="0.2">
      <c r="B23" s="3"/>
      <c r="D23" s="622"/>
      <c r="O23" s="4"/>
    </row>
    <row r="24" spans="2:15" ht="15" customHeight="1" x14ac:dyDescent="0.2">
      <c r="B24" s="3"/>
      <c r="D24" s="622"/>
      <c r="O24" s="4"/>
    </row>
    <row r="25" spans="2:15" ht="15" customHeight="1" x14ac:dyDescent="0.2">
      <c r="B25" s="5"/>
      <c r="C25" s="353"/>
      <c r="D25" s="353"/>
      <c r="E25" s="353"/>
      <c r="F25" s="353"/>
      <c r="G25" s="353"/>
      <c r="H25" s="353"/>
      <c r="I25" s="353"/>
      <c r="J25" s="353"/>
      <c r="K25" s="353"/>
      <c r="L25" s="353"/>
      <c r="M25" s="353"/>
      <c r="N25" s="353"/>
      <c r="O25" s="6"/>
    </row>
    <row r="26" spans="2:15" ht="15" customHeight="1" x14ac:dyDescent="0.2"/>
    <row r="27" spans="2:15" ht="15" customHeight="1" x14ac:dyDescent="0.2"/>
    <row r="28" spans="2:15" ht="15" customHeight="1" x14ac:dyDescent="0.2"/>
    <row r="29" spans="2:15" ht="15" customHeight="1" x14ac:dyDescent="0.2"/>
    <row r="30" spans="2:15" ht="15" customHeight="1" x14ac:dyDescent="0.2"/>
    <row r="31" spans="2:15" ht="15" customHeight="1" x14ac:dyDescent="0.2"/>
    <row r="32" spans="2:15"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sheetData>
  <sheetProtection password="C925" sheet="1" objects="1" scenarios="1" formatRows="0"/>
  <mergeCells count="4">
    <mergeCell ref="L16:M16"/>
    <mergeCell ref="E16:K16"/>
    <mergeCell ref="D15:M15"/>
    <mergeCell ref="E10:J10"/>
  </mergeCells>
  <pageMargins left="0.25" right="0.25" top="0.25" bottom="0.25" header="0.3" footer="0.3"/>
  <pageSetup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K179"/>
  <sheetViews>
    <sheetView showGridLines="0" zoomScaleNormal="100" workbookViewId="0">
      <pane ySplit="4" topLeftCell="A25" activePane="bottomLeft" state="frozen"/>
      <selection pane="bottomLeft" activeCell="A5" sqref="A5"/>
    </sheetView>
  </sheetViews>
  <sheetFormatPr defaultColWidth="9.42578125" defaultRowHeight="12.75" x14ac:dyDescent="0.2"/>
  <cols>
    <col min="1" max="1" width="1" style="2" customWidth="1"/>
    <col min="2" max="2" width="3.5703125" style="2" customWidth="1"/>
    <col min="3" max="3" width="36.42578125" style="2" customWidth="1"/>
    <col min="4" max="9" width="12.5703125" style="2" customWidth="1"/>
    <col min="10" max="10" width="13.5703125" style="2" customWidth="1"/>
    <col min="11" max="11" width="2.5703125" style="2" customWidth="1"/>
    <col min="12" max="12" width="1" style="2" customWidth="1"/>
    <col min="13" max="13" width="16" style="2" customWidth="1"/>
    <col min="14" max="16384" width="9.42578125" style="2"/>
  </cols>
  <sheetData>
    <row r="1" spans="2:11" ht="28.5" customHeight="1" x14ac:dyDescent="0.2"/>
    <row r="2" spans="2:11" ht="64.5" customHeight="1" x14ac:dyDescent="0.2">
      <c r="B2" s="461"/>
      <c r="C2" s="462"/>
      <c r="D2" s="462"/>
      <c r="E2" s="462"/>
      <c r="F2" s="462"/>
      <c r="G2" s="462"/>
      <c r="H2" s="462"/>
      <c r="I2" s="462"/>
      <c r="J2" s="462"/>
      <c r="K2" s="463"/>
    </row>
    <row r="3" spans="2:11" ht="7.5" customHeight="1" x14ac:dyDescent="0.2">
      <c r="B3" s="589"/>
      <c r="C3" s="590"/>
      <c r="D3" s="590"/>
      <c r="E3" s="590"/>
      <c r="F3" s="590"/>
      <c r="G3" s="590"/>
      <c r="H3" s="590"/>
      <c r="I3" s="590"/>
      <c r="J3" s="590"/>
      <c r="K3" s="591"/>
    </row>
    <row r="4" spans="2:11" ht="39" x14ac:dyDescent="0.25">
      <c r="B4" s="3"/>
      <c r="C4" s="8" t="s">
        <v>85</v>
      </c>
      <c r="D4" s="128" t="str">
        <f>Cost!B4</f>
        <v>Planning / Design</v>
      </c>
      <c r="E4" s="128" t="str">
        <f>Cost!C4</f>
        <v>Marketing &amp; Delivery</v>
      </c>
      <c r="F4" s="128" t="str">
        <f>Cost!B14</f>
        <v>Incentives / Direct Install Costs</v>
      </c>
      <c r="G4" s="128" t="str">
        <f>Cost!C19</f>
        <v>EM&amp;V</v>
      </c>
      <c r="H4" s="128" t="str">
        <f>Cost!B25</f>
        <v>Administration</v>
      </c>
      <c r="I4" s="129" t="s">
        <v>163</v>
      </c>
      <c r="J4" s="129"/>
      <c r="K4" s="4"/>
    </row>
    <row r="5" spans="2:11" ht="27" customHeight="1" x14ac:dyDescent="0.2">
      <c r="B5" s="132">
        <v>1</v>
      </c>
      <c r="C5" s="9" t="str">
        <f>'Program Descriptions'!C5</f>
        <v>Home Energy Solutions</v>
      </c>
      <c r="D5" s="133">
        <f>SUM(D6:D8)</f>
        <v>0</v>
      </c>
      <c r="E5" s="133">
        <f>SUM(E6:E8)</f>
        <v>1929789.54</v>
      </c>
      <c r="F5" s="133">
        <f>SUM(F6:F8)</f>
        <v>10246231.24</v>
      </c>
      <c r="G5" s="133">
        <f>SUM(G6:G8)</f>
        <v>148037.71835416299</v>
      </c>
      <c r="H5" s="133">
        <f>SUM(H6:H8)</f>
        <v>170883.488147695</v>
      </c>
      <c r="I5" s="10">
        <f t="shared" ref="I5:I36" si="0">SUM(D5:H5)</f>
        <v>12494941.98650186</v>
      </c>
      <c r="J5" s="10"/>
      <c r="K5" s="4"/>
    </row>
    <row r="6" spans="2:11" ht="15" customHeight="1" x14ac:dyDescent="0.2">
      <c r="B6" s="3"/>
      <c r="C6" s="43" t="s">
        <v>404</v>
      </c>
      <c r="D6" s="454"/>
      <c r="E6" s="454"/>
      <c r="F6" s="454"/>
      <c r="G6" s="454"/>
      <c r="H6" s="454">
        <v>170883.488147695</v>
      </c>
      <c r="I6" s="42">
        <f t="shared" si="0"/>
        <v>170883.488147695</v>
      </c>
      <c r="J6" s="42"/>
      <c r="K6" s="4"/>
    </row>
    <row r="7" spans="2:11" ht="15" customHeight="1" x14ac:dyDescent="0.2">
      <c r="B7" s="3"/>
      <c r="C7" s="43" t="s">
        <v>405</v>
      </c>
      <c r="D7" s="454"/>
      <c r="E7" s="454"/>
      <c r="F7" s="454"/>
      <c r="G7" s="454"/>
      <c r="H7" s="454"/>
      <c r="I7" s="42">
        <f t="shared" si="0"/>
        <v>0</v>
      </c>
      <c r="J7" s="42"/>
      <c r="K7" s="4"/>
    </row>
    <row r="8" spans="2:11" ht="15" customHeight="1" x14ac:dyDescent="0.2">
      <c r="B8" s="3"/>
      <c r="C8" s="43" t="s">
        <v>406</v>
      </c>
      <c r="D8" s="454">
        <v>0</v>
      </c>
      <c r="E8" s="454">
        <v>1929789.54</v>
      </c>
      <c r="F8" s="454">
        <v>10246231.24</v>
      </c>
      <c r="G8" s="454">
        <v>148037.71835416299</v>
      </c>
      <c r="H8" s="454"/>
      <c r="I8" s="42">
        <f t="shared" si="0"/>
        <v>12324058.498354165</v>
      </c>
      <c r="J8" s="42"/>
      <c r="K8" s="4"/>
    </row>
    <row r="9" spans="2:11" ht="15" customHeight="1" x14ac:dyDescent="0.2">
      <c r="B9" s="132">
        <f>B5+1</f>
        <v>2</v>
      </c>
      <c r="C9" s="9" t="str">
        <f>'Program Descriptions'!C6</f>
        <v>Multifamily Homes</v>
      </c>
      <c r="D9" s="133">
        <f>SUM(D10:D12)</f>
        <v>0</v>
      </c>
      <c r="E9" s="133">
        <f>SUM(E10:E12)</f>
        <v>866740.34</v>
      </c>
      <c r="F9" s="133">
        <f>SUM(F10:F12)</f>
        <v>1606194.09</v>
      </c>
      <c r="G9" s="133">
        <f>SUM(G10:G12)</f>
        <v>51167.004428612498</v>
      </c>
      <c r="H9" s="133">
        <f>SUM(H10:H12)</f>
        <v>92085.393096687301</v>
      </c>
      <c r="I9" s="10">
        <f t="shared" si="0"/>
        <v>2616186.8275253</v>
      </c>
      <c r="J9" s="10"/>
      <c r="K9" s="4"/>
    </row>
    <row r="10" spans="2:11" ht="15" customHeight="1" x14ac:dyDescent="0.2">
      <c r="B10" s="3"/>
      <c r="C10" s="43" t="s">
        <v>404</v>
      </c>
      <c r="D10" s="454"/>
      <c r="E10" s="454"/>
      <c r="F10" s="454"/>
      <c r="G10" s="454"/>
      <c r="H10" s="454">
        <v>92085.393096687301</v>
      </c>
      <c r="I10" s="42">
        <f t="shared" si="0"/>
        <v>92085.393096687301</v>
      </c>
      <c r="J10" s="42"/>
      <c r="K10" s="4"/>
    </row>
    <row r="11" spans="2:11" ht="15" customHeight="1" x14ac:dyDescent="0.2">
      <c r="B11" s="3"/>
      <c r="C11" s="43" t="s">
        <v>405</v>
      </c>
      <c r="D11" s="454"/>
      <c r="E11" s="454"/>
      <c r="F11" s="454"/>
      <c r="G11" s="454"/>
      <c r="H11" s="454"/>
      <c r="I11" s="42">
        <f t="shared" si="0"/>
        <v>0</v>
      </c>
      <c r="J11" s="42"/>
      <c r="K11" s="4"/>
    </row>
    <row r="12" spans="2:11" ht="15" customHeight="1" x14ac:dyDescent="0.2">
      <c r="B12" s="3"/>
      <c r="C12" s="43" t="s">
        <v>406</v>
      </c>
      <c r="D12" s="454">
        <v>0</v>
      </c>
      <c r="E12" s="454">
        <v>866740.34</v>
      </c>
      <c r="F12" s="454">
        <v>1606194.09</v>
      </c>
      <c r="G12" s="454">
        <v>51167.004428612498</v>
      </c>
      <c r="H12" s="454"/>
      <c r="I12" s="42">
        <f t="shared" si="0"/>
        <v>2524101.4344286127</v>
      </c>
      <c r="J12" s="42"/>
      <c r="K12" s="4"/>
    </row>
    <row r="13" spans="2:11" ht="15" customHeight="1" x14ac:dyDescent="0.2">
      <c r="B13" s="132">
        <f>B9+1</f>
        <v>3</v>
      </c>
      <c r="C13" s="9" t="str">
        <f>'Program Descriptions'!C7</f>
        <v>Manufactured Homes</v>
      </c>
      <c r="D13" s="133">
        <f>SUM(D14:D16)</f>
        <v>0</v>
      </c>
      <c r="E13" s="133">
        <f>SUM(E14:E16)</f>
        <v>438487.8</v>
      </c>
      <c r="F13" s="133">
        <f>SUM(F14:F16)</f>
        <v>783753.83</v>
      </c>
      <c r="G13" s="133">
        <f>SUM(G14:G16)</f>
        <v>25216.7526347393</v>
      </c>
      <c r="H13" s="133">
        <f>SUM(H14:H16)</f>
        <v>62630.3328511652</v>
      </c>
      <c r="I13" s="10">
        <f t="shared" si="0"/>
        <v>1310088.7154859044</v>
      </c>
      <c r="J13" s="10"/>
      <c r="K13" s="4"/>
    </row>
    <row r="14" spans="2:11" ht="15" customHeight="1" x14ac:dyDescent="0.2">
      <c r="B14" s="3"/>
      <c r="C14" s="43" t="s">
        <v>404</v>
      </c>
      <c r="D14" s="454"/>
      <c r="E14" s="454"/>
      <c r="F14" s="454"/>
      <c r="G14" s="454"/>
      <c r="H14" s="454">
        <v>62630.3328511652</v>
      </c>
      <c r="I14" s="42">
        <f t="shared" si="0"/>
        <v>62630.3328511652</v>
      </c>
      <c r="J14" s="42"/>
      <c r="K14" s="4"/>
    </row>
    <row r="15" spans="2:11" ht="15" customHeight="1" x14ac:dyDescent="0.2">
      <c r="B15" s="3"/>
      <c r="C15" s="43" t="s">
        <v>405</v>
      </c>
      <c r="D15" s="454"/>
      <c r="E15" s="454"/>
      <c r="F15" s="454"/>
      <c r="G15" s="454"/>
      <c r="H15" s="454"/>
      <c r="I15" s="42">
        <f t="shared" si="0"/>
        <v>0</v>
      </c>
      <c r="J15" s="42"/>
      <c r="K15" s="4"/>
    </row>
    <row r="16" spans="2:11" ht="15" customHeight="1" x14ac:dyDescent="0.2">
      <c r="B16" s="3"/>
      <c r="C16" s="43" t="s">
        <v>406</v>
      </c>
      <c r="D16" s="454">
        <v>0</v>
      </c>
      <c r="E16" s="454">
        <v>438487.8</v>
      </c>
      <c r="F16" s="454">
        <v>783753.83</v>
      </c>
      <c r="G16" s="454">
        <v>25216.7526347393</v>
      </c>
      <c r="H16" s="454"/>
      <c r="I16" s="42">
        <f t="shared" si="0"/>
        <v>1247458.3826347392</v>
      </c>
      <c r="J16" s="42"/>
      <c r="K16" s="4"/>
    </row>
    <row r="17" spans="2:11" ht="15" customHeight="1" x14ac:dyDescent="0.2">
      <c r="B17" s="132">
        <f>B13+1</f>
        <v>4</v>
      </c>
      <c r="C17" s="9" t="str">
        <f>'Program Descriptions'!C8</f>
        <v xml:space="preserve">Low-Income Solutions </v>
      </c>
      <c r="D17" s="133">
        <f>SUM(D18:D20)</f>
        <v>0</v>
      </c>
      <c r="E17" s="133">
        <f>SUM(E18:E20)</f>
        <v>1484415.81</v>
      </c>
      <c r="F17" s="133">
        <f>SUM(F18:F20)</f>
        <v>3189237.37</v>
      </c>
      <c r="G17" s="133">
        <f>SUM(G18:G20)</f>
        <v>40946.257178259701</v>
      </c>
      <c r="H17" s="133">
        <f>SUM(H18:H20)</f>
        <v>49328.405571756703</v>
      </c>
      <c r="I17" s="10">
        <f t="shared" si="0"/>
        <v>4763927.8427500166</v>
      </c>
      <c r="J17" s="10"/>
      <c r="K17" s="4"/>
    </row>
    <row r="18" spans="2:11" ht="15" customHeight="1" x14ac:dyDescent="0.2">
      <c r="B18" s="3"/>
      <c r="C18" s="43" t="s">
        <v>404</v>
      </c>
      <c r="D18" s="454"/>
      <c r="E18" s="454"/>
      <c r="F18" s="454"/>
      <c r="G18" s="454"/>
      <c r="H18" s="454">
        <v>49328.405571756703</v>
      </c>
      <c r="I18" s="42">
        <f t="shared" si="0"/>
        <v>49328.405571756703</v>
      </c>
      <c r="J18" s="42"/>
      <c r="K18" s="4"/>
    </row>
    <row r="19" spans="2:11" ht="15" customHeight="1" x14ac:dyDescent="0.2">
      <c r="B19" s="3"/>
      <c r="C19" s="43" t="s">
        <v>405</v>
      </c>
      <c r="D19" s="454"/>
      <c r="E19" s="454"/>
      <c r="F19" s="454"/>
      <c r="G19" s="454"/>
      <c r="H19" s="454"/>
      <c r="I19" s="42">
        <f t="shared" si="0"/>
        <v>0</v>
      </c>
      <c r="J19" s="42"/>
      <c r="K19" s="4"/>
    </row>
    <row r="20" spans="2:11" ht="15" customHeight="1" x14ac:dyDescent="0.2">
      <c r="B20" s="3"/>
      <c r="C20" s="43" t="s">
        <v>406</v>
      </c>
      <c r="D20" s="454">
        <v>0</v>
      </c>
      <c r="E20" s="454">
        <v>1484415.81</v>
      </c>
      <c r="F20" s="454">
        <v>3189237.37</v>
      </c>
      <c r="G20" s="454">
        <v>40946.257178259701</v>
      </c>
      <c r="H20" s="454"/>
      <c r="I20" s="42">
        <f t="shared" si="0"/>
        <v>4714599.4371782597</v>
      </c>
      <c r="J20" s="42"/>
      <c r="K20" s="4"/>
    </row>
    <row r="21" spans="2:11" ht="15" customHeight="1" x14ac:dyDescent="0.2">
      <c r="B21" s="132">
        <f>B17+1</f>
        <v>5</v>
      </c>
      <c r="C21" s="9" t="str">
        <f>'Program Descriptions'!C9</f>
        <v>Point of Purchase Solutions</v>
      </c>
      <c r="D21" s="133">
        <f>SUM(D22:D24)</f>
        <v>0</v>
      </c>
      <c r="E21" s="133">
        <f>SUM(E22:E24)</f>
        <v>2032377.85</v>
      </c>
      <c r="F21" s="133">
        <f>SUM(F22:F24)</f>
        <v>4796547.38</v>
      </c>
      <c r="G21" s="133">
        <f>SUM(G22:G24)</f>
        <v>301769.53716494498</v>
      </c>
      <c r="H21" s="133">
        <f>SUM(H22:H24)</f>
        <v>345378.11942252697</v>
      </c>
      <c r="I21" s="10">
        <f t="shared" si="0"/>
        <v>7476072.8865874726</v>
      </c>
      <c r="J21" s="10"/>
      <c r="K21" s="4"/>
    </row>
    <row r="22" spans="2:11" ht="15" customHeight="1" x14ac:dyDescent="0.2">
      <c r="B22" s="3"/>
      <c r="C22" s="43" t="s">
        <v>404</v>
      </c>
      <c r="D22" s="454"/>
      <c r="E22" s="454"/>
      <c r="F22" s="454"/>
      <c r="G22" s="454"/>
      <c r="H22" s="454">
        <v>345378.11942252697</v>
      </c>
      <c r="I22" s="42">
        <f t="shared" si="0"/>
        <v>345378.11942252697</v>
      </c>
      <c r="J22" s="42"/>
      <c r="K22" s="4"/>
    </row>
    <row r="23" spans="2:11" ht="15" customHeight="1" x14ac:dyDescent="0.2">
      <c r="B23" s="3"/>
      <c r="C23" s="43" t="s">
        <v>405</v>
      </c>
      <c r="D23" s="454"/>
      <c r="E23" s="454"/>
      <c r="F23" s="454"/>
      <c r="G23" s="454"/>
      <c r="H23" s="454"/>
      <c r="I23" s="42">
        <f t="shared" si="0"/>
        <v>0</v>
      </c>
      <c r="J23" s="42"/>
      <c r="K23" s="4"/>
    </row>
    <row r="24" spans="2:11" ht="15" customHeight="1" x14ac:dyDescent="0.2">
      <c r="B24" s="3"/>
      <c r="C24" s="43" t="s">
        <v>406</v>
      </c>
      <c r="D24" s="454">
        <v>0</v>
      </c>
      <c r="E24" s="454">
        <v>2032377.85</v>
      </c>
      <c r="F24" s="454">
        <v>4796547.38</v>
      </c>
      <c r="G24" s="454">
        <v>301769.53716494498</v>
      </c>
      <c r="H24" s="454"/>
      <c r="I24" s="42">
        <f t="shared" si="0"/>
        <v>7130694.7671649456</v>
      </c>
      <c r="J24" s="42"/>
      <c r="K24" s="4"/>
    </row>
    <row r="25" spans="2:11" ht="15" customHeight="1" x14ac:dyDescent="0.2">
      <c r="B25" s="132">
        <f>B21+1</f>
        <v>6</v>
      </c>
      <c r="C25" s="9" t="str">
        <f>'Program Descriptions'!C10</f>
        <v>Large Commercial &amp; Industrial Solutions</v>
      </c>
      <c r="D25" s="133">
        <f>SUM(D26:D28)</f>
        <v>0</v>
      </c>
      <c r="E25" s="133">
        <f>SUM(E26:E28)</f>
        <v>5064907.7699999996</v>
      </c>
      <c r="F25" s="133">
        <f>SUM(F26:F28)</f>
        <v>6565319.9399999995</v>
      </c>
      <c r="G25" s="133">
        <f>SUM(G26:G28)</f>
        <v>579873.84065516701</v>
      </c>
      <c r="H25" s="133">
        <f>SUM(H26:H28)</f>
        <v>666447.29894696502</v>
      </c>
      <c r="I25" s="10">
        <f t="shared" si="0"/>
        <v>12876548.849602131</v>
      </c>
      <c r="J25" s="10"/>
      <c r="K25" s="4"/>
    </row>
    <row r="26" spans="2:11" ht="15" customHeight="1" x14ac:dyDescent="0.2">
      <c r="B26" s="3"/>
      <c r="C26" s="43" t="s">
        <v>404</v>
      </c>
      <c r="D26" s="454"/>
      <c r="E26" s="454"/>
      <c r="F26" s="454"/>
      <c r="G26" s="454"/>
      <c r="H26" s="454">
        <v>666447.29894696502</v>
      </c>
      <c r="I26" s="42">
        <f t="shared" si="0"/>
        <v>666447.29894696502</v>
      </c>
      <c r="J26" s="42"/>
      <c r="K26" s="4"/>
    </row>
    <row r="27" spans="2:11" ht="15" customHeight="1" x14ac:dyDescent="0.2">
      <c r="B27" s="3"/>
      <c r="C27" s="43" t="s">
        <v>405</v>
      </c>
      <c r="D27" s="454"/>
      <c r="E27" s="454"/>
      <c r="F27" s="454"/>
      <c r="G27" s="454"/>
      <c r="H27" s="454"/>
      <c r="I27" s="42">
        <f t="shared" si="0"/>
        <v>0</v>
      </c>
      <c r="J27" s="42"/>
      <c r="K27" s="4"/>
    </row>
    <row r="28" spans="2:11" ht="15" customHeight="1" x14ac:dyDescent="0.2">
      <c r="B28" s="3"/>
      <c r="C28" s="43" t="s">
        <v>406</v>
      </c>
      <c r="D28" s="454">
        <v>0</v>
      </c>
      <c r="E28" s="454">
        <v>5064907.7699999996</v>
      </c>
      <c r="F28" s="454">
        <v>6565319.9399999995</v>
      </c>
      <c r="G28" s="454">
        <v>579873.84065516701</v>
      </c>
      <c r="H28" s="454"/>
      <c r="I28" s="42">
        <f t="shared" si="0"/>
        <v>12210101.550655166</v>
      </c>
      <c r="J28" s="42"/>
      <c r="K28" s="4"/>
    </row>
    <row r="29" spans="2:11" ht="15" customHeight="1" x14ac:dyDescent="0.2">
      <c r="B29" s="132">
        <f>B25+1</f>
        <v>7</v>
      </c>
      <c r="C29" s="9" t="str">
        <f>'Program Descriptions'!C11</f>
        <v>Small Business Solutions</v>
      </c>
      <c r="D29" s="133">
        <f>SUM(D30:D32)</f>
        <v>0</v>
      </c>
      <c r="E29" s="133">
        <f>SUM(E30:E32)</f>
        <v>635622.53</v>
      </c>
      <c r="F29" s="133">
        <f>SUM(F30:F32)</f>
        <v>1312215.58</v>
      </c>
      <c r="G29" s="133">
        <f>SUM(G30:G32)</f>
        <v>92139.955769107706</v>
      </c>
      <c r="H29" s="133">
        <f>SUM(H30:H32)</f>
        <v>112840.72573850599</v>
      </c>
      <c r="I29" s="10">
        <f t="shared" si="0"/>
        <v>2152818.7915076138</v>
      </c>
      <c r="J29" s="10"/>
      <c r="K29" s="4"/>
    </row>
    <row r="30" spans="2:11" ht="15" customHeight="1" x14ac:dyDescent="0.2">
      <c r="B30" s="3"/>
      <c r="C30" s="43" t="s">
        <v>404</v>
      </c>
      <c r="D30" s="454"/>
      <c r="E30" s="454"/>
      <c r="F30" s="454"/>
      <c r="G30" s="454"/>
      <c r="H30" s="454">
        <v>112840.72573850599</v>
      </c>
      <c r="I30" s="42">
        <f t="shared" si="0"/>
        <v>112840.72573850599</v>
      </c>
      <c r="J30" s="42"/>
      <c r="K30" s="4"/>
    </row>
    <row r="31" spans="2:11" ht="15" customHeight="1" x14ac:dyDescent="0.2">
      <c r="B31" s="3"/>
      <c r="C31" s="43" t="s">
        <v>405</v>
      </c>
      <c r="D31" s="454"/>
      <c r="E31" s="454"/>
      <c r="F31" s="454"/>
      <c r="G31" s="454"/>
      <c r="H31" s="454"/>
      <c r="I31" s="42">
        <f t="shared" si="0"/>
        <v>0</v>
      </c>
      <c r="J31" s="42"/>
      <c r="K31" s="4"/>
    </row>
    <row r="32" spans="2:11" ht="15" customHeight="1" x14ac:dyDescent="0.2">
      <c r="B32" s="3"/>
      <c r="C32" s="43" t="s">
        <v>406</v>
      </c>
      <c r="D32" s="454">
        <v>0</v>
      </c>
      <c r="E32" s="454">
        <v>635622.53</v>
      </c>
      <c r="F32" s="454">
        <v>1312215.58</v>
      </c>
      <c r="G32" s="454">
        <v>92139.955769107706</v>
      </c>
      <c r="H32" s="454"/>
      <c r="I32" s="42">
        <f t="shared" si="0"/>
        <v>2039978.0657691078</v>
      </c>
      <c r="J32" s="42"/>
      <c r="K32" s="4"/>
    </row>
    <row r="33" spans="2:11" ht="15" customHeight="1" x14ac:dyDescent="0.2">
      <c r="B33" s="132">
        <f>B29+1</f>
        <v>8</v>
      </c>
      <c r="C33" s="9" t="str">
        <f>'Program Descriptions'!C12</f>
        <v xml:space="preserve">Public Institutions Solutions </v>
      </c>
      <c r="D33" s="133">
        <f>SUM(D34:D36)</f>
        <v>0</v>
      </c>
      <c r="E33" s="133">
        <f>SUM(E34:E36)</f>
        <v>841111.53</v>
      </c>
      <c r="F33" s="133">
        <f>SUM(F34:F36)</f>
        <v>1488321.67</v>
      </c>
      <c r="G33" s="133">
        <f>SUM(G34:G36)</f>
        <v>77610.481677115909</v>
      </c>
      <c r="H33" s="133">
        <f>SUM(H34:H36)</f>
        <v>127589.42574527701</v>
      </c>
      <c r="I33" s="10">
        <f t="shared" si="0"/>
        <v>2534633.1074223933</v>
      </c>
      <c r="J33" s="10"/>
      <c r="K33" s="4"/>
    </row>
    <row r="34" spans="2:11" ht="15" customHeight="1" x14ac:dyDescent="0.2">
      <c r="B34" s="3"/>
      <c r="C34" s="43" t="s">
        <v>404</v>
      </c>
      <c r="D34" s="454"/>
      <c r="E34" s="454"/>
      <c r="F34" s="454"/>
      <c r="G34" s="454"/>
      <c r="H34" s="454">
        <v>127589.42574527701</v>
      </c>
      <c r="I34" s="42">
        <f t="shared" si="0"/>
        <v>127589.42574527701</v>
      </c>
      <c r="J34" s="42"/>
      <c r="K34" s="4"/>
    </row>
    <row r="35" spans="2:11" ht="15" customHeight="1" x14ac:dyDescent="0.2">
      <c r="B35" s="3"/>
      <c r="C35" s="43" t="s">
        <v>405</v>
      </c>
      <c r="D35" s="454"/>
      <c r="E35" s="454"/>
      <c r="F35" s="454"/>
      <c r="G35" s="454"/>
      <c r="H35" s="454"/>
      <c r="I35" s="42">
        <f t="shared" si="0"/>
        <v>0</v>
      </c>
      <c r="J35" s="42"/>
      <c r="K35" s="4"/>
    </row>
    <row r="36" spans="2:11" ht="15" customHeight="1" x14ac:dyDescent="0.2">
      <c r="B36" s="3"/>
      <c r="C36" s="43" t="s">
        <v>406</v>
      </c>
      <c r="D36" s="454">
        <v>0</v>
      </c>
      <c r="E36" s="454">
        <v>841111.53</v>
      </c>
      <c r="F36" s="454">
        <v>1488321.67</v>
      </c>
      <c r="G36" s="454">
        <v>77610.481677115909</v>
      </c>
      <c r="H36" s="454"/>
      <c r="I36" s="42">
        <f t="shared" si="0"/>
        <v>2407043.6816771161</v>
      </c>
      <c r="J36" s="42"/>
      <c r="K36" s="4"/>
    </row>
    <row r="37" spans="2:11" ht="15" customHeight="1" x14ac:dyDescent="0.2">
      <c r="B37" s="132">
        <f>B33+1</f>
        <v>9</v>
      </c>
      <c r="C37" s="9" t="str">
        <f>'Program Descriptions'!C13</f>
        <v>Agricultural Energy Solutions</v>
      </c>
      <c r="D37" s="133">
        <f>SUM(D38:D40)</f>
        <v>0</v>
      </c>
      <c r="E37" s="133">
        <f>SUM(E38:E40)</f>
        <v>680820</v>
      </c>
      <c r="F37" s="133">
        <f>SUM(F38:F40)</f>
        <v>1254561.1499999999</v>
      </c>
      <c r="G37" s="133">
        <f>SUM(G38:G40)</f>
        <v>36351.451982727602</v>
      </c>
      <c r="H37" s="133">
        <f>SUM(H38:H40)</f>
        <v>47715.955185508697</v>
      </c>
      <c r="I37" s="10">
        <f t="shared" ref="I37:I68" si="1">SUM(D37:H37)</f>
        <v>2019448.557168236</v>
      </c>
      <c r="J37" s="10"/>
      <c r="K37" s="4"/>
    </row>
    <row r="38" spans="2:11" ht="15" customHeight="1" x14ac:dyDescent="0.2">
      <c r="B38" s="3"/>
      <c r="C38" s="43" t="s">
        <v>404</v>
      </c>
      <c r="D38" s="454"/>
      <c r="E38" s="454"/>
      <c r="F38" s="454"/>
      <c r="G38" s="454"/>
      <c r="H38" s="454">
        <v>47715.955185508697</v>
      </c>
      <c r="I38" s="42">
        <f t="shared" si="1"/>
        <v>47715.955185508697</v>
      </c>
      <c r="J38" s="42"/>
      <c r="K38" s="4"/>
    </row>
    <row r="39" spans="2:11" ht="15" customHeight="1" x14ac:dyDescent="0.2">
      <c r="B39" s="3"/>
      <c r="C39" s="43" t="s">
        <v>405</v>
      </c>
      <c r="D39" s="454"/>
      <c r="E39" s="454"/>
      <c r="F39" s="454"/>
      <c r="G39" s="454"/>
      <c r="H39" s="454"/>
      <c r="I39" s="42">
        <f t="shared" si="1"/>
        <v>0</v>
      </c>
      <c r="J39" s="42"/>
      <c r="K39" s="4"/>
    </row>
    <row r="40" spans="2:11" ht="15" customHeight="1" x14ac:dyDescent="0.2">
      <c r="B40" s="3"/>
      <c r="C40" s="43" t="s">
        <v>406</v>
      </c>
      <c r="D40" s="454">
        <v>0</v>
      </c>
      <c r="E40" s="454">
        <v>680820</v>
      </c>
      <c r="F40" s="454">
        <v>1254561.1499999999</v>
      </c>
      <c r="G40" s="454">
        <v>36351.451982727602</v>
      </c>
      <c r="H40" s="454"/>
      <c r="I40" s="42">
        <f t="shared" si="1"/>
        <v>1971732.6019827274</v>
      </c>
      <c r="J40" s="42"/>
      <c r="K40" s="4"/>
    </row>
    <row r="41" spans="2:11" ht="15" customHeight="1" x14ac:dyDescent="0.2">
      <c r="B41" s="132">
        <f>B37+1</f>
        <v>10</v>
      </c>
      <c r="C41" s="9" t="str">
        <f>'Program Descriptions'!C14</f>
        <v>Residential Direct Load Control</v>
      </c>
      <c r="D41" s="133">
        <f>SUM(D42:D44)</f>
        <v>0</v>
      </c>
      <c r="E41" s="133">
        <f>SUM(E42:E44)</f>
        <v>1866000</v>
      </c>
      <c r="F41" s="133">
        <f>SUM(F42:F44)</f>
        <v>362152.5</v>
      </c>
      <c r="G41" s="133">
        <f>SUM(G42:G44)</f>
        <v>53832.305189516097</v>
      </c>
      <c r="H41" s="133">
        <f>SUM(H42:H44)</f>
        <v>63954.824741487399</v>
      </c>
      <c r="I41" s="10">
        <f t="shared" si="1"/>
        <v>2345939.6299310033</v>
      </c>
      <c r="J41" s="10"/>
      <c r="K41" s="4"/>
    </row>
    <row r="42" spans="2:11" ht="15" customHeight="1" x14ac:dyDescent="0.2">
      <c r="B42" s="3"/>
      <c r="C42" s="43" t="s">
        <v>404</v>
      </c>
      <c r="D42" s="454"/>
      <c r="E42" s="454"/>
      <c r="F42" s="454"/>
      <c r="G42" s="454"/>
      <c r="H42" s="454">
        <v>63954.824741487399</v>
      </c>
      <c r="I42" s="42">
        <f t="shared" si="1"/>
        <v>63954.824741487399</v>
      </c>
      <c r="J42" s="42"/>
      <c r="K42" s="4"/>
    </row>
    <row r="43" spans="2:11" ht="15" customHeight="1" x14ac:dyDescent="0.2">
      <c r="B43" s="3"/>
      <c r="C43" s="43" t="s">
        <v>405</v>
      </c>
      <c r="D43" s="454"/>
      <c r="E43" s="454"/>
      <c r="F43" s="454"/>
      <c r="G43" s="454"/>
      <c r="H43" s="454"/>
      <c r="I43" s="42">
        <f t="shared" si="1"/>
        <v>0</v>
      </c>
      <c r="J43" s="42"/>
      <c r="K43" s="4"/>
    </row>
    <row r="44" spans="2:11" ht="15" customHeight="1" x14ac:dyDescent="0.2">
      <c r="B44" s="3"/>
      <c r="C44" s="43" t="s">
        <v>406</v>
      </c>
      <c r="D44" s="454">
        <v>0</v>
      </c>
      <c r="E44" s="454">
        <v>1866000</v>
      </c>
      <c r="F44" s="454">
        <v>362152.5</v>
      </c>
      <c r="G44" s="454">
        <v>53832.305189516097</v>
      </c>
      <c r="H44" s="454"/>
      <c r="I44" s="42">
        <f t="shared" si="1"/>
        <v>2281984.8051895159</v>
      </c>
      <c r="J44" s="42"/>
      <c r="K44" s="4"/>
    </row>
    <row r="45" spans="2:11" ht="15" customHeight="1" x14ac:dyDescent="0.2">
      <c r="B45" s="132">
        <f>B41+1</f>
        <v>11</v>
      </c>
      <c r="C45" s="9" t="str">
        <f>'Program Descriptions'!C15</f>
        <v xml:space="preserve">Smart Direct Load Control Pilot </v>
      </c>
      <c r="D45" s="133">
        <f>SUM(D46:D48)</f>
        <v>0</v>
      </c>
      <c r="E45" s="133">
        <f>SUM(E46:E48)</f>
        <v>3092759.32</v>
      </c>
      <c r="F45" s="133">
        <f>SUM(F46:F48)</f>
        <v>1624964.91</v>
      </c>
      <c r="G45" s="133">
        <f>SUM(G46:G48)</f>
        <v>85152.533911234001</v>
      </c>
      <c r="H45" s="133">
        <f>SUM(H46:H48)</f>
        <v>99505.126293706999</v>
      </c>
      <c r="I45" s="10">
        <f t="shared" si="1"/>
        <v>4902381.89020494</v>
      </c>
      <c r="J45" s="10"/>
      <c r="K45" s="4"/>
    </row>
    <row r="46" spans="2:11" ht="15" customHeight="1" x14ac:dyDescent="0.2">
      <c r="B46" s="3"/>
      <c r="C46" s="43" t="s">
        <v>404</v>
      </c>
      <c r="D46" s="454"/>
      <c r="E46" s="454"/>
      <c r="F46" s="454"/>
      <c r="G46" s="454"/>
      <c r="H46" s="454">
        <v>99505.126293706999</v>
      </c>
      <c r="I46" s="42">
        <f t="shared" si="1"/>
        <v>99505.126293706999</v>
      </c>
      <c r="J46" s="42"/>
      <c r="K46" s="4"/>
    </row>
    <row r="47" spans="2:11" ht="15" customHeight="1" x14ac:dyDescent="0.2">
      <c r="B47" s="3"/>
      <c r="C47" s="43" t="s">
        <v>405</v>
      </c>
      <c r="D47" s="454"/>
      <c r="E47" s="454"/>
      <c r="F47" s="454"/>
      <c r="G47" s="454"/>
      <c r="H47" s="454"/>
      <c r="I47" s="42">
        <f t="shared" si="1"/>
        <v>0</v>
      </c>
      <c r="J47" s="42"/>
      <c r="K47" s="4"/>
    </row>
    <row r="48" spans="2:11" ht="15" customHeight="1" x14ac:dyDescent="0.2">
      <c r="B48" s="3"/>
      <c r="C48" s="43" t="s">
        <v>406</v>
      </c>
      <c r="D48" s="454">
        <v>0</v>
      </c>
      <c r="E48" s="454">
        <v>3092759.32</v>
      </c>
      <c r="F48" s="454">
        <v>1624964.91</v>
      </c>
      <c r="G48" s="454">
        <v>85152.533911234001</v>
      </c>
      <c r="H48" s="454"/>
      <c r="I48" s="42">
        <f t="shared" si="1"/>
        <v>4802876.7639112333</v>
      </c>
      <c r="J48" s="42"/>
      <c r="K48" s="4"/>
    </row>
    <row r="49" spans="2:11" ht="15" customHeight="1" x14ac:dyDescent="0.2">
      <c r="B49" s="132">
        <f>B45+1</f>
        <v>12</v>
      </c>
      <c r="C49" s="9" t="str">
        <f>'Program Descriptions'!C16</f>
        <v>Agricultural Irrigation Load Control</v>
      </c>
      <c r="D49" s="133">
        <f>SUM(D50:D52)</f>
        <v>0</v>
      </c>
      <c r="E49" s="133">
        <f>SUM(E50:E52)</f>
        <v>3190015.25</v>
      </c>
      <c r="F49" s="133">
        <f>SUM(F50:F52)</f>
        <v>350250</v>
      </c>
      <c r="G49" s="133">
        <f>SUM(G50:G52)</f>
        <v>83085.311054413105</v>
      </c>
      <c r="H49" s="133">
        <f>SUM(H50:H52)</f>
        <v>97973.314258717903</v>
      </c>
      <c r="I49" s="10">
        <f t="shared" si="1"/>
        <v>3721323.8753131311</v>
      </c>
      <c r="J49" s="10"/>
      <c r="K49" s="4"/>
    </row>
    <row r="50" spans="2:11" ht="15" customHeight="1" x14ac:dyDescent="0.2">
      <c r="B50" s="3"/>
      <c r="C50" s="43" t="s">
        <v>404</v>
      </c>
      <c r="D50" s="454"/>
      <c r="E50" s="454"/>
      <c r="F50" s="454"/>
      <c r="G50" s="454"/>
      <c r="H50" s="454">
        <v>97973.314258717903</v>
      </c>
      <c r="I50" s="42">
        <f t="shared" si="1"/>
        <v>97973.314258717903</v>
      </c>
      <c r="J50" s="42"/>
      <c r="K50" s="4"/>
    </row>
    <row r="51" spans="2:11" ht="15" customHeight="1" x14ac:dyDescent="0.2">
      <c r="B51" s="3"/>
      <c r="C51" s="43" t="s">
        <v>405</v>
      </c>
      <c r="D51" s="454"/>
      <c r="E51" s="454"/>
      <c r="F51" s="454"/>
      <c r="G51" s="454"/>
      <c r="H51" s="454"/>
      <c r="I51" s="42">
        <f t="shared" si="1"/>
        <v>0</v>
      </c>
      <c r="J51" s="42"/>
      <c r="K51" s="4"/>
    </row>
    <row r="52" spans="2:11" ht="15" customHeight="1" x14ac:dyDescent="0.2">
      <c r="B52" s="3"/>
      <c r="C52" s="43" t="s">
        <v>406</v>
      </c>
      <c r="D52" s="454">
        <v>0</v>
      </c>
      <c r="E52" s="454">
        <v>3190015.25</v>
      </c>
      <c r="F52" s="454">
        <v>350250</v>
      </c>
      <c r="G52" s="454">
        <v>83085.311054413105</v>
      </c>
      <c r="H52" s="454"/>
      <c r="I52" s="42">
        <f t="shared" si="1"/>
        <v>3623350.5610544132</v>
      </c>
      <c r="J52" s="42"/>
      <c r="K52" s="4"/>
    </row>
    <row r="53" spans="2:11" ht="15" hidden="1" customHeight="1" x14ac:dyDescent="0.2">
      <c r="B53" s="132">
        <f>B49+1</f>
        <v>13</v>
      </c>
      <c r="C53" s="9" t="str">
        <f>'Program Descriptions'!C17</f>
        <v>Empty</v>
      </c>
      <c r="D53" s="133">
        <f>SUM(D54:D56)</f>
        <v>0</v>
      </c>
      <c r="E53" s="133">
        <f>SUM(E54:E56)</f>
        <v>0</v>
      </c>
      <c r="F53" s="133">
        <f>SUM(F54:F56)</f>
        <v>0</v>
      </c>
      <c r="G53" s="133">
        <f>SUM(G54:G56)</f>
        <v>0</v>
      </c>
      <c r="H53" s="133">
        <f>SUM(H54:H56)</f>
        <v>0</v>
      </c>
      <c r="I53" s="10">
        <f t="shared" si="1"/>
        <v>0</v>
      </c>
      <c r="J53" s="10"/>
      <c r="K53" s="4"/>
    </row>
    <row r="54" spans="2:11" ht="15" hidden="1" customHeight="1" x14ac:dyDescent="0.2">
      <c r="B54" s="3"/>
      <c r="C54" s="43" t="s">
        <v>404</v>
      </c>
      <c r="D54" s="454"/>
      <c r="E54" s="454"/>
      <c r="F54" s="454"/>
      <c r="G54" s="454"/>
      <c r="H54" s="454"/>
      <c r="I54" s="42">
        <f t="shared" si="1"/>
        <v>0</v>
      </c>
      <c r="J54" s="42"/>
      <c r="K54" s="4"/>
    </row>
    <row r="55" spans="2:11" ht="15" hidden="1" customHeight="1" x14ac:dyDescent="0.2">
      <c r="B55" s="3"/>
      <c r="C55" s="43" t="s">
        <v>405</v>
      </c>
      <c r="D55" s="454"/>
      <c r="E55" s="454"/>
      <c r="F55" s="454"/>
      <c r="G55" s="454"/>
      <c r="H55" s="454"/>
      <c r="I55" s="42">
        <f t="shared" si="1"/>
        <v>0</v>
      </c>
      <c r="J55" s="42"/>
      <c r="K55" s="4"/>
    </row>
    <row r="56" spans="2:11" ht="15" hidden="1" customHeight="1" x14ac:dyDescent="0.2">
      <c r="B56" s="3"/>
      <c r="C56" s="43" t="s">
        <v>406</v>
      </c>
      <c r="D56" s="454"/>
      <c r="E56" s="454">
        <v>0</v>
      </c>
      <c r="F56" s="454">
        <v>0</v>
      </c>
      <c r="G56" s="454"/>
      <c r="H56" s="454"/>
      <c r="I56" s="42">
        <f t="shared" si="1"/>
        <v>0</v>
      </c>
      <c r="J56" s="42"/>
      <c r="K56" s="4"/>
    </row>
    <row r="57" spans="2:11" ht="15" hidden="1" customHeight="1" x14ac:dyDescent="0.2">
      <c r="B57" s="132">
        <f>B53+1</f>
        <v>14</v>
      </c>
      <c r="C57" s="9" t="str">
        <f>'Program Descriptions'!C18</f>
        <v>Empty</v>
      </c>
      <c r="D57" s="133">
        <f>SUM(D58:D60)</f>
        <v>0</v>
      </c>
      <c r="E57" s="133">
        <f>SUM(E58:E60)</f>
        <v>0</v>
      </c>
      <c r="F57" s="133">
        <f>SUM(F58:F60)</f>
        <v>0</v>
      </c>
      <c r="G57" s="133">
        <f>SUM(G58:G60)</f>
        <v>0</v>
      </c>
      <c r="H57" s="133">
        <f>SUM(H58:H60)</f>
        <v>0</v>
      </c>
      <c r="I57" s="10">
        <f t="shared" si="1"/>
        <v>0</v>
      </c>
      <c r="J57" s="10"/>
      <c r="K57" s="4"/>
    </row>
    <row r="58" spans="2:11" ht="15" hidden="1" customHeight="1" x14ac:dyDescent="0.2">
      <c r="B58" s="3"/>
      <c r="C58" s="43" t="s">
        <v>404</v>
      </c>
      <c r="D58" s="454"/>
      <c r="E58" s="454"/>
      <c r="F58" s="454"/>
      <c r="G58" s="454"/>
      <c r="H58" s="454"/>
      <c r="I58" s="42">
        <f t="shared" si="1"/>
        <v>0</v>
      </c>
      <c r="J58" s="42"/>
      <c r="K58" s="4"/>
    </row>
    <row r="59" spans="2:11" ht="15" hidden="1" customHeight="1" x14ac:dyDescent="0.2">
      <c r="B59" s="3"/>
      <c r="C59" s="43" t="s">
        <v>405</v>
      </c>
      <c r="D59" s="454"/>
      <c r="E59" s="454"/>
      <c r="F59" s="454"/>
      <c r="G59" s="454"/>
      <c r="H59" s="454"/>
      <c r="I59" s="42">
        <f t="shared" si="1"/>
        <v>0</v>
      </c>
      <c r="J59" s="42"/>
      <c r="K59" s="4"/>
    </row>
    <row r="60" spans="2:11" ht="15" hidden="1" customHeight="1" x14ac:dyDescent="0.2">
      <c r="B60" s="3"/>
      <c r="C60" s="43" t="s">
        <v>406</v>
      </c>
      <c r="D60" s="454"/>
      <c r="E60" s="454"/>
      <c r="F60" s="454"/>
      <c r="G60" s="454"/>
      <c r="H60" s="454"/>
      <c r="I60" s="42">
        <f t="shared" si="1"/>
        <v>0</v>
      </c>
      <c r="J60" s="42"/>
      <c r="K60" s="4"/>
    </row>
    <row r="61" spans="2:11" ht="15" hidden="1" customHeight="1" x14ac:dyDescent="0.2">
      <c r="B61" s="132">
        <f>B57+1</f>
        <v>15</v>
      </c>
      <c r="C61" s="9" t="str">
        <f>'Program Descriptions'!C19</f>
        <v>Empty</v>
      </c>
      <c r="D61" s="133">
        <f>SUM(D62:D64)</f>
        <v>0</v>
      </c>
      <c r="E61" s="133">
        <f>SUM(E62:E64)</f>
        <v>0</v>
      </c>
      <c r="F61" s="133">
        <f>SUM(F62:F64)</f>
        <v>0</v>
      </c>
      <c r="G61" s="133">
        <f>SUM(G62:G64)</f>
        <v>0</v>
      </c>
      <c r="H61" s="133">
        <f>SUM(H62:H64)</f>
        <v>0</v>
      </c>
      <c r="I61" s="10">
        <f t="shared" si="1"/>
        <v>0</v>
      </c>
      <c r="J61" s="10"/>
      <c r="K61" s="4"/>
    </row>
    <row r="62" spans="2:11" ht="15" hidden="1" customHeight="1" x14ac:dyDescent="0.2">
      <c r="B62" s="3"/>
      <c r="C62" s="43" t="s">
        <v>404</v>
      </c>
      <c r="D62" s="454"/>
      <c r="E62" s="454"/>
      <c r="F62" s="454"/>
      <c r="G62" s="454"/>
      <c r="H62" s="454"/>
      <c r="I62" s="42">
        <f t="shared" si="1"/>
        <v>0</v>
      </c>
      <c r="J62" s="42"/>
      <c r="K62" s="4"/>
    </row>
    <row r="63" spans="2:11" ht="15" hidden="1" customHeight="1" x14ac:dyDescent="0.2">
      <c r="B63" s="3"/>
      <c r="C63" s="43" t="s">
        <v>405</v>
      </c>
      <c r="D63" s="454"/>
      <c r="E63" s="454"/>
      <c r="F63" s="454"/>
      <c r="G63" s="454"/>
      <c r="H63" s="454"/>
      <c r="I63" s="42">
        <f t="shared" si="1"/>
        <v>0</v>
      </c>
      <c r="J63" s="42"/>
      <c r="K63" s="4"/>
    </row>
    <row r="64" spans="2:11" ht="15" hidden="1" customHeight="1" x14ac:dyDescent="0.2">
      <c r="B64" s="3"/>
      <c r="C64" s="43" t="s">
        <v>406</v>
      </c>
      <c r="D64" s="454"/>
      <c r="E64" s="454"/>
      <c r="F64" s="454"/>
      <c r="G64" s="454"/>
      <c r="H64" s="454"/>
      <c r="I64" s="42">
        <f t="shared" si="1"/>
        <v>0</v>
      </c>
      <c r="J64" s="42"/>
      <c r="K64" s="4"/>
    </row>
    <row r="65" spans="2:11" ht="15" hidden="1" customHeight="1" x14ac:dyDescent="0.2">
      <c r="B65" s="132">
        <f>B61+1</f>
        <v>16</v>
      </c>
      <c r="C65" s="9" t="str">
        <f>'Program Descriptions'!C20</f>
        <v>Empty</v>
      </c>
      <c r="D65" s="133">
        <f>SUM(D66:D68)</f>
        <v>0</v>
      </c>
      <c r="E65" s="133">
        <f>SUM(E66:E68)</f>
        <v>0</v>
      </c>
      <c r="F65" s="133">
        <f>SUM(F66:F68)</f>
        <v>0</v>
      </c>
      <c r="G65" s="133">
        <f>SUM(G66:G68)</f>
        <v>0</v>
      </c>
      <c r="H65" s="133">
        <f>SUM(H66:H68)</f>
        <v>0</v>
      </c>
      <c r="I65" s="10">
        <f t="shared" si="1"/>
        <v>0</v>
      </c>
      <c r="J65" s="10"/>
      <c r="K65" s="4"/>
    </row>
    <row r="66" spans="2:11" ht="15" hidden="1" customHeight="1" x14ac:dyDescent="0.2">
      <c r="B66" s="3"/>
      <c r="C66" s="43" t="s">
        <v>404</v>
      </c>
      <c r="D66" s="454"/>
      <c r="E66" s="454"/>
      <c r="F66" s="454"/>
      <c r="G66" s="454"/>
      <c r="H66" s="454"/>
      <c r="I66" s="42">
        <f t="shared" si="1"/>
        <v>0</v>
      </c>
      <c r="J66" s="42"/>
      <c r="K66" s="4"/>
    </row>
    <row r="67" spans="2:11" ht="15" hidden="1" customHeight="1" x14ac:dyDescent="0.2">
      <c r="B67" s="3"/>
      <c r="C67" s="43" t="s">
        <v>405</v>
      </c>
      <c r="D67" s="454"/>
      <c r="E67" s="454"/>
      <c r="F67" s="454"/>
      <c r="G67" s="454"/>
      <c r="H67" s="454"/>
      <c r="I67" s="42">
        <f t="shared" si="1"/>
        <v>0</v>
      </c>
      <c r="J67" s="42"/>
      <c r="K67" s="4"/>
    </row>
    <row r="68" spans="2:11" ht="15" hidden="1" customHeight="1" x14ac:dyDescent="0.2">
      <c r="B68" s="3"/>
      <c r="C68" s="43" t="s">
        <v>406</v>
      </c>
      <c r="D68" s="454"/>
      <c r="E68" s="454"/>
      <c r="F68" s="454"/>
      <c r="G68" s="454"/>
      <c r="H68" s="454"/>
      <c r="I68" s="42">
        <f t="shared" si="1"/>
        <v>0</v>
      </c>
      <c r="J68" s="42"/>
      <c r="K68" s="4"/>
    </row>
    <row r="69" spans="2:11" ht="15" hidden="1" customHeight="1" x14ac:dyDescent="0.2">
      <c r="B69" s="132">
        <f>B65+1</f>
        <v>17</v>
      </c>
      <c r="C69" s="9" t="str">
        <f>'Program Descriptions'!C21</f>
        <v>Empty</v>
      </c>
      <c r="D69" s="133">
        <f>SUM(D70:D72)</f>
        <v>0</v>
      </c>
      <c r="E69" s="133">
        <f>SUM(E70:E72)</f>
        <v>0</v>
      </c>
      <c r="F69" s="133">
        <f>SUM(F70:F72)</f>
        <v>0</v>
      </c>
      <c r="G69" s="133">
        <f>SUM(G70:G72)</f>
        <v>0</v>
      </c>
      <c r="H69" s="133">
        <f>SUM(H70:H72)</f>
        <v>0</v>
      </c>
      <c r="I69" s="10">
        <f t="shared" ref="I69:I84" si="2">SUM(D69:H69)</f>
        <v>0</v>
      </c>
      <c r="J69" s="10"/>
      <c r="K69" s="4"/>
    </row>
    <row r="70" spans="2:11" ht="15" hidden="1" customHeight="1" x14ac:dyDescent="0.2">
      <c r="B70" s="3"/>
      <c r="C70" s="43" t="s">
        <v>404</v>
      </c>
      <c r="D70" s="454"/>
      <c r="E70" s="454"/>
      <c r="F70" s="454"/>
      <c r="G70" s="454"/>
      <c r="H70" s="454"/>
      <c r="I70" s="42">
        <f t="shared" si="2"/>
        <v>0</v>
      </c>
      <c r="J70" s="42"/>
      <c r="K70" s="4"/>
    </row>
    <row r="71" spans="2:11" ht="15" hidden="1" customHeight="1" x14ac:dyDescent="0.2">
      <c r="B71" s="3"/>
      <c r="C71" s="43" t="s">
        <v>405</v>
      </c>
      <c r="D71" s="454"/>
      <c r="E71" s="454"/>
      <c r="F71" s="454"/>
      <c r="G71" s="454"/>
      <c r="H71" s="454"/>
      <c r="I71" s="42">
        <f t="shared" si="2"/>
        <v>0</v>
      </c>
      <c r="J71" s="42"/>
      <c r="K71" s="4"/>
    </row>
    <row r="72" spans="2:11" ht="15" hidden="1" customHeight="1" x14ac:dyDescent="0.2">
      <c r="B72" s="3"/>
      <c r="C72" s="43" t="s">
        <v>406</v>
      </c>
      <c r="D72" s="454"/>
      <c r="E72" s="454"/>
      <c r="F72" s="454"/>
      <c r="G72" s="454"/>
      <c r="H72" s="454"/>
      <c r="I72" s="42">
        <f t="shared" si="2"/>
        <v>0</v>
      </c>
      <c r="J72" s="42"/>
      <c r="K72" s="4"/>
    </row>
    <row r="73" spans="2:11" ht="15" hidden="1" customHeight="1" x14ac:dyDescent="0.2">
      <c r="B73" s="132">
        <f>B69+1</f>
        <v>18</v>
      </c>
      <c r="C73" s="9" t="str">
        <f>'Program Descriptions'!C22</f>
        <v>Empty</v>
      </c>
      <c r="D73" s="133">
        <f>SUM(D74:D76)</f>
        <v>0</v>
      </c>
      <c r="E73" s="133">
        <f>SUM(E74:E76)</f>
        <v>0</v>
      </c>
      <c r="F73" s="133">
        <f>SUM(F74:F76)</f>
        <v>0</v>
      </c>
      <c r="G73" s="133">
        <f>SUM(G74:G76)</f>
        <v>0</v>
      </c>
      <c r="H73" s="133">
        <f>SUM(H74:H76)</f>
        <v>0</v>
      </c>
      <c r="I73" s="10">
        <f t="shared" si="2"/>
        <v>0</v>
      </c>
      <c r="J73" s="10"/>
      <c r="K73" s="4"/>
    </row>
    <row r="74" spans="2:11" ht="15" hidden="1" customHeight="1" x14ac:dyDescent="0.2">
      <c r="B74" s="3"/>
      <c r="C74" s="43" t="s">
        <v>404</v>
      </c>
      <c r="D74" s="454"/>
      <c r="E74" s="454"/>
      <c r="F74" s="454"/>
      <c r="G74" s="454"/>
      <c r="H74" s="454"/>
      <c r="I74" s="42">
        <f t="shared" si="2"/>
        <v>0</v>
      </c>
      <c r="J74" s="42"/>
      <c r="K74" s="4"/>
    </row>
    <row r="75" spans="2:11" ht="15" hidden="1" customHeight="1" x14ac:dyDescent="0.2">
      <c r="B75" s="3"/>
      <c r="C75" s="43" t="s">
        <v>405</v>
      </c>
      <c r="D75" s="454"/>
      <c r="E75" s="454"/>
      <c r="F75" s="454"/>
      <c r="G75" s="454"/>
      <c r="H75" s="454"/>
      <c r="I75" s="42">
        <f t="shared" si="2"/>
        <v>0</v>
      </c>
      <c r="J75" s="42"/>
      <c r="K75" s="4"/>
    </row>
    <row r="76" spans="2:11" ht="15" hidden="1" customHeight="1" x14ac:dyDescent="0.2">
      <c r="B76" s="3"/>
      <c r="C76" s="43" t="s">
        <v>406</v>
      </c>
      <c r="D76" s="454"/>
      <c r="E76" s="454"/>
      <c r="F76" s="454"/>
      <c r="G76" s="454"/>
      <c r="H76" s="454"/>
      <c r="I76" s="42">
        <f t="shared" si="2"/>
        <v>0</v>
      </c>
      <c r="J76" s="42"/>
      <c r="K76" s="4"/>
    </row>
    <row r="77" spans="2:11" ht="15" hidden="1" customHeight="1" x14ac:dyDescent="0.2">
      <c r="B77" s="132">
        <f>B73+1</f>
        <v>19</v>
      </c>
      <c r="C77" s="9" t="str">
        <f>'Program Descriptions'!C23</f>
        <v>Empty</v>
      </c>
      <c r="D77" s="133">
        <f>SUM(D78:D80)</f>
        <v>0</v>
      </c>
      <c r="E77" s="133">
        <f>SUM(E78:E80)</f>
        <v>0</v>
      </c>
      <c r="F77" s="133">
        <f>SUM(F78:F80)</f>
        <v>0</v>
      </c>
      <c r="G77" s="133">
        <f>SUM(G78:G80)</f>
        <v>0</v>
      </c>
      <c r="H77" s="133">
        <f>SUM(H78:H80)</f>
        <v>0</v>
      </c>
      <c r="I77" s="10">
        <f t="shared" si="2"/>
        <v>0</v>
      </c>
      <c r="J77" s="10"/>
      <c r="K77" s="4"/>
    </row>
    <row r="78" spans="2:11" ht="15" hidden="1" customHeight="1" x14ac:dyDescent="0.2">
      <c r="B78" s="3"/>
      <c r="C78" s="43" t="s">
        <v>404</v>
      </c>
      <c r="D78" s="454"/>
      <c r="E78" s="454"/>
      <c r="F78" s="454"/>
      <c r="G78" s="454"/>
      <c r="H78" s="454"/>
      <c r="I78" s="42">
        <f t="shared" si="2"/>
        <v>0</v>
      </c>
      <c r="J78" s="42"/>
      <c r="K78" s="4"/>
    </row>
    <row r="79" spans="2:11" ht="15" hidden="1" customHeight="1" x14ac:dyDescent="0.2">
      <c r="B79" s="3"/>
      <c r="C79" s="43" t="s">
        <v>405</v>
      </c>
      <c r="D79" s="454"/>
      <c r="E79" s="454"/>
      <c r="F79" s="454"/>
      <c r="G79" s="454"/>
      <c r="H79" s="454"/>
      <c r="I79" s="42">
        <f t="shared" si="2"/>
        <v>0</v>
      </c>
      <c r="J79" s="42"/>
      <c r="K79" s="4"/>
    </row>
    <row r="80" spans="2:11" ht="15" hidden="1" customHeight="1" x14ac:dyDescent="0.2">
      <c r="B80" s="3"/>
      <c r="C80" s="43" t="s">
        <v>406</v>
      </c>
      <c r="D80" s="454"/>
      <c r="E80" s="454"/>
      <c r="F80" s="454"/>
      <c r="G80" s="454"/>
      <c r="H80" s="454"/>
      <c r="I80" s="42">
        <f t="shared" si="2"/>
        <v>0</v>
      </c>
      <c r="J80" s="42"/>
      <c r="K80" s="4"/>
    </row>
    <row r="81" spans="2:11" ht="15" hidden="1" customHeight="1" x14ac:dyDescent="0.2">
      <c r="B81" s="132">
        <f>B77+1</f>
        <v>20</v>
      </c>
      <c r="C81" s="9" t="str">
        <f>'Program Descriptions'!C24</f>
        <v>Empty</v>
      </c>
      <c r="D81" s="133">
        <f>SUM(D82:D84)</f>
        <v>0</v>
      </c>
      <c r="E81" s="133">
        <f>SUM(E82:E84)</f>
        <v>0</v>
      </c>
      <c r="F81" s="133">
        <f>SUM(F82:F84)</f>
        <v>0</v>
      </c>
      <c r="G81" s="133">
        <f>SUM(G82:G84)</f>
        <v>0</v>
      </c>
      <c r="H81" s="133">
        <f>SUM(H82:H84)</f>
        <v>0</v>
      </c>
      <c r="I81" s="10">
        <f t="shared" si="2"/>
        <v>0</v>
      </c>
      <c r="J81" s="10"/>
      <c r="K81" s="4"/>
    </row>
    <row r="82" spans="2:11" ht="15" hidden="1" customHeight="1" x14ac:dyDescent="0.2">
      <c r="B82" s="3"/>
      <c r="C82" s="43" t="s">
        <v>404</v>
      </c>
      <c r="D82" s="454"/>
      <c r="E82" s="454"/>
      <c r="F82" s="454"/>
      <c r="G82" s="454"/>
      <c r="H82" s="454"/>
      <c r="I82" s="42">
        <f t="shared" si="2"/>
        <v>0</v>
      </c>
      <c r="J82" s="42"/>
      <c r="K82" s="4"/>
    </row>
    <row r="83" spans="2:11" ht="15" hidden="1" customHeight="1" x14ac:dyDescent="0.2">
      <c r="B83" s="3"/>
      <c r="C83" s="43" t="s">
        <v>405</v>
      </c>
      <c r="D83" s="454"/>
      <c r="E83" s="454"/>
      <c r="F83" s="454"/>
      <c r="G83" s="454"/>
      <c r="H83" s="454"/>
      <c r="I83" s="42">
        <f t="shared" si="2"/>
        <v>0</v>
      </c>
      <c r="J83" s="42"/>
      <c r="K83" s="4"/>
    </row>
    <row r="84" spans="2:11" ht="15" hidden="1" customHeight="1" x14ac:dyDescent="0.2">
      <c r="B84" s="3"/>
      <c r="C84" s="43" t="s">
        <v>406</v>
      </c>
      <c r="D84" s="454"/>
      <c r="E84" s="454"/>
      <c r="F84" s="454"/>
      <c r="G84" s="454"/>
      <c r="H84" s="454"/>
      <c r="I84" s="42">
        <f t="shared" si="2"/>
        <v>0</v>
      </c>
      <c r="J84" s="42"/>
      <c r="K84" s="4"/>
    </row>
    <row r="85" spans="2:11" ht="15" customHeight="1" x14ac:dyDescent="0.2">
      <c r="B85" s="3"/>
      <c r="K85" s="4"/>
    </row>
    <row r="86" spans="2:11" ht="15" customHeight="1" x14ac:dyDescent="0.2">
      <c r="B86" s="3"/>
      <c r="K86" s="4"/>
    </row>
    <row r="87" spans="2:11" ht="41.25" customHeight="1" x14ac:dyDescent="0.25">
      <c r="B87" s="3"/>
      <c r="C87" s="8" t="s">
        <v>407</v>
      </c>
      <c r="D87" s="128" t="str">
        <f>D4</f>
        <v>Planning / Design</v>
      </c>
      <c r="E87" s="128" t="str">
        <f>E4</f>
        <v>Marketing &amp; Delivery</v>
      </c>
      <c r="F87" s="128" t="str">
        <f>F4</f>
        <v>Incentives / Direct Install Costs</v>
      </c>
      <c r="G87" s="128" t="str">
        <f>G4</f>
        <v>EM&amp;V</v>
      </c>
      <c r="H87" s="128" t="str">
        <f>H4</f>
        <v>Administration</v>
      </c>
      <c r="I87" s="128" t="str">
        <f>Cost!C25</f>
        <v>Regulatory</v>
      </c>
      <c r="J87" s="128" t="s">
        <v>163</v>
      </c>
      <c r="K87" s="4"/>
    </row>
    <row r="88" spans="2:11" ht="15" customHeight="1" x14ac:dyDescent="0.2">
      <c r="B88" s="3"/>
      <c r="C88" s="43" t="s">
        <v>404</v>
      </c>
      <c r="D88" s="579">
        <f t="array" ref="D88">SUM(IF(MOD(ROW(D6:D$84)-ROW(D6),4)=0,D6:D$84,0))</f>
        <v>0</v>
      </c>
      <c r="E88" s="579">
        <f t="array" ref="E88">SUM(IF(MOD(ROW(E6:E$84)-ROW(E6),4)=0,E6:E$84,0))</f>
        <v>0</v>
      </c>
      <c r="F88" s="579">
        <f t="array" ref="F88">SUM(IF(MOD(ROW(F6:F$84)-ROW(F6),4)=0,F6:F$84,0))</f>
        <v>0</v>
      </c>
      <c r="G88" s="579">
        <f t="array" ref="G88">SUM(IF(MOD(ROW(G6:G$84)-ROW(G6),4)=0,G6:G$84,0))</f>
        <v>0</v>
      </c>
      <c r="H88" s="579">
        <f t="array" ref="H88">SUM(IF(MOD(ROW(H6:H$84)-ROW(H6),4)=0,H6:H$84,0))</f>
        <v>1936332.4100000001</v>
      </c>
      <c r="I88" s="455">
        <v>23019.69</v>
      </c>
      <c r="J88" s="10">
        <f>SUM(D88:I88)</f>
        <v>1959352.1</v>
      </c>
      <c r="K88" s="4"/>
    </row>
    <row r="89" spans="2:11" ht="15" customHeight="1" x14ac:dyDescent="0.2">
      <c r="B89" s="3"/>
      <c r="C89" s="43" t="s">
        <v>405</v>
      </c>
      <c r="D89" s="579">
        <f t="array" ref="D89">SUM(IF(MOD(ROW(D7:D$84)-ROW(D7),4)=0,D7:D$84,0))</f>
        <v>0</v>
      </c>
      <c r="E89" s="579">
        <f t="array" ref="E89">SUM(IF(MOD(ROW(E7:E$84)-ROW(E7),4)=0,E7:E$84,0))</f>
        <v>0</v>
      </c>
      <c r="F89" s="579">
        <f t="array" ref="F89">SUM(IF(MOD(ROW(F7:F$84)-ROW(F7),4)=0,F7:F$84,0))</f>
        <v>0</v>
      </c>
      <c r="G89" s="579">
        <f t="array" ref="G89">SUM(IF(MOD(ROW(G7:G$84)-ROW(G7),4)=0,G7:G$84,0))</f>
        <v>0</v>
      </c>
      <c r="H89" s="579">
        <f t="array" ref="H89">SUM(IF(MOD(ROW(H7:H$84)-ROW(H7),4)=0,H7:H$84,0))</f>
        <v>0</v>
      </c>
      <c r="I89" s="455">
        <v>0</v>
      </c>
      <c r="J89" s="10">
        <f>SUM(D89:I89)</f>
        <v>0</v>
      </c>
      <c r="K89" s="4"/>
    </row>
    <row r="90" spans="2:11" ht="15" customHeight="1" thickBot="1" x14ac:dyDescent="0.25">
      <c r="B90" s="3"/>
      <c r="C90" s="43" t="s">
        <v>406</v>
      </c>
      <c r="D90" s="593">
        <f t="array" ref="D90">SUM(IF(MOD(ROW(D8:D$84)-ROW(D8),4)=0,D8:D$84,0))</f>
        <v>0</v>
      </c>
      <c r="E90" s="593">
        <f t="array" ref="E90">SUM(IF(MOD(ROW(E8:E$84)-ROW(E8),4)=0,E8:E$84,0))</f>
        <v>22123047.739999998</v>
      </c>
      <c r="F90" s="593">
        <f t="array" ref="F90">SUM(IF(MOD(ROW(F8:F$84)-ROW(F8),4)=0,F8:F$84,0))</f>
        <v>33579749.659999996</v>
      </c>
      <c r="G90" s="593">
        <f t="array" ref="G90">SUM(IF(MOD(ROW(G8:G$84)-ROW(G8),4)=0,G8:G$84,0))</f>
        <v>1575183.1500000011</v>
      </c>
      <c r="H90" s="593">
        <f t="array" ref="H90">SUM(IF(MOD(ROW(H8:H$84)-ROW(H8),4)=0,H8:H$84,0))</f>
        <v>0</v>
      </c>
      <c r="I90" s="592"/>
      <c r="J90" s="10">
        <f>SUM(D90:I90)</f>
        <v>57277980.54999999</v>
      </c>
      <c r="K90" s="4"/>
    </row>
    <row r="91" spans="2:11" ht="15" customHeight="1" x14ac:dyDescent="0.25">
      <c r="B91" s="3"/>
      <c r="C91" s="130" t="s">
        <v>164</v>
      </c>
      <c r="D91" s="283">
        <f>SUM(D88:D90)</f>
        <v>0</v>
      </c>
      <c r="E91" s="283">
        <f t="shared" ref="E91:J91" si="3">SUM(E88:E90)</f>
        <v>22123047.739999998</v>
      </c>
      <c r="F91" s="283">
        <f t="shared" si="3"/>
        <v>33579749.659999996</v>
      </c>
      <c r="G91" s="283">
        <f t="shared" si="3"/>
        <v>1575183.1500000011</v>
      </c>
      <c r="H91" s="283">
        <f t="shared" si="3"/>
        <v>1936332.4100000001</v>
      </c>
      <c r="I91" s="283">
        <f t="shared" si="3"/>
        <v>23019.69</v>
      </c>
      <c r="J91" s="283">
        <f t="shared" si="3"/>
        <v>59237332.649999991</v>
      </c>
      <c r="K91" s="4"/>
    </row>
    <row r="92" spans="2:11" ht="15" customHeight="1" x14ac:dyDescent="0.2">
      <c r="B92" s="5"/>
      <c r="C92" s="353"/>
      <c r="D92" s="353"/>
      <c r="E92" s="353"/>
      <c r="F92" s="353"/>
      <c r="G92" s="353"/>
      <c r="H92" s="353"/>
      <c r="I92" s="353"/>
      <c r="J92" s="353"/>
      <c r="K92" s="6"/>
    </row>
    <row r="93" spans="2:11" ht="15" customHeight="1" x14ac:dyDescent="0.2"/>
    <row r="94" spans="2:11" ht="15" customHeight="1" x14ac:dyDescent="0.2"/>
    <row r="95" spans="2:11" ht="15" customHeight="1" x14ac:dyDescent="0.2"/>
    <row r="96" spans="2:1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sheetData>
  <sheetProtection algorithmName="SHA-512" hashValue="4Ja5jSNHgTM6a2wDS9p6Vaqr+Ugkhk7UeBy41fN4QsimfR1dMfD0AR/OTFBR8E/Xi/DmuJOVxlXgk88oc93j2w==" saltValue="ENFeN07kBq0c+lZT0BHqmg==" spinCount="100000" sheet="1" objects="1" scenarios="1" formatRows="0"/>
  <conditionalFormatting sqref="D6:H6">
    <cfRule type="expression" dxfId="77" priority="66">
      <formula>$B5&gt;Programs</formula>
    </cfRule>
  </conditionalFormatting>
  <conditionalFormatting sqref="D7:H7">
    <cfRule type="expression" dxfId="76" priority="65">
      <formula>$B5&gt;Programs</formula>
    </cfRule>
  </conditionalFormatting>
  <conditionalFormatting sqref="D8:H8">
    <cfRule type="expression" dxfId="75" priority="64">
      <formula>$B5&gt;Programs</formula>
    </cfRule>
  </conditionalFormatting>
  <conditionalFormatting sqref="D10:H10">
    <cfRule type="expression" dxfId="74" priority="54">
      <formula>$B9&gt;Programs</formula>
    </cfRule>
  </conditionalFormatting>
  <conditionalFormatting sqref="D11:H11">
    <cfRule type="expression" dxfId="73" priority="53">
      <formula>$B9&gt;Programs</formula>
    </cfRule>
  </conditionalFormatting>
  <conditionalFormatting sqref="D12:H12">
    <cfRule type="expression" dxfId="72" priority="52">
      <formula>$B9&gt;Programs</formula>
    </cfRule>
  </conditionalFormatting>
  <conditionalFormatting sqref="D14:H14">
    <cfRule type="expression" dxfId="71" priority="51">
      <formula>$B13&gt;Programs</formula>
    </cfRule>
  </conditionalFormatting>
  <conditionalFormatting sqref="D15:H15">
    <cfRule type="expression" dxfId="70" priority="50">
      <formula>$B13&gt;Programs</formula>
    </cfRule>
  </conditionalFormatting>
  <conditionalFormatting sqref="D16:H16">
    <cfRule type="expression" dxfId="69" priority="49">
      <formula>$B13&gt;Programs</formula>
    </cfRule>
  </conditionalFormatting>
  <conditionalFormatting sqref="D18:H18">
    <cfRule type="expression" dxfId="68" priority="48">
      <formula>$B17&gt;Programs</formula>
    </cfRule>
  </conditionalFormatting>
  <conditionalFormatting sqref="D19:H19">
    <cfRule type="expression" dxfId="67" priority="47">
      <formula>$B17&gt;Programs</formula>
    </cfRule>
  </conditionalFormatting>
  <conditionalFormatting sqref="D20:H20">
    <cfRule type="expression" dxfId="66" priority="46">
      <formula>$B17&gt;Programs</formula>
    </cfRule>
  </conditionalFormatting>
  <conditionalFormatting sqref="D22:H22">
    <cfRule type="expression" dxfId="65" priority="57">
      <formula>$B21&gt;Programs</formula>
    </cfRule>
  </conditionalFormatting>
  <conditionalFormatting sqref="D23:H23">
    <cfRule type="expression" dxfId="64" priority="56">
      <formula>$B21&gt;Programs</formula>
    </cfRule>
  </conditionalFormatting>
  <conditionalFormatting sqref="D24:H24">
    <cfRule type="expression" dxfId="63" priority="55">
      <formula>$B21&gt;Programs</formula>
    </cfRule>
  </conditionalFormatting>
  <conditionalFormatting sqref="D26:H26">
    <cfRule type="expression" dxfId="62" priority="45">
      <formula>$B25&gt;Programs</formula>
    </cfRule>
  </conditionalFormatting>
  <conditionalFormatting sqref="D27:H27">
    <cfRule type="expression" dxfId="61" priority="44">
      <formula>$B25&gt;Programs</formula>
    </cfRule>
  </conditionalFormatting>
  <conditionalFormatting sqref="D28:H28">
    <cfRule type="expression" dxfId="60" priority="43">
      <formula>$B25&gt;Programs</formula>
    </cfRule>
  </conditionalFormatting>
  <conditionalFormatting sqref="D30:H30">
    <cfRule type="expression" dxfId="59" priority="42">
      <formula>$B29&gt;Programs</formula>
    </cfRule>
  </conditionalFormatting>
  <conditionalFormatting sqref="D31:H31">
    <cfRule type="expression" dxfId="58" priority="41">
      <formula>$B29&gt;Programs</formula>
    </cfRule>
  </conditionalFormatting>
  <conditionalFormatting sqref="D32:H32">
    <cfRule type="expression" dxfId="57" priority="40">
      <formula>$B29&gt;Programs</formula>
    </cfRule>
  </conditionalFormatting>
  <conditionalFormatting sqref="D34:H34">
    <cfRule type="expression" dxfId="56" priority="39">
      <formula>$B33&gt;Programs</formula>
    </cfRule>
  </conditionalFormatting>
  <conditionalFormatting sqref="D35:H35">
    <cfRule type="expression" dxfId="55" priority="38">
      <formula>$B33&gt;Programs</formula>
    </cfRule>
  </conditionalFormatting>
  <conditionalFormatting sqref="D36:H36">
    <cfRule type="expression" dxfId="54" priority="37">
      <formula>$B33&gt;Programs</formula>
    </cfRule>
  </conditionalFormatting>
  <conditionalFormatting sqref="D38:H38">
    <cfRule type="expression" dxfId="53" priority="36">
      <formula>$B37&gt;Programs</formula>
    </cfRule>
  </conditionalFormatting>
  <conditionalFormatting sqref="D39:H39">
    <cfRule type="expression" dxfId="52" priority="35">
      <formula>$B37&gt;Programs</formula>
    </cfRule>
  </conditionalFormatting>
  <conditionalFormatting sqref="D40:H40">
    <cfRule type="expression" dxfId="51" priority="34">
      <formula>$B37&gt;Programs</formula>
    </cfRule>
  </conditionalFormatting>
  <conditionalFormatting sqref="D42:H42">
    <cfRule type="expression" dxfId="50" priority="33">
      <formula>$B41&gt;Programs</formula>
    </cfRule>
  </conditionalFormatting>
  <conditionalFormatting sqref="D43:H43">
    <cfRule type="expression" dxfId="49" priority="32">
      <formula>$B41&gt;Programs</formula>
    </cfRule>
  </conditionalFormatting>
  <conditionalFormatting sqref="D44:H44">
    <cfRule type="expression" dxfId="48" priority="31">
      <formula>$B41&gt;Programs</formula>
    </cfRule>
  </conditionalFormatting>
  <conditionalFormatting sqref="D46:H46">
    <cfRule type="expression" dxfId="47" priority="30">
      <formula>$B45&gt;Programs</formula>
    </cfRule>
  </conditionalFormatting>
  <conditionalFormatting sqref="D47:H47">
    <cfRule type="expression" dxfId="46" priority="29">
      <formula>$B45&gt;Programs</formula>
    </cfRule>
  </conditionalFormatting>
  <conditionalFormatting sqref="D48:H48">
    <cfRule type="expression" dxfId="45" priority="28">
      <formula>$B45&gt;Programs</formula>
    </cfRule>
  </conditionalFormatting>
  <conditionalFormatting sqref="D50:H50">
    <cfRule type="expression" dxfId="44" priority="27">
      <formula>$B49&gt;Programs</formula>
    </cfRule>
  </conditionalFormatting>
  <conditionalFormatting sqref="D51:H51">
    <cfRule type="expression" dxfId="43" priority="26">
      <formula>$B49&gt;Programs</formula>
    </cfRule>
  </conditionalFormatting>
  <conditionalFormatting sqref="D52:H52">
    <cfRule type="expression" dxfId="42" priority="25">
      <formula>$B49&gt;Programs</formula>
    </cfRule>
  </conditionalFormatting>
  <conditionalFormatting sqref="D54:H54">
    <cfRule type="expression" dxfId="41" priority="24">
      <formula>$B53&gt;Programs</formula>
    </cfRule>
  </conditionalFormatting>
  <conditionalFormatting sqref="D55:H55">
    <cfRule type="expression" dxfId="40" priority="23">
      <formula>$B53&gt;Programs</formula>
    </cfRule>
  </conditionalFormatting>
  <conditionalFormatting sqref="D56:H56">
    <cfRule type="expression" dxfId="39" priority="22">
      <formula>$B53&gt;Programs</formula>
    </cfRule>
  </conditionalFormatting>
  <conditionalFormatting sqref="D58:H58">
    <cfRule type="expression" dxfId="38" priority="21">
      <formula>$B57&gt;Programs</formula>
    </cfRule>
  </conditionalFormatting>
  <conditionalFormatting sqref="D59:H59">
    <cfRule type="expression" dxfId="37" priority="20">
      <formula>$B57&gt;Programs</formula>
    </cfRule>
  </conditionalFormatting>
  <conditionalFormatting sqref="D60:H60">
    <cfRule type="expression" dxfId="36" priority="19">
      <formula>$B57&gt;Programs</formula>
    </cfRule>
  </conditionalFormatting>
  <conditionalFormatting sqref="D62:H62">
    <cfRule type="expression" dxfId="35" priority="18">
      <formula>$B61&gt;Programs</formula>
    </cfRule>
  </conditionalFormatting>
  <conditionalFormatting sqref="D63:H63">
    <cfRule type="expression" dxfId="34" priority="17">
      <formula>$B61&gt;Programs</formula>
    </cfRule>
  </conditionalFormatting>
  <conditionalFormatting sqref="D64:H64">
    <cfRule type="expression" dxfId="33" priority="16">
      <formula>$B61&gt;Programs</formula>
    </cfRule>
  </conditionalFormatting>
  <conditionalFormatting sqref="D66:H66">
    <cfRule type="expression" dxfId="32" priority="15">
      <formula>$B65&gt;Programs</formula>
    </cfRule>
  </conditionalFormatting>
  <conditionalFormatting sqref="D67:H67">
    <cfRule type="expression" dxfId="31" priority="14">
      <formula>$B65&gt;Programs</formula>
    </cfRule>
  </conditionalFormatting>
  <conditionalFormatting sqref="D68:H68">
    <cfRule type="expression" dxfId="30" priority="13">
      <formula>$B65&gt;Programs</formula>
    </cfRule>
  </conditionalFormatting>
  <conditionalFormatting sqref="D70:H70">
    <cfRule type="expression" dxfId="29" priority="12">
      <formula>$B69&gt;Programs</formula>
    </cfRule>
  </conditionalFormatting>
  <conditionalFormatting sqref="D71:H71">
    <cfRule type="expression" dxfId="28" priority="11">
      <formula>$B69&gt;Programs</formula>
    </cfRule>
  </conditionalFormatting>
  <conditionalFormatting sqref="D72:H72">
    <cfRule type="expression" dxfId="27" priority="10">
      <formula>$B69&gt;Programs</formula>
    </cfRule>
  </conditionalFormatting>
  <conditionalFormatting sqref="D74:H74">
    <cfRule type="expression" dxfId="26" priority="9">
      <formula>$B73&gt;Programs</formula>
    </cfRule>
  </conditionalFormatting>
  <conditionalFormatting sqref="D75:H75">
    <cfRule type="expression" dxfId="25" priority="8">
      <formula>$B73&gt;Programs</formula>
    </cfRule>
  </conditionalFormatting>
  <conditionalFormatting sqref="D76:H76">
    <cfRule type="expression" dxfId="24" priority="7">
      <formula>$B73&gt;Programs</formula>
    </cfRule>
  </conditionalFormatting>
  <conditionalFormatting sqref="D78:H78">
    <cfRule type="expression" dxfId="23" priority="6">
      <formula>$B77&gt;Programs</formula>
    </cfRule>
  </conditionalFormatting>
  <conditionalFormatting sqref="D79:H79">
    <cfRule type="expression" dxfId="22" priority="5">
      <formula>$B77&gt;Programs</formula>
    </cfRule>
  </conditionalFormatting>
  <conditionalFormatting sqref="D80:H80">
    <cfRule type="expression" dxfId="21" priority="4">
      <formula>$B77&gt;Programs</formula>
    </cfRule>
  </conditionalFormatting>
  <conditionalFormatting sqref="D82:H82">
    <cfRule type="expression" dxfId="20" priority="3">
      <formula>$B81&gt;Programs</formula>
    </cfRule>
  </conditionalFormatting>
  <conditionalFormatting sqref="D83:H83">
    <cfRule type="expression" dxfId="19" priority="2">
      <formula>$B81&gt;Programs</formula>
    </cfRule>
  </conditionalFormatting>
  <conditionalFormatting sqref="D84:H84">
    <cfRule type="expression" dxfId="18" priority="1">
      <formula>$B81&gt;Programs</formula>
    </cfRule>
  </conditionalFormatting>
  <pageMargins left="0.25" right="0.25" top="0.25" bottom="0.25" header="0.3" footer="0.3"/>
  <pageSetup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L15"/>
  <sheetViews>
    <sheetView showGridLines="0" showRowColHeaders="0" zoomScale="110" zoomScaleNormal="110" workbookViewId="0">
      <selection activeCell="D10" sqref="D10:H14"/>
    </sheetView>
  </sheetViews>
  <sheetFormatPr defaultColWidth="9.42578125" defaultRowHeight="12.75" x14ac:dyDescent="0.2"/>
  <cols>
    <col min="1" max="1" width="1" style="2" customWidth="1"/>
    <col min="2" max="2" width="1.5703125" style="2" customWidth="1"/>
    <col min="3" max="3" width="3.42578125" style="2" customWidth="1"/>
    <col min="4" max="4" width="37" style="2" customWidth="1"/>
    <col min="5" max="7" width="12.5703125" style="2" customWidth="1"/>
    <col min="8" max="8" width="49.5703125" style="2" customWidth="1"/>
    <col min="9" max="9" width="3" style="2" customWidth="1"/>
    <col min="10" max="10" width="1" style="2" customWidth="1"/>
    <col min="11" max="11" width="9.42578125" style="2"/>
    <col min="12" max="12" width="0" style="2" hidden="1" customWidth="1"/>
    <col min="13" max="16384" width="9.42578125" style="2"/>
  </cols>
  <sheetData>
    <row r="1" spans="2:12" ht="5.0999999999999996" customHeight="1" thickBot="1" x14ac:dyDescent="0.25"/>
    <row r="2" spans="2:12" ht="38.25" customHeight="1" thickBot="1" x14ac:dyDescent="0.25">
      <c r="B2" s="660" t="s">
        <v>408</v>
      </c>
      <c r="C2" s="660"/>
      <c r="D2" s="660"/>
      <c r="E2" s="660"/>
      <c r="F2" s="660"/>
      <c r="G2" s="660"/>
      <c r="H2" s="660"/>
      <c r="I2" s="660"/>
    </row>
    <row r="3" spans="2:12" ht="36" customHeight="1" x14ac:dyDescent="0.2">
      <c r="B3" s="589"/>
      <c r="C3" s="590"/>
      <c r="D3" s="590"/>
      <c r="E3" s="590"/>
      <c r="F3" s="590"/>
      <c r="G3" s="590"/>
      <c r="H3" s="590"/>
      <c r="I3" s="591"/>
    </row>
    <row r="4" spans="2:12" ht="11.25" customHeight="1" x14ac:dyDescent="0.2">
      <c r="B4" s="3"/>
      <c r="D4" s="194" t="str">
        <f>IF(L11&gt;0,"Incomplete - Explanation for difference must be provided.","")</f>
        <v/>
      </c>
      <c r="I4" s="4"/>
    </row>
    <row r="5" spans="2:12" x14ac:dyDescent="0.2">
      <c r="B5" s="3"/>
      <c r="D5" s="27" t="s">
        <v>409</v>
      </c>
      <c r="E5" s="29">
        <f>'Actual Expenses'!J91</f>
        <v>59237332.649999991</v>
      </c>
      <c r="G5" s="25"/>
      <c r="H5" s="25"/>
      <c r="I5" s="4"/>
    </row>
    <row r="6" spans="2:12" x14ac:dyDescent="0.2">
      <c r="B6" s="3"/>
      <c r="D6" s="27" t="s">
        <v>410</v>
      </c>
      <c r="E6" s="580">
        <v>59237333</v>
      </c>
      <c r="F6" s="25"/>
      <c r="G6" s="25"/>
      <c r="H6" s="25"/>
      <c r="I6" s="4"/>
      <c r="L6" s="2">
        <f>IF(E7&lt;&gt;0,1,0)</f>
        <v>1</v>
      </c>
    </row>
    <row r="7" spans="2:12" x14ac:dyDescent="0.2">
      <c r="B7" s="3"/>
      <c r="D7" s="27" t="s">
        <v>169</v>
      </c>
      <c r="E7" s="121">
        <f>E5-E6</f>
        <v>-0.35000000894069672</v>
      </c>
      <c r="F7" s="25"/>
      <c r="G7" s="25"/>
      <c r="H7" s="25"/>
      <c r="I7" s="4"/>
    </row>
    <row r="8" spans="2:12" x14ac:dyDescent="0.2">
      <c r="B8" s="3"/>
      <c r="D8" s="9"/>
      <c r="E8" s="25"/>
      <c r="F8" s="25"/>
      <c r="G8" s="25"/>
      <c r="H8" s="25"/>
      <c r="I8" s="4"/>
    </row>
    <row r="9" spans="2:12" x14ac:dyDescent="0.2">
      <c r="B9" s="3"/>
      <c r="D9" s="9" t="s">
        <v>411</v>
      </c>
      <c r="I9" s="4"/>
    </row>
    <row r="10" spans="2:12" x14ac:dyDescent="0.2">
      <c r="B10" s="3"/>
      <c r="D10" s="664" t="s">
        <v>412</v>
      </c>
      <c r="E10" s="665"/>
      <c r="F10" s="665"/>
      <c r="G10" s="665"/>
      <c r="H10" s="666"/>
      <c r="I10" s="4"/>
    </row>
    <row r="11" spans="2:12" x14ac:dyDescent="0.2">
      <c r="B11" s="3"/>
      <c r="D11" s="667"/>
      <c r="E11" s="668"/>
      <c r="F11" s="668"/>
      <c r="G11" s="668"/>
      <c r="H11" s="669"/>
      <c r="I11" s="4"/>
      <c r="L11" s="2">
        <f>IF(L6=1,IF(ISBLANK(D10),1,0),0)</f>
        <v>0</v>
      </c>
    </row>
    <row r="12" spans="2:12" x14ac:dyDescent="0.2">
      <c r="B12" s="3"/>
      <c r="D12" s="667"/>
      <c r="E12" s="668"/>
      <c r="F12" s="668"/>
      <c r="G12" s="668"/>
      <c r="H12" s="669"/>
      <c r="I12" s="4"/>
    </row>
    <row r="13" spans="2:12" x14ac:dyDescent="0.2">
      <c r="B13" s="3"/>
      <c r="D13" s="667"/>
      <c r="E13" s="668"/>
      <c r="F13" s="668"/>
      <c r="G13" s="668"/>
      <c r="H13" s="669"/>
      <c r="I13" s="4"/>
    </row>
    <row r="14" spans="2:12" x14ac:dyDescent="0.2">
      <c r="B14" s="3"/>
      <c r="D14" s="670"/>
      <c r="E14" s="671"/>
      <c r="F14" s="671"/>
      <c r="G14" s="671"/>
      <c r="H14" s="672"/>
      <c r="I14" s="4"/>
    </row>
    <row r="15" spans="2:12" x14ac:dyDescent="0.2">
      <c r="B15" s="5"/>
      <c r="C15" s="353"/>
      <c r="D15" s="353"/>
      <c r="E15" s="353"/>
      <c r="F15" s="353"/>
      <c r="G15" s="353"/>
      <c r="H15" s="353"/>
      <c r="I15" s="6"/>
    </row>
  </sheetData>
  <sheetProtection password="C925" sheet="1" objects="1" scenarios="1" formatRows="0"/>
  <mergeCells count="2">
    <mergeCell ref="D10:H14"/>
    <mergeCell ref="B2:I2"/>
  </mergeCells>
  <pageMargins left="0.25" right="0.25" top="0.5" bottom="0.5" header="0.3" footer="0.3"/>
  <pageSetup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N114"/>
  <sheetViews>
    <sheetView showGridLines="0" zoomScaleNormal="100" workbookViewId="0">
      <pane ySplit="5" topLeftCell="A6" activePane="bottomLeft" state="frozen"/>
      <selection pane="bottomLeft" activeCell="A6" sqref="A6"/>
    </sheetView>
  </sheetViews>
  <sheetFormatPr defaultColWidth="9.42578125" defaultRowHeight="12.75" x14ac:dyDescent="0.2"/>
  <cols>
    <col min="1" max="1" width="1" style="2" customWidth="1"/>
    <col min="2" max="2" width="3.5703125" style="2" customWidth="1"/>
    <col min="3" max="3" width="36.42578125" style="2" customWidth="1"/>
    <col min="4" max="5" width="14.42578125" style="2" customWidth="1"/>
    <col min="6" max="6" width="9.42578125" style="2" customWidth="1"/>
    <col min="7" max="7" width="14.42578125" style="2" customWidth="1"/>
    <col min="8" max="10" width="9.42578125" style="2"/>
    <col min="11" max="11" width="14.42578125" style="2" customWidth="1"/>
    <col min="12" max="12" width="1" style="2" customWidth="1"/>
    <col min="13" max="13" width="16" style="2" customWidth="1"/>
    <col min="14" max="14" width="0" style="2" hidden="1" customWidth="1"/>
    <col min="15" max="16384" width="9.42578125" style="2"/>
  </cols>
  <sheetData>
    <row r="1" spans="2:14" ht="28.5" customHeight="1" x14ac:dyDescent="0.2"/>
    <row r="2" spans="2:14" ht="64.5" customHeight="1" x14ac:dyDescent="0.2">
      <c r="B2" s="461"/>
      <c r="C2" s="462"/>
      <c r="D2" s="462"/>
      <c r="E2" s="462"/>
      <c r="F2" s="462"/>
      <c r="G2" s="462"/>
      <c r="H2" s="462"/>
      <c r="I2" s="462"/>
      <c r="J2" s="462"/>
      <c r="K2" s="463"/>
    </row>
    <row r="3" spans="2:14" ht="13.5" customHeight="1" x14ac:dyDescent="0.2">
      <c r="B3" s="589"/>
      <c r="C3" s="194" t="str">
        <f>IF(N26&gt;0,"Incomplete - All yellow shaded cells must be completed.","")</f>
        <v/>
      </c>
      <c r="D3" s="590"/>
      <c r="E3" s="590"/>
      <c r="F3" s="590"/>
      <c r="G3" s="590"/>
      <c r="H3" s="590"/>
      <c r="I3" s="590"/>
      <c r="J3" s="590"/>
      <c r="K3" s="591"/>
    </row>
    <row r="4" spans="2:14" ht="25.5" x14ac:dyDescent="0.2">
      <c r="B4" s="3"/>
      <c r="D4" s="128" t="s">
        <v>178</v>
      </c>
      <c r="E4" s="128" t="s">
        <v>179</v>
      </c>
      <c r="K4" s="4"/>
    </row>
    <row r="5" spans="2:14" ht="15" customHeight="1" x14ac:dyDescent="0.25">
      <c r="B5" s="3"/>
      <c r="C5" s="8" t="s">
        <v>85</v>
      </c>
      <c r="D5" s="128" t="str">
        <f>"("&amp;Demand_1&amp;")"</f>
        <v>(kW)</v>
      </c>
      <c r="E5" s="128" t="str">
        <f>"("&amp;Energy_1&amp;")"</f>
        <v>(kWh)</v>
      </c>
      <c r="G5" s="128" t="s">
        <v>180</v>
      </c>
      <c r="H5" s="9" t="s">
        <v>181</v>
      </c>
      <c r="K5" s="4"/>
    </row>
    <row r="6" spans="2:14" ht="15" customHeight="1" x14ac:dyDescent="0.2">
      <c r="B6" s="126">
        <v>1</v>
      </c>
      <c r="C6" s="127" t="str">
        <f>'Program Descriptions'!C5</f>
        <v>Home Energy Solutions</v>
      </c>
      <c r="D6" s="138">
        <v>9970.9398610737026</v>
      </c>
      <c r="E6" s="138">
        <v>30406973.18046065</v>
      </c>
      <c r="G6" s="138">
        <v>7403</v>
      </c>
      <c r="H6" s="673" t="str">
        <f>IF(ISBLANK('Savings &amp; Participants'!H6),"",'Savings &amp; Participants'!H6)</f>
        <v>Accounts</v>
      </c>
      <c r="I6" s="673"/>
      <c r="K6" s="4"/>
      <c r="N6" s="179">
        <f t="shared" ref="N6:N25" si="0">IF(C6="Empty",0,IF(OR(ISBLANK(IF(Demand_1=NG_Demand,E6,D6)),ISBLANK(E6),ISBLANK(G6),ISBLANK(H6)),1,0))</f>
        <v>0</v>
      </c>
    </row>
    <row r="7" spans="2:14" ht="15" customHeight="1" x14ac:dyDescent="0.2">
      <c r="B7" s="126">
        <v>2</v>
      </c>
      <c r="C7" s="127" t="str">
        <f>'Program Descriptions'!C6</f>
        <v>Multifamily Homes</v>
      </c>
      <c r="D7" s="138">
        <v>1607.1534009760283</v>
      </c>
      <c r="E7" s="138">
        <v>10077059.989879465</v>
      </c>
      <c r="G7" s="138">
        <v>2265</v>
      </c>
      <c r="H7" s="673" t="str">
        <f>IF(ISBLANK('Savings &amp; Participants'!H7),"",'Savings &amp; Participants'!H7)</f>
        <v>Accounts</v>
      </c>
      <c r="I7" s="673"/>
      <c r="K7" s="4"/>
      <c r="N7" s="179">
        <f t="shared" si="0"/>
        <v>0</v>
      </c>
    </row>
    <row r="8" spans="2:14" ht="15" customHeight="1" x14ac:dyDescent="0.2">
      <c r="B8" s="126">
        <v>3</v>
      </c>
      <c r="C8" s="127" t="str">
        <f>'Program Descriptions'!C7</f>
        <v>Manufactured Homes</v>
      </c>
      <c r="D8" s="138">
        <v>719.19207163148815</v>
      </c>
      <c r="E8" s="138">
        <v>5070585.2644848609</v>
      </c>
      <c r="G8" s="138">
        <v>647</v>
      </c>
      <c r="H8" s="673" t="str">
        <f>IF(ISBLANK('Savings &amp; Participants'!H8),"",'Savings &amp; Participants'!H8)</f>
        <v>Accounts</v>
      </c>
      <c r="I8" s="673"/>
      <c r="K8" s="4"/>
      <c r="N8" s="179">
        <f t="shared" si="0"/>
        <v>0</v>
      </c>
    </row>
    <row r="9" spans="2:14" ht="15" customHeight="1" x14ac:dyDescent="0.2">
      <c r="B9" s="126">
        <v>4</v>
      </c>
      <c r="C9" s="127" t="str">
        <f>'Program Descriptions'!C8</f>
        <v xml:space="preserve">Low-Income Solutions </v>
      </c>
      <c r="D9" s="138">
        <v>2377.2343506521393</v>
      </c>
      <c r="E9" s="138">
        <v>8312577.7166410862</v>
      </c>
      <c r="G9" s="138">
        <v>2161</v>
      </c>
      <c r="H9" s="673" t="str">
        <f>IF(ISBLANK('Savings &amp; Participants'!H9),"",'Savings &amp; Participants'!H9)</f>
        <v>Accounts</v>
      </c>
      <c r="I9" s="673"/>
      <c r="K9" s="4"/>
      <c r="N9" s="179">
        <f t="shared" si="0"/>
        <v>0</v>
      </c>
    </row>
    <row r="10" spans="2:14" ht="15" customHeight="1" x14ac:dyDescent="0.2">
      <c r="B10" s="126">
        <v>5</v>
      </c>
      <c r="C10" s="127" t="str">
        <f>'Program Descriptions'!C9</f>
        <v>Point of Purchase Solutions</v>
      </c>
      <c r="D10" s="138">
        <v>5820.0255478381659</v>
      </c>
      <c r="E10" s="138">
        <v>57671890.179663248</v>
      </c>
      <c r="G10" s="138">
        <v>225890</v>
      </c>
      <c r="H10" s="673" t="str">
        <f>IF(ISBLANK('Savings &amp; Participants'!H10),"",'Savings &amp; Participants'!H10)</f>
        <v>Measure</v>
      </c>
      <c r="I10" s="673"/>
      <c r="K10" s="4"/>
      <c r="N10" s="179">
        <f t="shared" si="0"/>
        <v>0</v>
      </c>
    </row>
    <row r="11" spans="2:14" ht="15" customHeight="1" x14ac:dyDescent="0.2">
      <c r="B11" s="126">
        <v>6</v>
      </c>
      <c r="C11" s="127" t="str">
        <f>'Program Descriptions'!C10</f>
        <v>Large Commercial &amp; Industrial Solutions</v>
      </c>
      <c r="D11" s="138">
        <v>13133.008398738688</v>
      </c>
      <c r="E11" s="138">
        <v>106468813.42825335</v>
      </c>
      <c r="G11" s="138">
        <v>350</v>
      </c>
      <c r="H11" s="673" t="str">
        <f>IF(ISBLANK('Savings &amp; Participants'!H11),"",'Savings &amp; Participants'!H11)</f>
        <v>Customer</v>
      </c>
      <c r="I11" s="673"/>
      <c r="K11" s="4"/>
      <c r="N11" s="179">
        <f t="shared" si="0"/>
        <v>0</v>
      </c>
    </row>
    <row r="12" spans="2:14" ht="15" customHeight="1" x14ac:dyDescent="0.2">
      <c r="B12" s="126">
        <v>7</v>
      </c>
      <c r="C12" s="127" t="str">
        <f>'Program Descriptions'!C11</f>
        <v>Small Business Solutions</v>
      </c>
      <c r="D12" s="138">
        <v>1569.0608079820718</v>
      </c>
      <c r="E12" s="138">
        <v>9777978.5595276505</v>
      </c>
      <c r="G12" s="138">
        <v>786</v>
      </c>
      <c r="H12" s="673" t="str">
        <f>IF(ISBLANK('Savings &amp; Participants'!H12),"",'Savings &amp; Participants'!H12)</f>
        <v>Customer</v>
      </c>
      <c r="I12" s="673"/>
      <c r="K12" s="4"/>
      <c r="N12" s="179">
        <f t="shared" si="0"/>
        <v>0</v>
      </c>
    </row>
    <row r="13" spans="2:14" ht="15" customHeight="1" x14ac:dyDescent="0.2">
      <c r="B13" s="126">
        <v>8</v>
      </c>
      <c r="C13" s="127" t="str">
        <f>'Program Descriptions'!C12</f>
        <v xml:space="preserve">Public Institutions Solutions </v>
      </c>
      <c r="D13" s="138">
        <v>2675.8490454759699</v>
      </c>
      <c r="E13" s="138">
        <v>16338233.136987923</v>
      </c>
      <c r="G13" s="138">
        <v>250</v>
      </c>
      <c r="H13" s="673" t="str">
        <f>IF(ISBLANK('Savings &amp; Participants'!H13),"",'Savings &amp; Participants'!H13)</f>
        <v>Customer</v>
      </c>
      <c r="I13" s="673"/>
      <c r="K13" s="4"/>
      <c r="N13" s="179">
        <f t="shared" si="0"/>
        <v>0</v>
      </c>
    </row>
    <row r="14" spans="2:14" ht="15" customHeight="1" x14ac:dyDescent="0.2">
      <c r="B14" s="126">
        <v>9</v>
      </c>
      <c r="C14" s="127" t="str">
        <f>'Program Descriptions'!C13</f>
        <v>Agricultural Energy Solutions</v>
      </c>
      <c r="D14" s="138">
        <v>340.34000000000003</v>
      </c>
      <c r="E14" s="138">
        <v>7194115.5260958355</v>
      </c>
      <c r="G14" s="138">
        <v>23</v>
      </c>
      <c r="H14" s="673" t="str">
        <f>IF(ISBLANK('Savings &amp; Participants'!H14),"",'Savings &amp; Participants'!H14)</f>
        <v>Customer</v>
      </c>
      <c r="I14" s="673"/>
      <c r="K14" s="4"/>
      <c r="N14" s="179">
        <f t="shared" si="0"/>
        <v>0</v>
      </c>
    </row>
    <row r="15" spans="2:14" ht="15" customHeight="1" x14ac:dyDescent="0.2">
      <c r="B15" s="126">
        <v>10</v>
      </c>
      <c r="C15" s="127" t="str">
        <f>'Program Descriptions'!C14</f>
        <v>Residential Direct Load Control</v>
      </c>
      <c r="D15" s="138">
        <v>13675</v>
      </c>
      <c r="E15" s="138">
        <v>0</v>
      </c>
      <c r="G15" s="138">
        <v>11789</v>
      </c>
      <c r="H15" s="673" t="str">
        <f>IF(ISBLANK('Savings &amp; Participants'!H15),"",'Savings &amp; Participants'!H15)</f>
        <v>Equipment</v>
      </c>
      <c r="I15" s="673"/>
      <c r="K15" s="4"/>
      <c r="N15" s="179">
        <f t="shared" si="0"/>
        <v>0</v>
      </c>
    </row>
    <row r="16" spans="2:14" ht="15" customHeight="1" x14ac:dyDescent="0.2">
      <c r="B16" s="126">
        <v>11</v>
      </c>
      <c r="C16" s="127" t="str">
        <f>'Program Descriptions'!C15</f>
        <v xml:space="preserve">Smart Direct Load Control Pilot </v>
      </c>
      <c r="D16" s="138">
        <v>5554.4400000000005</v>
      </c>
      <c r="E16" s="138">
        <v>4521927</v>
      </c>
      <c r="G16" s="138">
        <v>1365</v>
      </c>
      <c r="H16" s="673" t="str">
        <f>IF(ISBLANK('Savings &amp; Participants'!H16),"",'Savings &amp; Participants'!H16)</f>
        <v>Equipment</v>
      </c>
      <c r="I16" s="673"/>
      <c r="K16" s="4"/>
      <c r="N16" s="179">
        <f t="shared" si="0"/>
        <v>0</v>
      </c>
    </row>
    <row r="17" spans="2:14" ht="15" customHeight="1" thickBot="1" x14ac:dyDescent="0.25">
      <c r="B17" s="126">
        <v>12</v>
      </c>
      <c r="C17" s="127" t="str">
        <f>'Program Descriptions'!C16</f>
        <v>Agricultural Irrigation Load Control</v>
      </c>
      <c r="D17" s="138">
        <v>17847.3</v>
      </c>
      <c r="E17" s="138">
        <v>0</v>
      </c>
      <c r="G17" s="138">
        <v>916</v>
      </c>
      <c r="H17" s="673" t="str">
        <f>IF(ISBLANK('Savings &amp; Participants'!H17),"",'Savings &amp; Participants'!H17)</f>
        <v>Equipment</v>
      </c>
      <c r="I17" s="673"/>
      <c r="K17" s="4"/>
      <c r="N17" s="179">
        <f t="shared" si="0"/>
        <v>0</v>
      </c>
    </row>
    <row r="18" spans="2:14" ht="15" hidden="1" customHeight="1" thickBot="1" x14ac:dyDescent="0.25">
      <c r="B18" s="126">
        <v>13</v>
      </c>
      <c r="C18" s="127" t="str">
        <f>'Program Descriptions'!C17</f>
        <v>Empty</v>
      </c>
      <c r="D18" s="138">
        <v>0</v>
      </c>
      <c r="E18" s="138">
        <v>0</v>
      </c>
      <c r="G18" s="138">
        <v>0</v>
      </c>
      <c r="H18" s="673" t="str">
        <f>IF(ISBLANK('Savings &amp; Participants'!H18),"",'Savings &amp; Participants'!H18)</f>
        <v/>
      </c>
      <c r="I18" s="673"/>
      <c r="K18" s="4"/>
      <c r="N18" s="179">
        <f t="shared" si="0"/>
        <v>0</v>
      </c>
    </row>
    <row r="19" spans="2:14" ht="15" hidden="1" customHeight="1" x14ac:dyDescent="0.2">
      <c r="B19" s="126">
        <v>14</v>
      </c>
      <c r="C19" s="127" t="str">
        <f>'Program Descriptions'!C18</f>
        <v>Empty</v>
      </c>
      <c r="D19" s="138"/>
      <c r="E19" s="138"/>
      <c r="G19" s="138"/>
      <c r="H19" s="673" t="str">
        <f>IF(ISBLANK('Savings &amp; Participants'!H19),"",'Savings &amp; Participants'!H19)</f>
        <v/>
      </c>
      <c r="I19" s="673"/>
      <c r="K19" s="4"/>
      <c r="N19" s="179">
        <f t="shared" si="0"/>
        <v>0</v>
      </c>
    </row>
    <row r="20" spans="2:14" ht="15" hidden="1" customHeight="1" x14ac:dyDescent="0.2">
      <c r="B20" s="126">
        <v>15</v>
      </c>
      <c r="C20" s="127" t="str">
        <f>'Program Descriptions'!C19</f>
        <v>Empty</v>
      </c>
      <c r="D20" s="138"/>
      <c r="E20" s="138"/>
      <c r="G20" s="138"/>
      <c r="H20" s="673" t="str">
        <f>IF(ISBLANK('Savings &amp; Participants'!H20),"",'Savings &amp; Participants'!H20)</f>
        <v/>
      </c>
      <c r="I20" s="673"/>
      <c r="K20" s="4"/>
      <c r="N20" s="179">
        <f t="shared" si="0"/>
        <v>0</v>
      </c>
    </row>
    <row r="21" spans="2:14" ht="15" hidden="1" customHeight="1" x14ac:dyDescent="0.2">
      <c r="B21" s="126">
        <v>16</v>
      </c>
      <c r="C21" s="127" t="str">
        <f>'Program Descriptions'!C20</f>
        <v>Empty</v>
      </c>
      <c r="D21" s="138"/>
      <c r="E21" s="138"/>
      <c r="G21" s="138"/>
      <c r="H21" s="673" t="str">
        <f>IF(ISBLANK('Savings &amp; Participants'!H21),"",'Savings &amp; Participants'!H21)</f>
        <v/>
      </c>
      <c r="I21" s="673"/>
      <c r="K21" s="4"/>
      <c r="N21" s="179">
        <f t="shared" si="0"/>
        <v>0</v>
      </c>
    </row>
    <row r="22" spans="2:14" ht="15" hidden="1" customHeight="1" x14ac:dyDescent="0.2">
      <c r="B22" s="126">
        <v>17</v>
      </c>
      <c r="C22" s="127" t="str">
        <f>'Program Descriptions'!C21</f>
        <v>Empty</v>
      </c>
      <c r="D22" s="138"/>
      <c r="E22" s="138"/>
      <c r="G22" s="138"/>
      <c r="H22" s="673" t="str">
        <f>IF(ISBLANK('Savings &amp; Participants'!H22),"",'Savings &amp; Participants'!H22)</f>
        <v/>
      </c>
      <c r="I22" s="673"/>
      <c r="K22" s="4"/>
      <c r="N22" s="179">
        <f t="shared" si="0"/>
        <v>0</v>
      </c>
    </row>
    <row r="23" spans="2:14" ht="15" hidden="1" customHeight="1" x14ac:dyDescent="0.2">
      <c r="B23" s="126">
        <v>18</v>
      </c>
      <c r="C23" s="127" t="str">
        <f>'Program Descriptions'!C22</f>
        <v>Empty</v>
      </c>
      <c r="D23" s="138"/>
      <c r="E23" s="138"/>
      <c r="G23" s="138"/>
      <c r="H23" s="673" t="str">
        <f>IF(ISBLANK('Savings &amp; Participants'!H23),"",'Savings &amp; Participants'!H23)</f>
        <v/>
      </c>
      <c r="I23" s="673"/>
      <c r="K23" s="4"/>
      <c r="N23" s="179">
        <f t="shared" si="0"/>
        <v>0</v>
      </c>
    </row>
    <row r="24" spans="2:14" ht="15" hidden="1" customHeight="1" x14ac:dyDescent="0.2">
      <c r="B24" s="126">
        <v>19</v>
      </c>
      <c r="C24" s="127" t="str">
        <f>'Program Descriptions'!C23</f>
        <v>Empty</v>
      </c>
      <c r="D24" s="138"/>
      <c r="E24" s="138"/>
      <c r="G24" s="138"/>
      <c r="H24" s="673" t="str">
        <f>IF(ISBLANK('Savings &amp; Participants'!H24),"",'Savings &amp; Participants'!H24)</f>
        <v/>
      </c>
      <c r="I24" s="673"/>
      <c r="K24" s="4"/>
      <c r="N24" s="179">
        <f t="shared" si="0"/>
        <v>0</v>
      </c>
    </row>
    <row r="25" spans="2:14" ht="15" hidden="1" customHeight="1" thickBot="1" x14ac:dyDescent="0.25">
      <c r="B25" s="126">
        <v>20</v>
      </c>
      <c r="C25" s="127" t="str">
        <f>'Program Descriptions'!C24</f>
        <v>Empty</v>
      </c>
      <c r="D25" s="138"/>
      <c r="E25" s="138"/>
      <c r="G25" s="138"/>
      <c r="H25" s="673" t="str">
        <f>IF(ISBLANK('Savings &amp; Participants'!H25),"",'Savings &amp; Participants'!H25)</f>
        <v/>
      </c>
      <c r="I25" s="673"/>
      <c r="K25" s="4"/>
      <c r="N25" s="179">
        <f t="shared" si="0"/>
        <v>0</v>
      </c>
    </row>
    <row r="26" spans="2:14" ht="15" customHeight="1" x14ac:dyDescent="0.2">
      <c r="B26" s="3"/>
      <c r="C26" s="131" t="s">
        <v>164</v>
      </c>
      <c r="D26" s="284">
        <f>SUM(D6:D25)</f>
        <v>75289.54348436826</v>
      </c>
      <c r="E26" s="284">
        <f>SUM(E6:E25)</f>
        <v>255840153.98199406</v>
      </c>
      <c r="G26" s="284">
        <f>SUM(G6:G25)</f>
        <v>253845</v>
      </c>
      <c r="K26" s="4"/>
      <c r="N26" s="2">
        <f>SUM(N6:N25)</f>
        <v>0</v>
      </c>
    </row>
    <row r="27" spans="2:14" ht="15" customHeight="1" x14ac:dyDescent="0.2">
      <c r="B27" s="5"/>
      <c r="C27" s="353"/>
      <c r="D27" s="353"/>
      <c r="E27" s="353"/>
      <c r="F27" s="353"/>
      <c r="G27" s="353"/>
      <c r="H27" s="353"/>
      <c r="I27" s="353"/>
      <c r="J27" s="353"/>
      <c r="K27" s="6"/>
    </row>
    <row r="28" spans="2:14" ht="15" customHeight="1" x14ac:dyDescent="0.2"/>
    <row r="29" spans="2:14" ht="15" customHeight="1" x14ac:dyDescent="0.2"/>
    <row r="30" spans="2:14" ht="15" customHeight="1" x14ac:dyDescent="0.2"/>
    <row r="31" spans="2:14" ht="15" customHeight="1" x14ac:dyDescent="0.2"/>
    <row r="32" spans="2:14"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sheetData>
  <sheetProtection formatColumns="0"/>
  <mergeCells count="20">
    <mergeCell ref="H24:I24"/>
    <mergeCell ref="H25:I25"/>
    <mergeCell ref="H18:I18"/>
    <mergeCell ref="H19:I19"/>
    <mergeCell ref="H20:I20"/>
    <mergeCell ref="H21:I21"/>
    <mergeCell ref="H22:I22"/>
    <mergeCell ref="H23:I23"/>
    <mergeCell ref="H17:I17"/>
    <mergeCell ref="H6:I6"/>
    <mergeCell ref="H7:I7"/>
    <mergeCell ref="H8:I8"/>
    <mergeCell ref="H9:I9"/>
    <mergeCell ref="H10:I10"/>
    <mergeCell ref="H11:I11"/>
    <mergeCell ref="H12:I12"/>
    <mergeCell ref="H13:I13"/>
    <mergeCell ref="H14:I14"/>
    <mergeCell ref="H15:I15"/>
    <mergeCell ref="H16:I16"/>
  </mergeCells>
  <conditionalFormatting sqref="D6:D25">
    <cfRule type="expression" dxfId="17" priority="70">
      <formula>Demand_1=NG_Demand</formula>
    </cfRule>
  </conditionalFormatting>
  <conditionalFormatting sqref="D6:E25 G6:H25">
    <cfRule type="expression" dxfId="16" priority="1">
      <formula>$B6&gt;Programs</formula>
    </cfRule>
  </conditionalFormatting>
  <pageMargins left="0.25" right="0.25" top="0.25" bottom="0.25" header="0.3" footer="0.3"/>
  <pageSetup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N29"/>
  <sheetViews>
    <sheetView showGridLines="0" workbookViewId="0"/>
  </sheetViews>
  <sheetFormatPr defaultColWidth="9.42578125" defaultRowHeight="12.75" x14ac:dyDescent="0.2"/>
  <cols>
    <col min="1" max="1" width="1" style="2" customWidth="1"/>
    <col min="2" max="2" width="1.5703125" style="2" customWidth="1"/>
    <col min="3" max="3" width="3.42578125" style="2" customWidth="1"/>
    <col min="4" max="4" width="37" style="2" customWidth="1"/>
    <col min="5" max="8" width="17.42578125" style="2" customWidth="1"/>
    <col min="9" max="9" width="7.5703125" style="2" customWidth="1"/>
    <col min="10" max="10" width="7.42578125" style="2" customWidth="1"/>
    <col min="11" max="11" width="6.5703125" style="2" customWidth="1"/>
    <col min="12" max="12" width="1" style="2" customWidth="1"/>
    <col min="13" max="13" width="0" style="2" hidden="1" customWidth="1"/>
    <col min="14" max="14" width="9.42578125" style="2" hidden="1" customWidth="1"/>
    <col min="15" max="15" width="0" style="2" hidden="1" customWidth="1"/>
    <col min="16" max="16384" width="9.42578125" style="2"/>
  </cols>
  <sheetData>
    <row r="1" spans="2:14" ht="5.0999999999999996" customHeight="1" thickBot="1" x14ac:dyDescent="0.25"/>
    <row r="2" spans="2:14" ht="38.25" customHeight="1" thickBot="1" x14ac:dyDescent="0.25">
      <c r="B2" s="660" t="s">
        <v>413</v>
      </c>
      <c r="C2" s="660"/>
      <c r="D2" s="660"/>
      <c r="E2" s="660"/>
      <c r="F2" s="660"/>
      <c r="G2" s="660"/>
      <c r="H2" s="660"/>
      <c r="I2" s="660"/>
      <c r="J2" s="660"/>
      <c r="K2" s="660"/>
    </row>
    <row r="3" spans="2:14" x14ac:dyDescent="0.2">
      <c r="B3" s="589"/>
      <c r="C3" s="590"/>
      <c r="D3" s="194" t="str">
        <f>IF(N26&gt;0,"Incomplete - All 'yellow' shaded cells must be completed.","")</f>
        <v/>
      </c>
      <c r="E3" s="590"/>
      <c r="F3" s="590"/>
      <c r="G3" s="590"/>
      <c r="H3" s="590"/>
      <c r="I3" s="590"/>
      <c r="J3" s="590"/>
      <c r="K3" s="591"/>
    </row>
    <row r="4" spans="2:14" x14ac:dyDescent="0.2">
      <c r="B4" s="3"/>
      <c r="E4" s="25" t="s">
        <v>414</v>
      </c>
      <c r="F4" s="25" t="s">
        <v>415</v>
      </c>
      <c r="G4" s="25" t="s">
        <v>416</v>
      </c>
      <c r="H4" s="25" t="s">
        <v>417</v>
      </c>
      <c r="K4" s="4"/>
    </row>
    <row r="5" spans="2:14" ht="13.5" thickBot="1" x14ac:dyDescent="0.25">
      <c r="B5" s="3"/>
      <c r="D5" s="9" t="s">
        <v>85</v>
      </c>
      <c r="E5" s="25" t="str">
        <f>"("&amp;Energy_1&amp;")"</f>
        <v>(kWh)</v>
      </c>
      <c r="F5" s="25" t="str">
        <f>E5</f>
        <v>(kWh)</v>
      </c>
      <c r="G5" s="25" t="str">
        <f>E5</f>
        <v>(kWh)</v>
      </c>
      <c r="H5" s="25" t="str">
        <f>E5</f>
        <v>(kWh)</v>
      </c>
      <c r="I5" s="25"/>
      <c r="J5" s="25"/>
      <c r="K5" s="4"/>
    </row>
    <row r="6" spans="2:14" ht="13.5" thickBot="1" x14ac:dyDescent="0.25">
      <c r="B6" s="126"/>
      <c r="C6" s="134">
        <v>1</v>
      </c>
      <c r="D6" s="127" t="str">
        <f>'Program Descriptions'!C5</f>
        <v>Home Energy Solutions</v>
      </c>
      <c r="E6" s="241">
        <v>30406973.18046065</v>
      </c>
      <c r="F6" s="241">
        <v>0</v>
      </c>
      <c r="G6" s="241">
        <v>0</v>
      </c>
      <c r="H6" s="14">
        <f>E6+F6+G6</f>
        <v>30406973.18046065</v>
      </c>
      <c r="I6" s="45"/>
      <c r="J6" s="45"/>
      <c r="K6" s="44"/>
      <c r="N6" s="179"/>
    </row>
    <row r="7" spans="2:14" ht="13.5" thickBot="1" x14ac:dyDescent="0.25">
      <c r="B7" s="126"/>
      <c r="C7" s="134">
        <v>2</v>
      </c>
      <c r="D7" s="127" t="str">
        <f>'Program Descriptions'!C6</f>
        <v>Multifamily Homes</v>
      </c>
      <c r="E7" s="242">
        <v>10077059.989879465</v>
      </c>
      <c r="F7" s="243">
        <v>0</v>
      </c>
      <c r="G7" s="241">
        <v>0</v>
      </c>
      <c r="H7" s="14">
        <f>E7+F7+G7</f>
        <v>10077059.989879465</v>
      </c>
      <c r="I7" s="45"/>
      <c r="J7" s="45"/>
      <c r="K7" s="44"/>
      <c r="N7" s="179"/>
    </row>
    <row r="8" spans="2:14" ht="13.5" thickBot="1" x14ac:dyDescent="0.25">
      <c r="B8" s="126"/>
      <c r="C8" s="134">
        <v>3</v>
      </c>
      <c r="D8" s="127" t="str">
        <f>'Program Descriptions'!C7</f>
        <v>Manufactured Homes</v>
      </c>
      <c r="E8" s="242">
        <v>5070585.2644848609</v>
      </c>
      <c r="F8" s="243">
        <v>0</v>
      </c>
      <c r="G8" s="241">
        <v>0</v>
      </c>
      <c r="H8" s="14">
        <f t="shared" ref="H8:H25" si="0">E8+F8+G8</f>
        <v>5070585.2644848609</v>
      </c>
      <c r="I8" s="45"/>
      <c r="J8" s="45"/>
      <c r="K8" s="44"/>
      <c r="N8" s="179"/>
    </row>
    <row r="9" spans="2:14" ht="13.5" thickBot="1" x14ac:dyDescent="0.25">
      <c r="B9" s="126"/>
      <c r="C9" s="134">
        <v>4</v>
      </c>
      <c r="D9" s="127" t="str">
        <f>'Program Descriptions'!C8</f>
        <v xml:space="preserve">Low-Income Solutions </v>
      </c>
      <c r="E9" s="242">
        <v>8312577.7166410862</v>
      </c>
      <c r="F9" s="243">
        <v>0</v>
      </c>
      <c r="G9" s="241">
        <v>0</v>
      </c>
      <c r="H9" s="14">
        <f t="shared" si="0"/>
        <v>8312577.7166410862</v>
      </c>
      <c r="I9" s="45"/>
      <c r="J9" s="45"/>
      <c r="K9" s="44"/>
      <c r="N9" s="179"/>
    </row>
    <row r="10" spans="2:14" ht="13.5" thickBot="1" x14ac:dyDescent="0.25">
      <c r="B10" s="126"/>
      <c r="C10" s="134">
        <v>5</v>
      </c>
      <c r="D10" s="127" t="str">
        <f>'Program Descriptions'!C9</f>
        <v>Point of Purchase Solutions</v>
      </c>
      <c r="E10" s="242">
        <v>57671890.179663248</v>
      </c>
      <c r="F10" s="243">
        <v>0</v>
      </c>
      <c r="G10" s="241">
        <v>0</v>
      </c>
      <c r="H10" s="14">
        <f t="shared" si="0"/>
        <v>57671890.179663248</v>
      </c>
      <c r="I10" s="45"/>
      <c r="J10" s="45"/>
      <c r="K10" s="44"/>
      <c r="N10" s="179"/>
    </row>
    <row r="11" spans="2:14" ht="13.5" thickBot="1" x14ac:dyDescent="0.25">
      <c r="B11" s="126"/>
      <c r="C11" s="134">
        <v>6</v>
      </c>
      <c r="D11" s="127" t="str">
        <f>'Program Descriptions'!C10</f>
        <v>Large Commercial &amp; Industrial Solutions</v>
      </c>
      <c r="E11" s="242">
        <v>27265313.006279349</v>
      </c>
      <c r="F11" s="242">
        <v>79203500.421973988</v>
      </c>
      <c r="G11" s="241">
        <v>0</v>
      </c>
      <c r="H11" s="14">
        <f t="shared" si="0"/>
        <v>106468813.42825334</v>
      </c>
      <c r="I11" s="45"/>
      <c r="J11" s="45"/>
      <c r="K11" s="44"/>
      <c r="N11" s="179"/>
    </row>
    <row r="12" spans="2:14" ht="13.5" thickBot="1" x14ac:dyDescent="0.25">
      <c r="B12" s="126"/>
      <c r="C12" s="134">
        <v>7</v>
      </c>
      <c r="D12" s="127" t="str">
        <f>'Program Descriptions'!C11</f>
        <v>Small Business Solutions</v>
      </c>
      <c r="E12" s="242">
        <v>9558891.7734771091</v>
      </c>
      <c r="F12" s="243">
        <v>219086.78605054072</v>
      </c>
      <c r="G12" s="241">
        <v>0</v>
      </c>
      <c r="H12" s="14">
        <f t="shared" si="0"/>
        <v>9777978.5595276505</v>
      </c>
      <c r="I12" s="45"/>
      <c r="J12" s="45"/>
      <c r="K12" s="44"/>
      <c r="N12" s="179"/>
    </row>
    <row r="13" spans="2:14" ht="13.5" thickBot="1" x14ac:dyDescent="0.25">
      <c r="B13" s="126"/>
      <c r="C13" s="134">
        <v>8</v>
      </c>
      <c r="D13" s="127" t="str">
        <f>'Program Descriptions'!C12</f>
        <v xml:space="preserve">Public Institutions Solutions </v>
      </c>
      <c r="E13" s="242">
        <v>11507030.607463198</v>
      </c>
      <c r="F13" s="243">
        <v>4831202.5295247249</v>
      </c>
      <c r="G13" s="241">
        <v>0</v>
      </c>
      <c r="H13" s="14">
        <f t="shared" si="0"/>
        <v>16338233.136987923</v>
      </c>
      <c r="I13" s="45"/>
      <c r="J13" s="45"/>
      <c r="K13" s="44"/>
      <c r="N13" s="179"/>
    </row>
    <row r="14" spans="2:14" ht="13.5" thickBot="1" x14ac:dyDescent="0.25">
      <c r="B14" s="126"/>
      <c r="C14" s="134">
        <v>9</v>
      </c>
      <c r="D14" s="127" t="str">
        <f>'Program Descriptions'!C13</f>
        <v>Agricultural Energy Solutions</v>
      </c>
      <c r="E14" s="242">
        <v>0</v>
      </c>
      <c r="F14" s="243">
        <v>7194115.5260958355</v>
      </c>
      <c r="G14" s="241">
        <v>0</v>
      </c>
      <c r="H14" s="14">
        <f t="shared" si="0"/>
        <v>7194115.5260958355</v>
      </c>
      <c r="I14" s="45"/>
      <c r="J14" s="45"/>
      <c r="K14" s="44"/>
      <c r="N14" s="179"/>
    </row>
    <row r="15" spans="2:14" ht="13.5" thickBot="1" x14ac:dyDescent="0.25">
      <c r="B15" s="126"/>
      <c r="C15" s="134">
        <v>10</v>
      </c>
      <c r="D15" s="127" t="str">
        <f>'Program Descriptions'!C14</f>
        <v>Residential Direct Load Control</v>
      </c>
      <c r="E15" s="242">
        <v>0</v>
      </c>
      <c r="F15" s="243">
        <v>0</v>
      </c>
      <c r="G15" s="241">
        <v>0</v>
      </c>
      <c r="H15" s="14">
        <f t="shared" si="0"/>
        <v>0</v>
      </c>
      <c r="I15" s="45"/>
      <c r="J15" s="45"/>
      <c r="K15" s="44"/>
      <c r="N15" s="179"/>
    </row>
    <row r="16" spans="2:14" ht="13.5" thickBot="1" x14ac:dyDescent="0.25">
      <c r="B16" s="126"/>
      <c r="C16" s="134">
        <v>11</v>
      </c>
      <c r="D16" s="127" t="str">
        <f>'Program Descriptions'!C15</f>
        <v xml:space="preserve">Smart Direct Load Control Pilot </v>
      </c>
      <c r="E16" s="242">
        <v>1917630</v>
      </c>
      <c r="F16" s="243">
        <v>2604297</v>
      </c>
      <c r="G16" s="241">
        <v>0</v>
      </c>
      <c r="H16" s="14">
        <f t="shared" si="0"/>
        <v>4521927</v>
      </c>
      <c r="I16" s="45"/>
      <c r="J16" s="45"/>
      <c r="K16" s="44"/>
      <c r="N16" s="179"/>
    </row>
    <row r="17" spans="2:14" ht="13.5" thickBot="1" x14ac:dyDescent="0.25">
      <c r="B17" s="126"/>
      <c r="C17" s="134">
        <v>12</v>
      </c>
      <c r="D17" s="127" t="str">
        <f>'Program Descriptions'!C16</f>
        <v>Agricultural Irrigation Load Control</v>
      </c>
      <c r="E17" s="242">
        <v>0</v>
      </c>
      <c r="F17" s="243">
        <v>0</v>
      </c>
      <c r="G17" s="241">
        <v>0</v>
      </c>
      <c r="H17" s="14">
        <f t="shared" si="0"/>
        <v>0</v>
      </c>
      <c r="I17" s="45"/>
      <c r="J17" s="45"/>
      <c r="K17" s="44"/>
      <c r="N17" s="179"/>
    </row>
    <row r="18" spans="2:14" ht="13.5" thickBot="1" x14ac:dyDescent="0.25">
      <c r="B18" s="126"/>
      <c r="C18" s="134">
        <v>13</v>
      </c>
      <c r="D18" s="127" t="str">
        <f>'Program Descriptions'!C17</f>
        <v>Empty</v>
      </c>
      <c r="E18" s="242">
        <v>0</v>
      </c>
      <c r="F18" s="243">
        <v>0</v>
      </c>
      <c r="G18" s="241">
        <v>0</v>
      </c>
      <c r="H18" s="14">
        <f t="shared" si="0"/>
        <v>0</v>
      </c>
      <c r="I18" s="45"/>
      <c r="J18" s="45"/>
      <c r="K18" s="44"/>
      <c r="N18" s="179"/>
    </row>
    <row r="19" spans="2:14" hidden="1" x14ac:dyDescent="0.2">
      <c r="B19" s="126"/>
      <c r="C19" s="134">
        <v>14</v>
      </c>
      <c r="D19" s="127" t="str">
        <f>'Program Descriptions'!C18</f>
        <v>Empty</v>
      </c>
      <c r="E19" s="138"/>
      <c r="F19" s="138"/>
      <c r="G19" s="138"/>
      <c r="H19" s="14">
        <f t="shared" si="0"/>
        <v>0</v>
      </c>
      <c r="I19" s="45"/>
      <c r="J19" s="45"/>
      <c r="K19" s="44"/>
      <c r="N19" s="179"/>
    </row>
    <row r="20" spans="2:14" hidden="1" x14ac:dyDescent="0.2">
      <c r="B20" s="126"/>
      <c r="C20" s="134">
        <v>15</v>
      </c>
      <c r="D20" s="127" t="str">
        <f>'Program Descriptions'!C19</f>
        <v>Empty</v>
      </c>
      <c r="E20" s="138"/>
      <c r="F20" s="138"/>
      <c r="G20" s="138"/>
      <c r="H20" s="14">
        <f t="shared" si="0"/>
        <v>0</v>
      </c>
      <c r="I20" s="45"/>
      <c r="J20" s="45"/>
      <c r="K20" s="44"/>
      <c r="N20" s="179"/>
    </row>
    <row r="21" spans="2:14" hidden="1" x14ac:dyDescent="0.2">
      <c r="B21" s="126"/>
      <c r="C21" s="134">
        <v>16</v>
      </c>
      <c r="D21" s="127" t="str">
        <f>'Program Descriptions'!C20</f>
        <v>Empty</v>
      </c>
      <c r="E21" s="138"/>
      <c r="F21" s="138"/>
      <c r="G21" s="138"/>
      <c r="H21" s="14">
        <f t="shared" si="0"/>
        <v>0</v>
      </c>
      <c r="I21" s="45"/>
      <c r="J21" s="45"/>
      <c r="K21" s="44"/>
      <c r="N21" s="179"/>
    </row>
    <row r="22" spans="2:14" hidden="1" x14ac:dyDescent="0.2">
      <c r="B22" s="126"/>
      <c r="C22" s="134">
        <v>17</v>
      </c>
      <c r="D22" s="127" t="str">
        <f>'Program Descriptions'!C21</f>
        <v>Empty</v>
      </c>
      <c r="E22" s="138"/>
      <c r="F22" s="138"/>
      <c r="G22" s="138"/>
      <c r="H22" s="14">
        <f t="shared" si="0"/>
        <v>0</v>
      </c>
      <c r="I22" s="45"/>
      <c r="J22" s="45"/>
      <c r="K22" s="44"/>
      <c r="N22" s="179"/>
    </row>
    <row r="23" spans="2:14" hidden="1" x14ac:dyDescent="0.2">
      <c r="B23" s="126"/>
      <c r="C23" s="134">
        <v>18</v>
      </c>
      <c r="D23" s="127" t="str">
        <f>'Program Descriptions'!C22</f>
        <v>Empty</v>
      </c>
      <c r="E23" s="138"/>
      <c r="F23" s="138"/>
      <c r="G23" s="138"/>
      <c r="H23" s="14">
        <f t="shared" si="0"/>
        <v>0</v>
      </c>
      <c r="I23" s="45"/>
      <c r="J23" s="45"/>
      <c r="K23" s="44"/>
      <c r="N23" s="179"/>
    </row>
    <row r="24" spans="2:14" hidden="1" x14ac:dyDescent="0.2">
      <c r="B24" s="126"/>
      <c r="C24" s="134">
        <v>19</v>
      </c>
      <c r="D24" s="127" t="str">
        <f>'Program Descriptions'!C23</f>
        <v>Empty</v>
      </c>
      <c r="E24" s="138"/>
      <c r="F24" s="138"/>
      <c r="G24" s="138"/>
      <c r="H24" s="14">
        <f t="shared" si="0"/>
        <v>0</v>
      </c>
      <c r="I24" s="45"/>
      <c r="J24" s="45"/>
      <c r="K24" s="44"/>
      <c r="N24" s="179"/>
    </row>
    <row r="25" spans="2:14" ht="13.5" hidden="1" thickBot="1" x14ac:dyDescent="0.25">
      <c r="B25" s="126"/>
      <c r="C25" s="134">
        <v>20</v>
      </c>
      <c r="D25" s="127" t="str">
        <f>'Program Descriptions'!C24</f>
        <v>Empty</v>
      </c>
      <c r="E25" s="138"/>
      <c r="F25" s="138"/>
      <c r="G25" s="138"/>
      <c r="H25" s="14">
        <f t="shared" si="0"/>
        <v>0</v>
      </c>
      <c r="I25" s="45"/>
      <c r="J25" s="45"/>
      <c r="K25" s="44"/>
      <c r="N25" s="179"/>
    </row>
    <row r="26" spans="2:14" x14ac:dyDescent="0.2">
      <c r="B26" s="3"/>
      <c r="C26" s="26"/>
      <c r="D26" s="27" t="s">
        <v>174</v>
      </c>
      <c r="E26" s="284">
        <f>SUM(E6:E25)</f>
        <v>161787951.71834898</v>
      </c>
      <c r="F26" s="284">
        <f>SUM(F6:F25)</f>
        <v>94052202.263645098</v>
      </c>
      <c r="G26" s="284">
        <f>SUM(G6:G25)</f>
        <v>0</v>
      </c>
      <c r="H26" s="284">
        <f>SUM(H6:H25)</f>
        <v>255840153.98199406</v>
      </c>
      <c r="I26" s="29"/>
      <c r="J26" s="29"/>
      <c r="K26" s="4"/>
      <c r="N26" s="2">
        <f>SUM(N6:N25)</f>
        <v>0</v>
      </c>
    </row>
    <row r="27" spans="2:14" x14ac:dyDescent="0.2">
      <c r="B27" s="3"/>
      <c r="K27" s="4"/>
    </row>
    <row r="28" spans="2:14" x14ac:dyDescent="0.2">
      <c r="B28" s="3"/>
      <c r="K28" s="4"/>
    </row>
    <row r="29" spans="2:14" x14ac:dyDescent="0.2">
      <c r="B29" s="5"/>
      <c r="C29" s="353"/>
      <c r="D29" s="353"/>
      <c r="E29" s="353"/>
      <c r="F29" s="353"/>
      <c r="G29" s="353"/>
      <c r="H29" s="353"/>
      <c r="I29" s="353"/>
      <c r="J29" s="353"/>
      <c r="K29" s="6"/>
    </row>
  </sheetData>
  <sheetProtection formatColumns="0"/>
  <mergeCells count="1">
    <mergeCell ref="B2:K2"/>
  </mergeCells>
  <conditionalFormatting sqref="E6:G25">
    <cfRule type="expression" dxfId="15" priority="1">
      <formula>$C6&gt;Programs</formula>
    </cfRule>
  </conditionalFormatting>
  <pageMargins left="0.25" right="0.25" top="0.5" bottom="0.5" header="0.3" footer="0.3"/>
  <pageSetup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P115"/>
  <sheetViews>
    <sheetView showGridLines="0" zoomScale="90" zoomScaleNormal="90" workbookViewId="0">
      <pane ySplit="6" topLeftCell="A7" activePane="bottomLeft" state="frozen"/>
      <selection pane="bottomLeft" activeCell="C32" sqref="C32"/>
    </sheetView>
  </sheetViews>
  <sheetFormatPr defaultColWidth="9.42578125" defaultRowHeight="12.75" x14ac:dyDescent="0.2"/>
  <cols>
    <col min="1" max="1" width="1" style="2" customWidth="1"/>
    <col min="2" max="2" width="3.5703125" style="2" customWidth="1"/>
    <col min="3" max="3" width="35.5703125" style="2" customWidth="1"/>
    <col min="4" max="4" width="12.42578125" style="2" customWidth="1"/>
    <col min="5" max="5" width="9.42578125" style="2"/>
    <col min="6" max="6" width="12.5703125" style="2" customWidth="1"/>
    <col min="7" max="9" width="11.42578125" style="2" customWidth="1"/>
    <col min="10" max="10" width="9" style="2" customWidth="1"/>
    <col min="11" max="11" width="9" style="2" hidden="1" customWidth="1"/>
    <col min="12" max="12" width="13.5703125" style="2" customWidth="1"/>
    <col min="13" max="13" width="3.42578125" style="2" customWidth="1"/>
    <col min="14" max="14" width="1" style="2" customWidth="1"/>
    <col min="15" max="15" width="9.42578125" style="2"/>
    <col min="16" max="16" width="0" style="2" hidden="1" customWidth="1"/>
    <col min="17" max="16384" width="9.42578125" style="2"/>
  </cols>
  <sheetData>
    <row r="1" spans="2:16" ht="28.5" customHeight="1" x14ac:dyDescent="0.2"/>
    <row r="2" spans="2:16" ht="64.5" customHeight="1" x14ac:dyDescent="0.2">
      <c r="B2" s="461"/>
      <c r="C2" s="462"/>
      <c r="D2" s="462"/>
      <c r="E2" s="462"/>
      <c r="F2" s="462"/>
      <c r="G2" s="462"/>
      <c r="H2" s="462"/>
      <c r="I2" s="462"/>
      <c r="J2" s="462"/>
      <c r="K2" s="462"/>
      <c r="L2" s="462"/>
      <c r="M2" s="463"/>
    </row>
    <row r="3" spans="2:16" ht="15" customHeight="1" thickBot="1" x14ac:dyDescent="0.25">
      <c r="B3" s="589"/>
      <c r="C3" s="194" t="str">
        <f>IF(P27&gt;0,"Incomplete - All 'yellow' shaded cells must be completed.","")</f>
        <v/>
      </c>
      <c r="D3" s="590"/>
      <c r="E3" s="590"/>
      <c r="F3" s="590"/>
      <c r="G3" s="590"/>
      <c r="H3" s="590"/>
      <c r="I3" s="590"/>
      <c r="J3" s="590"/>
      <c r="K3" s="590"/>
      <c r="L3" s="590"/>
      <c r="M3" s="591"/>
    </row>
    <row r="4" spans="2:16" ht="21" customHeight="1" x14ac:dyDescent="0.2">
      <c r="B4" s="3"/>
      <c r="D4" s="674" t="s">
        <v>418</v>
      </c>
      <c r="E4" s="675"/>
      <c r="F4" s="676"/>
      <c r="G4" s="674" t="s">
        <v>419</v>
      </c>
      <c r="H4" s="675"/>
      <c r="I4" s="675"/>
      <c r="J4" s="675"/>
      <c r="K4" s="675"/>
      <c r="L4" s="676"/>
      <c r="M4" s="4"/>
    </row>
    <row r="5" spans="2:16" ht="30.75" customHeight="1" x14ac:dyDescent="0.2">
      <c r="B5" s="3"/>
      <c r="D5" s="487" t="s">
        <v>420</v>
      </c>
      <c r="E5" s="594" t="s">
        <v>421</v>
      </c>
      <c r="F5" s="595" t="s">
        <v>422</v>
      </c>
      <c r="G5" s="487" t="s">
        <v>423</v>
      </c>
      <c r="H5" s="594" t="s">
        <v>424</v>
      </c>
      <c r="I5" s="594" t="s">
        <v>425</v>
      </c>
      <c r="J5" s="623" t="s">
        <v>426</v>
      </c>
      <c r="K5" s="677" t="s">
        <v>427</v>
      </c>
      <c r="L5" s="595" t="s">
        <v>428</v>
      </c>
      <c r="M5" s="4"/>
    </row>
    <row r="6" spans="2:16" ht="15" customHeight="1" x14ac:dyDescent="0.25">
      <c r="B6" s="3"/>
      <c r="C6" s="8" t="s">
        <v>85</v>
      </c>
      <c r="D6" s="65" t="str">
        <f>"("&amp;Titles!F13&amp;")"</f>
        <v>(kWh)</v>
      </c>
      <c r="E6" s="46" t="s">
        <v>429</v>
      </c>
      <c r="F6" s="66" t="str">
        <f>"("&amp;Titles!F14&amp;")"</f>
        <v>(MWh)</v>
      </c>
      <c r="G6" s="65" t="s">
        <v>430</v>
      </c>
      <c r="H6" s="46" t="s">
        <v>430</v>
      </c>
      <c r="I6" s="46" t="s">
        <v>430</v>
      </c>
      <c r="J6" s="46" t="s">
        <v>429</v>
      </c>
      <c r="K6" s="678"/>
      <c r="L6" s="66" t="str">
        <f>"($/"&amp;Titles!F13&amp;")"</f>
        <v>($/kWh)</v>
      </c>
      <c r="M6" s="4"/>
    </row>
    <row r="7" spans="2:16" ht="15" customHeight="1" x14ac:dyDescent="0.2">
      <c r="B7" s="126">
        <v>1</v>
      </c>
      <c r="C7" s="127" t="str">
        <f>'Program Descriptions'!C5</f>
        <v>Home Energy Solutions</v>
      </c>
      <c r="D7" s="453">
        <f>'Evaluated Savings'!E6</f>
        <v>30406973.18046065</v>
      </c>
      <c r="E7" s="252">
        <v>0.99963304401513453</v>
      </c>
      <c r="F7" s="362">
        <v>573255.54702994099</v>
      </c>
      <c r="G7" s="363">
        <v>12172.260864124122</v>
      </c>
      <c r="H7" s="581">
        <v>29608.227003337008</v>
      </c>
      <c r="I7" s="596">
        <f>H7-G7</f>
        <v>17435.966139212884</v>
      </c>
      <c r="J7" s="249">
        <f>IF(ISERROR(H7/G7),"n/a",H7/G7)</f>
        <v>2.4324344781833203</v>
      </c>
      <c r="K7" s="250">
        <f>IF($F$6="(MWh)",F7*1000/D7,F7/D7)</f>
        <v>18.852765897735317</v>
      </c>
      <c r="L7" s="361">
        <f t="shared" ref="L7:L27" si="0">IF(ISERROR(G7*1000*((Discount_Rate*(1+Discount_Rate)^(K7))/(((1+Discount_Rate)^(K7))-1))/D7),"n/a",G7*1000*((Discount_Rate*(1+Discount_Rate)^(K7))/(((1+Discount_Rate)^(K7))-1))/D7)</f>
        <v>3.7413895131770201E-2</v>
      </c>
      <c r="M7" s="4"/>
      <c r="P7" s="179">
        <f>IF(C7="Empty",0,IF(OR(ISBLANK(E7),ISBLANK(F7),ISBLANK(G7),ISBLANK(H7)),1,0))</f>
        <v>0</v>
      </c>
    </row>
    <row r="8" spans="2:16" ht="15" customHeight="1" x14ac:dyDescent="0.2">
      <c r="B8" s="126">
        <v>2</v>
      </c>
      <c r="C8" s="127" t="str">
        <f>'Program Descriptions'!C6</f>
        <v>Multifamily Homes</v>
      </c>
      <c r="D8" s="453">
        <f>'Evaluated Savings'!E7</f>
        <v>10077059.989879465</v>
      </c>
      <c r="E8" s="252">
        <v>1</v>
      </c>
      <c r="F8" s="362">
        <v>184418.42326136731</v>
      </c>
      <c r="G8" s="363">
        <v>2472.9344300000002</v>
      </c>
      <c r="H8" s="581">
        <v>6369.6595724271183</v>
      </c>
      <c r="I8" s="596">
        <f>H8-G8</f>
        <v>3896.725142427118</v>
      </c>
      <c r="J8" s="249">
        <f>IF(ISERROR(H8/G8),"n/a",H8/G8)</f>
        <v>2.5757494801134366</v>
      </c>
      <c r="K8" s="250">
        <f>IF($F$6="(MWh)",F8*1000/D8,F8/D8)</f>
        <v>18.300816254600189</v>
      </c>
      <c r="L8" s="361">
        <f t="shared" si="0"/>
        <v>2.3297892256493903E-2</v>
      </c>
      <c r="M8" s="4"/>
      <c r="P8" s="179">
        <f t="shared" ref="P8:P26" si="1">IF(C8="Empty",0,IF(OR(ISBLANK(E8),ISBLANK(F8),ISBLANK(G8),ISBLANK(H8)),1,0))</f>
        <v>0</v>
      </c>
    </row>
    <row r="9" spans="2:16" ht="15" customHeight="1" x14ac:dyDescent="0.2">
      <c r="B9" s="126">
        <v>3</v>
      </c>
      <c r="C9" s="127" t="str">
        <f>'Program Descriptions'!C7</f>
        <v>Manufactured Homes</v>
      </c>
      <c r="D9" s="453">
        <f>'Evaluated Savings'!E8</f>
        <v>5070585.2644848609</v>
      </c>
      <c r="E9" s="252">
        <v>1</v>
      </c>
      <c r="F9" s="362">
        <v>93177.584346410862</v>
      </c>
      <c r="G9" s="363">
        <v>1222.24163</v>
      </c>
      <c r="H9" s="581">
        <v>3075.2037742752591</v>
      </c>
      <c r="I9" s="596">
        <f>H9-G9</f>
        <v>1852.9621442752591</v>
      </c>
      <c r="J9" s="249">
        <f t="shared" ref="J9:J26" si="2">IF(ISERROR(H9/G9),"n/a",H9/G9)</f>
        <v>2.5160358629539226</v>
      </c>
      <c r="K9" s="250">
        <f>IF($F$6="(MWh)",F9*1000/D9,F9/D9)</f>
        <v>18.376100486671749</v>
      </c>
      <c r="L9" s="361">
        <f t="shared" si="0"/>
        <v>2.2834347354622746E-2</v>
      </c>
      <c r="M9" s="4"/>
      <c r="P9" s="179">
        <f t="shared" si="1"/>
        <v>0</v>
      </c>
    </row>
    <row r="10" spans="2:16" ht="15" customHeight="1" x14ac:dyDescent="0.2">
      <c r="B10" s="126">
        <v>4</v>
      </c>
      <c r="C10" s="127" t="str">
        <f>'Program Descriptions'!C8</f>
        <v xml:space="preserve">Low-Income Solutions </v>
      </c>
      <c r="D10" s="453">
        <f>'Evaluated Savings'!E9</f>
        <v>8312577.7166410862</v>
      </c>
      <c r="E10" s="252">
        <v>1.0069999999999999</v>
      </c>
      <c r="F10" s="362">
        <v>156303.19848541205</v>
      </c>
      <c r="G10" s="363">
        <v>4673.6531799999993</v>
      </c>
      <c r="H10" s="581">
        <v>7648.4190986711546</v>
      </c>
      <c r="I10" s="596">
        <f>H10-G10</f>
        <v>2974.7659186711553</v>
      </c>
      <c r="J10" s="249">
        <f t="shared" si="2"/>
        <v>1.6364969337907003</v>
      </c>
      <c r="K10" s="250">
        <f t="shared" ref="K10:K27" si="3">IF($F$6="(MWh)",F10*1000/D10,F10/D10)</f>
        <v>18.803216500761987</v>
      </c>
      <c r="L10" s="361">
        <f t="shared" si="0"/>
        <v>5.2620197012119972E-2</v>
      </c>
      <c r="M10" s="4"/>
      <c r="P10" s="179">
        <f t="shared" si="1"/>
        <v>0</v>
      </c>
    </row>
    <row r="11" spans="2:16" ht="15" customHeight="1" x14ac:dyDescent="0.2">
      <c r="B11" s="126">
        <v>5</v>
      </c>
      <c r="C11" s="127" t="str">
        <f>'Program Descriptions'!C9</f>
        <v>Point of Purchase Solutions</v>
      </c>
      <c r="D11" s="453">
        <f>'Evaluated Savings'!E10</f>
        <v>57671890.179663248</v>
      </c>
      <c r="E11" s="252">
        <v>0.85929308705993157</v>
      </c>
      <c r="F11" s="362">
        <v>717751.98194082058</v>
      </c>
      <c r="G11" s="363">
        <v>7249.6459697364753</v>
      </c>
      <c r="H11" s="581">
        <v>24377.298353876471</v>
      </c>
      <c r="I11" s="596">
        <f>H11-G11</f>
        <v>17127.652384139998</v>
      </c>
      <c r="J11" s="249">
        <f t="shared" si="2"/>
        <v>3.3625501790899985</v>
      </c>
      <c r="K11" s="250">
        <f t="shared" si="3"/>
        <v>12.445438838658358</v>
      </c>
      <c r="L11" s="361">
        <f t="shared" si="0"/>
        <v>1.503063113101881E-2</v>
      </c>
      <c r="M11" s="4"/>
      <c r="P11" s="179">
        <f t="shared" si="1"/>
        <v>0</v>
      </c>
    </row>
    <row r="12" spans="2:16" ht="15" customHeight="1" x14ac:dyDescent="0.2">
      <c r="B12" s="126">
        <v>6</v>
      </c>
      <c r="C12" s="127" t="str">
        <f>'Program Descriptions'!C10</f>
        <v>Large Commercial &amp; Industrial Solutions</v>
      </c>
      <c r="D12" s="453">
        <f>'Evaluated Savings'!E11</f>
        <v>106468813.42825335</v>
      </c>
      <c r="E12" s="252">
        <v>1.0083764070534882</v>
      </c>
      <c r="F12" s="362">
        <v>774785.77671116265</v>
      </c>
      <c r="G12" s="363">
        <v>12051.635231107</v>
      </c>
      <c r="H12" s="581">
        <v>26591.344140614456</v>
      </c>
      <c r="I12" s="596">
        <f t="shared" ref="I12:I20" si="4">H12-G12</f>
        <v>14539.708909507455</v>
      </c>
      <c r="J12" s="249">
        <f t="shared" si="2"/>
        <v>2.2064511272278122</v>
      </c>
      <c r="K12" s="250">
        <f t="shared" si="3"/>
        <v>7.2771147884847167</v>
      </c>
      <c r="L12" s="361">
        <f t="shared" si="0"/>
        <v>2.0006567610869608E-2</v>
      </c>
      <c r="M12" s="4"/>
      <c r="P12" s="179">
        <f t="shared" si="1"/>
        <v>0</v>
      </c>
    </row>
    <row r="13" spans="2:16" ht="15" customHeight="1" x14ac:dyDescent="0.2">
      <c r="B13" s="126">
        <v>7</v>
      </c>
      <c r="C13" s="127" t="str">
        <f>'Program Descriptions'!C11</f>
        <v>Small Business Solutions</v>
      </c>
      <c r="D13" s="453">
        <f>'Evaluated Savings'!E12</f>
        <v>9777978.5595276505</v>
      </c>
      <c r="E13" s="252">
        <v>1.0067430118169869</v>
      </c>
      <c r="F13" s="362">
        <v>118152.79649513905</v>
      </c>
      <c r="G13" s="363">
        <v>2017.33761999997</v>
      </c>
      <c r="H13" s="581">
        <v>5119.4411991914531</v>
      </c>
      <c r="I13" s="596">
        <f t="shared" si="4"/>
        <v>3102.1035791914828</v>
      </c>
      <c r="J13" s="249">
        <f t="shared" si="2"/>
        <v>2.5377215734426888</v>
      </c>
      <c r="K13" s="250">
        <f t="shared" si="3"/>
        <v>12.083560602616695</v>
      </c>
      <c r="L13" s="361">
        <f t="shared" si="0"/>
        <v>2.515689704260542E-2</v>
      </c>
      <c r="M13" s="4"/>
      <c r="P13" s="179">
        <f t="shared" si="1"/>
        <v>0</v>
      </c>
    </row>
    <row r="14" spans="2:16" ht="15" customHeight="1" x14ac:dyDescent="0.2">
      <c r="B14" s="126">
        <v>8</v>
      </c>
      <c r="C14" s="127" t="str">
        <f>'Program Descriptions'!C12</f>
        <v xml:space="preserve">Public Institutions Solutions </v>
      </c>
      <c r="D14" s="453">
        <f>'Evaluated Savings'!E13</f>
        <v>16338233.136987923</v>
      </c>
      <c r="E14" s="252">
        <v>1</v>
      </c>
      <c r="F14" s="362">
        <v>198832.24784770506</v>
      </c>
      <c r="G14" s="363">
        <v>4068.304959999999</v>
      </c>
      <c r="H14" s="581">
        <v>7746.715739701438</v>
      </c>
      <c r="I14" s="596">
        <f t="shared" si="4"/>
        <v>3678.410779701439</v>
      </c>
      <c r="J14" s="249">
        <f t="shared" si="2"/>
        <v>1.9041629906970985</v>
      </c>
      <c r="K14" s="250">
        <f t="shared" si="3"/>
        <v>12.169752150100686</v>
      </c>
      <c r="L14" s="361">
        <f t="shared" si="0"/>
        <v>3.0218849241961297E-2</v>
      </c>
      <c r="M14" s="4"/>
      <c r="P14" s="179">
        <f t="shared" si="1"/>
        <v>0</v>
      </c>
    </row>
    <row r="15" spans="2:16" ht="15" customHeight="1" x14ac:dyDescent="0.2">
      <c r="B15" s="126">
        <v>9</v>
      </c>
      <c r="C15" s="127" t="str">
        <f>'Program Descriptions'!C13</f>
        <v>Agricultural Energy Solutions</v>
      </c>
      <c r="D15" s="453">
        <f>'Evaluated Savings'!E14</f>
        <v>7194115.5260958355</v>
      </c>
      <c r="E15" s="252">
        <v>1</v>
      </c>
      <c r="F15" s="362">
        <v>70678.700022146892</v>
      </c>
      <c r="G15" s="363">
        <v>2089.8801100000001</v>
      </c>
      <c r="H15" s="581">
        <v>2149.6189381027648</v>
      </c>
      <c r="I15" s="596">
        <f t="shared" si="4"/>
        <v>59.738828102764728</v>
      </c>
      <c r="J15" s="249">
        <f t="shared" si="2"/>
        <v>1.0285848110697435</v>
      </c>
      <c r="K15" s="250">
        <f t="shared" si="3"/>
        <v>9.8245155732859661</v>
      </c>
      <c r="L15" s="361">
        <f t="shared" si="0"/>
        <v>4.0909343638066982E-2</v>
      </c>
      <c r="M15" s="4"/>
      <c r="P15" s="179">
        <f t="shared" si="1"/>
        <v>0</v>
      </c>
    </row>
    <row r="16" spans="2:16" ht="15" customHeight="1" x14ac:dyDescent="0.2">
      <c r="B16" s="126">
        <v>10</v>
      </c>
      <c r="C16" s="127" t="str">
        <f>'Program Descriptions'!C14</f>
        <v>Residential Direct Load Control</v>
      </c>
      <c r="D16" s="453">
        <f>'Evaluated Savings'!E15</f>
        <v>0</v>
      </c>
      <c r="E16" s="349">
        <v>1</v>
      </c>
      <c r="F16" s="362">
        <v>0</v>
      </c>
      <c r="G16" s="363">
        <v>1866</v>
      </c>
      <c r="H16" s="581">
        <v>0</v>
      </c>
      <c r="I16" s="596">
        <f t="shared" si="4"/>
        <v>-1866</v>
      </c>
      <c r="J16" s="249">
        <f t="shared" si="2"/>
        <v>0</v>
      </c>
      <c r="K16" s="250" t="e">
        <f t="shared" si="3"/>
        <v>#DIV/0!</v>
      </c>
      <c r="L16" s="361" t="str">
        <f t="shared" si="0"/>
        <v>n/a</v>
      </c>
      <c r="M16" s="4"/>
      <c r="P16" s="179">
        <f t="shared" si="1"/>
        <v>0</v>
      </c>
    </row>
    <row r="17" spans="2:16" ht="15" customHeight="1" x14ac:dyDescent="0.2">
      <c r="B17" s="126">
        <v>11</v>
      </c>
      <c r="C17" s="127" t="str">
        <f>'Program Descriptions'!C15</f>
        <v xml:space="preserve">Smart Direct Load Control Pilot </v>
      </c>
      <c r="D17" s="453">
        <f>'Evaluated Savings'!E16</f>
        <v>4521927</v>
      </c>
      <c r="E17" s="252">
        <v>0.83105090799170578</v>
      </c>
      <c r="F17" s="362">
        <v>55452.844493684846</v>
      </c>
      <c r="G17" s="363">
        <v>3092.7593199999997</v>
      </c>
      <c r="H17" s="581">
        <v>1719.0898789637467</v>
      </c>
      <c r="I17" s="596">
        <f t="shared" si="4"/>
        <v>-1373.6694410362529</v>
      </c>
      <c r="J17" s="249">
        <f t="shared" si="2"/>
        <v>0.55584340748627892</v>
      </c>
      <c r="K17" s="250">
        <f t="shared" si="3"/>
        <v>12.263100331713636</v>
      </c>
      <c r="L17" s="361">
        <f t="shared" si="0"/>
        <v>8.2582219057555459E-2</v>
      </c>
      <c r="M17" s="4"/>
      <c r="P17" s="179">
        <f t="shared" si="1"/>
        <v>0</v>
      </c>
    </row>
    <row r="18" spans="2:16" ht="15" customHeight="1" thickBot="1" x14ac:dyDescent="0.25">
      <c r="B18" s="126">
        <v>12</v>
      </c>
      <c r="C18" s="127" t="str">
        <f>'Program Descriptions'!C16</f>
        <v>Agricultural Irrigation Load Control</v>
      </c>
      <c r="D18" s="453">
        <f>'Evaluated Savings'!E17</f>
        <v>0</v>
      </c>
      <c r="E18" s="252">
        <v>1</v>
      </c>
      <c r="F18" s="362">
        <v>0</v>
      </c>
      <c r="G18" s="363">
        <v>3190.0152499999999</v>
      </c>
      <c r="H18" s="581">
        <v>0</v>
      </c>
      <c r="I18" s="596">
        <f t="shared" si="4"/>
        <v>-3190.0152499999999</v>
      </c>
      <c r="J18" s="249">
        <f t="shared" si="2"/>
        <v>0</v>
      </c>
      <c r="K18" s="250" t="e">
        <f t="shared" si="3"/>
        <v>#DIV/0!</v>
      </c>
      <c r="L18" s="361" t="str">
        <f t="shared" si="0"/>
        <v>n/a</v>
      </c>
      <c r="M18" s="4"/>
      <c r="P18" s="179">
        <f t="shared" si="1"/>
        <v>0</v>
      </c>
    </row>
    <row r="19" spans="2:16" ht="15" hidden="1" customHeight="1" x14ac:dyDescent="0.2">
      <c r="B19" s="126">
        <v>13</v>
      </c>
      <c r="C19" s="127" t="str">
        <f>'Program Descriptions'!C17</f>
        <v>Empty</v>
      </c>
      <c r="D19" s="453">
        <f>'Evaluated Savings'!E18</f>
        <v>0</v>
      </c>
      <c r="E19" s="252">
        <v>1</v>
      </c>
      <c r="F19" s="362">
        <v>0</v>
      </c>
      <c r="G19" s="363">
        <v>0</v>
      </c>
      <c r="H19" s="581">
        <v>0</v>
      </c>
      <c r="I19" s="596">
        <f t="shared" si="4"/>
        <v>0</v>
      </c>
      <c r="J19" s="249" t="str">
        <f t="shared" si="2"/>
        <v>n/a</v>
      </c>
      <c r="K19" s="250" t="e">
        <f t="shared" si="3"/>
        <v>#DIV/0!</v>
      </c>
      <c r="L19" s="361" t="str">
        <f t="shared" si="0"/>
        <v>n/a</v>
      </c>
      <c r="M19" s="4"/>
      <c r="P19" s="179">
        <f t="shared" si="1"/>
        <v>0</v>
      </c>
    </row>
    <row r="20" spans="2:16" ht="15" hidden="1" customHeight="1" x14ac:dyDescent="0.2">
      <c r="B20" s="126">
        <v>14</v>
      </c>
      <c r="C20" s="127" t="str">
        <f>'Program Descriptions'!C18</f>
        <v>Empty</v>
      </c>
      <c r="D20" s="453">
        <f>'Evaluated Savings'!E19</f>
        <v>0</v>
      </c>
      <c r="E20" s="119"/>
      <c r="F20" s="364"/>
      <c r="G20" s="365"/>
      <c r="H20" s="454"/>
      <c r="I20" s="596">
        <f t="shared" si="4"/>
        <v>0</v>
      </c>
      <c r="J20" s="249" t="str">
        <f t="shared" si="2"/>
        <v>n/a</v>
      </c>
      <c r="K20" s="250" t="e">
        <f t="shared" si="3"/>
        <v>#DIV/0!</v>
      </c>
      <c r="L20" s="361" t="str">
        <f t="shared" si="0"/>
        <v>n/a</v>
      </c>
      <c r="M20" s="4"/>
      <c r="P20" s="179">
        <f t="shared" si="1"/>
        <v>0</v>
      </c>
    </row>
    <row r="21" spans="2:16" ht="15" hidden="1" customHeight="1" x14ac:dyDescent="0.2">
      <c r="B21" s="126">
        <v>15</v>
      </c>
      <c r="C21" s="127" t="str">
        <f>'Program Descriptions'!C19</f>
        <v>Empty</v>
      </c>
      <c r="D21" s="453">
        <f>'Evaluated Savings'!E20</f>
        <v>0</v>
      </c>
      <c r="E21" s="119"/>
      <c r="F21" s="364"/>
      <c r="G21" s="365"/>
      <c r="H21" s="454"/>
      <c r="I21" s="596">
        <f t="shared" ref="I21:I26" si="5">H21-G21</f>
        <v>0</v>
      </c>
      <c r="J21" s="249" t="str">
        <f t="shared" si="2"/>
        <v>n/a</v>
      </c>
      <c r="K21" s="250" t="e">
        <f t="shared" si="3"/>
        <v>#DIV/0!</v>
      </c>
      <c r="L21" s="361" t="str">
        <f t="shared" si="0"/>
        <v>n/a</v>
      </c>
      <c r="M21" s="4"/>
      <c r="P21" s="179">
        <f t="shared" si="1"/>
        <v>0</v>
      </c>
    </row>
    <row r="22" spans="2:16" ht="15" hidden="1" customHeight="1" x14ac:dyDescent="0.2">
      <c r="B22" s="126">
        <v>16</v>
      </c>
      <c r="C22" s="127" t="str">
        <f>'Program Descriptions'!C20</f>
        <v>Empty</v>
      </c>
      <c r="D22" s="453">
        <f>'Evaluated Savings'!E21</f>
        <v>0</v>
      </c>
      <c r="E22" s="119"/>
      <c r="F22" s="364"/>
      <c r="G22" s="365"/>
      <c r="H22" s="454"/>
      <c r="I22" s="596">
        <f t="shared" si="5"/>
        <v>0</v>
      </c>
      <c r="J22" s="249" t="str">
        <f t="shared" si="2"/>
        <v>n/a</v>
      </c>
      <c r="K22" s="250" t="e">
        <f t="shared" si="3"/>
        <v>#DIV/0!</v>
      </c>
      <c r="L22" s="361" t="str">
        <f t="shared" si="0"/>
        <v>n/a</v>
      </c>
      <c r="M22" s="4"/>
      <c r="P22" s="179">
        <f t="shared" si="1"/>
        <v>0</v>
      </c>
    </row>
    <row r="23" spans="2:16" ht="15" hidden="1" customHeight="1" x14ac:dyDescent="0.2">
      <c r="B23" s="126">
        <v>17</v>
      </c>
      <c r="C23" s="127" t="str">
        <f>'Program Descriptions'!C21</f>
        <v>Empty</v>
      </c>
      <c r="D23" s="453">
        <f>'Evaluated Savings'!E22</f>
        <v>0</v>
      </c>
      <c r="E23" s="119"/>
      <c r="F23" s="364"/>
      <c r="G23" s="366"/>
      <c r="H23" s="455"/>
      <c r="I23" s="596">
        <f t="shared" si="5"/>
        <v>0</v>
      </c>
      <c r="J23" s="249" t="str">
        <f t="shared" si="2"/>
        <v>n/a</v>
      </c>
      <c r="K23" s="250" t="e">
        <f t="shared" si="3"/>
        <v>#DIV/0!</v>
      </c>
      <c r="L23" s="361" t="str">
        <f t="shared" si="0"/>
        <v>n/a</v>
      </c>
      <c r="M23" s="4"/>
      <c r="P23" s="179">
        <f t="shared" si="1"/>
        <v>0</v>
      </c>
    </row>
    <row r="24" spans="2:16" ht="15" hidden="1" customHeight="1" x14ac:dyDescent="0.2">
      <c r="B24" s="126">
        <v>18</v>
      </c>
      <c r="C24" s="127" t="str">
        <f>'Program Descriptions'!C22</f>
        <v>Empty</v>
      </c>
      <c r="D24" s="453">
        <f>'Evaluated Savings'!E23</f>
        <v>0</v>
      </c>
      <c r="E24" s="119"/>
      <c r="F24" s="364"/>
      <c r="G24" s="366"/>
      <c r="H24" s="455"/>
      <c r="I24" s="596">
        <f t="shared" si="5"/>
        <v>0</v>
      </c>
      <c r="J24" s="249" t="str">
        <f t="shared" si="2"/>
        <v>n/a</v>
      </c>
      <c r="K24" s="250" t="e">
        <f t="shared" si="3"/>
        <v>#DIV/0!</v>
      </c>
      <c r="L24" s="361" t="str">
        <f t="shared" si="0"/>
        <v>n/a</v>
      </c>
      <c r="M24" s="4"/>
      <c r="P24" s="179">
        <f t="shared" si="1"/>
        <v>0</v>
      </c>
    </row>
    <row r="25" spans="2:16" ht="15" hidden="1" customHeight="1" x14ac:dyDescent="0.2">
      <c r="B25" s="126">
        <v>19</v>
      </c>
      <c r="C25" s="127" t="str">
        <f>'Program Descriptions'!C23</f>
        <v>Empty</v>
      </c>
      <c r="D25" s="453">
        <f>'Evaluated Savings'!E24</f>
        <v>0</v>
      </c>
      <c r="E25" s="119"/>
      <c r="F25" s="364"/>
      <c r="G25" s="366"/>
      <c r="H25" s="455"/>
      <c r="I25" s="596">
        <f t="shared" si="5"/>
        <v>0</v>
      </c>
      <c r="J25" s="249" t="str">
        <f t="shared" si="2"/>
        <v>n/a</v>
      </c>
      <c r="K25" s="250" t="e">
        <f t="shared" si="3"/>
        <v>#DIV/0!</v>
      </c>
      <c r="L25" s="361" t="str">
        <f t="shared" si="0"/>
        <v>n/a</v>
      </c>
      <c r="M25" s="4"/>
      <c r="P25" s="179">
        <f t="shared" si="1"/>
        <v>0</v>
      </c>
    </row>
    <row r="26" spans="2:16" ht="15" hidden="1" customHeight="1" thickBot="1" x14ac:dyDescent="0.25">
      <c r="B26" s="126">
        <v>20</v>
      </c>
      <c r="C26" s="127" t="str">
        <f>'Program Descriptions'!C24</f>
        <v>Empty</v>
      </c>
      <c r="D26" s="367">
        <f>'Evaluated Savings'!E25</f>
        <v>0</v>
      </c>
      <c r="E26" s="368"/>
      <c r="F26" s="369"/>
      <c r="G26" s="370"/>
      <c r="H26" s="371"/>
      <c r="I26" s="597">
        <f t="shared" si="5"/>
        <v>0</v>
      </c>
      <c r="J26" s="456" t="str">
        <f t="shared" si="2"/>
        <v>n/a</v>
      </c>
      <c r="K26" s="250" t="e">
        <f t="shared" si="3"/>
        <v>#DIV/0!</v>
      </c>
      <c r="L26" s="598" t="str">
        <f t="shared" si="0"/>
        <v>n/a</v>
      </c>
      <c r="M26" s="4"/>
      <c r="P26" s="179">
        <f t="shared" si="1"/>
        <v>0</v>
      </c>
    </row>
    <row r="27" spans="2:16" ht="15" customHeight="1" thickBot="1" x14ac:dyDescent="0.3">
      <c r="B27" s="3"/>
      <c r="C27" s="130" t="s">
        <v>431</v>
      </c>
      <c r="D27" s="285">
        <f>SUM(D7:D26)</f>
        <v>255840153.98199406</v>
      </c>
      <c r="E27" s="286"/>
      <c r="F27" s="285">
        <f>SUM(F7:F26)</f>
        <v>2942809.1006337907</v>
      </c>
      <c r="G27" s="283">
        <f>SUM(G7:G26)</f>
        <v>56166.668564967564</v>
      </c>
      <c r="H27" s="283">
        <f>SUM(H7:H26)</f>
        <v>114405.01769916086</v>
      </c>
      <c r="I27" s="283">
        <f>H27-(G27+G28)</f>
        <v>58215.329444193296</v>
      </c>
      <c r="J27" s="251">
        <f>H27/(G27+G28)</f>
        <v>2.0360500521026945</v>
      </c>
      <c r="K27" s="355">
        <f t="shared" si="3"/>
        <v>11.502530212051484</v>
      </c>
      <c r="L27" s="287">
        <f t="shared" si="0"/>
        <v>2.7674329007433468E-2</v>
      </c>
      <c r="M27" s="4"/>
      <c r="P27" s="2">
        <f>SUM(P7:P26)</f>
        <v>0</v>
      </c>
    </row>
    <row r="28" spans="2:16" ht="15" customHeight="1" x14ac:dyDescent="0.2">
      <c r="B28" s="5"/>
      <c r="C28" s="356" t="str">
        <f>'Actual Expenses'!I87&amp;" Cost:"</f>
        <v>Regulatory Cost:</v>
      </c>
      <c r="D28" s="353"/>
      <c r="E28" s="353"/>
      <c r="F28" s="353"/>
      <c r="G28" s="357">
        <f>'Actual Expenses'!I91/1000</f>
        <v>23.019689999999997</v>
      </c>
      <c r="H28" s="353"/>
      <c r="I28" s="353"/>
      <c r="J28" s="353"/>
      <c r="K28" s="353"/>
      <c r="L28" s="353"/>
      <c r="M28" s="6"/>
    </row>
    <row r="29" spans="2:16" ht="15" customHeight="1" x14ac:dyDescent="0.2"/>
    <row r="30" spans="2:16" ht="15" customHeight="1" x14ac:dyDescent="0.2"/>
    <row r="31" spans="2:16" ht="15" customHeight="1" x14ac:dyDescent="0.2">
      <c r="C31" s="118"/>
    </row>
    <row r="32" spans="2:16"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sheetData>
  <sheetProtection formatColumns="0"/>
  <mergeCells count="3">
    <mergeCell ref="D4:F4"/>
    <mergeCell ref="K5:K6"/>
    <mergeCell ref="G4:L4"/>
  </mergeCells>
  <conditionalFormatting sqref="D7:L26">
    <cfRule type="expression" dxfId="14" priority="1">
      <formula>$B7&gt;Programs</formula>
    </cfRule>
  </conditionalFormatting>
  <pageMargins left="0.25" right="0.25" top="0.25" bottom="0.25" header="0.3" footer="0.3"/>
  <pageSetup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N48"/>
  <sheetViews>
    <sheetView showGridLines="0" showRowColHeaders="0" zoomScaleNormal="100" workbookViewId="0">
      <pane ySplit="3" topLeftCell="A4" activePane="bottomLeft" state="frozen"/>
      <selection pane="bottomLeft" activeCell="O34" sqref="O34"/>
    </sheetView>
  </sheetViews>
  <sheetFormatPr defaultColWidth="9.42578125" defaultRowHeight="12.75" x14ac:dyDescent="0.2"/>
  <cols>
    <col min="1" max="1" width="1" style="2" customWidth="1"/>
    <col min="2" max="2" width="4" style="2" customWidth="1"/>
    <col min="3" max="3" width="30.42578125" style="2" bestFit="1" customWidth="1"/>
    <col min="4" max="8" width="13.5703125" style="2" customWidth="1"/>
    <col min="9" max="9" width="12" style="2" customWidth="1"/>
    <col min="10" max="10" width="17.42578125" style="2" customWidth="1"/>
    <col min="11" max="11" width="41.42578125" style="2" customWidth="1"/>
    <col min="12" max="12" width="1" style="2" customWidth="1"/>
    <col min="13" max="16384" width="9.42578125" style="2"/>
  </cols>
  <sheetData>
    <row r="1" spans="2:14" ht="5.0999999999999996" customHeight="1" thickBot="1" x14ac:dyDescent="0.25"/>
    <row r="2" spans="2:14" ht="38.25" customHeight="1" thickBot="1" x14ac:dyDescent="0.25">
      <c r="B2" s="679" t="s">
        <v>432</v>
      </c>
      <c r="C2" s="680"/>
      <c r="D2" s="680"/>
      <c r="E2" s="680"/>
      <c r="F2" s="680"/>
      <c r="G2" s="680"/>
      <c r="H2" s="680"/>
      <c r="I2" s="680"/>
      <c r="J2" s="680"/>
      <c r="K2" s="680"/>
      <c r="L2" s="681"/>
    </row>
    <row r="3" spans="2:14" ht="41.25" customHeight="1" x14ac:dyDescent="0.2">
      <c r="B3" s="3"/>
      <c r="L3" s="4"/>
    </row>
    <row r="4" spans="2:14" ht="15.75" x14ac:dyDescent="0.25">
      <c r="B4" s="16"/>
      <c r="C4" s="194" t="str">
        <f>IF(N6&gt;0,"Incomplete - The utility discount rate must be completed.","")</f>
        <v/>
      </c>
      <c r="D4" s="8"/>
      <c r="E4" s="8"/>
      <c r="F4" s="8"/>
      <c r="G4" s="8"/>
      <c r="H4" s="8"/>
      <c r="I4" s="8"/>
      <c r="J4" s="8"/>
      <c r="L4" s="4"/>
    </row>
    <row r="5" spans="2:14" x14ac:dyDescent="0.2">
      <c r="B5" s="7"/>
      <c r="C5" s="457" t="s">
        <v>433</v>
      </c>
      <c r="D5" s="688" t="s">
        <v>6</v>
      </c>
      <c r="E5" s="688"/>
      <c r="F5" s="688"/>
      <c r="G5" s="688"/>
      <c r="H5" s="688"/>
      <c r="I5" s="689" t="s">
        <v>434</v>
      </c>
      <c r="J5" s="689"/>
      <c r="K5" s="689"/>
      <c r="L5" s="4"/>
    </row>
    <row r="6" spans="2:14" x14ac:dyDescent="0.2">
      <c r="B6" s="126">
        <v>1</v>
      </c>
      <c r="C6" s="599" t="s">
        <v>435</v>
      </c>
      <c r="D6" s="690">
        <v>6.4899999999999999E-2</v>
      </c>
      <c r="E6" s="691"/>
      <c r="F6" s="691"/>
      <c r="G6" s="691"/>
      <c r="H6" s="692"/>
      <c r="I6" s="685" t="s">
        <v>436</v>
      </c>
      <c r="J6" s="686"/>
      <c r="K6" s="687"/>
      <c r="L6" s="4"/>
      <c r="N6" s="179">
        <f>IF(ISBLANK(Discount_Rate),1,0)</f>
        <v>0</v>
      </c>
    </row>
    <row r="7" spans="2:14" ht="12.75" customHeight="1" x14ac:dyDescent="0.2">
      <c r="B7" s="126">
        <f>B6+1</f>
        <v>2</v>
      </c>
      <c r="C7" s="195" t="s">
        <v>437</v>
      </c>
      <c r="D7" s="690">
        <v>0.02</v>
      </c>
      <c r="E7" s="691"/>
      <c r="F7" s="691"/>
      <c r="G7" s="691"/>
      <c r="H7" s="692"/>
      <c r="I7" s="685" t="s">
        <v>438</v>
      </c>
      <c r="J7" s="686"/>
      <c r="K7" s="687"/>
      <c r="L7" s="4"/>
    </row>
    <row r="8" spans="2:14" ht="14.1" customHeight="1" x14ac:dyDescent="0.2">
      <c r="B8" s="126">
        <f>B7+1</f>
        <v>3</v>
      </c>
      <c r="C8" s="196" t="s">
        <v>439</v>
      </c>
      <c r="D8" s="682">
        <v>4.401960784313725E-2</v>
      </c>
      <c r="E8" s="683"/>
      <c r="F8" s="683"/>
      <c r="G8" s="683"/>
      <c r="H8" s="684"/>
      <c r="I8" s="685" t="s">
        <v>440</v>
      </c>
      <c r="J8" s="686"/>
      <c r="K8" s="687"/>
      <c r="L8" s="4"/>
    </row>
    <row r="9" spans="2:14" x14ac:dyDescent="0.2">
      <c r="B9" s="3"/>
      <c r="C9" s="127"/>
      <c r="L9" s="4"/>
    </row>
    <row r="10" spans="2:14" ht="15.75" x14ac:dyDescent="0.25">
      <c r="B10" s="200" t="s">
        <v>441</v>
      </c>
      <c r="C10" s="127"/>
      <c r="L10" s="4"/>
    </row>
    <row r="11" spans="2:14" x14ac:dyDescent="0.2">
      <c r="B11" s="3"/>
      <c r="C11" s="457" t="s">
        <v>442</v>
      </c>
      <c r="D11" s="458" t="s">
        <v>443</v>
      </c>
      <c r="E11" s="458" t="s">
        <v>444</v>
      </c>
      <c r="F11" s="458" t="s">
        <v>445</v>
      </c>
      <c r="G11" s="458" t="s">
        <v>446</v>
      </c>
      <c r="H11" s="458" t="s">
        <v>447</v>
      </c>
      <c r="I11" s="689" t="s">
        <v>434</v>
      </c>
      <c r="J11" s="689"/>
      <c r="K11" s="689"/>
      <c r="L11" s="4"/>
    </row>
    <row r="12" spans="2:14" x14ac:dyDescent="0.2">
      <c r="B12" s="126">
        <f>B8+1</f>
        <v>4</v>
      </c>
      <c r="C12" s="599" t="s">
        <v>448</v>
      </c>
      <c r="D12" s="197" t="s">
        <v>449</v>
      </c>
      <c r="E12" s="197"/>
      <c r="F12" s="197"/>
      <c r="G12" s="197"/>
      <c r="H12" s="197"/>
      <c r="I12" s="685" t="s">
        <v>450</v>
      </c>
      <c r="J12" s="686"/>
      <c r="K12" s="687"/>
      <c r="L12" s="4"/>
    </row>
    <row r="13" spans="2:14" x14ac:dyDescent="0.2">
      <c r="B13" s="126">
        <f>B12+1</f>
        <v>5</v>
      </c>
      <c r="C13" s="195" t="s">
        <v>451</v>
      </c>
      <c r="D13" s="459"/>
      <c r="E13" s="459"/>
      <c r="F13" s="459"/>
      <c r="G13" s="459"/>
      <c r="H13" s="459"/>
      <c r="I13" s="685" t="s">
        <v>452</v>
      </c>
      <c r="J13" s="686"/>
      <c r="K13" s="687"/>
      <c r="L13" s="4"/>
    </row>
    <row r="14" spans="2:14" ht="12.75" customHeight="1" x14ac:dyDescent="0.2">
      <c r="B14" s="126">
        <f t="shared" ref="B14:B21" si="0">B13+1</f>
        <v>6</v>
      </c>
      <c r="C14" s="195" t="s">
        <v>453</v>
      </c>
      <c r="D14" s="600"/>
      <c r="E14" s="600"/>
      <c r="F14" s="600"/>
      <c r="G14" s="600"/>
      <c r="H14" s="600"/>
      <c r="I14" s="685" t="s">
        <v>452</v>
      </c>
      <c r="J14" s="686"/>
      <c r="K14" s="687"/>
      <c r="L14" s="4"/>
    </row>
    <row r="15" spans="2:14" x14ac:dyDescent="0.2">
      <c r="B15" s="126">
        <f t="shared" si="0"/>
        <v>7</v>
      </c>
      <c r="C15" s="195" t="s">
        <v>454</v>
      </c>
      <c r="D15" s="693"/>
      <c r="E15" s="694"/>
      <c r="F15" s="694"/>
      <c r="G15" s="694"/>
      <c r="H15" s="695"/>
      <c r="I15" s="685" t="s">
        <v>455</v>
      </c>
      <c r="J15" s="686"/>
      <c r="K15" s="687"/>
      <c r="L15" s="4"/>
    </row>
    <row r="16" spans="2:14" ht="12.75" customHeight="1" x14ac:dyDescent="0.2">
      <c r="B16" s="126">
        <f t="shared" si="0"/>
        <v>8</v>
      </c>
      <c r="C16" s="195" t="s">
        <v>456</v>
      </c>
      <c r="D16" s="693"/>
      <c r="E16" s="694"/>
      <c r="F16" s="694"/>
      <c r="G16" s="694"/>
      <c r="H16" s="695"/>
      <c r="I16" s="685" t="s">
        <v>455</v>
      </c>
      <c r="J16" s="686"/>
      <c r="K16" s="687"/>
      <c r="L16" s="4"/>
    </row>
    <row r="17" spans="2:12" ht="12.75" customHeight="1" x14ac:dyDescent="0.2">
      <c r="B17" s="126">
        <f t="shared" si="0"/>
        <v>9</v>
      </c>
      <c r="C17" s="195" t="s">
        <v>457</v>
      </c>
      <c r="D17" s="693"/>
      <c r="E17" s="694"/>
      <c r="F17" s="694"/>
      <c r="G17" s="694"/>
      <c r="H17" s="695"/>
      <c r="I17" s="685" t="s">
        <v>455</v>
      </c>
      <c r="J17" s="686"/>
      <c r="K17" s="687"/>
      <c r="L17" s="4"/>
    </row>
    <row r="18" spans="2:12" ht="12.75" customHeight="1" x14ac:dyDescent="0.2">
      <c r="B18" s="126">
        <f t="shared" si="0"/>
        <v>10</v>
      </c>
      <c r="C18" s="234" t="s">
        <v>458</v>
      </c>
      <c r="D18" s="459"/>
      <c r="E18" s="600"/>
      <c r="F18" s="600"/>
      <c r="G18" s="600"/>
      <c r="H18" s="600"/>
      <c r="I18" s="685" t="s">
        <v>459</v>
      </c>
      <c r="J18" s="686"/>
      <c r="K18" s="687"/>
      <c r="L18" s="4"/>
    </row>
    <row r="19" spans="2:12" ht="14.1" customHeight="1" x14ac:dyDescent="0.2">
      <c r="B19" s="126">
        <f t="shared" si="0"/>
        <v>11</v>
      </c>
      <c r="C19" s="234" t="s">
        <v>460</v>
      </c>
      <c r="D19" s="459"/>
      <c r="E19" s="600"/>
      <c r="F19" s="600"/>
      <c r="G19" s="600"/>
      <c r="H19" s="600"/>
      <c r="I19" s="685" t="s">
        <v>459</v>
      </c>
      <c r="J19" s="686"/>
      <c r="K19" s="687"/>
      <c r="L19" s="4"/>
    </row>
    <row r="20" spans="2:12" ht="14.1" customHeight="1" x14ac:dyDescent="0.2">
      <c r="B20" s="126">
        <f t="shared" si="0"/>
        <v>12</v>
      </c>
      <c r="C20" s="234" t="s">
        <v>461</v>
      </c>
      <c r="D20" s="459"/>
      <c r="E20" s="600"/>
      <c r="F20" s="600"/>
      <c r="G20" s="600"/>
      <c r="H20" s="600"/>
      <c r="I20" s="685" t="s">
        <v>459</v>
      </c>
      <c r="J20" s="686"/>
      <c r="K20" s="687"/>
      <c r="L20" s="4"/>
    </row>
    <row r="21" spans="2:12" x14ac:dyDescent="0.2">
      <c r="B21" s="126">
        <f t="shared" si="0"/>
        <v>13</v>
      </c>
      <c r="C21" s="235" t="s">
        <v>462</v>
      </c>
      <c r="D21" s="459"/>
      <c r="E21" s="600"/>
      <c r="F21" s="600"/>
      <c r="G21" s="600"/>
      <c r="H21" s="600"/>
      <c r="I21" s="685"/>
      <c r="J21" s="686"/>
      <c r="K21" s="687"/>
      <c r="L21" s="4"/>
    </row>
    <row r="22" spans="2:12" x14ac:dyDescent="0.2">
      <c r="B22" s="3"/>
      <c r="C22" s="457" t="s">
        <v>463</v>
      </c>
      <c r="D22" s="628" t="s">
        <v>443</v>
      </c>
      <c r="E22" s="628" t="s">
        <v>444</v>
      </c>
      <c r="F22" s="628" t="s">
        <v>445</v>
      </c>
      <c r="G22" s="628" t="s">
        <v>446</v>
      </c>
      <c r="H22" s="628" t="s">
        <v>447</v>
      </c>
      <c r="I22" s="689" t="s">
        <v>434</v>
      </c>
      <c r="J22" s="689"/>
      <c r="K22" s="689"/>
      <c r="L22" s="4"/>
    </row>
    <row r="23" spans="2:12" x14ac:dyDescent="0.2">
      <c r="B23" s="126">
        <f>B21+1</f>
        <v>14</v>
      </c>
      <c r="C23" s="599" t="s">
        <v>464</v>
      </c>
      <c r="D23" s="459"/>
      <c r="E23" s="600"/>
      <c r="F23" s="600"/>
      <c r="G23" s="600"/>
      <c r="H23" s="600"/>
      <c r="I23" s="685" t="s">
        <v>465</v>
      </c>
      <c r="J23" s="686"/>
      <c r="K23" s="687"/>
      <c r="L23" s="4"/>
    </row>
    <row r="24" spans="2:12" x14ac:dyDescent="0.2">
      <c r="B24" s="126">
        <f>B23+1</f>
        <v>15</v>
      </c>
      <c r="C24" s="195" t="s">
        <v>466</v>
      </c>
      <c r="D24" s="693"/>
      <c r="E24" s="694"/>
      <c r="F24" s="694"/>
      <c r="G24" s="694"/>
      <c r="H24" s="695"/>
      <c r="I24" s="685" t="s">
        <v>465</v>
      </c>
      <c r="J24" s="686"/>
      <c r="K24" s="687"/>
      <c r="L24" s="4"/>
    </row>
    <row r="25" spans="2:12" x14ac:dyDescent="0.2">
      <c r="B25" s="126">
        <f t="shared" ref="B25:B33" si="1">B24+1</f>
        <v>16</v>
      </c>
      <c r="C25" s="195" t="s">
        <v>467</v>
      </c>
      <c r="D25" s="693"/>
      <c r="E25" s="694"/>
      <c r="F25" s="694"/>
      <c r="G25" s="694"/>
      <c r="H25" s="695"/>
      <c r="I25" s="685" t="s">
        <v>468</v>
      </c>
      <c r="J25" s="686"/>
      <c r="K25" s="687"/>
      <c r="L25" s="4"/>
    </row>
    <row r="26" spans="2:12" x14ac:dyDescent="0.2">
      <c r="B26" s="126">
        <f t="shared" si="1"/>
        <v>17</v>
      </c>
      <c r="C26" s="195" t="s">
        <v>469</v>
      </c>
      <c r="D26" s="693"/>
      <c r="E26" s="694"/>
      <c r="F26" s="694"/>
      <c r="G26" s="694"/>
      <c r="H26" s="695"/>
      <c r="I26" s="685" t="s">
        <v>468</v>
      </c>
      <c r="J26" s="686"/>
      <c r="K26" s="687"/>
      <c r="L26" s="4"/>
    </row>
    <row r="27" spans="2:12" x14ac:dyDescent="0.2">
      <c r="B27" s="126">
        <f t="shared" si="1"/>
        <v>18</v>
      </c>
      <c r="C27" s="195" t="s">
        <v>470</v>
      </c>
      <c r="D27" s="693"/>
      <c r="E27" s="694"/>
      <c r="F27" s="694"/>
      <c r="G27" s="694"/>
      <c r="H27" s="695"/>
      <c r="I27" s="685" t="s">
        <v>468</v>
      </c>
      <c r="J27" s="686"/>
      <c r="K27" s="687"/>
      <c r="L27" s="4"/>
    </row>
    <row r="28" spans="2:12" x14ac:dyDescent="0.2">
      <c r="B28" s="126">
        <f t="shared" si="1"/>
        <v>19</v>
      </c>
      <c r="C28" s="195" t="s">
        <v>471</v>
      </c>
      <c r="D28" s="693"/>
      <c r="E28" s="694"/>
      <c r="F28" s="694"/>
      <c r="G28" s="694"/>
      <c r="H28" s="695"/>
      <c r="I28" s="685" t="s">
        <v>472</v>
      </c>
      <c r="J28" s="686"/>
      <c r="K28" s="687"/>
      <c r="L28" s="4"/>
    </row>
    <row r="29" spans="2:12" x14ac:dyDescent="0.2">
      <c r="B29" s="126">
        <f t="shared" si="1"/>
        <v>20</v>
      </c>
      <c r="C29" s="195" t="s">
        <v>473</v>
      </c>
      <c r="D29" s="693"/>
      <c r="E29" s="694"/>
      <c r="F29" s="694"/>
      <c r="G29" s="694"/>
      <c r="H29" s="695"/>
      <c r="I29" s="685" t="s">
        <v>472</v>
      </c>
      <c r="J29" s="686"/>
      <c r="K29" s="687"/>
      <c r="L29" s="4"/>
    </row>
    <row r="30" spans="2:12" x14ac:dyDescent="0.2">
      <c r="B30" s="126">
        <f t="shared" si="1"/>
        <v>21</v>
      </c>
      <c r="C30" s="195" t="s">
        <v>474</v>
      </c>
      <c r="D30" s="693"/>
      <c r="E30" s="694"/>
      <c r="F30" s="694"/>
      <c r="G30" s="694"/>
      <c r="H30" s="695"/>
      <c r="I30" s="685" t="s">
        <v>472</v>
      </c>
      <c r="J30" s="686"/>
      <c r="K30" s="687"/>
      <c r="L30" s="4"/>
    </row>
    <row r="31" spans="2:12" x14ac:dyDescent="0.2">
      <c r="B31" s="126">
        <f t="shared" si="1"/>
        <v>22</v>
      </c>
      <c r="C31" s="195" t="s">
        <v>475</v>
      </c>
      <c r="D31" s="693"/>
      <c r="E31" s="694"/>
      <c r="F31" s="694"/>
      <c r="G31" s="694"/>
      <c r="H31" s="695"/>
      <c r="I31" s="627"/>
      <c r="J31" s="624"/>
      <c r="K31" s="625"/>
      <c r="L31" s="4"/>
    </row>
    <row r="32" spans="2:12" x14ac:dyDescent="0.2">
      <c r="B32" s="126">
        <f t="shared" si="1"/>
        <v>23</v>
      </c>
      <c r="C32" s="195" t="s">
        <v>476</v>
      </c>
      <c r="D32" s="459"/>
      <c r="E32" s="600"/>
      <c r="F32" s="600"/>
      <c r="G32" s="600"/>
      <c r="H32" s="600"/>
      <c r="I32" s="685" t="s">
        <v>477</v>
      </c>
      <c r="J32" s="686"/>
      <c r="K32" s="687"/>
      <c r="L32" s="4"/>
    </row>
    <row r="33" spans="2:12" x14ac:dyDescent="0.2">
      <c r="B33" s="126">
        <f t="shared" si="1"/>
        <v>24</v>
      </c>
      <c r="C33" s="196" t="s">
        <v>478</v>
      </c>
      <c r="D33" s="459"/>
      <c r="E33" s="600"/>
      <c r="F33" s="600"/>
      <c r="G33" s="600"/>
      <c r="H33" s="600"/>
      <c r="I33" s="685" t="s">
        <v>477</v>
      </c>
      <c r="J33" s="686"/>
      <c r="K33" s="687"/>
      <c r="L33" s="4"/>
    </row>
    <row r="34" spans="2:12" x14ac:dyDescent="0.2">
      <c r="B34" s="3"/>
      <c r="C34" s="457" t="s">
        <v>479</v>
      </c>
      <c r="D34" s="628" t="s">
        <v>443</v>
      </c>
      <c r="E34" s="628" t="s">
        <v>444</v>
      </c>
      <c r="F34" s="628" t="s">
        <v>445</v>
      </c>
      <c r="G34" s="628" t="s">
        <v>446</v>
      </c>
      <c r="H34" s="628" t="s">
        <v>447</v>
      </c>
      <c r="I34" s="689" t="s">
        <v>434</v>
      </c>
      <c r="J34" s="689"/>
      <c r="K34" s="689"/>
      <c r="L34" s="4"/>
    </row>
    <row r="35" spans="2:12" x14ac:dyDescent="0.2">
      <c r="B35" s="126">
        <f>B33+1</f>
        <v>25</v>
      </c>
      <c r="C35" s="599" t="s">
        <v>480</v>
      </c>
      <c r="D35" s="693" t="s">
        <v>121</v>
      </c>
      <c r="E35" s="694"/>
      <c r="F35" s="694"/>
      <c r="G35" s="694"/>
      <c r="H35" s="695"/>
      <c r="I35" s="685" t="s">
        <v>121</v>
      </c>
      <c r="J35" s="686"/>
      <c r="K35" s="687"/>
      <c r="L35" s="4"/>
    </row>
    <row r="36" spans="2:12" x14ac:dyDescent="0.2">
      <c r="B36" s="126">
        <f t="shared" ref="B36:B41" si="2">B35+1</f>
        <v>26</v>
      </c>
      <c r="C36" s="195" t="s">
        <v>481</v>
      </c>
      <c r="D36" s="693" t="s">
        <v>482</v>
      </c>
      <c r="E36" s="694"/>
      <c r="F36" s="694"/>
      <c r="G36" s="694"/>
      <c r="H36" s="695"/>
      <c r="I36" s="685" t="s">
        <v>450</v>
      </c>
      <c r="J36" s="686"/>
      <c r="K36" s="687"/>
      <c r="L36" s="4"/>
    </row>
    <row r="37" spans="2:12" x14ac:dyDescent="0.2">
      <c r="B37" s="126">
        <f t="shared" si="2"/>
        <v>27</v>
      </c>
      <c r="C37" s="195" t="s">
        <v>483</v>
      </c>
      <c r="D37" s="693" t="s">
        <v>484</v>
      </c>
      <c r="E37" s="694"/>
      <c r="F37" s="694"/>
      <c r="G37" s="694"/>
      <c r="H37" s="695"/>
      <c r="I37" s="685" t="s">
        <v>485</v>
      </c>
      <c r="J37" s="686"/>
      <c r="K37" s="687"/>
      <c r="L37" s="4"/>
    </row>
    <row r="38" spans="2:12" ht="13.15" customHeight="1" x14ac:dyDescent="0.2">
      <c r="B38" s="126">
        <f t="shared" si="2"/>
        <v>28</v>
      </c>
      <c r="C38" s="195" t="s">
        <v>486</v>
      </c>
      <c r="D38" s="693" t="s">
        <v>487</v>
      </c>
      <c r="E38" s="694"/>
      <c r="F38" s="694"/>
      <c r="G38" s="694"/>
      <c r="H38" s="695"/>
      <c r="I38" s="685" t="s">
        <v>488</v>
      </c>
      <c r="J38" s="686"/>
      <c r="K38" s="687"/>
      <c r="L38" s="4"/>
    </row>
    <row r="39" spans="2:12" ht="13.15" customHeight="1" x14ac:dyDescent="0.2">
      <c r="B39" s="126">
        <f t="shared" si="2"/>
        <v>29</v>
      </c>
      <c r="C39" s="195" t="s">
        <v>489</v>
      </c>
      <c r="D39" s="696" t="s">
        <v>490</v>
      </c>
      <c r="E39" s="697"/>
      <c r="F39" s="697"/>
      <c r="G39" s="697"/>
      <c r="H39" s="698"/>
      <c r="I39" s="685" t="s">
        <v>488</v>
      </c>
      <c r="J39" s="686"/>
      <c r="K39" s="687"/>
      <c r="L39" s="4"/>
    </row>
    <row r="40" spans="2:12" ht="14.1" customHeight="1" x14ac:dyDescent="0.2">
      <c r="B40" s="126">
        <f t="shared" si="2"/>
        <v>30</v>
      </c>
      <c r="C40" s="255" t="s">
        <v>491</v>
      </c>
      <c r="D40" s="699" t="s">
        <v>492</v>
      </c>
      <c r="E40" s="699"/>
      <c r="F40" s="699"/>
      <c r="G40" s="699"/>
      <c r="H40" s="699"/>
      <c r="I40" s="686" t="s">
        <v>493</v>
      </c>
      <c r="J40" s="686"/>
      <c r="K40" s="687"/>
      <c r="L40" s="4"/>
    </row>
    <row r="41" spans="2:12" ht="12.75" customHeight="1" x14ac:dyDescent="0.2">
      <c r="B41" s="126">
        <f t="shared" si="2"/>
        <v>31</v>
      </c>
      <c r="C41" s="196" t="s">
        <v>494</v>
      </c>
      <c r="D41" s="693" t="s">
        <v>495</v>
      </c>
      <c r="E41" s="694"/>
      <c r="F41" s="694"/>
      <c r="G41" s="694"/>
      <c r="H41" s="695"/>
      <c r="I41" s="686" t="s">
        <v>493</v>
      </c>
      <c r="J41" s="686"/>
      <c r="K41" s="687"/>
      <c r="L41" s="4"/>
    </row>
    <row r="42" spans="2:12" x14ac:dyDescent="0.2">
      <c r="B42" s="5"/>
      <c r="C42" s="353"/>
      <c r="D42" s="353"/>
      <c r="E42" s="353"/>
      <c r="F42" s="353"/>
      <c r="G42" s="353"/>
      <c r="H42" s="353"/>
      <c r="I42" s="353"/>
      <c r="J42" s="353"/>
      <c r="K42" s="353"/>
      <c r="L42" s="6"/>
    </row>
    <row r="43" spans="2:12" ht="15.75" x14ac:dyDescent="0.25">
      <c r="C43" s="139" t="s">
        <v>496</v>
      </c>
    </row>
    <row r="44" spans="2:12" x14ac:dyDescent="0.2">
      <c r="C44" s="134">
        <v>1</v>
      </c>
      <c r="D44" s="2" t="s">
        <v>497</v>
      </c>
    </row>
    <row r="45" spans="2:12" x14ac:dyDescent="0.2">
      <c r="C45" s="134">
        <v>2</v>
      </c>
      <c r="D45" s="2" t="s">
        <v>498</v>
      </c>
    </row>
    <row r="46" spans="2:12" x14ac:dyDescent="0.2">
      <c r="C46" s="134">
        <v>3</v>
      </c>
      <c r="D46" s="2" t="s">
        <v>499</v>
      </c>
    </row>
    <row r="48" spans="2:12" x14ac:dyDescent="0.2">
      <c r="C48"/>
    </row>
  </sheetData>
  <mergeCells count="57">
    <mergeCell ref="I40:K40"/>
    <mergeCell ref="I41:K41"/>
    <mergeCell ref="D35:H35"/>
    <mergeCell ref="D36:H36"/>
    <mergeCell ref="D37:H37"/>
    <mergeCell ref="D38:H38"/>
    <mergeCell ref="D39:H39"/>
    <mergeCell ref="D40:H40"/>
    <mergeCell ref="D41:H41"/>
    <mergeCell ref="I35:K35"/>
    <mergeCell ref="I36:K36"/>
    <mergeCell ref="I37:K37"/>
    <mergeCell ref="I38:K38"/>
    <mergeCell ref="I39:K39"/>
    <mergeCell ref="D30:H30"/>
    <mergeCell ref="I22:K22"/>
    <mergeCell ref="I34:K34"/>
    <mergeCell ref="I23:K23"/>
    <mergeCell ref="I24:K24"/>
    <mergeCell ref="I25:K25"/>
    <mergeCell ref="I26:K26"/>
    <mergeCell ref="I27:K27"/>
    <mergeCell ref="I28:K28"/>
    <mergeCell ref="I29:K29"/>
    <mergeCell ref="I30:K30"/>
    <mergeCell ref="I32:K32"/>
    <mergeCell ref="I33:K33"/>
    <mergeCell ref="D31:H31"/>
    <mergeCell ref="D25:H25"/>
    <mergeCell ref="D26:H26"/>
    <mergeCell ref="D27:H27"/>
    <mergeCell ref="D28:H28"/>
    <mergeCell ref="D29:H29"/>
    <mergeCell ref="I18:K18"/>
    <mergeCell ref="I19:K19"/>
    <mergeCell ref="I20:K20"/>
    <mergeCell ref="I21:K21"/>
    <mergeCell ref="D24:H24"/>
    <mergeCell ref="D15:H15"/>
    <mergeCell ref="D16:H16"/>
    <mergeCell ref="D17:H17"/>
    <mergeCell ref="I11:K11"/>
    <mergeCell ref="I12:K12"/>
    <mergeCell ref="I13:K13"/>
    <mergeCell ref="I14:K14"/>
    <mergeCell ref="I15:K15"/>
    <mergeCell ref="I16:K16"/>
    <mergeCell ref="I17:K17"/>
    <mergeCell ref="B2:L2"/>
    <mergeCell ref="D8:H8"/>
    <mergeCell ref="I6:K6"/>
    <mergeCell ref="I7:K7"/>
    <mergeCell ref="I8:K8"/>
    <mergeCell ref="D5:H5"/>
    <mergeCell ref="I5:K5"/>
    <mergeCell ref="D6:H6"/>
    <mergeCell ref="D7:H7"/>
  </mergeCells>
  <phoneticPr fontId="44" type="noConversion"/>
  <dataValidations count="27">
    <dataValidation allowBlank="1" showInputMessage="1" showErrorMessage="1" prompt="The value employed to discount future nominal (inflated) benefits and costs.   " sqref="D6:H6" xr:uid="{00000000-0002-0000-1100-000000000000}"/>
    <dataValidation allowBlank="1" showInputMessage="1" showErrorMessage="1" prompt="The value employed to discount future real (deflated) benefits and costs [=(1+Nominal DR)/(1+Inflation Rate)-1].  " sqref="D8:H8" xr:uid="{00000000-0002-0000-1100-000001000000}"/>
    <dataValidation allowBlank="1" showInputMessage="1" showErrorMessage="1" prompt="First year avoided energy costs for gas utilities._x000a__x000a_First year marginal fuel cost embedded in the avoided energy cost for electric utilities." sqref="D12" xr:uid="{00000000-0002-0000-1100-000002000000}"/>
    <dataValidation allowBlank="1" showInputMessage="1" showErrorMessage="1" prompt="First year on-peak avoided energy cost." sqref="D13" xr:uid="{00000000-0002-0000-1100-000003000000}"/>
    <dataValidation allowBlank="1" showInputMessage="1" showErrorMessage="1" prompt="First year off-peak avoided energy cost." sqref="D14" xr:uid="{00000000-0002-0000-1100-000004000000}"/>
    <dataValidation allowBlank="1" showInputMessage="1" showErrorMessage="1" prompt="Cost of avoided carbon in first year." sqref="D15:H15" xr:uid="{00000000-0002-0000-1100-000005000000}"/>
    <dataValidation allowBlank="1" showInputMessage="1" showErrorMessage="1" prompt="Beginning year for period in which avoided cost of carbon &gt; 0." sqref="D16:H16" xr:uid="{00000000-0002-0000-1100-000006000000}"/>
    <dataValidation allowBlank="1" showInputMessage="1" showErrorMessage="1" prompt="Ending year for avoided cost of carbon." sqref="D17:H17" xr:uid="{00000000-0002-0000-1100-000007000000}"/>
    <dataValidation allowBlank="1" showInputMessage="1" showErrorMessage="1" prompt="By customer class, primary/secondary service, energy/demand, ect." sqref="D18:D21" xr:uid="{00000000-0002-0000-1100-000008000000}"/>
    <dataValidation allowBlank="1" showInputMessage="1" showErrorMessage="1" prompt="Total installed cost of proxy unit. " sqref="D23" xr:uid="{00000000-0002-0000-1100-000009000000}"/>
    <dataValidation allowBlank="1" showInputMessage="1" showErrorMessage="1" prompt="In-service date of proxy unit." sqref="D24:H24" xr:uid="{00000000-0002-0000-1100-00000A000000}"/>
    <dataValidation allowBlank="1" showInputMessage="1" showErrorMessage="1" prompt="Real Economic Carrying Charge (RECC) of proxy unit. " sqref="D25:H25" xr:uid="{00000000-0002-0000-1100-00000B000000}"/>
    <dataValidation allowBlank="1" showInputMessage="1" showErrorMessage="1" prompt="Beginning year for period in which RECC &gt; 0." sqref="D26:H26" xr:uid="{00000000-0002-0000-1100-00000C000000}"/>
    <dataValidation allowBlank="1" showInputMessage="1" showErrorMessage="1" prompt="Ending year for RECC." sqref="D27:H27" xr:uid="{00000000-0002-0000-1100-00000D000000}"/>
    <dataValidation allowBlank="1" showInputMessage="1" showErrorMessage="1" prompt="Wholesale market price of capacity used to calculate avoided capacity cost. " sqref="D28:H28" xr:uid="{00000000-0002-0000-1100-00000E000000}"/>
    <dataValidation allowBlank="1" showInputMessage="1" showErrorMessage="1" prompt="Beginning year for period in which market price &gt; 0." sqref="D29:H29" xr:uid="{00000000-0002-0000-1100-00000F000000}"/>
    <dataValidation allowBlank="1" showInputMessage="1" showErrorMessage="1" prompt="Ending year for market price." sqref="D30:H30" xr:uid="{00000000-0002-0000-1100-000010000000}"/>
    <dataValidation allowBlank="1" showInputMessage="1" showErrorMessage="1" prompt="Capacity reserve margin" sqref="D31:H31" xr:uid="{00000000-0002-0000-1100-000011000000}"/>
    <dataValidation allowBlank="1" showInputMessage="1" showErrorMessage="1" prompt="Avoided cost of distribution capacity." sqref="D32" xr:uid="{00000000-0002-0000-1100-000012000000}"/>
    <dataValidation allowBlank="1" showInputMessage="1" showErrorMessage="1" prompt="Avoided cost of transmission cpacity." sqref="D33" xr:uid="{00000000-0002-0000-1100-000013000000}"/>
    <dataValidation allowBlank="1" showInputMessage="1" showErrorMessage="1" prompt="Other fuel (electric) avoided cost." sqref="D35:H35" xr:uid="{00000000-0002-0000-1100-000014000000}"/>
    <dataValidation allowBlank="1" showInputMessage="1" showErrorMessage="1" prompt="Other fuel (natural gas) avoided cost." sqref="D36:H36" xr:uid="{00000000-0002-0000-1100-000015000000}"/>
    <dataValidation allowBlank="1" showInputMessage="1" showErrorMessage="1" prompt="Other fuel (liquid propane) avoided cost." sqref="D37:H37" xr:uid="{DCAC3D18-2268-44C9-9F43-7A791303A9E7}"/>
    <dataValidation allowBlank="1" showInputMessage="1" showErrorMessage="1" prompt="Avoided water cost." sqref="D38:H38" xr:uid="{AACB1A7D-EA7E-454A-822D-4FD3BE2F8230}"/>
    <dataValidation allowBlank="1" showInputMessage="1" showErrorMessage="1" prompt="Avoided waste water (sewerage) cost." sqref="D39:H39" xr:uid="{AD7858EC-AEC4-4234-9673-96F691E04E18}"/>
    <dataValidation allowBlank="1" showInputMessage="1" showErrorMessage="1" prompt="Present value avoided  replacement cost. [Reference NEBs tab.]" sqref="D40:H40" xr:uid="{AA45EC70-0DCE-458D-9E61-B7AECEE943D4}"/>
    <dataValidation allowBlank="1" showInputMessage="1" showErrorMessage="1" prompt="Present value deferred replacement cost. [Reference NEBs tab.]" sqref="D41:H41" xr:uid="{546C2D57-73F9-4DAF-BA6D-D0B9E64E76A4}"/>
  </dataValidations>
  <pageMargins left="0.25" right="0.25" top="0.5" bottom="0.5" header="0.3" footer="0.3"/>
  <pageSetup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O41"/>
  <sheetViews>
    <sheetView showGridLines="0" zoomScaleNormal="100" workbookViewId="0">
      <pane ySplit="3" topLeftCell="A4" activePane="bottomLeft" state="frozen"/>
      <selection pane="bottomLeft" activeCell="S32" sqref="S32"/>
    </sheetView>
  </sheetViews>
  <sheetFormatPr defaultRowHeight="12.75" x14ac:dyDescent="0.2"/>
  <cols>
    <col min="1" max="1" width="1" customWidth="1"/>
    <col min="2" max="2" width="4.42578125" customWidth="1"/>
    <col min="3" max="3" width="36.42578125" bestFit="1" customWidth="1"/>
    <col min="4" max="6" width="10.5703125" customWidth="1"/>
    <col min="7" max="7" width="12.42578125" customWidth="1"/>
    <col min="8" max="11" width="10.5703125" customWidth="1"/>
    <col min="12" max="12" width="13.42578125" customWidth="1"/>
    <col min="14" max="14" width="12" bestFit="1" customWidth="1"/>
    <col min="15" max="15" width="1.5703125" customWidth="1"/>
  </cols>
  <sheetData>
    <row r="1" spans="1:15" ht="4.5" customHeight="1" thickBot="1" x14ac:dyDescent="0.25"/>
    <row r="2" spans="1:15" ht="38.25" customHeight="1" x14ac:dyDescent="0.2">
      <c r="B2" s="703" t="s">
        <v>479</v>
      </c>
      <c r="C2" s="703"/>
      <c r="D2" s="703"/>
      <c r="E2" s="703"/>
      <c r="F2" s="703"/>
      <c r="G2" s="703"/>
      <c r="H2" s="703"/>
      <c r="I2" s="703"/>
      <c r="J2" s="703"/>
      <c r="K2" s="703"/>
      <c r="L2" s="703"/>
      <c r="M2" s="703"/>
      <c r="N2" s="703"/>
      <c r="O2" s="703"/>
    </row>
    <row r="3" spans="1:15" ht="33.75" customHeight="1" x14ac:dyDescent="0.2">
      <c r="B3" s="601"/>
      <c r="C3" s="582"/>
      <c r="D3" s="582"/>
      <c r="E3" s="582"/>
      <c r="F3" s="582"/>
      <c r="G3" s="582"/>
      <c r="H3" s="582"/>
      <c r="I3" s="582"/>
      <c r="J3" s="582"/>
      <c r="K3" s="582"/>
      <c r="L3" s="582"/>
      <c r="M3" s="582"/>
      <c r="N3" s="582"/>
      <c r="O3" s="602"/>
    </row>
    <row r="4" spans="1:15" ht="13.5" thickBot="1" x14ac:dyDescent="0.25">
      <c r="A4" t="s">
        <v>500</v>
      </c>
      <c r="B4" s="601"/>
      <c r="C4" s="582"/>
      <c r="D4" s="582"/>
      <c r="E4" s="582"/>
      <c r="F4" s="582"/>
      <c r="G4" s="582"/>
      <c r="H4" s="582"/>
      <c r="I4" s="582"/>
      <c r="J4" s="582"/>
      <c r="K4" s="582"/>
      <c r="L4" s="582"/>
      <c r="M4" s="582"/>
      <c r="N4" s="582"/>
      <c r="O4" s="602"/>
    </row>
    <row r="5" spans="1:15" ht="12.75" customHeight="1" x14ac:dyDescent="0.2">
      <c r="B5" s="7"/>
      <c r="D5" s="704" t="s">
        <v>501</v>
      </c>
      <c r="E5" s="705"/>
      <c r="F5" s="704" t="s">
        <v>502</v>
      </c>
      <c r="G5" s="705"/>
      <c r="H5" s="704" t="s">
        <v>503</v>
      </c>
      <c r="I5" s="705"/>
      <c r="J5" s="704" t="s">
        <v>504</v>
      </c>
      <c r="K5" s="705"/>
      <c r="L5" s="704" t="s">
        <v>505</v>
      </c>
      <c r="M5" s="705"/>
      <c r="N5" s="706" t="s">
        <v>506</v>
      </c>
      <c r="O5" s="15"/>
    </row>
    <row r="6" spans="1:15" ht="25.5" x14ac:dyDescent="0.25">
      <c r="B6" s="7"/>
      <c r="C6" s="8" t="s">
        <v>85</v>
      </c>
      <c r="D6" s="372" t="s">
        <v>507</v>
      </c>
      <c r="E6" s="373" t="s">
        <v>508</v>
      </c>
      <c r="F6" s="372" t="s">
        <v>509</v>
      </c>
      <c r="G6" s="373" t="s">
        <v>508</v>
      </c>
      <c r="H6" s="372" t="s">
        <v>510</v>
      </c>
      <c r="I6" s="373" t="s">
        <v>508</v>
      </c>
      <c r="J6" s="372" t="s">
        <v>510</v>
      </c>
      <c r="K6" s="373" t="s">
        <v>508</v>
      </c>
      <c r="L6" s="372" t="s">
        <v>511</v>
      </c>
      <c r="M6" s="373" t="s">
        <v>512</v>
      </c>
      <c r="N6" s="706"/>
      <c r="O6" s="15"/>
    </row>
    <row r="7" spans="1:15" ht="13.5" thickBot="1" x14ac:dyDescent="0.25">
      <c r="B7" s="126">
        <v>1</v>
      </c>
      <c r="C7" s="127" t="str">
        <f>'Program Descriptions'!C5</f>
        <v>Home Energy Solutions</v>
      </c>
      <c r="D7" s="374"/>
      <c r="E7" s="375"/>
      <c r="F7" s="246">
        <v>271302</v>
      </c>
      <c r="G7" s="247">
        <v>1110111</v>
      </c>
      <c r="H7" s="246">
        <v>0</v>
      </c>
      <c r="I7" s="247">
        <v>0</v>
      </c>
      <c r="J7" s="246">
        <v>692104</v>
      </c>
      <c r="K7" s="247">
        <v>57686</v>
      </c>
      <c r="L7" s="247">
        <v>0</v>
      </c>
      <c r="M7" s="245">
        <v>0</v>
      </c>
      <c r="N7" s="603">
        <f>E7+G7+I7+K7+L7</f>
        <v>1167797</v>
      </c>
      <c r="O7" s="15"/>
    </row>
    <row r="8" spans="1:15" ht="13.5" thickBot="1" x14ac:dyDescent="0.25">
      <c r="B8" s="126">
        <f>B7+1</f>
        <v>2</v>
      </c>
      <c r="C8" s="127" t="str">
        <f>'Program Descriptions'!C6</f>
        <v>Multifamily Homes</v>
      </c>
      <c r="D8" s="374"/>
      <c r="E8" s="375"/>
      <c r="F8" s="246">
        <v>104146</v>
      </c>
      <c r="G8" s="247">
        <v>415086</v>
      </c>
      <c r="H8" s="246">
        <v>0</v>
      </c>
      <c r="I8" s="247">
        <v>0</v>
      </c>
      <c r="J8" s="246">
        <v>297077</v>
      </c>
      <c r="K8" s="247">
        <v>24761</v>
      </c>
      <c r="L8" s="247">
        <v>0</v>
      </c>
      <c r="M8" s="245">
        <v>0</v>
      </c>
      <c r="N8" s="603">
        <f t="shared" ref="N8:N19" si="0">E8+G8+I8+K8+L8</f>
        <v>439847</v>
      </c>
      <c r="O8" s="15"/>
    </row>
    <row r="9" spans="1:15" ht="13.5" thickBot="1" x14ac:dyDescent="0.25">
      <c r="B9" s="126">
        <f t="shared" ref="B9:B26" si="1">B8+1</f>
        <v>3</v>
      </c>
      <c r="C9" s="127" t="str">
        <f>'Program Descriptions'!C7</f>
        <v>Manufactured Homes</v>
      </c>
      <c r="D9" s="374"/>
      <c r="E9" s="375"/>
      <c r="F9" s="246">
        <v>27817</v>
      </c>
      <c r="G9" s="247">
        <v>113242.58251966306</v>
      </c>
      <c r="H9" s="246">
        <v>1740</v>
      </c>
      <c r="I9" s="247">
        <v>51059.776636559989</v>
      </c>
      <c r="J9" s="246">
        <v>343354</v>
      </c>
      <c r="K9" s="247">
        <v>28618</v>
      </c>
      <c r="L9" s="247">
        <v>0</v>
      </c>
      <c r="M9" s="245">
        <v>0</v>
      </c>
      <c r="N9" s="603">
        <f t="shared" si="0"/>
        <v>192920.35915622304</v>
      </c>
      <c r="O9" s="15"/>
    </row>
    <row r="10" spans="1:15" ht="13.5" thickBot="1" x14ac:dyDescent="0.25">
      <c r="B10" s="126">
        <f t="shared" si="1"/>
        <v>4</v>
      </c>
      <c r="C10" s="127" t="str">
        <f>'Program Descriptions'!C8</f>
        <v xml:space="preserve">Low-Income Solutions </v>
      </c>
      <c r="D10" s="374"/>
      <c r="E10" s="375"/>
      <c r="F10" s="246">
        <v>366310</v>
      </c>
      <c r="G10" s="247">
        <v>1468625</v>
      </c>
      <c r="H10" s="246">
        <v>265</v>
      </c>
      <c r="I10" s="247">
        <v>7416</v>
      </c>
      <c r="J10" s="246">
        <v>952435</v>
      </c>
      <c r="K10" s="247">
        <v>79384</v>
      </c>
      <c r="L10" s="247">
        <v>0</v>
      </c>
      <c r="M10" s="245">
        <v>0</v>
      </c>
      <c r="N10" s="603">
        <f t="shared" si="0"/>
        <v>1555425</v>
      </c>
      <c r="O10" s="15"/>
    </row>
    <row r="11" spans="1:15" ht="13.5" thickBot="1" x14ac:dyDescent="0.25">
      <c r="B11" s="126">
        <f t="shared" si="1"/>
        <v>5</v>
      </c>
      <c r="C11" s="127" t="str">
        <f>'Program Descriptions'!C9</f>
        <v>Point of Purchase Solutions</v>
      </c>
      <c r="D11" s="374"/>
      <c r="E11" s="375"/>
      <c r="F11" s="246">
        <v>-11653</v>
      </c>
      <c r="G11" s="247">
        <v>-46738.922240812775</v>
      </c>
      <c r="H11" s="246">
        <v>159</v>
      </c>
      <c r="I11" s="247">
        <v>3326.6755311270249</v>
      </c>
      <c r="J11" s="246">
        <v>955</v>
      </c>
      <c r="K11" s="247">
        <v>79.608338124747178</v>
      </c>
      <c r="L11" s="247">
        <v>827917.77423718665</v>
      </c>
      <c r="M11" s="245">
        <v>0</v>
      </c>
      <c r="N11" s="603">
        <f t="shared" si="0"/>
        <v>784585.13586562569</v>
      </c>
      <c r="O11" s="15"/>
    </row>
    <row r="12" spans="1:15" ht="13.5" thickBot="1" x14ac:dyDescent="0.25">
      <c r="B12" s="126">
        <f t="shared" si="1"/>
        <v>6</v>
      </c>
      <c r="C12" s="127" t="str">
        <f>'Program Descriptions'!C10</f>
        <v>Large Commercial &amp; Industrial Solutions</v>
      </c>
      <c r="D12" s="374"/>
      <c r="E12" s="375"/>
      <c r="F12" s="246">
        <v>-106117</v>
      </c>
      <c r="G12" s="247">
        <v>-390150</v>
      </c>
      <c r="H12" s="246">
        <v>-711</v>
      </c>
      <c r="I12" s="247">
        <v>-18699</v>
      </c>
      <c r="J12" s="246">
        <v>1026896</v>
      </c>
      <c r="K12" s="247">
        <v>72729</v>
      </c>
      <c r="L12" s="247">
        <v>921060</v>
      </c>
      <c r="M12" s="245">
        <v>0</v>
      </c>
      <c r="N12" s="603">
        <f t="shared" si="0"/>
        <v>584940</v>
      </c>
      <c r="O12" s="15"/>
    </row>
    <row r="13" spans="1:15" ht="13.5" thickBot="1" x14ac:dyDescent="0.25">
      <c r="B13" s="126">
        <f t="shared" si="1"/>
        <v>7</v>
      </c>
      <c r="C13" s="127" t="str">
        <f>'Program Descriptions'!C11</f>
        <v>Small Business Solutions</v>
      </c>
      <c r="D13" s="374"/>
      <c r="E13" s="375"/>
      <c r="F13" s="246">
        <v>-24391</v>
      </c>
      <c r="G13" s="247">
        <v>-90833</v>
      </c>
      <c r="H13" s="246">
        <v>0</v>
      </c>
      <c r="I13" s="247">
        <v>0</v>
      </c>
      <c r="J13" s="246">
        <v>684613</v>
      </c>
      <c r="K13" s="247">
        <v>36488</v>
      </c>
      <c r="L13" s="247">
        <v>336385</v>
      </c>
      <c r="M13" s="245">
        <v>0</v>
      </c>
      <c r="N13" s="603">
        <f t="shared" si="0"/>
        <v>282040</v>
      </c>
      <c r="O13" s="15"/>
    </row>
    <row r="14" spans="1:15" ht="13.5" thickBot="1" x14ac:dyDescent="0.25">
      <c r="B14" s="126">
        <f t="shared" si="1"/>
        <v>8</v>
      </c>
      <c r="C14" s="127" t="str">
        <f>'Program Descriptions'!C12</f>
        <v xml:space="preserve">Public Institutions Solutions </v>
      </c>
      <c r="D14" s="374"/>
      <c r="E14" s="375"/>
      <c r="F14" s="246">
        <v>-20071</v>
      </c>
      <c r="G14" s="247">
        <v>-72528</v>
      </c>
      <c r="H14" s="246">
        <v>0</v>
      </c>
      <c r="I14" s="247">
        <v>0</v>
      </c>
      <c r="J14" s="246">
        <v>470428</v>
      </c>
      <c r="K14" s="247">
        <v>38116</v>
      </c>
      <c r="L14" s="247">
        <v>482870</v>
      </c>
      <c r="M14" s="245">
        <v>0</v>
      </c>
      <c r="N14" s="603">
        <f t="shared" si="0"/>
        <v>448458</v>
      </c>
      <c r="O14" s="15"/>
    </row>
    <row r="15" spans="1:15" ht="13.5" thickBot="1" x14ac:dyDescent="0.25">
      <c r="B15" s="126">
        <f t="shared" si="1"/>
        <v>9</v>
      </c>
      <c r="C15" s="127" t="str">
        <f>'Program Descriptions'!C13</f>
        <v>Agricultural Energy Solutions</v>
      </c>
      <c r="D15" s="374"/>
      <c r="E15" s="375"/>
      <c r="F15" s="246">
        <v>0</v>
      </c>
      <c r="G15" s="247">
        <v>0</v>
      </c>
      <c r="H15" s="246">
        <v>0</v>
      </c>
      <c r="I15" s="247">
        <v>0</v>
      </c>
      <c r="J15" s="246">
        <v>0</v>
      </c>
      <c r="K15" s="247">
        <v>0</v>
      </c>
      <c r="L15" s="247">
        <v>58172</v>
      </c>
      <c r="M15" s="245">
        <v>0</v>
      </c>
      <c r="N15" s="603">
        <f t="shared" si="0"/>
        <v>58172</v>
      </c>
      <c r="O15" s="15"/>
    </row>
    <row r="16" spans="1:15" ht="13.5" thickBot="1" x14ac:dyDescent="0.25">
      <c r="B16" s="126">
        <f t="shared" si="1"/>
        <v>10</v>
      </c>
      <c r="C16" s="127" t="str">
        <f>'Program Descriptions'!C14</f>
        <v>Residential Direct Load Control</v>
      </c>
      <c r="D16" s="374"/>
      <c r="E16" s="375"/>
      <c r="F16" s="246">
        <v>0</v>
      </c>
      <c r="G16" s="247">
        <v>0</v>
      </c>
      <c r="H16" s="246">
        <v>0</v>
      </c>
      <c r="I16" s="247">
        <v>0</v>
      </c>
      <c r="J16" s="246">
        <v>0</v>
      </c>
      <c r="K16" s="247">
        <v>0</v>
      </c>
      <c r="L16" s="247">
        <v>0</v>
      </c>
      <c r="M16" s="245">
        <v>0</v>
      </c>
      <c r="N16" s="603">
        <f t="shared" si="0"/>
        <v>0</v>
      </c>
      <c r="O16" s="15"/>
    </row>
    <row r="17" spans="2:15" ht="13.5" thickBot="1" x14ac:dyDescent="0.25">
      <c r="B17" s="126">
        <f t="shared" si="1"/>
        <v>11</v>
      </c>
      <c r="C17" s="127" t="str">
        <f>'Program Descriptions'!C15</f>
        <v xml:space="preserve">Smart Direct Load Control Pilot </v>
      </c>
      <c r="D17" s="374"/>
      <c r="E17" s="375"/>
      <c r="F17" s="246">
        <v>68721</v>
      </c>
      <c r="G17" s="247">
        <v>203008</v>
      </c>
      <c r="H17" s="246">
        <v>0</v>
      </c>
      <c r="I17" s="247">
        <v>0</v>
      </c>
      <c r="J17" s="246">
        <v>0</v>
      </c>
      <c r="K17" s="247">
        <v>0</v>
      </c>
      <c r="L17" s="247">
        <v>0</v>
      </c>
      <c r="M17" s="245">
        <v>0</v>
      </c>
      <c r="N17" s="603">
        <f t="shared" si="0"/>
        <v>203008</v>
      </c>
      <c r="O17" s="15"/>
    </row>
    <row r="18" spans="2:15" ht="13.5" thickBot="1" x14ac:dyDescent="0.25">
      <c r="B18" s="126">
        <f t="shared" si="1"/>
        <v>12</v>
      </c>
      <c r="C18" s="127" t="str">
        <f>'Program Descriptions'!C16</f>
        <v>Agricultural Irrigation Load Control</v>
      </c>
      <c r="D18" s="374"/>
      <c r="E18" s="375"/>
      <c r="F18" s="246">
        <v>0</v>
      </c>
      <c r="G18" s="247">
        <v>0</v>
      </c>
      <c r="H18" s="246">
        <v>0</v>
      </c>
      <c r="I18" s="247">
        <v>0</v>
      </c>
      <c r="J18" s="246">
        <v>0</v>
      </c>
      <c r="K18" s="247">
        <v>0</v>
      </c>
      <c r="L18" s="247">
        <v>0</v>
      </c>
      <c r="M18" s="245">
        <v>0</v>
      </c>
      <c r="N18" s="603">
        <f>E18+G18+I18+K18+L18</f>
        <v>0</v>
      </c>
      <c r="O18" s="15"/>
    </row>
    <row r="19" spans="2:15" ht="13.5" hidden="1" thickBot="1" x14ac:dyDescent="0.25">
      <c r="B19" s="126">
        <f t="shared" si="1"/>
        <v>13</v>
      </c>
      <c r="C19" s="127" t="str">
        <f>'Program Descriptions'!C17</f>
        <v>Empty</v>
      </c>
      <c r="D19" s="374"/>
      <c r="E19" s="375"/>
      <c r="F19" s="246">
        <v>0</v>
      </c>
      <c r="G19" s="247">
        <v>0</v>
      </c>
      <c r="H19" s="246">
        <v>0</v>
      </c>
      <c r="I19" s="247">
        <v>0</v>
      </c>
      <c r="J19" s="248">
        <v>0</v>
      </c>
      <c r="K19" s="247">
        <v>0</v>
      </c>
      <c r="L19" s="247">
        <v>0</v>
      </c>
      <c r="M19" s="245">
        <v>0</v>
      </c>
      <c r="N19" s="603">
        <f t="shared" si="0"/>
        <v>0</v>
      </c>
      <c r="O19" s="15"/>
    </row>
    <row r="20" spans="2:15" hidden="1" x14ac:dyDescent="0.2">
      <c r="B20" s="126">
        <f t="shared" si="1"/>
        <v>14</v>
      </c>
      <c r="C20" s="127" t="str">
        <f>'Program Descriptions'!C18</f>
        <v>Empty</v>
      </c>
      <c r="D20" s="374"/>
      <c r="E20" s="375"/>
      <c r="F20" s="374"/>
      <c r="G20" s="375"/>
      <c r="H20" s="374"/>
      <c r="I20" s="375"/>
      <c r="J20" s="374"/>
      <c r="K20" s="375"/>
      <c r="L20" s="376"/>
      <c r="M20" s="375"/>
      <c r="N20" s="198">
        <f t="shared" ref="N20:N26" si="2">D20+F20+H20+J20+K20+L20</f>
        <v>0</v>
      </c>
      <c r="O20" s="15"/>
    </row>
    <row r="21" spans="2:15" hidden="1" x14ac:dyDescent="0.2">
      <c r="B21" s="126">
        <f t="shared" si="1"/>
        <v>15</v>
      </c>
      <c r="C21" s="127" t="str">
        <f>'Program Descriptions'!C19</f>
        <v>Empty</v>
      </c>
      <c r="D21" s="374"/>
      <c r="E21" s="375"/>
      <c r="F21" s="374"/>
      <c r="G21" s="375"/>
      <c r="H21" s="374"/>
      <c r="I21" s="375"/>
      <c r="J21" s="374"/>
      <c r="K21" s="375"/>
      <c r="L21" s="376"/>
      <c r="M21" s="375"/>
      <c r="N21" s="198">
        <f t="shared" si="2"/>
        <v>0</v>
      </c>
      <c r="O21" s="15"/>
    </row>
    <row r="22" spans="2:15" hidden="1" x14ac:dyDescent="0.2">
      <c r="B22" s="126">
        <f t="shared" si="1"/>
        <v>16</v>
      </c>
      <c r="C22" s="127" t="str">
        <f>'Program Descriptions'!C20</f>
        <v>Empty</v>
      </c>
      <c r="D22" s="374"/>
      <c r="E22" s="375"/>
      <c r="F22" s="374"/>
      <c r="G22" s="375"/>
      <c r="H22" s="374"/>
      <c r="I22" s="375"/>
      <c r="J22" s="374"/>
      <c r="K22" s="375"/>
      <c r="L22" s="376"/>
      <c r="M22" s="375"/>
      <c r="N22" s="198">
        <f t="shared" si="2"/>
        <v>0</v>
      </c>
      <c r="O22" s="15"/>
    </row>
    <row r="23" spans="2:15" hidden="1" x14ac:dyDescent="0.2">
      <c r="B23" s="126">
        <f t="shared" si="1"/>
        <v>17</v>
      </c>
      <c r="C23" s="127" t="str">
        <f>'Program Descriptions'!C21</f>
        <v>Empty</v>
      </c>
      <c r="D23" s="374"/>
      <c r="E23" s="375"/>
      <c r="F23" s="374"/>
      <c r="G23" s="375"/>
      <c r="H23" s="374"/>
      <c r="I23" s="375"/>
      <c r="J23" s="374"/>
      <c r="K23" s="375"/>
      <c r="L23" s="376"/>
      <c r="M23" s="375"/>
      <c r="N23" s="198">
        <f t="shared" si="2"/>
        <v>0</v>
      </c>
      <c r="O23" s="15"/>
    </row>
    <row r="24" spans="2:15" hidden="1" x14ac:dyDescent="0.2">
      <c r="B24" s="126">
        <f t="shared" si="1"/>
        <v>18</v>
      </c>
      <c r="C24" s="127" t="str">
        <f>'Program Descriptions'!C22</f>
        <v>Empty</v>
      </c>
      <c r="D24" s="374"/>
      <c r="E24" s="375"/>
      <c r="F24" s="374"/>
      <c r="G24" s="375"/>
      <c r="H24" s="374"/>
      <c r="I24" s="375"/>
      <c r="J24" s="374"/>
      <c r="K24" s="375"/>
      <c r="L24" s="376"/>
      <c r="M24" s="375"/>
      <c r="N24" s="198">
        <f t="shared" si="2"/>
        <v>0</v>
      </c>
      <c r="O24" s="15"/>
    </row>
    <row r="25" spans="2:15" hidden="1" x14ac:dyDescent="0.2">
      <c r="B25" s="126">
        <f t="shared" si="1"/>
        <v>19</v>
      </c>
      <c r="C25" s="127" t="str">
        <f>'Program Descriptions'!C23</f>
        <v>Empty</v>
      </c>
      <c r="D25" s="374"/>
      <c r="E25" s="375"/>
      <c r="F25" s="374"/>
      <c r="G25" s="375"/>
      <c r="H25" s="374"/>
      <c r="I25" s="375"/>
      <c r="J25" s="374"/>
      <c r="K25" s="375"/>
      <c r="L25" s="376"/>
      <c r="M25" s="375"/>
      <c r="N25" s="198">
        <f t="shared" si="2"/>
        <v>0</v>
      </c>
      <c r="O25" s="15"/>
    </row>
    <row r="26" spans="2:15" ht="13.5" hidden="1" thickBot="1" x14ac:dyDescent="0.25">
      <c r="B26" s="126">
        <f t="shared" si="1"/>
        <v>20</v>
      </c>
      <c r="C26" s="127" t="str">
        <f>'Program Descriptions'!C24</f>
        <v>Empty</v>
      </c>
      <c r="D26" s="377"/>
      <c r="E26" s="378"/>
      <c r="F26" s="377"/>
      <c r="G26" s="378"/>
      <c r="H26" s="377"/>
      <c r="I26" s="378"/>
      <c r="J26" s="377"/>
      <c r="K26" s="378"/>
      <c r="L26" s="379"/>
      <c r="M26" s="378"/>
      <c r="N26" s="199">
        <f t="shared" si="2"/>
        <v>0</v>
      </c>
      <c r="O26" s="15"/>
    </row>
    <row r="27" spans="2:15" x14ac:dyDescent="0.2">
      <c r="B27" s="7"/>
      <c r="C27" s="131" t="s">
        <v>164</v>
      </c>
      <c r="D27" s="285">
        <f t="shared" ref="D27:K27" si="3">SUM(D7:D26)</f>
        <v>0</v>
      </c>
      <c r="E27" s="283">
        <f t="shared" si="3"/>
        <v>0</v>
      </c>
      <c r="F27" s="285">
        <f t="shared" si="3"/>
        <v>676064</v>
      </c>
      <c r="G27" s="283">
        <f t="shared" si="3"/>
        <v>2709822.6602788502</v>
      </c>
      <c r="H27" s="285">
        <f t="shared" si="3"/>
        <v>1453</v>
      </c>
      <c r="I27" s="283">
        <f t="shared" si="3"/>
        <v>43103.452167687014</v>
      </c>
      <c r="J27" s="285">
        <f t="shared" si="3"/>
        <v>4467862</v>
      </c>
      <c r="K27" s="283">
        <f t="shared" si="3"/>
        <v>337861.60833812476</v>
      </c>
      <c r="L27" s="283">
        <f>SUM(L7:L26)</f>
        <v>2626404.7742371866</v>
      </c>
      <c r="M27" s="283">
        <v>0</v>
      </c>
      <c r="N27" s="283">
        <f>SUM(N7:N26)</f>
        <v>5717192.4950218489</v>
      </c>
      <c r="O27" s="15"/>
    </row>
    <row r="28" spans="2:15" x14ac:dyDescent="0.2">
      <c r="B28" s="7"/>
      <c r="C28" s="127"/>
      <c r="O28" s="15"/>
    </row>
    <row r="29" spans="2:15" x14ac:dyDescent="0.2">
      <c r="B29" s="7"/>
      <c r="O29" s="15"/>
    </row>
    <row r="30" spans="2:15" ht="16.5" thickBot="1" x14ac:dyDescent="0.3">
      <c r="B30" s="7"/>
      <c r="C30" s="8" t="s">
        <v>496</v>
      </c>
      <c r="O30" s="15"/>
    </row>
    <row r="31" spans="2:15" ht="13.5" customHeight="1" thickBot="1" x14ac:dyDescent="0.25">
      <c r="B31" s="126">
        <v>1</v>
      </c>
      <c r="C31" s="700" t="s">
        <v>513</v>
      </c>
      <c r="D31" s="701"/>
      <c r="E31" s="701"/>
      <c r="F31" s="701"/>
      <c r="G31" s="701"/>
      <c r="H31" s="701"/>
      <c r="I31" s="701"/>
      <c r="J31" s="701"/>
      <c r="K31" s="701"/>
      <c r="L31" s="701"/>
      <c r="M31" s="701"/>
      <c r="N31" s="702"/>
      <c r="O31" s="15"/>
    </row>
    <row r="32" spans="2:15" ht="13.5" thickBot="1" x14ac:dyDescent="0.25">
      <c r="B32" s="126">
        <f>B31+1</f>
        <v>2</v>
      </c>
      <c r="C32" s="700" t="s">
        <v>514</v>
      </c>
      <c r="D32" s="701"/>
      <c r="E32" s="701"/>
      <c r="F32" s="701"/>
      <c r="G32" s="701"/>
      <c r="H32" s="701"/>
      <c r="I32" s="701"/>
      <c r="J32" s="701"/>
      <c r="K32" s="701"/>
      <c r="L32" s="701"/>
      <c r="M32" s="701"/>
      <c r="N32" s="702"/>
      <c r="O32" s="15"/>
    </row>
    <row r="33" spans="2:15" ht="13.5" thickBot="1" x14ac:dyDescent="0.25">
      <c r="B33" s="126">
        <f>B32+1</f>
        <v>3</v>
      </c>
      <c r="C33" s="700" t="s">
        <v>515</v>
      </c>
      <c r="D33" s="701"/>
      <c r="E33" s="701"/>
      <c r="F33" s="701"/>
      <c r="G33" s="701"/>
      <c r="H33" s="701"/>
      <c r="I33" s="701"/>
      <c r="J33" s="701"/>
      <c r="K33" s="701"/>
      <c r="L33" s="701"/>
      <c r="M33" s="701"/>
      <c r="N33" s="702"/>
      <c r="O33" s="15"/>
    </row>
    <row r="34" spans="2:15" ht="13.5" thickBot="1" x14ac:dyDescent="0.25">
      <c r="B34" s="126">
        <f>B33+1</f>
        <v>4</v>
      </c>
      <c r="C34" s="700" t="s">
        <v>516</v>
      </c>
      <c r="D34" s="701"/>
      <c r="E34" s="701"/>
      <c r="F34" s="701"/>
      <c r="G34" s="701"/>
      <c r="H34" s="701"/>
      <c r="I34" s="701"/>
      <c r="J34" s="701"/>
      <c r="K34" s="701"/>
      <c r="L34" s="701"/>
      <c r="M34" s="701"/>
      <c r="N34" s="702"/>
      <c r="O34" s="15"/>
    </row>
    <row r="35" spans="2:15" ht="13.5" thickBot="1" x14ac:dyDescent="0.25">
      <c r="B35" s="126">
        <v>5</v>
      </c>
      <c r="C35" s="700" t="s">
        <v>517</v>
      </c>
      <c r="D35" s="701"/>
      <c r="E35" s="701"/>
      <c r="F35" s="701"/>
      <c r="G35" s="701"/>
      <c r="H35" s="701"/>
      <c r="I35" s="701"/>
      <c r="J35" s="701"/>
      <c r="K35" s="701"/>
      <c r="L35" s="701"/>
      <c r="M35" s="701"/>
      <c r="N35" s="702"/>
      <c r="O35" s="15"/>
    </row>
    <row r="36" spans="2:15" ht="13.5" thickBot="1" x14ac:dyDescent="0.25">
      <c r="B36" s="126">
        <v>6</v>
      </c>
      <c r="C36" s="700" t="s">
        <v>518</v>
      </c>
      <c r="D36" s="701"/>
      <c r="E36" s="701"/>
      <c r="F36" s="701"/>
      <c r="G36" s="701"/>
      <c r="H36" s="701"/>
      <c r="I36" s="701"/>
      <c r="J36" s="701"/>
      <c r="K36" s="701"/>
      <c r="L36" s="701"/>
      <c r="M36" s="701"/>
      <c r="N36" s="702"/>
      <c r="O36" s="15"/>
    </row>
    <row r="37" spans="2:15" ht="13.5" thickBot="1" x14ac:dyDescent="0.25">
      <c r="B37" s="126">
        <v>7</v>
      </c>
      <c r="C37" s="700" t="s">
        <v>519</v>
      </c>
      <c r="D37" s="701"/>
      <c r="E37" s="701"/>
      <c r="F37" s="701"/>
      <c r="G37" s="701"/>
      <c r="H37" s="701"/>
      <c r="I37" s="701"/>
      <c r="J37" s="701"/>
      <c r="K37" s="701"/>
      <c r="L37" s="701"/>
      <c r="M37" s="701"/>
      <c r="N37" s="702"/>
      <c r="O37" s="15"/>
    </row>
    <row r="38" spans="2:15" ht="13.5" thickBot="1" x14ac:dyDescent="0.25">
      <c r="B38" s="126">
        <v>8</v>
      </c>
      <c r="C38" s="700" t="s">
        <v>520</v>
      </c>
      <c r="D38" s="701"/>
      <c r="E38" s="701"/>
      <c r="F38" s="701"/>
      <c r="G38" s="701"/>
      <c r="H38" s="701"/>
      <c r="I38" s="701"/>
      <c r="J38" s="701"/>
      <c r="K38" s="701"/>
      <c r="L38" s="701"/>
      <c r="M38" s="701"/>
      <c r="N38" s="702"/>
      <c r="O38" s="15"/>
    </row>
    <row r="39" spans="2:15" ht="13.5" thickBot="1" x14ac:dyDescent="0.25">
      <c r="B39" s="126">
        <v>9</v>
      </c>
      <c r="C39" s="700" t="s">
        <v>521</v>
      </c>
      <c r="D39" s="701"/>
      <c r="E39" s="701"/>
      <c r="F39" s="701"/>
      <c r="G39" s="701"/>
      <c r="H39" s="701"/>
      <c r="I39" s="701"/>
      <c r="J39" s="701"/>
      <c r="K39" s="701"/>
      <c r="L39" s="701"/>
      <c r="M39" s="701"/>
      <c r="N39" s="702"/>
      <c r="O39" s="15"/>
    </row>
    <row r="40" spans="2:15" x14ac:dyDescent="0.2">
      <c r="B40" s="7"/>
      <c r="O40" s="15"/>
    </row>
    <row r="41" spans="2:15" x14ac:dyDescent="0.2">
      <c r="B41" s="161"/>
      <c r="C41" s="358"/>
      <c r="D41" s="358"/>
      <c r="E41" s="358"/>
      <c r="F41" s="358"/>
      <c r="G41" s="358"/>
      <c r="H41" s="358"/>
      <c r="I41" s="358"/>
      <c r="J41" s="358"/>
      <c r="K41" s="358"/>
      <c r="L41" s="358"/>
      <c r="M41" s="358"/>
      <c r="N41" s="358"/>
      <c r="O41" s="162"/>
    </row>
  </sheetData>
  <mergeCells count="16">
    <mergeCell ref="B2:O2"/>
    <mergeCell ref="D5:E5"/>
    <mergeCell ref="F5:G5"/>
    <mergeCell ref="H5:I5"/>
    <mergeCell ref="J5:K5"/>
    <mergeCell ref="L5:M5"/>
    <mergeCell ref="N5:N6"/>
    <mergeCell ref="C31:N31"/>
    <mergeCell ref="C32:N32"/>
    <mergeCell ref="C33:N33"/>
    <mergeCell ref="C34:N34"/>
    <mergeCell ref="C39:N39"/>
    <mergeCell ref="C35:N35"/>
    <mergeCell ref="C36:N36"/>
    <mergeCell ref="C37:N37"/>
    <mergeCell ref="C38:N38"/>
  </mergeCells>
  <conditionalFormatting sqref="D7:N26">
    <cfRule type="expression" dxfId="13" priority="1">
      <formula>$B7&gt;Programs</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65"/>
  <sheetViews>
    <sheetView showGridLines="0" showRowColHeaders="0" zoomScale="110" zoomScaleNormal="110" workbookViewId="0">
      <pane ySplit="2" topLeftCell="A3" activePane="bottomLeft" state="frozen"/>
      <selection pane="bottomLeft" activeCell="A3" sqref="A3"/>
    </sheetView>
  </sheetViews>
  <sheetFormatPr defaultColWidth="9.42578125" defaultRowHeight="12.75" x14ac:dyDescent="0.2"/>
  <cols>
    <col min="1" max="1" width="1" style="2" customWidth="1"/>
    <col min="2" max="2" width="1.5703125" style="2" customWidth="1"/>
    <col min="3" max="3" width="8" style="2" customWidth="1"/>
    <col min="4" max="4" width="9.42578125" style="2" customWidth="1"/>
    <col min="5" max="5" width="116.5703125" style="2" customWidth="1"/>
    <col min="6" max="6" width="1.5703125" style="2" customWidth="1"/>
    <col min="7" max="16384" width="9.42578125" style="2"/>
  </cols>
  <sheetData>
    <row r="1" spans="2:6" ht="5.0999999999999996" customHeight="1" x14ac:dyDescent="0.2"/>
    <row r="2" spans="2:6" ht="38.25" customHeight="1" x14ac:dyDescent="0.2">
      <c r="B2" s="644" t="s">
        <v>17</v>
      </c>
      <c r="C2" s="645"/>
      <c r="D2" s="645"/>
      <c r="E2" s="645"/>
      <c r="F2" s="645"/>
    </row>
    <row r="3" spans="2:6" s="1" customFormat="1" x14ac:dyDescent="0.2">
      <c r="B3" s="586"/>
      <c r="C3" s="587"/>
      <c r="D3" s="587"/>
      <c r="E3" s="587"/>
      <c r="F3" s="588"/>
    </row>
    <row r="4" spans="2:6" s="1" customFormat="1" ht="25.5" customHeight="1" x14ac:dyDescent="0.2">
      <c r="B4" s="276"/>
      <c r="C4" s="646" t="s">
        <v>18</v>
      </c>
      <c r="D4" s="646"/>
      <c r="E4" s="646"/>
      <c r="F4" s="277"/>
    </row>
    <row r="5" spans="2:6" s="1" customFormat="1" x14ac:dyDescent="0.2">
      <c r="B5" s="276"/>
      <c r="C5" s="278"/>
      <c r="D5" s="278"/>
      <c r="E5" s="279"/>
      <c r="F5" s="277"/>
    </row>
    <row r="6" spans="2:6" s="1" customFormat="1" ht="15" x14ac:dyDescent="0.2">
      <c r="B6" s="276"/>
      <c r="C6" s="643" t="s">
        <v>19</v>
      </c>
      <c r="D6" s="643"/>
      <c r="E6" s="643"/>
      <c r="F6" s="277"/>
    </row>
    <row r="7" spans="2:6" s="1" customFormat="1" ht="63.75" customHeight="1" x14ac:dyDescent="0.2">
      <c r="B7" s="276"/>
      <c r="C7" s="647" t="s">
        <v>20</v>
      </c>
      <c r="D7" s="647"/>
      <c r="E7" s="647"/>
      <c r="F7" s="277"/>
    </row>
    <row r="8" spans="2:6" s="1" customFormat="1" x14ac:dyDescent="0.2">
      <c r="B8" s="276"/>
      <c r="C8" s="188">
        <v>1</v>
      </c>
      <c r="D8" s="20" t="s">
        <v>21</v>
      </c>
      <c r="E8" s="20"/>
      <c r="F8" s="277"/>
    </row>
    <row r="9" spans="2:6" s="1" customFormat="1" x14ac:dyDescent="0.2">
      <c r="B9" s="276"/>
      <c r="C9" s="188">
        <v>2</v>
      </c>
      <c r="D9" s="20" t="s">
        <v>22</v>
      </c>
      <c r="E9" s="20"/>
      <c r="F9" s="277"/>
    </row>
    <row r="10" spans="2:6" s="1" customFormat="1" x14ac:dyDescent="0.2">
      <c r="B10" s="276"/>
      <c r="C10" s="188">
        <v>3</v>
      </c>
      <c r="D10" s="20" t="s">
        <v>23</v>
      </c>
      <c r="E10" s="20"/>
      <c r="F10" s="277"/>
    </row>
    <row r="11" spans="2:6" s="1" customFormat="1" x14ac:dyDescent="0.2">
      <c r="B11" s="276"/>
      <c r="C11" s="279"/>
      <c r="D11" s="279"/>
      <c r="E11" s="279"/>
      <c r="F11" s="277"/>
    </row>
    <row r="12" spans="2:6" s="1" customFormat="1" ht="44.25" customHeight="1" x14ac:dyDescent="0.2">
      <c r="B12" s="276"/>
      <c r="C12" s="641" t="s">
        <v>24</v>
      </c>
      <c r="D12" s="641"/>
      <c r="E12" s="641"/>
      <c r="F12" s="277"/>
    </row>
    <row r="13" spans="2:6" s="1" customFormat="1" x14ac:dyDescent="0.2">
      <c r="B13" s="276"/>
      <c r="C13" s="279"/>
      <c r="D13" s="279"/>
      <c r="E13" s="279"/>
      <c r="F13" s="277"/>
    </row>
    <row r="14" spans="2:6" s="1" customFormat="1" x14ac:dyDescent="0.2">
      <c r="B14" s="276"/>
      <c r="C14" s="280"/>
      <c r="D14" s="459"/>
      <c r="E14" s="181" t="s">
        <v>25</v>
      </c>
      <c r="F14" s="277"/>
    </row>
    <row r="15" spans="2:6" s="1" customFormat="1" x14ac:dyDescent="0.2">
      <c r="B15" s="276"/>
      <c r="C15" s="280"/>
      <c r="D15" s="532"/>
      <c r="E15" s="181" t="s">
        <v>26</v>
      </c>
      <c r="F15" s="277"/>
    </row>
    <row r="16" spans="2:6" s="1" customFormat="1" x14ac:dyDescent="0.2">
      <c r="B16" s="276"/>
      <c r="C16" s="280"/>
      <c r="D16" s="189"/>
      <c r="E16" s="181" t="s">
        <v>27</v>
      </c>
      <c r="F16" s="277"/>
    </row>
    <row r="17" spans="2:6" s="1" customFormat="1" x14ac:dyDescent="0.2">
      <c r="B17" s="276"/>
      <c r="C17" s="279"/>
      <c r="D17" s="279"/>
      <c r="E17" s="279"/>
      <c r="F17" s="277"/>
    </row>
    <row r="18" spans="2:6" s="1" customFormat="1" x14ac:dyDescent="0.2">
      <c r="B18" s="276"/>
      <c r="C18" s="642" t="s">
        <v>28</v>
      </c>
      <c r="D18" s="642"/>
      <c r="E18" s="642"/>
      <c r="F18" s="277"/>
    </row>
    <row r="19" spans="2:6" s="1" customFormat="1" x14ac:dyDescent="0.2">
      <c r="B19" s="276"/>
      <c r="C19" s="621"/>
      <c r="D19" s="621"/>
      <c r="E19" s="621"/>
      <c r="F19" s="277"/>
    </row>
    <row r="20" spans="2:6" s="1" customFormat="1" ht="30" customHeight="1" x14ac:dyDescent="0.2">
      <c r="B20" s="276"/>
      <c r="C20" s="648" t="s">
        <v>29</v>
      </c>
      <c r="D20" s="648"/>
      <c r="E20" s="648"/>
      <c r="F20" s="277"/>
    </row>
    <row r="21" spans="2:6" s="1" customFormat="1" x14ac:dyDescent="0.2">
      <c r="B21" s="276"/>
      <c r="C21" s="621"/>
      <c r="D21" s="621"/>
      <c r="E21" s="621"/>
      <c r="F21" s="277"/>
    </row>
    <row r="22" spans="2:6" s="1" customFormat="1" ht="15" x14ac:dyDescent="0.2">
      <c r="B22" s="276"/>
      <c r="C22" s="643" t="s">
        <v>30</v>
      </c>
      <c r="D22" s="643"/>
      <c r="E22" s="643"/>
      <c r="F22" s="277"/>
    </row>
    <row r="23" spans="2:6" s="1" customFormat="1" ht="18.75" customHeight="1" x14ac:dyDescent="0.2">
      <c r="B23" s="18"/>
      <c r="C23" s="182" t="s">
        <v>31</v>
      </c>
      <c r="D23" s="21"/>
      <c r="E23" s="22"/>
      <c r="F23" s="277"/>
    </row>
    <row r="24" spans="2:6" s="1" customFormat="1" x14ac:dyDescent="0.2">
      <c r="B24" s="19"/>
      <c r="C24" s="188">
        <v>1</v>
      </c>
      <c r="D24" s="20" t="s">
        <v>32</v>
      </c>
      <c r="E24" s="20"/>
      <c r="F24" s="277"/>
    </row>
    <row r="25" spans="2:6" s="1" customFormat="1" x14ac:dyDescent="0.2">
      <c r="B25" s="19"/>
      <c r="C25" s="190"/>
      <c r="D25" s="185" t="s">
        <v>33</v>
      </c>
      <c r="E25" s="224" t="s">
        <v>34</v>
      </c>
      <c r="F25" s="277"/>
    </row>
    <row r="26" spans="2:6" s="1" customFormat="1" x14ac:dyDescent="0.2">
      <c r="B26" s="19"/>
      <c r="C26" s="190"/>
      <c r="D26" s="185" t="s">
        <v>35</v>
      </c>
      <c r="E26" s="183" t="s">
        <v>36</v>
      </c>
      <c r="F26" s="277"/>
    </row>
    <row r="27" spans="2:6" s="1" customFormat="1" x14ac:dyDescent="0.2">
      <c r="B27" s="19"/>
      <c r="C27" s="190"/>
      <c r="D27" s="185"/>
      <c r="E27" s="186" t="s">
        <v>37</v>
      </c>
      <c r="F27" s="277"/>
    </row>
    <row r="28" spans="2:6" s="1" customFormat="1" x14ac:dyDescent="0.2">
      <c r="B28" s="19"/>
      <c r="C28" s="190"/>
      <c r="D28" s="185" t="s">
        <v>38</v>
      </c>
      <c r="E28" s="183" t="s">
        <v>39</v>
      </c>
      <c r="F28" s="277"/>
    </row>
    <row r="29" spans="2:6" s="1" customFormat="1" x14ac:dyDescent="0.2">
      <c r="B29" s="19"/>
      <c r="C29" s="190"/>
      <c r="D29" s="185"/>
      <c r="E29" s="186" t="s">
        <v>40</v>
      </c>
      <c r="F29" s="277"/>
    </row>
    <row r="30" spans="2:6" s="1" customFormat="1" x14ac:dyDescent="0.2">
      <c r="B30" s="19"/>
      <c r="C30" s="190"/>
      <c r="D30" s="185" t="s">
        <v>41</v>
      </c>
      <c r="E30" s="183" t="s">
        <v>42</v>
      </c>
      <c r="F30" s="277"/>
    </row>
    <row r="31" spans="2:6" s="1" customFormat="1" x14ac:dyDescent="0.2">
      <c r="B31" s="19"/>
      <c r="C31" s="190"/>
      <c r="D31" s="185" t="s">
        <v>43</v>
      </c>
      <c r="E31" s="183" t="s">
        <v>44</v>
      </c>
      <c r="F31" s="277"/>
    </row>
    <row r="32" spans="2:6" s="1" customFormat="1" x14ac:dyDescent="0.2">
      <c r="B32" s="19"/>
      <c r="C32" s="190"/>
      <c r="D32" s="185"/>
      <c r="E32" s="186" t="s">
        <v>45</v>
      </c>
      <c r="F32" s="277"/>
    </row>
    <row r="33" spans="2:6" s="1" customFormat="1" x14ac:dyDescent="0.2">
      <c r="B33" s="19"/>
      <c r="C33" s="190"/>
      <c r="D33" s="185"/>
      <c r="E33" s="186" t="s">
        <v>46</v>
      </c>
      <c r="F33" s="277"/>
    </row>
    <row r="34" spans="2:6" s="1" customFormat="1" x14ac:dyDescent="0.2">
      <c r="B34" s="19"/>
      <c r="C34" s="188">
        <v>2</v>
      </c>
      <c r="D34" s="20" t="s">
        <v>47</v>
      </c>
      <c r="E34" s="21"/>
      <c r="F34" s="277"/>
    </row>
    <row r="35" spans="2:6" s="1" customFormat="1" x14ac:dyDescent="0.2">
      <c r="B35" s="19"/>
      <c r="C35" s="190"/>
      <c r="D35" s="185" t="s">
        <v>33</v>
      </c>
      <c r="E35" s="184" t="s">
        <v>48</v>
      </c>
      <c r="F35" s="277"/>
    </row>
    <row r="36" spans="2:6" s="1" customFormat="1" x14ac:dyDescent="0.2">
      <c r="B36" s="19"/>
      <c r="C36" s="190"/>
      <c r="D36" s="185"/>
      <c r="E36" s="186" t="s">
        <v>49</v>
      </c>
      <c r="F36" s="277"/>
    </row>
    <row r="37" spans="2:6" s="1" customFormat="1" x14ac:dyDescent="0.2">
      <c r="B37" s="19"/>
      <c r="C37" s="190"/>
      <c r="D37" s="185" t="s">
        <v>35</v>
      </c>
      <c r="E37" s="183" t="s">
        <v>50</v>
      </c>
      <c r="F37" s="277"/>
    </row>
    <row r="38" spans="2:6" s="1" customFormat="1" x14ac:dyDescent="0.2">
      <c r="B38" s="19"/>
      <c r="C38" s="190"/>
      <c r="D38" s="185"/>
      <c r="E38" s="186" t="s">
        <v>51</v>
      </c>
      <c r="F38" s="277"/>
    </row>
    <row r="39" spans="2:6" s="1" customFormat="1" x14ac:dyDescent="0.2">
      <c r="B39" s="19"/>
      <c r="C39" s="190"/>
      <c r="D39" s="185" t="s">
        <v>38</v>
      </c>
      <c r="E39" s="183" t="s">
        <v>52</v>
      </c>
      <c r="F39" s="277"/>
    </row>
    <row r="40" spans="2:6" s="1" customFormat="1" x14ac:dyDescent="0.2">
      <c r="B40" s="19"/>
      <c r="C40" s="190"/>
      <c r="D40" s="185"/>
      <c r="E40" s="186" t="s">
        <v>53</v>
      </c>
      <c r="F40" s="277"/>
    </row>
    <row r="41" spans="2:6" s="1" customFormat="1" x14ac:dyDescent="0.2">
      <c r="B41" s="19"/>
      <c r="C41" s="190"/>
      <c r="D41" s="185"/>
      <c r="E41" s="186" t="s">
        <v>54</v>
      </c>
      <c r="F41" s="277"/>
    </row>
    <row r="42" spans="2:6" s="1" customFormat="1" x14ac:dyDescent="0.2">
      <c r="B42" s="19"/>
      <c r="C42" s="190"/>
      <c r="D42" s="185"/>
      <c r="E42" s="186" t="s">
        <v>55</v>
      </c>
      <c r="F42" s="277"/>
    </row>
    <row r="43" spans="2:6" s="1" customFormat="1" x14ac:dyDescent="0.2">
      <c r="B43" s="19"/>
      <c r="C43" s="190"/>
      <c r="D43" s="185" t="s">
        <v>41</v>
      </c>
      <c r="E43" s="183" t="s">
        <v>56</v>
      </c>
      <c r="F43" s="277"/>
    </row>
    <row r="44" spans="2:6" s="1" customFormat="1" x14ac:dyDescent="0.2">
      <c r="B44" s="19"/>
      <c r="C44" s="190"/>
      <c r="D44" s="185" t="s">
        <v>43</v>
      </c>
      <c r="E44" s="183" t="s">
        <v>57</v>
      </c>
      <c r="F44" s="277"/>
    </row>
    <row r="45" spans="2:6" s="1" customFormat="1" x14ac:dyDescent="0.2">
      <c r="B45" s="19"/>
      <c r="C45" s="188">
        <v>3</v>
      </c>
      <c r="D45" s="649" t="s">
        <v>58</v>
      </c>
      <c r="E45" s="649"/>
      <c r="F45" s="650"/>
    </row>
    <row r="46" spans="2:6" s="1" customFormat="1" x14ac:dyDescent="0.2">
      <c r="B46" s="19"/>
      <c r="C46" s="190"/>
      <c r="D46" s="185" t="s">
        <v>33</v>
      </c>
      <c r="E46" s="184" t="s">
        <v>59</v>
      </c>
      <c r="F46" s="277"/>
    </row>
    <row r="47" spans="2:6" s="1" customFormat="1" x14ac:dyDescent="0.2">
      <c r="B47" s="19"/>
      <c r="C47" s="21"/>
      <c r="D47" s="21"/>
      <c r="E47" s="186" t="s">
        <v>60</v>
      </c>
      <c r="F47" s="277"/>
    </row>
    <row r="48" spans="2:6" s="1" customFormat="1" x14ac:dyDescent="0.2">
      <c r="B48" s="19"/>
      <c r="C48" s="21"/>
      <c r="D48" s="21"/>
      <c r="E48" s="21"/>
      <c r="F48" s="277"/>
    </row>
    <row r="49" spans="2:6" s="1" customFormat="1" ht="15" x14ac:dyDescent="0.2">
      <c r="B49" s="19"/>
      <c r="C49" s="643" t="s">
        <v>61</v>
      </c>
      <c r="D49" s="643"/>
      <c r="E49" s="643"/>
      <c r="F49" s="277"/>
    </row>
    <row r="50" spans="2:6" s="1" customFormat="1" x14ac:dyDescent="0.2">
      <c r="B50" s="19"/>
      <c r="C50" s="23" t="s">
        <v>62</v>
      </c>
      <c r="D50" s="23"/>
      <c r="E50" s="21"/>
      <c r="F50" s="277"/>
    </row>
    <row r="51" spans="2:6" s="1" customFormat="1" ht="25.5" customHeight="1" x14ac:dyDescent="0.2">
      <c r="B51" s="19"/>
      <c r="C51" s="648" t="s">
        <v>63</v>
      </c>
      <c r="D51" s="648"/>
      <c r="E51" s="648"/>
      <c r="F51" s="277"/>
    </row>
    <row r="52" spans="2:6" s="1" customFormat="1" x14ac:dyDescent="0.2">
      <c r="B52" s="19"/>
      <c r="C52" s="21"/>
      <c r="D52" s="21"/>
      <c r="E52" s="21"/>
      <c r="F52" s="277"/>
    </row>
    <row r="53" spans="2:6" s="1" customFormat="1" x14ac:dyDescent="0.2">
      <c r="B53" s="19"/>
      <c r="C53" s="23" t="s">
        <v>64</v>
      </c>
      <c r="D53" s="23"/>
      <c r="E53" s="21"/>
      <c r="F53" s="277"/>
    </row>
    <row r="54" spans="2:6" s="1" customFormat="1" ht="18" customHeight="1" x14ac:dyDescent="0.2">
      <c r="B54" s="19"/>
      <c r="C54" s="187" t="s">
        <v>65</v>
      </c>
      <c r="D54" s="21"/>
      <c r="E54" s="21"/>
      <c r="F54" s="277"/>
    </row>
    <row r="55" spans="2:6" s="1" customFormat="1" ht="9.75" customHeight="1" x14ac:dyDescent="0.2">
      <c r="B55" s="19"/>
      <c r="C55" s="21"/>
      <c r="D55" s="21"/>
      <c r="E55" s="21"/>
      <c r="F55" s="277"/>
    </row>
    <row r="56" spans="2:6" s="1" customFormat="1" x14ac:dyDescent="0.2">
      <c r="B56" s="19"/>
      <c r="C56" s="23" t="s">
        <v>66</v>
      </c>
      <c r="D56" s="23"/>
      <c r="E56" s="279"/>
      <c r="F56" s="277"/>
    </row>
    <row r="57" spans="2:6" s="1" customFormat="1" ht="18" customHeight="1" x14ac:dyDescent="0.2">
      <c r="B57" s="276"/>
      <c r="C57" s="182" t="s">
        <v>67</v>
      </c>
      <c r="D57" s="21"/>
      <c r="E57" s="279"/>
      <c r="F57" s="277"/>
    </row>
    <row r="58" spans="2:6" s="1" customFormat="1" x14ac:dyDescent="0.2">
      <c r="B58" s="18"/>
      <c r="C58" s="188">
        <v>1</v>
      </c>
      <c r="D58" s="281" t="str">
        <f>Cost!B4</f>
        <v>Planning / Design</v>
      </c>
      <c r="E58" s="22"/>
      <c r="F58" s="277"/>
    </row>
    <row r="59" spans="2:6" s="1" customFormat="1" x14ac:dyDescent="0.2">
      <c r="B59" s="19"/>
      <c r="C59" s="188">
        <v>2</v>
      </c>
      <c r="D59" s="281" t="str">
        <f>Cost!C4</f>
        <v>Marketing &amp; Delivery</v>
      </c>
      <c r="E59" s="21"/>
      <c r="F59" s="277"/>
    </row>
    <row r="60" spans="2:6" s="1" customFormat="1" x14ac:dyDescent="0.2">
      <c r="B60" s="19"/>
      <c r="C60" s="188">
        <v>3</v>
      </c>
      <c r="D60" s="281" t="str">
        <f>Cost!B14</f>
        <v>Incentives / Direct Install Costs</v>
      </c>
      <c r="E60" s="21"/>
      <c r="F60" s="277"/>
    </row>
    <row r="61" spans="2:6" s="1" customFormat="1" x14ac:dyDescent="0.2">
      <c r="B61" s="19"/>
      <c r="C61" s="188">
        <v>4</v>
      </c>
      <c r="D61" s="281" t="str">
        <f>Cost!C19</f>
        <v>EM&amp;V</v>
      </c>
      <c r="E61" s="21"/>
      <c r="F61" s="277"/>
    </row>
    <row r="62" spans="2:6" s="1" customFormat="1" x14ac:dyDescent="0.2">
      <c r="B62" s="276"/>
      <c r="C62" s="188">
        <v>5</v>
      </c>
      <c r="D62" s="281" t="str">
        <f>Cost!B25</f>
        <v>Administration</v>
      </c>
      <c r="E62" s="279"/>
      <c r="F62" s="277"/>
    </row>
    <row r="63" spans="2:6" s="1" customFormat="1" x14ac:dyDescent="0.2">
      <c r="B63" s="18"/>
      <c r="C63" s="188">
        <v>6</v>
      </c>
      <c r="D63" s="281" t="str">
        <f>Cost!C25</f>
        <v>Regulatory</v>
      </c>
      <c r="E63" s="22"/>
      <c r="F63" s="277"/>
    </row>
    <row r="64" spans="2:6" s="1" customFormat="1" x14ac:dyDescent="0.2">
      <c r="B64" s="191"/>
      <c r="C64" s="352"/>
      <c r="D64" s="352"/>
      <c r="E64" s="352"/>
      <c r="F64" s="282"/>
    </row>
    <row r="65" s="1" customFormat="1" x14ac:dyDescent="0.2"/>
  </sheetData>
  <sheetProtection password="C925" sheet="1" objects="1" scenarios="1"/>
  <mergeCells count="11">
    <mergeCell ref="C20:E20"/>
    <mergeCell ref="C22:E22"/>
    <mergeCell ref="C49:E49"/>
    <mergeCell ref="C51:E51"/>
    <mergeCell ref="D45:F45"/>
    <mergeCell ref="C12:E12"/>
    <mergeCell ref="C18:E18"/>
    <mergeCell ref="C6:E6"/>
    <mergeCell ref="B2:F2"/>
    <mergeCell ref="C4:E4"/>
    <mergeCell ref="C7:E7"/>
  </mergeCells>
  <hyperlinks>
    <hyperlink ref="E25" location="'Utility Information'!A1" tooltip="Go to" display="Utility Information" xr:uid="{00000000-0004-0000-0100-000000000000}"/>
  </hyperlinks>
  <pageMargins left="0.25" right="0.25" top="0.5" bottom="0.5" header="0.3" footer="0.3"/>
  <pageSetup scale="75" fitToHeight="0"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O27"/>
  <sheetViews>
    <sheetView showGridLines="0" zoomScale="110" zoomScaleNormal="110" workbookViewId="0">
      <selection activeCell="P14" sqref="P14"/>
    </sheetView>
  </sheetViews>
  <sheetFormatPr defaultColWidth="9.42578125" defaultRowHeight="12.75" x14ac:dyDescent="0.2"/>
  <cols>
    <col min="1" max="1" width="1" style="2" customWidth="1"/>
    <col min="2" max="2" width="4" style="2" customWidth="1"/>
    <col min="3" max="3" width="35.5703125" style="2" customWidth="1"/>
    <col min="4" max="4" width="11.42578125" style="2" customWidth="1"/>
    <col min="5" max="5" width="9.5703125" style="2" customWidth="1"/>
    <col min="6" max="6" width="11.42578125" style="2" customWidth="1"/>
    <col min="7" max="7" width="9.5703125" style="2" customWidth="1"/>
    <col min="8" max="8" width="11.42578125" style="2" customWidth="1"/>
    <col min="9" max="9" width="9.5703125" style="2" customWidth="1"/>
    <col min="10" max="10" width="11.42578125" style="2" customWidth="1"/>
    <col min="11" max="11" width="9.5703125" style="2" customWidth="1"/>
    <col min="12" max="12" width="9.42578125" style="2" customWidth="1"/>
    <col min="13" max="13" width="1" style="2" customWidth="1"/>
    <col min="14" max="14" width="9.42578125" style="2"/>
    <col min="15" max="15" width="0" style="2" hidden="1" customWidth="1"/>
    <col min="16" max="16384" width="9.42578125" style="2"/>
  </cols>
  <sheetData>
    <row r="1" spans="2:15" ht="5.0999999999999996" customHeight="1" thickBot="1" x14ac:dyDescent="0.25"/>
    <row r="2" spans="2:15" ht="38.25" customHeight="1" thickBot="1" x14ac:dyDescent="0.25">
      <c r="B2" s="660" t="s">
        <v>522</v>
      </c>
      <c r="C2" s="660"/>
      <c r="D2" s="660"/>
      <c r="E2" s="660"/>
      <c r="F2" s="660"/>
      <c r="G2" s="660"/>
      <c r="H2" s="660"/>
      <c r="I2" s="660"/>
      <c r="J2" s="660"/>
      <c r="K2" s="660"/>
      <c r="L2" s="660"/>
    </row>
    <row r="3" spans="2:15" ht="21" customHeight="1" thickBot="1" x14ac:dyDescent="0.25">
      <c r="B3" s="589"/>
      <c r="C3" s="194" t="str">
        <f>IF(O27&gt;0,"Incomplete - All 'yellow' shaded cells must be completed.","")</f>
        <v/>
      </c>
      <c r="D3" s="590"/>
      <c r="E3" s="590"/>
      <c r="F3" s="590"/>
      <c r="G3" s="590"/>
      <c r="H3" s="590"/>
      <c r="I3" s="590"/>
      <c r="J3" s="590"/>
      <c r="K3" s="590"/>
      <c r="L3" s="591"/>
    </row>
    <row r="4" spans="2:15" ht="24.75" customHeight="1" x14ac:dyDescent="0.25">
      <c r="B4" s="16"/>
      <c r="C4" s="8"/>
      <c r="D4" s="707" t="s">
        <v>523</v>
      </c>
      <c r="E4" s="709"/>
      <c r="F4" s="707" t="s">
        <v>524</v>
      </c>
      <c r="G4" s="709"/>
      <c r="H4" s="707" t="s">
        <v>525</v>
      </c>
      <c r="I4" s="709"/>
      <c r="J4" s="707" t="s">
        <v>526</v>
      </c>
      <c r="K4" s="708"/>
      <c r="L4" s="4"/>
    </row>
    <row r="5" spans="2:15" ht="26.25" x14ac:dyDescent="0.25">
      <c r="B5" s="7"/>
      <c r="C5" s="8" t="s">
        <v>85</v>
      </c>
      <c r="D5" s="380" t="s">
        <v>527</v>
      </c>
      <c r="E5" s="381" t="s">
        <v>429</v>
      </c>
      <c r="F5" s="380" t="s">
        <v>527</v>
      </c>
      <c r="G5" s="381" t="s">
        <v>429</v>
      </c>
      <c r="H5" s="380" t="s">
        <v>527</v>
      </c>
      <c r="I5" s="381" t="s">
        <v>429</v>
      </c>
      <c r="J5" s="380" t="s">
        <v>527</v>
      </c>
      <c r="K5" s="381" t="s">
        <v>429</v>
      </c>
      <c r="L5" s="4"/>
    </row>
    <row r="6" spans="2:15" ht="12.75" customHeight="1" x14ac:dyDescent="0.2">
      <c r="B6" s="126">
        <v>1</v>
      </c>
      <c r="C6" s="127" t="str">
        <f>'Program Descriptions'!C5</f>
        <v>Home Energy Solutions</v>
      </c>
      <c r="D6" s="382">
        <v>33073.580486824409</v>
      </c>
      <c r="E6" s="383">
        <v>4.2278776178415045</v>
      </c>
      <c r="F6" s="366">
        <v>-26211.58860484129</v>
      </c>
      <c r="G6" s="383">
        <v>0.47220268226865314</v>
      </c>
      <c r="H6" s="366">
        <v>11274.614586867488</v>
      </c>
      <c r="I6" s="383">
        <v>1.9259687372895145</v>
      </c>
      <c r="J6" s="366">
        <v>0</v>
      </c>
      <c r="K6" s="366">
        <v>0</v>
      </c>
      <c r="L6" s="4"/>
      <c r="O6" s="179">
        <f>IF(C6="Empty",0,IF(OR(ISBLANK(D6),ISBLANK(E6),ISBLANK(F6),ISBLANK(G6),ISBLANK(H6),ISBLANK(I6),ISBLANK(J6),ISBLANK(K6)),1,0))</f>
        <v>0</v>
      </c>
    </row>
    <row r="7" spans="2:15" ht="12.75" customHeight="1" x14ac:dyDescent="0.2">
      <c r="B7" s="126">
        <v>2</v>
      </c>
      <c r="C7" s="127" t="str">
        <f>'Program Descriptions'!C6</f>
        <v>Multifamily Homes</v>
      </c>
      <c r="D7" s="382">
        <v>11612.86838837202</v>
      </c>
      <c r="E7" s="383">
        <v>8.2300529933913644</v>
      </c>
      <c r="F7" s="366">
        <v>-9661.7570815526706</v>
      </c>
      <c r="G7" s="383">
        <v>0.37879498517228311</v>
      </c>
      <c r="H7" s="366">
        <v>3418.5587857460932</v>
      </c>
      <c r="I7" s="383">
        <v>2.3823895790662322</v>
      </c>
      <c r="J7" s="366">
        <v>0</v>
      </c>
      <c r="K7" s="366">
        <v>0</v>
      </c>
      <c r="L7" s="4"/>
      <c r="O7" s="179">
        <f t="shared" ref="O7:O26" si="0">IF(C7="Empty",0,IF(OR(ISBLANK(D7),ISBLANK(E7),ISBLANK(F7),ISBLANK(G7),ISBLANK(H7),ISBLANK(I7),ISBLANK(J7),ISBLANK(K7)),1,0))</f>
        <v>0</v>
      </c>
    </row>
    <row r="8" spans="2:15" ht="12.75" customHeight="1" x14ac:dyDescent="0.2">
      <c r="B8" s="126">
        <v>3</v>
      </c>
      <c r="C8" s="127" t="str">
        <f>'Program Descriptions'!C7</f>
        <v>Manufactured Homes</v>
      </c>
      <c r="D8" s="382">
        <v>5700.9327839032312</v>
      </c>
      <c r="E8" s="383">
        <v>8.273881881895532</v>
      </c>
      <c r="F8" s="366">
        <v>-4776.6126086855902</v>
      </c>
      <c r="G8" s="383">
        <v>0.37547222291152255</v>
      </c>
      <c r="H8" s="366">
        <v>1649.50470373641</v>
      </c>
      <c r="I8" s="383">
        <v>2.34957332760496</v>
      </c>
      <c r="J8" s="366">
        <v>0</v>
      </c>
      <c r="K8" s="366">
        <v>0</v>
      </c>
      <c r="L8" s="4"/>
      <c r="O8" s="179">
        <f t="shared" si="0"/>
        <v>0</v>
      </c>
    </row>
    <row r="9" spans="2:15" ht="12.75" customHeight="1" x14ac:dyDescent="0.2">
      <c r="B9" s="126">
        <v>4</v>
      </c>
      <c r="C9" s="127" t="str">
        <f>'Program Descriptions'!C8</f>
        <v xml:space="preserve">Low-Income Solutions </v>
      </c>
      <c r="D9" s="382">
        <v>9262.8430943939129</v>
      </c>
      <c r="E9" s="383">
        <v>3.9044069223338851</v>
      </c>
      <c r="F9" s="366">
        <v>-9153.1031749436006</v>
      </c>
      <c r="G9" s="383">
        <v>0.39674039985221082</v>
      </c>
      <c r="H9" s="366">
        <v>1345.9871417222348</v>
      </c>
      <c r="I9" s="383">
        <v>1.2879946564032883</v>
      </c>
      <c r="J9" s="366">
        <v>0</v>
      </c>
      <c r="K9" s="366">
        <v>0</v>
      </c>
      <c r="L9" s="4"/>
      <c r="O9" s="179">
        <f t="shared" si="0"/>
        <v>0</v>
      </c>
    </row>
    <row r="10" spans="2:15" ht="12.75" customHeight="1" x14ac:dyDescent="0.2">
      <c r="B10" s="126">
        <v>5</v>
      </c>
      <c r="C10" s="127" t="str">
        <f>'Program Descriptions'!C9</f>
        <v>Point of Purchase Solutions</v>
      </c>
      <c r="D10" s="382">
        <v>59147.947663058454</v>
      </c>
      <c r="E10" s="383">
        <v>10.741915124492168</v>
      </c>
      <c r="F10" s="366">
        <v>-39622.12987359531</v>
      </c>
      <c r="G10" s="383">
        <v>0.37398458465029533</v>
      </c>
      <c r="H10" s="366">
        <v>16841.523484843441</v>
      </c>
      <c r="I10" s="383">
        <v>3.4662041123041316</v>
      </c>
      <c r="J10" s="366">
        <v>0</v>
      </c>
      <c r="K10" s="366">
        <v>0</v>
      </c>
      <c r="L10" s="4"/>
      <c r="O10" s="179">
        <f t="shared" si="0"/>
        <v>0</v>
      </c>
    </row>
    <row r="11" spans="2:15" ht="12.75" customHeight="1" x14ac:dyDescent="0.2">
      <c r="B11" s="126">
        <v>6</v>
      </c>
      <c r="C11" s="127" t="str">
        <f>'Program Descriptions'!C10</f>
        <v>Large Commercial &amp; Industrial Solutions</v>
      </c>
      <c r="D11" s="382">
        <v>27673.354032934545</v>
      </c>
      <c r="E11" s="383">
        <v>4.9608463600424857</v>
      </c>
      <c r="F11" s="366">
        <v>-15054.323127628702</v>
      </c>
      <c r="G11" s="383">
        <v>0.61980307101037424</v>
      </c>
      <c r="H11" s="366">
        <v>12911.568909144646</v>
      </c>
      <c r="I11" s="383">
        <v>2.1101733543912395</v>
      </c>
      <c r="J11" s="366">
        <v>0</v>
      </c>
      <c r="K11" s="366">
        <v>0</v>
      </c>
      <c r="L11" s="4"/>
      <c r="O11" s="179">
        <f t="shared" si="0"/>
        <v>0</v>
      </c>
    </row>
    <row r="12" spans="2:15" ht="12.75" customHeight="1" x14ac:dyDescent="0.2">
      <c r="B12" s="126">
        <v>7</v>
      </c>
      <c r="C12" s="127" t="str">
        <f>'Program Descriptions'!C11</f>
        <v>Small Business Solutions</v>
      </c>
      <c r="D12" s="382">
        <v>8678.8954137235905</v>
      </c>
      <c r="E12" s="383">
        <v>7.2812481940280307</v>
      </c>
      <c r="F12" s="366">
        <v>-6743.9893598789386</v>
      </c>
      <c r="G12" s="383">
        <v>0.36685200977822041</v>
      </c>
      <c r="H12" s="366">
        <v>1959.6939185355593</v>
      </c>
      <c r="I12" s="383">
        <v>2.0060866498476915</v>
      </c>
      <c r="J12" s="366">
        <v>0</v>
      </c>
      <c r="K12" s="366">
        <v>0</v>
      </c>
      <c r="L12" s="4"/>
      <c r="O12" s="179">
        <f t="shared" si="0"/>
        <v>0</v>
      </c>
    </row>
    <row r="13" spans="2:15" ht="12.75" customHeight="1" x14ac:dyDescent="0.2">
      <c r="B13" s="126">
        <v>8</v>
      </c>
      <c r="C13" s="127" t="str">
        <f>'Program Descriptions'!C12</f>
        <v xml:space="preserve">Public Institutions Solutions </v>
      </c>
      <c r="D13" s="382">
        <v>12914.296025059146</v>
      </c>
      <c r="E13" s="383">
        <v>5.0017111788242428</v>
      </c>
      <c r="F13" s="366">
        <v>-10471.09661874467</v>
      </c>
      <c r="G13" s="383">
        <v>0.38072372855273084</v>
      </c>
      <c r="H13" s="366">
        <v>4108.0731772547897</v>
      </c>
      <c r="I13" s="383">
        <v>2.7635505397857254</v>
      </c>
      <c r="J13" s="366">
        <v>0</v>
      </c>
      <c r="K13" s="366">
        <v>0</v>
      </c>
      <c r="L13" s="4"/>
      <c r="O13" s="179">
        <f t="shared" si="0"/>
        <v>0</v>
      </c>
    </row>
    <row r="14" spans="2:15" ht="12.75" customHeight="1" x14ac:dyDescent="0.2">
      <c r="B14" s="126">
        <v>9</v>
      </c>
      <c r="C14" s="127" t="str">
        <f>'Program Descriptions'!C13</f>
        <v>Agricultural Energy Solutions</v>
      </c>
      <c r="D14" s="382">
        <v>2538.0693899815547</v>
      </c>
      <c r="E14" s="383">
        <v>2.8012499055001672</v>
      </c>
      <c r="F14" s="366">
        <v>-2469.219729728125</v>
      </c>
      <c r="G14" s="383">
        <v>0.4654024729364003</v>
      </c>
      <c r="H14" s="366">
        <v>214.23778810276511</v>
      </c>
      <c r="I14" s="383">
        <v>1.1106953987346446</v>
      </c>
      <c r="J14" s="366">
        <v>0</v>
      </c>
      <c r="K14" s="366">
        <v>0</v>
      </c>
      <c r="L14" s="4"/>
      <c r="O14" s="179">
        <f t="shared" si="0"/>
        <v>0</v>
      </c>
    </row>
    <row r="15" spans="2:15" ht="12.75" customHeight="1" x14ac:dyDescent="0.2">
      <c r="B15" s="126">
        <v>10</v>
      </c>
      <c r="C15" s="127" t="str">
        <f>'Program Descriptions'!C14</f>
        <v>Residential Direct Load Control</v>
      </c>
      <c r="D15" s="382">
        <v>362.15249999999997</v>
      </c>
      <c r="E15" s="383" t="s">
        <v>528</v>
      </c>
      <c r="F15" s="366">
        <v>-2228.1525000000001</v>
      </c>
      <c r="G15" s="383">
        <v>0</v>
      </c>
      <c r="H15" s="366">
        <v>-2228.1525000000001</v>
      </c>
      <c r="I15" s="383">
        <v>0</v>
      </c>
      <c r="J15" s="366">
        <v>0</v>
      </c>
      <c r="K15" s="366">
        <v>0</v>
      </c>
      <c r="L15" s="4"/>
      <c r="O15" s="179">
        <f t="shared" si="0"/>
        <v>0</v>
      </c>
    </row>
    <row r="16" spans="2:15" ht="12.75" customHeight="1" x14ac:dyDescent="0.2">
      <c r="B16" s="126">
        <v>11</v>
      </c>
      <c r="C16" s="127" t="str">
        <f>'Program Descriptions'!C15</f>
        <v xml:space="preserve">Smart Direct Load Control Pilot </v>
      </c>
      <c r="D16" s="382">
        <v>6470.6179168437839</v>
      </c>
      <c r="E16" s="383" t="s">
        <v>528</v>
      </c>
      <c r="F16" s="366">
        <v>-7178.1152729138321</v>
      </c>
      <c r="G16" s="383">
        <v>0.17768558603646645</v>
      </c>
      <c r="H16" s="366">
        <v>-3166.6780641455289</v>
      </c>
      <c r="I16" s="383">
        <v>0.3287699938015391</v>
      </c>
      <c r="J16" s="366">
        <v>0</v>
      </c>
      <c r="K16" s="366">
        <v>0</v>
      </c>
      <c r="L16" s="4"/>
      <c r="O16" s="179">
        <f t="shared" si="0"/>
        <v>0</v>
      </c>
    </row>
    <row r="17" spans="2:15" ht="12.75" customHeight="1" thickBot="1" x14ac:dyDescent="0.25">
      <c r="B17" s="126">
        <v>12</v>
      </c>
      <c r="C17" s="127" t="str">
        <f>'Program Descriptions'!C16</f>
        <v>Agricultural Irrigation Load Control</v>
      </c>
      <c r="D17" s="382">
        <v>350.25</v>
      </c>
      <c r="E17" s="383" t="s">
        <v>528</v>
      </c>
      <c r="F17" s="366">
        <v>-3540.2652499999999</v>
      </c>
      <c r="G17" s="383">
        <v>0</v>
      </c>
      <c r="H17" s="366">
        <v>-3540.2652499999999</v>
      </c>
      <c r="I17" s="383">
        <v>0</v>
      </c>
      <c r="J17" s="366">
        <v>0</v>
      </c>
      <c r="K17" s="366">
        <v>0</v>
      </c>
      <c r="L17" s="4"/>
      <c r="O17" s="179">
        <f t="shared" si="0"/>
        <v>0</v>
      </c>
    </row>
    <row r="18" spans="2:15" ht="12.75" hidden="1" customHeight="1" x14ac:dyDescent="0.2">
      <c r="B18" s="126">
        <v>13</v>
      </c>
      <c r="C18" s="127" t="str">
        <f>'Program Descriptions'!C17</f>
        <v>Empty</v>
      </c>
      <c r="D18" s="382"/>
      <c r="E18" s="383"/>
      <c r="F18" s="366"/>
      <c r="G18" s="383"/>
      <c r="H18" s="366"/>
      <c r="I18" s="383"/>
      <c r="J18" s="366">
        <v>0</v>
      </c>
      <c r="K18" s="366">
        <v>0</v>
      </c>
      <c r="L18" s="4"/>
      <c r="O18" s="179">
        <f t="shared" si="0"/>
        <v>0</v>
      </c>
    </row>
    <row r="19" spans="2:15" ht="12.75" hidden="1" customHeight="1" x14ac:dyDescent="0.2">
      <c r="B19" s="126">
        <v>14</v>
      </c>
      <c r="C19" s="127" t="str">
        <f>'Program Descriptions'!C18</f>
        <v>Empty</v>
      </c>
      <c r="D19" s="366"/>
      <c r="E19" s="383"/>
      <c r="F19" s="366"/>
      <c r="G19" s="383"/>
      <c r="H19" s="366"/>
      <c r="I19" s="383"/>
      <c r="J19" s="366">
        <v>0</v>
      </c>
      <c r="K19" s="383">
        <v>0</v>
      </c>
      <c r="L19" s="4"/>
      <c r="O19" s="179">
        <f t="shared" si="0"/>
        <v>0</v>
      </c>
    </row>
    <row r="20" spans="2:15" ht="12.75" hidden="1" customHeight="1" x14ac:dyDescent="0.2">
      <c r="B20" s="126">
        <v>15</v>
      </c>
      <c r="C20" s="127" t="str">
        <f>'Program Descriptions'!C19</f>
        <v>Empty</v>
      </c>
      <c r="D20" s="366"/>
      <c r="E20" s="383"/>
      <c r="F20" s="366"/>
      <c r="G20" s="383"/>
      <c r="H20" s="366"/>
      <c r="I20" s="383"/>
      <c r="J20" s="366">
        <v>0</v>
      </c>
      <c r="K20" s="383">
        <v>0</v>
      </c>
      <c r="L20" s="4"/>
      <c r="O20" s="179">
        <f t="shared" si="0"/>
        <v>0</v>
      </c>
    </row>
    <row r="21" spans="2:15" ht="12.75" hidden="1" customHeight="1" x14ac:dyDescent="0.2">
      <c r="B21" s="126">
        <v>16</v>
      </c>
      <c r="C21" s="127" t="str">
        <f>'Program Descriptions'!C20</f>
        <v>Empty</v>
      </c>
      <c r="D21" s="366"/>
      <c r="E21" s="383"/>
      <c r="F21" s="366"/>
      <c r="G21" s="383"/>
      <c r="H21" s="366"/>
      <c r="I21" s="383"/>
      <c r="J21" s="366">
        <v>0</v>
      </c>
      <c r="K21" s="383">
        <v>0</v>
      </c>
      <c r="L21" s="4"/>
      <c r="O21" s="179">
        <f t="shared" si="0"/>
        <v>0</v>
      </c>
    </row>
    <row r="22" spans="2:15" ht="12.75" hidden="1" customHeight="1" x14ac:dyDescent="0.2">
      <c r="B22" s="126">
        <v>17</v>
      </c>
      <c r="C22" s="127" t="str">
        <f>'Program Descriptions'!C21</f>
        <v>Empty</v>
      </c>
      <c r="D22" s="366"/>
      <c r="E22" s="383"/>
      <c r="F22" s="366"/>
      <c r="G22" s="383"/>
      <c r="H22" s="366"/>
      <c r="I22" s="383"/>
      <c r="J22" s="366">
        <v>0</v>
      </c>
      <c r="K22" s="383">
        <v>0</v>
      </c>
      <c r="L22" s="4"/>
      <c r="O22" s="179">
        <f t="shared" si="0"/>
        <v>0</v>
      </c>
    </row>
    <row r="23" spans="2:15" ht="12.75" hidden="1" customHeight="1" x14ac:dyDescent="0.2">
      <c r="B23" s="126">
        <v>18</v>
      </c>
      <c r="C23" s="127" t="str">
        <f>'Program Descriptions'!C22</f>
        <v>Empty</v>
      </c>
      <c r="D23" s="366"/>
      <c r="E23" s="383"/>
      <c r="F23" s="366"/>
      <c r="G23" s="383"/>
      <c r="H23" s="366"/>
      <c r="I23" s="383"/>
      <c r="J23" s="366">
        <v>0</v>
      </c>
      <c r="K23" s="383">
        <v>0</v>
      </c>
      <c r="L23" s="4"/>
      <c r="O23" s="179">
        <f t="shared" si="0"/>
        <v>0</v>
      </c>
    </row>
    <row r="24" spans="2:15" ht="12.75" hidden="1" customHeight="1" x14ac:dyDescent="0.2">
      <c r="B24" s="126">
        <v>19</v>
      </c>
      <c r="C24" s="127" t="str">
        <f>'Program Descriptions'!C23</f>
        <v>Empty</v>
      </c>
      <c r="D24" s="366"/>
      <c r="E24" s="383"/>
      <c r="F24" s="366"/>
      <c r="G24" s="383"/>
      <c r="H24" s="366"/>
      <c r="I24" s="383"/>
      <c r="J24" s="366">
        <v>0</v>
      </c>
      <c r="K24" s="383">
        <v>0</v>
      </c>
      <c r="L24" s="4"/>
      <c r="O24" s="179">
        <f t="shared" si="0"/>
        <v>0</v>
      </c>
    </row>
    <row r="25" spans="2:15" ht="12.75" hidden="1" customHeight="1" thickBot="1" x14ac:dyDescent="0.25">
      <c r="B25" s="126">
        <v>20</v>
      </c>
      <c r="C25" s="127" t="str">
        <f>'Program Descriptions'!C24</f>
        <v>Empty</v>
      </c>
      <c r="D25" s="460"/>
      <c r="E25" s="604"/>
      <c r="F25" s="460"/>
      <c r="G25" s="604"/>
      <c r="H25" s="460"/>
      <c r="I25" s="604"/>
      <c r="J25" s="460">
        <v>0</v>
      </c>
      <c r="K25" s="604">
        <v>0</v>
      </c>
      <c r="L25" s="4"/>
      <c r="O25" s="179">
        <f t="shared" si="0"/>
        <v>0</v>
      </c>
    </row>
    <row r="26" spans="2:15" ht="12.75" customHeight="1" thickBot="1" x14ac:dyDescent="0.3">
      <c r="B26" s="7"/>
      <c r="C26" s="130" t="s">
        <v>174</v>
      </c>
      <c r="D26" s="253">
        <v>177785.80769509464</v>
      </c>
      <c r="E26" s="254">
        <v>6.0939151921981365</v>
      </c>
      <c r="F26" s="253">
        <v>-137110.35320251275</v>
      </c>
      <c r="G26" s="254">
        <v>0.42294063753543243</v>
      </c>
      <c r="H26" s="253">
        <v>44788.666681807917</v>
      </c>
      <c r="I26" s="254">
        <v>1.8040649441747414</v>
      </c>
      <c r="J26" s="288">
        <v>0</v>
      </c>
      <c r="K26" s="289">
        <v>0</v>
      </c>
      <c r="L26" s="4"/>
      <c r="O26" s="179">
        <f t="shared" si="0"/>
        <v>0</v>
      </c>
    </row>
    <row r="27" spans="2:15" ht="12.75" customHeight="1" x14ac:dyDescent="0.2">
      <c r="B27" s="5"/>
      <c r="C27" s="353"/>
      <c r="D27" s="353"/>
      <c r="E27" s="353"/>
      <c r="F27" s="353"/>
      <c r="G27" s="353"/>
      <c r="H27" s="353"/>
      <c r="I27" s="353"/>
      <c r="J27" s="353"/>
      <c r="K27" s="353"/>
      <c r="L27" s="6"/>
      <c r="O27" s="2">
        <f>SUM(O6:O26)</f>
        <v>0</v>
      </c>
    </row>
  </sheetData>
  <sheetProtection algorithmName="SHA-512" hashValue="vvLgkToZ1mZM2UMNMeHYFncBynadgfrHvhPbt8vjgdNv6l6qC45KgAUK9ZsnFIc9fgWFSvHjBXWFz3n6XpgQJA==" saltValue="tHpt6q6F4ZlvkcRjIIWs+A==" spinCount="100000" sheet="1" objects="1" scenarios="1" formatRows="0"/>
  <mergeCells count="5">
    <mergeCell ref="J4:K4"/>
    <mergeCell ref="H4:I4"/>
    <mergeCell ref="F4:G4"/>
    <mergeCell ref="D4:E4"/>
    <mergeCell ref="B2:L2"/>
  </mergeCells>
  <conditionalFormatting sqref="D6:K25">
    <cfRule type="expression" dxfId="12" priority="1">
      <formula>$B6&gt;Programs</formula>
    </cfRule>
  </conditionalFormatting>
  <pageMargins left="0.25" right="0.25" top="0.5" bottom="0.5" header="0.3" footer="0.3"/>
  <pageSetup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L124"/>
  <sheetViews>
    <sheetView showGridLines="0" zoomScaleNormal="100" workbookViewId="0">
      <pane ySplit="2" topLeftCell="A3" activePane="bottomLeft" state="frozen"/>
      <selection pane="bottomLeft" activeCell="A3" sqref="A3"/>
    </sheetView>
  </sheetViews>
  <sheetFormatPr defaultColWidth="9.42578125" defaultRowHeight="12.75" x14ac:dyDescent="0.2"/>
  <cols>
    <col min="1" max="1" width="1" style="2" customWidth="1"/>
    <col min="2" max="2" width="3.5703125" style="2" customWidth="1"/>
    <col min="3" max="3" width="35.5703125" style="2" customWidth="1"/>
    <col min="4" max="6" width="12.42578125" style="2" customWidth="1"/>
    <col min="7" max="7" width="10" style="2" customWidth="1"/>
    <col min="8" max="10" width="12.42578125" style="2" customWidth="1"/>
    <col min="11" max="11" width="1.5703125" style="2" customWidth="1"/>
    <col min="12" max="12" width="8.5703125" style="2" customWidth="1"/>
    <col min="13" max="13" width="1" style="2" customWidth="1"/>
    <col min="14" max="14" width="5.42578125" style="2" customWidth="1"/>
    <col min="15" max="16384" width="9.42578125" style="2"/>
  </cols>
  <sheetData>
    <row r="1" spans="2:12" ht="28.5" customHeight="1" x14ac:dyDescent="0.2"/>
    <row r="2" spans="2:12" ht="90" customHeight="1" x14ac:dyDescent="0.2">
      <c r="B2" s="461"/>
      <c r="C2" s="462"/>
      <c r="D2" s="462"/>
      <c r="E2" s="462"/>
      <c r="F2" s="462"/>
      <c r="G2" s="462"/>
      <c r="H2" s="462"/>
      <c r="I2" s="462"/>
      <c r="J2" s="462"/>
      <c r="K2" s="462"/>
      <c r="L2" s="463"/>
    </row>
    <row r="3" spans="2:12" x14ac:dyDescent="0.2">
      <c r="B3" s="589"/>
      <c r="C3" s="590"/>
      <c r="D3" s="590"/>
      <c r="E3" s="590"/>
      <c r="F3" s="590"/>
      <c r="G3" s="590"/>
      <c r="H3" s="590"/>
      <c r="I3" s="590"/>
      <c r="J3" s="590"/>
      <c r="K3" s="590"/>
      <c r="L3" s="591"/>
    </row>
    <row r="4" spans="2:12" ht="21" x14ac:dyDescent="0.2">
      <c r="B4" s="3"/>
      <c r="C4" s="711" t="s">
        <v>529</v>
      </c>
      <c r="D4" s="711"/>
      <c r="E4" s="711"/>
      <c r="F4" s="711"/>
      <c r="G4" s="711"/>
      <c r="H4" s="711"/>
      <c r="I4" s="711"/>
      <c r="J4" s="711"/>
      <c r="L4" s="4"/>
    </row>
    <row r="5" spans="2:12" ht="15.75" x14ac:dyDescent="0.25">
      <c r="B5" s="3"/>
      <c r="D5" s="710" t="str">
        <f>Prg_Year&amp;" LCFC Energy Savings "&amp;"("&amp;Energy_1&amp;")"</f>
        <v>2025 LCFC Energy Savings (kWh)</v>
      </c>
      <c r="E5" s="710"/>
      <c r="F5" s="710"/>
      <c r="H5" s="710" t="str">
        <f>Prg_Year&amp;" LCFC Cost Recovery ($)"</f>
        <v>2025 LCFC Cost Recovery ($)</v>
      </c>
      <c r="I5" s="710"/>
      <c r="J5" s="710"/>
      <c r="K5" s="629"/>
      <c r="L5" s="4"/>
    </row>
    <row r="6" spans="2:12" ht="15" customHeight="1" x14ac:dyDescent="0.25">
      <c r="B6" s="3"/>
      <c r="C6" s="8" t="s">
        <v>85</v>
      </c>
      <c r="D6" s="25">
        <f>Prg_Year</f>
        <v>2025</v>
      </c>
      <c r="E6" s="25">
        <f>D6-1</f>
        <v>2024</v>
      </c>
      <c r="F6" s="25" t="str">
        <f>"Prior to "&amp;E6</f>
        <v>Prior to 2024</v>
      </c>
      <c r="H6" s="25">
        <f>D6</f>
        <v>2025</v>
      </c>
      <c r="I6" s="25">
        <f>E6</f>
        <v>2024</v>
      </c>
      <c r="J6" s="25" t="str">
        <f>F6</f>
        <v>Prior to 2024</v>
      </c>
      <c r="K6" s="25"/>
      <c r="L6" s="4"/>
    </row>
    <row r="7" spans="2:12" ht="15" customHeight="1" x14ac:dyDescent="0.2">
      <c r="B7" s="126">
        <v>1</v>
      </c>
      <c r="C7" s="127" t="str">
        <f>'Program Descriptions'!C5</f>
        <v>Home Energy Solutions</v>
      </c>
      <c r="D7" s="464">
        <v>0</v>
      </c>
      <c r="E7" s="464">
        <v>0</v>
      </c>
      <c r="F7" s="464">
        <v>72871626.841933608</v>
      </c>
      <c r="H7" s="454">
        <v>0</v>
      </c>
      <c r="I7" s="454">
        <v>0</v>
      </c>
      <c r="J7" s="454">
        <v>2518140.4323554798</v>
      </c>
      <c r="K7" s="25"/>
      <c r="L7" s="4"/>
    </row>
    <row r="8" spans="2:12" ht="15" customHeight="1" x14ac:dyDescent="0.2">
      <c r="B8" s="126">
        <v>2</v>
      </c>
      <c r="C8" s="127" t="str">
        <f>'Program Descriptions'!C6</f>
        <v>Multifamily Homes</v>
      </c>
      <c r="D8" s="464">
        <v>0</v>
      </c>
      <c r="E8" s="464">
        <v>0</v>
      </c>
      <c r="F8" s="464">
        <v>7197147.8221151521</v>
      </c>
      <c r="H8" s="454">
        <v>0</v>
      </c>
      <c r="I8" s="454">
        <v>0</v>
      </c>
      <c r="J8" s="454">
        <v>227425.85795463005</v>
      </c>
      <c r="K8" s="25"/>
      <c r="L8" s="4"/>
    </row>
    <row r="9" spans="2:12" ht="15" customHeight="1" x14ac:dyDescent="0.2">
      <c r="B9" s="126">
        <v>3</v>
      </c>
      <c r="C9" s="127" t="str">
        <f>'Program Descriptions'!C7</f>
        <v>Manufactured Homes</v>
      </c>
      <c r="D9" s="464">
        <v>0</v>
      </c>
      <c r="E9" s="464">
        <v>0</v>
      </c>
      <c r="F9" s="464">
        <v>3706890.8593686372</v>
      </c>
      <c r="H9" s="454">
        <v>0</v>
      </c>
      <c r="I9" s="454">
        <v>0</v>
      </c>
      <c r="J9" s="454">
        <v>128479.12362259245</v>
      </c>
      <c r="K9" s="25"/>
      <c r="L9" s="4"/>
    </row>
    <row r="10" spans="2:12" ht="15" customHeight="1" x14ac:dyDescent="0.2">
      <c r="B10" s="126">
        <v>4</v>
      </c>
      <c r="C10" s="127" t="str">
        <f>'Program Descriptions'!C8</f>
        <v xml:space="preserve">Low-Income Solutions </v>
      </c>
      <c r="D10" s="464">
        <v>0</v>
      </c>
      <c r="E10" s="464">
        <v>0</v>
      </c>
      <c r="F10" s="464">
        <v>0</v>
      </c>
      <c r="H10" s="454">
        <v>0</v>
      </c>
      <c r="I10" s="454">
        <v>0</v>
      </c>
      <c r="J10" s="454">
        <v>0</v>
      </c>
      <c r="L10" s="4"/>
    </row>
    <row r="11" spans="2:12" ht="15" customHeight="1" x14ac:dyDescent="0.2">
      <c r="B11" s="126">
        <v>5</v>
      </c>
      <c r="C11" s="127" t="str">
        <f>'Program Descriptions'!C9</f>
        <v>Point of Purchase Solutions</v>
      </c>
      <c r="D11" s="464">
        <v>0</v>
      </c>
      <c r="E11" s="464">
        <v>0</v>
      </c>
      <c r="F11" s="464">
        <v>0</v>
      </c>
      <c r="H11" s="454">
        <v>0</v>
      </c>
      <c r="I11" s="454">
        <v>0</v>
      </c>
      <c r="J11" s="454">
        <v>0</v>
      </c>
      <c r="L11" s="4"/>
    </row>
    <row r="12" spans="2:12" ht="15" customHeight="1" x14ac:dyDescent="0.2">
      <c r="B12" s="126">
        <v>6</v>
      </c>
      <c r="C12" s="127" t="str">
        <f>'Program Descriptions'!C10</f>
        <v>Large Commercial &amp; Industrial Solutions</v>
      </c>
      <c r="D12" s="464">
        <v>0</v>
      </c>
      <c r="E12" s="464">
        <v>0</v>
      </c>
      <c r="F12" s="464">
        <v>340322297.42465115</v>
      </c>
      <c r="H12" s="454">
        <v>0</v>
      </c>
      <c r="I12" s="454">
        <v>0</v>
      </c>
      <c r="J12" s="454">
        <v>6651008.8310603071</v>
      </c>
      <c r="L12" s="4"/>
    </row>
    <row r="13" spans="2:12" ht="15" customHeight="1" x14ac:dyDescent="0.2">
      <c r="B13" s="126">
        <v>7</v>
      </c>
      <c r="C13" s="127" t="str">
        <f>'Program Descriptions'!C11</f>
        <v>Small Business Solutions</v>
      </c>
      <c r="D13" s="464">
        <v>0</v>
      </c>
      <c r="E13" s="464">
        <v>0</v>
      </c>
      <c r="F13" s="464">
        <v>50585849.828582987</v>
      </c>
      <c r="H13" s="454">
        <v>0</v>
      </c>
      <c r="I13" s="454">
        <v>0</v>
      </c>
      <c r="J13" s="454">
        <v>1226064.381850536</v>
      </c>
      <c r="L13" s="4"/>
    </row>
    <row r="14" spans="2:12" ht="15" customHeight="1" x14ac:dyDescent="0.2">
      <c r="B14" s="126">
        <v>8</v>
      </c>
      <c r="C14" s="127" t="str">
        <f>'Program Descriptions'!C12</f>
        <v xml:space="preserve">Public Institutions Solutions </v>
      </c>
      <c r="D14" s="464">
        <v>0</v>
      </c>
      <c r="E14" s="464">
        <v>0</v>
      </c>
      <c r="F14" s="464">
        <v>63723082.406466872</v>
      </c>
      <c r="H14" s="454">
        <v>0</v>
      </c>
      <c r="I14" s="454">
        <v>0</v>
      </c>
      <c r="J14" s="454">
        <v>1514848.5959667605</v>
      </c>
      <c r="L14" s="4"/>
    </row>
    <row r="15" spans="2:12" ht="15" customHeight="1" x14ac:dyDescent="0.2">
      <c r="B15" s="126">
        <v>9</v>
      </c>
      <c r="C15" s="127" t="str">
        <f>'Program Descriptions'!C13</f>
        <v>Agricultural Energy Solutions</v>
      </c>
      <c r="D15" s="464">
        <v>0</v>
      </c>
      <c r="E15" s="464">
        <v>0</v>
      </c>
      <c r="F15" s="464">
        <v>12537978.553946882</v>
      </c>
      <c r="H15" s="454">
        <v>0</v>
      </c>
      <c r="I15" s="454">
        <v>0</v>
      </c>
      <c r="J15" s="454">
        <v>278255.82873494981</v>
      </c>
      <c r="L15" s="4"/>
    </row>
    <row r="16" spans="2:12" ht="15" customHeight="1" x14ac:dyDescent="0.2">
      <c r="B16" s="126">
        <v>10</v>
      </c>
      <c r="C16" s="127" t="str">
        <f>'Program Descriptions'!C14</f>
        <v>Residential Direct Load Control</v>
      </c>
      <c r="D16" s="464">
        <v>0</v>
      </c>
      <c r="E16" s="464">
        <v>0</v>
      </c>
      <c r="F16" s="464">
        <v>0</v>
      </c>
      <c r="H16" s="454">
        <v>0</v>
      </c>
      <c r="I16" s="454">
        <v>0</v>
      </c>
      <c r="J16" s="454">
        <v>0</v>
      </c>
      <c r="L16" s="4"/>
    </row>
    <row r="17" spans="2:12" ht="15" customHeight="1" x14ac:dyDescent="0.2">
      <c r="B17" s="126">
        <v>11</v>
      </c>
      <c r="C17" s="127" t="str">
        <f>'Program Descriptions'!C15</f>
        <v xml:space="preserve">Smart Direct Load Control Pilot </v>
      </c>
      <c r="D17" s="464">
        <v>0</v>
      </c>
      <c r="E17" s="464">
        <v>0</v>
      </c>
      <c r="F17" s="464">
        <v>0</v>
      </c>
      <c r="H17" s="454">
        <v>0</v>
      </c>
      <c r="I17" s="454">
        <v>0</v>
      </c>
      <c r="J17" s="454">
        <v>0</v>
      </c>
      <c r="L17" s="4"/>
    </row>
    <row r="18" spans="2:12" ht="15" customHeight="1" x14ac:dyDescent="0.2">
      <c r="B18" s="126">
        <v>12</v>
      </c>
      <c r="C18" s="127" t="str">
        <f>'Program Descriptions'!C16</f>
        <v>Agricultural Irrigation Load Control</v>
      </c>
      <c r="D18" s="464">
        <v>0</v>
      </c>
      <c r="E18" s="464">
        <v>0</v>
      </c>
      <c r="F18" s="464">
        <v>0</v>
      </c>
      <c r="H18" s="454">
        <v>0</v>
      </c>
      <c r="I18" s="454">
        <v>0</v>
      </c>
      <c r="J18" s="454">
        <v>0</v>
      </c>
      <c r="L18" s="4"/>
    </row>
    <row r="19" spans="2:12" ht="15" customHeight="1" thickBot="1" x14ac:dyDescent="0.25">
      <c r="B19" s="126">
        <v>13</v>
      </c>
      <c r="C19" s="127" t="str">
        <f>'Program Descriptions'!C17</f>
        <v>Empty</v>
      </c>
      <c r="D19" s="464">
        <v>0</v>
      </c>
      <c r="E19" s="464">
        <v>0</v>
      </c>
      <c r="F19" s="464">
        <v>0</v>
      </c>
      <c r="H19" s="454">
        <v>0</v>
      </c>
      <c r="I19" s="454">
        <v>0</v>
      </c>
      <c r="J19" s="454">
        <v>0</v>
      </c>
      <c r="L19" s="4"/>
    </row>
    <row r="20" spans="2:12" ht="15" hidden="1" customHeight="1" x14ac:dyDescent="0.2">
      <c r="B20" s="126">
        <v>14</v>
      </c>
      <c r="C20" s="127" t="str">
        <f>'Program Descriptions'!C18</f>
        <v>Empty</v>
      </c>
      <c r="D20" s="464"/>
      <c r="E20" s="464"/>
      <c r="F20" s="464"/>
      <c r="H20" s="454"/>
      <c r="I20" s="454"/>
      <c r="J20" s="454"/>
      <c r="L20" s="4"/>
    </row>
    <row r="21" spans="2:12" ht="15" hidden="1" customHeight="1" x14ac:dyDescent="0.2">
      <c r="B21" s="126">
        <v>15</v>
      </c>
      <c r="C21" s="127" t="str">
        <f>'Program Descriptions'!C19</f>
        <v>Empty</v>
      </c>
      <c r="D21" s="464"/>
      <c r="E21" s="464"/>
      <c r="F21" s="464"/>
      <c r="H21" s="454"/>
      <c r="I21" s="454"/>
      <c r="J21" s="454"/>
      <c r="L21" s="4"/>
    </row>
    <row r="22" spans="2:12" ht="15" hidden="1" customHeight="1" x14ac:dyDescent="0.2">
      <c r="B22" s="126">
        <v>16</v>
      </c>
      <c r="C22" s="127" t="str">
        <f>'Program Descriptions'!C20</f>
        <v>Empty</v>
      </c>
      <c r="D22" s="464"/>
      <c r="E22" s="464"/>
      <c r="F22" s="464"/>
      <c r="H22" s="454"/>
      <c r="I22" s="454"/>
      <c r="J22" s="454"/>
      <c r="L22" s="4"/>
    </row>
    <row r="23" spans="2:12" ht="15" hidden="1" customHeight="1" x14ac:dyDescent="0.2">
      <c r="B23" s="126">
        <v>17</v>
      </c>
      <c r="C23" s="127" t="str">
        <f>'Program Descriptions'!C21</f>
        <v>Empty</v>
      </c>
      <c r="D23" s="464"/>
      <c r="E23" s="464"/>
      <c r="F23" s="464"/>
      <c r="H23" s="455"/>
      <c r="I23" s="455"/>
      <c r="J23" s="455"/>
      <c r="L23" s="4"/>
    </row>
    <row r="24" spans="2:12" ht="15" hidden="1" customHeight="1" x14ac:dyDescent="0.2">
      <c r="B24" s="126">
        <v>18</v>
      </c>
      <c r="C24" s="127" t="str">
        <f>'Program Descriptions'!C22</f>
        <v>Empty</v>
      </c>
      <c r="D24" s="464"/>
      <c r="E24" s="464"/>
      <c r="F24" s="464"/>
      <c r="H24" s="455"/>
      <c r="I24" s="455"/>
      <c r="J24" s="455"/>
      <c r="L24" s="4"/>
    </row>
    <row r="25" spans="2:12" ht="15" hidden="1" customHeight="1" x14ac:dyDescent="0.2">
      <c r="B25" s="126">
        <v>19</v>
      </c>
      <c r="C25" s="127" t="str">
        <f>'Program Descriptions'!C23</f>
        <v>Empty</v>
      </c>
      <c r="D25" s="464"/>
      <c r="E25" s="464"/>
      <c r="F25" s="464"/>
      <c r="H25" s="455"/>
      <c r="I25" s="455"/>
      <c r="J25" s="455"/>
      <c r="L25" s="4"/>
    </row>
    <row r="26" spans="2:12" ht="15" hidden="1" customHeight="1" thickBot="1" x14ac:dyDescent="0.25">
      <c r="B26" s="126">
        <v>20</v>
      </c>
      <c r="C26" s="127" t="str">
        <f>'Program Descriptions'!C24</f>
        <v>Empty</v>
      </c>
      <c r="D26" s="605"/>
      <c r="E26" s="605"/>
      <c r="F26" s="605"/>
      <c r="H26" s="592"/>
      <c r="I26" s="592"/>
      <c r="J26" s="592"/>
      <c r="L26" s="4"/>
    </row>
    <row r="27" spans="2:12" ht="15" customHeight="1" x14ac:dyDescent="0.25">
      <c r="B27" s="3"/>
      <c r="C27" s="130" t="s">
        <v>164</v>
      </c>
      <c r="D27" s="285">
        <f>SUM(D7:D26)</f>
        <v>0</v>
      </c>
      <c r="E27" s="285">
        <f>SUM(E7:E26)</f>
        <v>0</v>
      </c>
      <c r="F27" s="285">
        <f>SUM(F7:F26)</f>
        <v>550944873.73706532</v>
      </c>
      <c r="H27" s="283">
        <f>SUM(H7:H26)</f>
        <v>0</v>
      </c>
      <c r="I27" s="283">
        <f>SUM(I7:I26)</f>
        <v>0</v>
      </c>
      <c r="J27" s="283">
        <f>SUM(J7:J26)</f>
        <v>12544223.051545255</v>
      </c>
      <c r="L27" s="4"/>
    </row>
    <row r="28" spans="2:12" ht="15" customHeight="1" x14ac:dyDescent="0.2">
      <c r="B28" s="3"/>
      <c r="L28" s="4"/>
    </row>
    <row r="29" spans="2:12" ht="15" customHeight="1" x14ac:dyDescent="0.25">
      <c r="B29" s="3"/>
      <c r="D29" s="710" t="str">
        <f>D5</f>
        <v>2025 LCFC Energy Savings (kWh)</v>
      </c>
      <c r="E29" s="710"/>
      <c r="F29" s="710"/>
      <c r="H29" s="710" t="str">
        <f>H5</f>
        <v>2025 LCFC Cost Recovery ($)</v>
      </c>
      <c r="I29" s="710"/>
      <c r="J29" s="710"/>
      <c r="L29" s="4"/>
    </row>
    <row r="30" spans="2:12" x14ac:dyDescent="0.2">
      <c r="B30" s="3"/>
      <c r="D30" s="25">
        <f>D6</f>
        <v>2025</v>
      </c>
      <c r="E30" s="25">
        <f>E6</f>
        <v>2024</v>
      </c>
      <c r="F30" s="25" t="str">
        <f>F6</f>
        <v>Prior to 2024</v>
      </c>
      <c r="H30" s="25">
        <f>H6</f>
        <v>2025</v>
      </c>
      <c r="I30" s="25">
        <f>I6</f>
        <v>2024</v>
      </c>
      <c r="J30" s="25" t="str">
        <f>J6</f>
        <v>Prior to 2024</v>
      </c>
      <c r="L30" s="4"/>
    </row>
    <row r="31" spans="2:12" ht="15" customHeight="1" x14ac:dyDescent="0.25">
      <c r="B31" s="3"/>
      <c r="C31" s="176" t="s">
        <v>530</v>
      </c>
      <c r="D31" s="236" t="s">
        <v>121</v>
      </c>
      <c r="E31" s="464">
        <v>0</v>
      </c>
      <c r="F31" s="464">
        <v>288380144</v>
      </c>
      <c r="H31" s="236" t="s">
        <v>121</v>
      </c>
      <c r="I31" s="454">
        <v>0</v>
      </c>
      <c r="J31" s="454">
        <v>9981898</v>
      </c>
      <c r="L31" s="4"/>
    </row>
    <row r="32" spans="2:12" ht="15" customHeight="1" x14ac:dyDescent="0.2">
      <c r="B32" s="3"/>
      <c r="C32" s="127"/>
      <c r="I32" s="2" t="s">
        <v>531</v>
      </c>
      <c r="L32" s="4"/>
    </row>
    <row r="33" spans="2:12" ht="15" customHeight="1" x14ac:dyDescent="0.25">
      <c r="B33" s="3"/>
      <c r="I33" s="47" t="str">
        <f>"Total LCFC Recovery for Program Year "&amp;D6&amp;":"</f>
        <v>Total LCFC Recovery for Program Year 2025:</v>
      </c>
      <c r="J33" s="10">
        <v>0</v>
      </c>
      <c r="L33" s="4"/>
    </row>
    <row r="34" spans="2:12" ht="15" customHeight="1" x14ac:dyDescent="0.25">
      <c r="B34" s="3"/>
      <c r="I34" s="47"/>
      <c r="J34" s="10"/>
      <c r="L34" s="4"/>
    </row>
    <row r="35" spans="2:12" ht="15" customHeight="1" x14ac:dyDescent="0.25">
      <c r="B35" s="3"/>
      <c r="E35" s="177" t="s">
        <v>532</v>
      </c>
      <c r="F35" s="175" t="s">
        <v>533</v>
      </c>
      <c r="I35" s="47"/>
      <c r="J35" s="10"/>
      <c r="L35" s="4"/>
    </row>
    <row r="36" spans="2:12" ht="15" customHeight="1" x14ac:dyDescent="0.2">
      <c r="B36" s="3"/>
      <c r="E36" s="177" t="s">
        <v>534</v>
      </c>
      <c r="F36" s="178">
        <v>46024</v>
      </c>
      <c r="L36" s="4"/>
    </row>
    <row r="37" spans="2:12" ht="15" customHeight="1" x14ac:dyDescent="0.2">
      <c r="B37" s="5"/>
      <c r="C37" s="353"/>
      <c r="D37" s="353"/>
      <c r="E37" s="353"/>
      <c r="F37" s="353"/>
      <c r="G37" s="353"/>
      <c r="H37" s="353"/>
      <c r="I37" s="353"/>
      <c r="J37" s="353"/>
      <c r="K37" s="353"/>
      <c r="L37" s="6"/>
    </row>
    <row r="38" spans="2:12" ht="15" customHeight="1" x14ac:dyDescent="0.2">
      <c r="C38" s="2" t="s">
        <v>535</v>
      </c>
    </row>
    <row r="39" spans="2:12" ht="15" customHeight="1" x14ac:dyDescent="0.2"/>
    <row r="40" spans="2:12" ht="15" customHeight="1" x14ac:dyDescent="0.2"/>
    <row r="41" spans="2:12" ht="15" customHeight="1" x14ac:dyDescent="0.2"/>
    <row r="42" spans="2:12" ht="15" customHeight="1" x14ac:dyDescent="0.2"/>
    <row r="43" spans="2:12" ht="15" customHeight="1" x14ac:dyDescent="0.2"/>
    <row r="44" spans="2:12" ht="15" customHeight="1" x14ac:dyDescent="0.2"/>
    <row r="45" spans="2:12" ht="15" customHeight="1" x14ac:dyDescent="0.2"/>
    <row r="46" spans="2:12" ht="15" customHeight="1" x14ac:dyDescent="0.2"/>
    <row r="47" spans="2:12" ht="15" customHeight="1" x14ac:dyDescent="0.2"/>
    <row r="48" spans="2:12"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sheetData>
  <sheetProtection formatRows="0"/>
  <mergeCells count="5">
    <mergeCell ref="D5:F5"/>
    <mergeCell ref="H5:J5"/>
    <mergeCell ref="C4:J4"/>
    <mergeCell ref="D29:F29"/>
    <mergeCell ref="H29:J29"/>
  </mergeCells>
  <conditionalFormatting sqref="D7:F26 H7:J26">
    <cfRule type="expression" dxfId="11" priority="1">
      <formula>$B7&gt;Programs</formula>
    </cfRule>
  </conditionalFormatting>
  <dataValidations disablePrompts="1" count="1">
    <dataValidation type="list" allowBlank="1" showInputMessage="1" showErrorMessage="1" sqref="F35" xr:uid="{00000000-0002-0000-1400-000000000000}">
      <formula1>"Yes, No"</formula1>
    </dataValidation>
  </dataValidations>
  <pageMargins left="0.25" right="0.25" top="0.25" bottom="0.25" header="0.3" footer="0.3"/>
  <pageSetup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O109"/>
  <sheetViews>
    <sheetView showGridLines="0" zoomScaleNormal="100" workbookViewId="0">
      <pane ySplit="2" topLeftCell="A3" activePane="bottomLeft" state="frozen"/>
      <selection pane="bottomLeft" activeCell="A3" sqref="A3"/>
    </sheetView>
  </sheetViews>
  <sheetFormatPr defaultColWidth="9.42578125" defaultRowHeight="12.75" x14ac:dyDescent="0.2"/>
  <cols>
    <col min="1" max="1" width="1" style="2" customWidth="1"/>
    <col min="2" max="2" width="3.5703125" style="2" customWidth="1"/>
    <col min="3" max="3" width="28.5703125" style="2" customWidth="1"/>
    <col min="4" max="4" width="16.42578125" style="2" customWidth="1"/>
    <col min="5" max="6" width="12.42578125" style="2" customWidth="1"/>
    <col min="7" max="7" width="3.5703125" style="2" customWidth="1"/>
    <col min="8" max="8" width="23" style="2" customWidth="1"/>
    <col min="9" max="11" width="12.42578125" style="2" customWidth="1"/>
    <col min="12" max="12" width="1.42578125" style="2" customWidth="1"/>
    <col min="13" max="13" width="1" style="2" customWidth="1"/>
    <col min="14" max="14" width="16" style="2" customWidth="1"/>
    <col min="15" max="15" width="0" style="2" hidden="1" customWidth="1"/>
    <col min="16" max="16384" width="9.42578125" style="2"/>
  </cols>
  <sheetData>
    <row r="1" spans="2:15" ht="28.5" customHeight="1" x14ac:dyDescent="0.2"/>
    <row r="2" spans="2:15" ht="64.5" customHeight="1" x14ac:dyDescent="0.2">
      <c r="B2" s="461"/>
      <c r="C2" s="462"/>
      <c r="D2" s="462"/>
      <c r="E2" s="462"/>
      <c r="F2" s="462"/>
      <c r="G2" s="462"/>
      <c r="H2" s="462"/>
      <c r="I2" s="462"/>
      <c r="J2" s="462"/>
      <c r="K2" s="462"/>
      <c r="L2" s="463"/>
    </row>
    <row r="3" spans="2:15" ht="11.25" customHeight="1" x14ac:dyDescent="0.2">
      <c r="B3" s="589"/>
      <c r="C3" s="194" t="str">
        <f>IF(O7&gt;0,"Incomplete - All yellow shaded cells must be completed.","")</f>
        <v/>
      </c>
      <c r="D3" s="590"/>
      <c r="E3" s="590"/>
      <c r="F3" s="590"/>
      <c r="G3" s="590"/>
      <c r="H3" s="590"/>
      <c r="I3" s="590"/>
      <c r="J3" s="590"/>
      <c r="K3" s="590"/>
      <c r="L3" s="591"/>
    </row>
    <row r="4" spans="2:15" ht="15" customHeight="1" x14ac:dyDescent="0.25">
      <c r="B4" s="48" t="s">
        <v>536</v>
      </c>
      <c r="G4" s="49" t="s">
        <v>537</v>
      </c>
      <c r="L4" s="4"/>
    </row>
    <row r="5" spans="2:15" ht="15" customHeight="1" x14ac:dyDescent="0.2">
      <c r="B5" s="126">
        <v>1</v>
      </c>
      <c r="C5" s="2" t="str">
        <f>INDEX(Targets,MATCH(D12,Target_Year,0),3)&amp;" Annual Energy Sales"</f>
        <v>2022 Annual Energy Sales</v>
      </c>
      <c r="D5" s="464">
        <v>22028079</v>
      </c>
      <c r="E5" s="135" t="str">
        <f>Energy_2</f>
        <v>MWh</v>
      </c>
      <c r="G5" s="134">
        <v>1</v>
      </c>
      <c r="H5" s="2" t="s">
        <v>168</v>
      </c>
      <c r="I5" s="237">
        <f>'Rec1'!E25</f>
        <v>74300190.334827334</v>
      </c>
      <c r="L5" s="4"/>
      <c r="O5" s="2">
        <f>IF(ISBLANK(D5),1,0)</f>
        <v>0</v>
      </c>
    </row>
    <row r="6" spans="2:15" ht="15" customHeight="1" x14ac:dyDescent="0.2">
      <c r="B6" s="126">
        <v>2</v>
      </c>
      <c r="C6" s="2" t="s">
        <v>538</v>
      </c>
      <c r="D6" s="464">
        <v>5670304.5143222027</v>
      </c>
      <c r="E6" s="135" t="str">
        <f>E5</f>
        <v>MWh</v>
      </c>
      <c r="G6" s="134">
        <v>2</v>
      </c>
      <c r="H6" s="2" t="s">
        <v>539</v>
      </c>
      <c r="I6" s="237">
        <f>'Actual Expenses'!J91</f>
        <v>59237332.649999991</v>
      </c>
      <c r="L6" s="4"/>
      <c r="O6" s="2">
        <f>IF(ISBLANK(D6),1,0)</f>
        <v>0</v>
      </c>
    </row>
    <row r="7" spans="2:15" ht="15" customHeight="1" x14ac:dyDescent="0.2">
      <c r="B7" s="3"/>
      <c r="C7" s="136" t="s">
        <v>540</v>
      </c>
      <c r="D7" s="69">
        <f>D5-D6</f>
        <v>16357774.485677797</v>
      </c>
      <c r="E7" s="135" t="str">
        <f>E5</f>
        <v>MWh</v>
      </c>
      <c r="G7" s="134">
        <v>3</v>
      </c>
      <c r="H7" s="2" t="str">
        <f>E5&amp;" Achieved"</f>
        <v>MWh Achieved</v>
      </c>
      <c r="I7" s="238">
        <f>IF(Titles!F13=Titles!B24,'Evaluated Savings'!E26/1000,'Evaluated Savings'!E26)</f>
        <v>255840.15398199405</v>
      </c>
      <c r="L7" s="4"/>
      <c r="O7" s="2">
        <f>SUM(O5:O6)</f>
        <v>0</v>
      </c>
    </row>
    <row r="8" spans="2:15" ht="15" customHeight="1" x14ac:dyDescent="0.2">
      <c r="B8" s="7"/>
      <c r="G8" s="134">
        <v>4</v>
      </c>
      <c r="H8" s="2" t="s">
        <v>541</v>
      </c>
      <c r="I8" s="237">
        <f>'Cost-Benefits'!I27*1000</f>
        <v>58215329.444193296</v>
      </c>
      <c r="L8" s="4"/>
      <c r="N8" s="239"/>
    </row>
    <row r="9" spans="2:15" ht="15" customHeight="1" x14ac:dyDescent="0.25">
      <c r="B9" s="48"/>
      <c r="L9" s="4"/>
    </row>
    <row r="10" spans="2:15" ht="15" customHeight="1" x14ac:dyDescent="0.2">
      <c r="B10" s="3"/>
      <c r="L10" s="4"/>
    </row>
    <row r="11" spans="2:15" ht="15" customHeight="1" x14ac:dyDescent="0.2">
      <c r="B11" s="3"/>
      <c r="L11" s="4"/>
    </row>
    <row r="12" spans="2:15" ht="15" customHeight="1" x14ac:dyDescent="0.25">
      <c r="B12" s="48" t="s">
        <v>542</v>
      </c>
      <c r="D12" s="25">
        <f>Prg_Year</f>
        <v>2025</v>
      </c>
      <c r="F12" s="204" t="s">
        <v>543</v>
      </c>
      <c r="L12" s="4"/>
    </row>
    <row r="13" spans="2:15" ht="15" customHeight="1" x14ac:dyDescent="0.2">
      <c r="B13" s="126">
        <v>1</v>
      </c>
      <c r="C13" s="2" t="str">
        <f>"Energy Baseline"&amp;" ("&amp;E5&amp;")"</f>
        <v>Energy Baseline (MWh)</v>
      </c>
      <c r="D13" s="51">
        <f>D7</f>
        <v>16357774.485677797</v>
      </c>
      <c r="F13" s="203">
        <f>I7/D7</f>
        <v>1.564027882925011E-2</v>
      </c>
      <c r="G13" s="2" t="str">
        <f>"of "&amp;C5&amp;" adjusted for self-direct."</f>
        <v>of 2022 Annual Energy Sales adjusted for self-direct.</v>
      </c>
      <c r="L13" s="4"/>
    </row>
    <row r="14" spans="2:15" ht="15" customHeight="1" x14ac:dyDescent="0.2">
      <c r="B14" s="126">
        <f>B13+1</f>
        <v>2</v>
      </c>
      <c r="C14" s="2" t="s">
        <v>544</v>
      </c>
      <c r="D14" s="50">
        <f>INDEX(Targets,MATCH(D12,Target_Year,0),MATCH(Titles!$E$12,Target_Type,0))</f>
        <v>1.2E-2</v>
      </c>
      <c r="F14" s="203">
        <f>I7/D5</f>
        <v>1.1614274398688784E-2</v>
      </c>
      <c r="G14" s="2" t="str">
        <f>"of unadjusted "&amp;C5&amp;"."</f>
        <v>of unadjusted 2022 Annual Energy Sales.</v>
      </c>
      <c r="L14" s="4"/>
    </row>
    <row r="15" spans="2:15" ht="15" customHeight="1" x14ac:dyDescent="0.2">
      <c r="B15" s="126">
        <f t="shared" ref="B15:B20" si="0">B14+1</f>
        <v>3</v>
      </c>
      <c r="C15" s="2" t="str">
        <f>E5&amp;" Goal"</f>
        <v>MWh Goal</v>
      </c>
      <c r="D15" s="51">
        <f>D13*D14</f>
        <v>196293.29382813358</v>
      </c>
      <c r="F15" s="203">
        <f>I7/'Utility Information'!F11</f>
        <v>9.8921719104861847E-3</v>
      </c>
      <c r="G15" s="2" t="str">
        <f>"of "&amp;Prg_Year&amp; " retail sales."</f>
        <v>of 2025 retail sales.</v>
      </c>
      <c r="L15" s="4"/>
    </row>
    <row r="16" spans="2:15" ht="15" customHeight="1" x14ac:dyDescent="0.2">
      <c r="B16" s="126">
        <f t="shared" si="0"/>
        <v>4</v>
      </c>
      <c r="C16" s="2" t="str">
        <f>H7</f>
        <v>MWh Achieved</v>
      </c>
      <c r="D16" s="51">
        <f>I7</f>
        <v>255840.15398199405</v>
      </c>
      <c r="L16" s="4"/>
    </row>
    <row r="17" spans="2:12" ht="15" customHeight="1" x14ac:dyDescent="0.2">
      <c r="B17" s="126">
        <f t="shared" si="0"/>
        <v>5</v>
      </c>
      <c r="C17" s="2" t="s">
        <v>545</v>
      </c>
      <c r="D17" s="50">
        <f>ROUND(D16/D15,2)</f>
        <v>1.3</v>
      </c>
      <c r="L17" s="4"/>
    </row>
    <row r="18" spans="2:12" ht="15" customHeight="1" x14ac:dyDescent="0.2">
      <c r="B18" s="126">
        <f t="shared" si="0"/>
        <v>6</v>
      </c>
      <c r="C18" s="2" t="s">
        <v>546</v>
      </c>
      <c r="D18" s="53">
        <f>0.1*I8</f>
        <v>5821532.94441933</v>
      </c>
      <c r="L18" s="4"/>
    </row>
    <row r="19" spans="2:12" ht="15" customHeight="1" x14ac:dyDescent="0.2">
      <c r="B19" s="126">
        <f t="shared" si="0"/>
        <v>7</v>
      </c>
      <c r="C19" s="2" t="s">
        <v>547</v>
      </c>
      <c r="D19" s="240">
        <f>IF(D17&lt;80%,0,IF(D17&gt;=120%,8%,((D17-80%)/10)+4%))</f>
        <v>0.08</v>
      </c>
      <c r="E19" s="52"/>
      <c r="L19" s="4"/>
    </row>
    <row r="20" spans="2:12" ht="15" customHeight="1" x14ac:dyDescent="0.2">
      <c r="B20" s="126">
        <f t="shared" si="0"/>
        <v>8</v>
      </c>
      <c r="C20" s="2" t="s">
        <v>548</v>
      </c>
      <c r="D20" s="53">
        <f>D19*I5</f>
        <v>5944015.2267861869</v>
      </c>
      <c r="L20" s="4"/>
    </row>
    <row r="21" spans="2:12" ht="15" customHeight="1" thickBot="1" x14ac:dyDescent="0.3">
      <c r="B21" s="3"/>
      <c r="C21" s="465" t="s">
        <v>549</v>
      </c>
      <c r="D21" s="466">
        <f>IF(D18&lt;D20,D18,D20)</f>
        <v>5821532.94441933</v>
      </c>
      <c r="L21" s="4"/>
    </row>
    <row r="22" spans="2:12" ht="15" customHeight="1" thickTop="1" x14ac:dyDescent="0.2">
      <c r="B22" s="5"/>
      <c r="C22" s="353"/>
      <c r="D22" s="353"/>
      <c r="E22" s="353"/>
      <c r="F22" s="353"/>
      <c r="G22" s="353"/>
      <c r="H22" s="353"/>
      <c r="I22" s="353"/>
      <c r="J22" s="353"/>
      <c r="K22" s="353"/>
      <c r="L22" s="6"/>
    </row>
    <row r="23" spans="2:12" ht="15" customHeight="1" x14ac:dyDescent="0.2"/>
    <row r="24" spans="2:12"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sheetData>
  <sheetProtection formatRows="0"/>
  <pageMargins left="0.25" right="0.25" top="0.25" bottom="0.25" header="0.3" footer="0.3"/>
  <pageSetup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K108"/>
  <sheetViews>
    <sheetView showGridLines="0" zoomScale="110" zoomScaleNormal="110" workbookViewId="0">
      <pane ySplit="2" topLeftCell="A3" activePane="bottomLeft" state="frozen"/>
      <selection pane="bottomLeft" activeCell="A3" sqref="A3"/>
    </sheetView>
  </sheetViews>
  <sheetFormatPr defaultColWidth="9.42578125" defaultRowHeight="12.75" x14ac:dyDescent="0.2"/>
  <cols>
    <col min="1" max="1" width="1" style="2" customWidth="1"/>
    <col min="2" max="2" width="3.5703125" style="2" customWidth="1"/>
    <col min="3" max="3" width="7.5703125" style="2" customWidth="1"/>
    <col min="4" max="4" width="10" style="2" customWidth="1"/>
    <col min="5" max="6" width="18" style="2" customWidth="1"/>
    <col min="7" max="7" width="11.42578125" style="2" customWidth="1"/>
    <col min="8" max="8" width="18" style="2" customWidth="1"/>
    <col min="9" max="9" width="11.42578125" style="2" customWidth="1"/>
    <col min="10" max="10" width="9.42578125" style="2"/>
    <col min="11" max="11" width="25.5703125" style="2" customWidth="1"/>
    <col min="12" max="12" width="1" style="2" customWidth="1"/>
    <col min="13" max="13" width="16" style="2" customWidth="1"/>
    <col min="14" max="16384" width="9.42578125" style="2"/>
  </cols>
  <sheetData>
    <row r="1" spans="2:11" ht="28.5" customHeight="1" x14ac:dyDescent="0.2"/>
    <row r="2" spans="2:11" ht="64.5" customHeight="1" x14ac:dyDescent="0.2">
      <c r="B2" s="461"/>
      <c r="C2" s="462"/>
      <c r="D2" s="462"/>
      <c r="E2" s="462"/>
      <c r="F2" s="462"/>
      <c r="G2" s="462"/>
      <c r="H2" s="462"/>
      <c r="I2" s="462"/>
      <c r="J2" s="462"/>
      <c r="K2" s="463"/>
    </row>
    <row r="3" spans="2:11" ht="7.5" customHeight="1" x14ac:dyDescent="0.2">
      <c r="B3" s="589"/>
      <c r="C3" s="590"/>
      <c r="D3" s="590"/>
      <c r="E3" s="590"/>
      <c r="F3" s="590"/>
      <c r="G3" s="590"/>
      <c r="H3" s="590"/>
      <c r="I3" s="590"/>
      <c r="J3" s="590"/>
      <c r="K3" s="591"/>
    </row>
    <row r="4" spans="2:11" ht="14.25" customHeight="1" x14ac:dyDescent="0.3">
      <c r="B4" s="3"/>
      <c r="E4" s="153"/>
      <c r="F4" s="154"/>
      <c r="G4" s="154"/>
      <c r="H4" s="154"/>
      <c r="I4" s="154"/>
      <c r="K4" s="4"/>
    </row>
    <row r="5" spans="2:11" ht="27" customHeight="1" x14ac:dyDescent="0.25">
      <c r="B5" s="3"/>
      <c r="C5" s="155"/>
      <c r="E5" s="156"/>
      <c r="F5" s="156"/>
      <c r="G5" s="156"/>
      <c r="H5" s="156"/>
      <c r="I5" s="156"/>
      <c r="K5" s="4"/>
    </row>
    <row r="6" spans="2:11" ht="12.75" customHeight="1" x14ac:dyDescent="0.2">
      <c r="B6" s="3"/>
      <c r="E6" s="156"/>
      <c r="F6" s="156"/>
      <c r="G6" s="157"/>
      <c r="H6" s="156"/>
      <c r="I6" s="157"/>
      <c r="K6" s="4"/>
    </row>
    <row r="7" spans="2:11" ht="15" customHeight="1" x14ac:dyDescent="0.2">
      <c r="B7" s="3"/>
      <c r="E7" s="120"/>
      <c r="F7" s="120"/>
      <c r="G7" s="158"/>
      <c r="H7" s="120"/>
      <c r="I7" s="158"/>
      <c r="K7" s="4"/>
    </row>
    <row r="8" spans="2:11" ht="15" customHeight="1" x14ac:dyDescent="0.2">
      <c r="B8" s="3"/>
      <c r="E8" s="120"/>
      <c r="F8" s="120"/>
      <c r="G8" s="158"/>
      <c r="H8" s="120"/>
      <c r="I8" s="158"/>
      <c r="K8" s="4"/>
    </row>
    <row r="9" spans="2:11" ht="15" customHeight="1" x14ac:dyDescent="0.2">
      <c r="B9" s="3"/>
      <c r="E9" s="120"/>
      <c r="F9" s="120"/>
      <c r="G9" s="158"/>
      <c r="H9" s="120"/>
      <c r="I9" s="158"/>
      <c r="K9" s="4"/>
    </row>
    <row r="10" spans="2:11" ht="15" customHeight="1" x14ac:dyDescent="0.25">
      <c r="B10" s="3"/>
      <c r="E10" s="663" t="s">
        <v>403</v>
      </c>
      <c r="F10" s="663"/>
      <c r="G10" s="663"/>
      <c r="H10" s="663"/>
      <c r="I10" s="663"/>
      <c r="J10" s="663"/>
      <c r="K10" s="4"/>
    </row>
    <row r="11" spans="2:11" ht="15" customHeight="1" x14ac:dyDescent="0.2">
      <c r="B11" s="3"/>
      <c r="E11" s="120"/>
      <c r="F11" s="120"/>
      <c r="G11" s="158"/>
      <c r="H11" s="120"/>
      <c r="I11" s="158"/>
      <c r="K11" s="4"/>
    </row>
    <row r="12" spans="2:11" ht="15" customHeight="1" x14ac:dyDescent="0.2">
      <c r="B12" s="3"/>
      <c r="K12" s="4"/>
    </row>
    <row r="13" spans="2:11" ht="14.25" customHeight="1" x14ac:dyDescent="0.3">
      <c r="B13" s="3"/>
      <c r="E13" s="153"/>
      <c r="F13" s="154"/>
      <c r="G13" s="154"/>
      <c r="H13" s="154"/>
      <c r="I13" s="154"/>
      <c r="K13" s="4"/>
    </row>
    <row r="14" spans="2:11" ht="39" customHeight="1" x14ac:dyDescent="0.25">
      <c r="B14" s="3"/>
      <c r="C14" s="155"/>
      <c r="E14" s="156"/>
      <c r="F14" s="156"/>
      <c r="G14" s="156"/>
      <c r="H14" s="156"/>
      <c r="I14" s="156"/>
      <c r="K14" s="4"/>
    </row>
    <row r="15" spans="2:11" ht="9.75" customHeight="1" x14ac:dyDescent="0.2">
      <c r="B15" s="3"/>
      <c r="E15" s="156"/>
      <c r="F15" s="156"/>
      <c r="G15" s="157"/>
      <c r="H15" s="156"/>
      <c r="I15" s="157"/>
      <c r="K15" s="4"/>
    </row>
    <row r="16" spans="2:11" ht="15" customHeight="1" x14ac:dyDescent="0.2">
      <c r="B16" s="3"/>
      <c r="E16" s="159"/>
      <c r="F16" s="159"/>
      <c r="G16" s="158"/>
      <c r="H16" s="159"/>
      <c r="I16" s="158"/>
      <c r="K16" s="4"/>
    </row>
    <row r="17" spans="2:11" ht="15" customHeight="1" x14ac:dyDescent="0.2">
      <c r="B17" s="3"/>
      <c r="E17" s="159"/>
      <c r="F17" s="159"/>
      <c r="G17" s="158"/>
      <c r="H17" s="159"/>
      <c r="I17" s="158"/>
      <c r="K17" s="4"/>
    </row>
    <row r="18" spans="2:11" ht="15" customHeight="1" x14ac:dyDescent="0.2">
      <c r="B18" s="3"/>
      <c r="E18" s="159"/>
      <c r="F18" s="159"/>
      <c r="G18" s="158"/>
      <c r="H18" s="159"/>
      <c r="I18" s="158"/>
      <c r="K18" s="4"/>
    </row>
    <row r="19" spans="2:11" ht="15" customHeight="1" x14ac:dyDescent="0.2">
      <c r="B19" s="3"/>
      <c r="E19" s="159"/>
      <c r="F19" s="159"/>
      <c r="G19" s="158"/>
      <c r="H19" s="159"/>
      <c r="I19" s="158"/>
      <c r="K19" s="4"/>
    </row>
    <row r="20" spans="2:11" ht="15" customHeight="1" x14ac:dyDescent="0.2">
      <c r="B20" s="3"/>
      <c r="E20" s="159"/>
      <c r="F20" s="159"/>
      <c r="G20" s="158"/>
      <c r="H20" s="159"/>
      <c r="I20" s="158"/>
      <c r="K20" s="4"/>
    </row>
    <row r="21" spans="2:11" ht="15" customHeight="1" x14ac:dyDescent="0.2">
      <c r="B21" s="5"/>
      <c r="C21" s="353"/>
      <c r="D21" s="353"/>
      <c r="E21" s="353"/>
      <c r="F21" s="353"/>
      <c r="G21" s="353"/>
      <c r="H21" s="353"/>
      <c r="I21" s="353"/>
      <c r="J21" s="353"/>
      <c r="K21" s="6"/>
    </row>
    <row r="22" spans="2:11" ht="15" customHeight="1" x14ac:dyDescent="0.2"/>
    <row r="23" spans="2:11" ht="15" customHeight="1" x14ac:dyDescent="0.2"/>
    <row r="24" spans="2:11" ht="15" customHeight="1" x14ac:dyDescent="0.2"/>
    <row r="25" spans="2:11" ht="15" customHeight="1" x14ac:dyDescent="0.2"/>
    <row r="26" spans="2:11" ht="15" customHeight="1" x14ac:dyDescent="0.2"/>
    <row r="27" spans="2:11" ht="15" customHeight="1" x14ac:dyDescent="0.2"/>
    <row r="28" spans="2:11" ht="15" customHeight="1" x14ac:dyDescent="0.2"/>
    <row r="29" spans="2:11" ht="15" customHeight="1" x14ac:dyDescent="0.2"/>
    <row r="30" spans="2:11" ht="15" customHeight="1" x14ac:dyDescent="0.2"/>
    <row r="31" spans="2:11" ht="15" customHeight="1" x14ac:dyDescent="0.2"/>
    <row r="32" spans="2:11"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sheetData>
  <sheetProtection password="C925" sheet="1" objects="1" scenarios="1" formatRows="0"/>
  <mergeCells count="1">
    <mergeCell ref="E10:J10"/>
  </mergeCells>
  <pageMargins left="0.25" right="0.25" top="0.25" bottom="0.25" header="0.3" footer="0.3"/>
  <pageSetup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Y56"/>
  <sheetViews>
    <sheetView showGridLines="0" zoomScale="90" zoomScaleNormal="90" workbookViewId="0">
      <pane xSplit="3" ySplit="4" topLeftCell="D5" activePane="bottomRight" state="frozen"/>
      <selection pane="topRight" activeCell="D1" sqref="D1"/>
      <selection pane="bottomLeft" activeCell="A5" sqref="A5"/>
      <selection pane="bottomRight"/>
    </sheetView>
  </sheetViews>
  <sheetFormatPr defaultColWidth="9.42578125" defaultRowHeight="12.75" x14ac:dyDescent="0.2"/>
  <cols>
    <col min="1" max="1" width="1" style="2" customWidth="1"/>
    <col min="2" max="2" width="4" style="2" customWidth="1"/>
    <col min="3" max="3" width="40.5703125" style="2" customWidth="1"/>
    <col min="4" max="4" width="15" style="2" customWidth="1"/>
    <col min="5" max="5" width="1.5703125" style="2" customWidth="1"/>
    <col min="6" max="6" width="11.42578125" style="2" bestFit="1" customWidth="1"/>
    <col min="7" max="7" width="13.85546875" style="2" customWidth="1"/>
    <col min="8" max="8" width="13.140625" style="2" customWidth="1"/>
    <col min="9" max="9" width="12" style="2" customWidth="1"/>
    <col min="10" max="10" width="1.5703125" style="2" customWidth="1"/>
    <col min="11" max="14" width="11.42578125" style="2" bestFit="1" customWidth="1"/>
    <col min="15" max="15" width="1.5703125" style="2" customWidth="1"/>
    <col min="16" max="19" width="10.5703125" style="2" customWidth="1"/>
    <col min="20" max="20" width="1.5703125" style="2" customWidth="1"/>
    <col min="21" max="24" width="10.5703125" style="2" customWidth="1"/>
    <col min="25" max="25" width="1.5703125" style="2" customWidth="1"/>
    <col min="26" max="26" width="1" style="2" customWidth="1"/>
    <col min="27" max="16384" width="9.42578125" style="2"/>
  </cols>
  <sheetData>
    <row r="1" spans="2:25" ht="5.0999999999999996" customHeight="1" thickBot="1" x14ac:dyDescent="0.25"/>
    <row r="2" spans="2:25" ht="38.25" customHeight="1" x14ac:dyDescent="0.2">
      <c r="B2" s="703" t="s">
        <v>550</v>
      </c>
      <c r="C2" s="703"/>
      <c r="D2" s="703"/>
      <c r="E2" s="703"/>
      <c r="F2" s="703"/>
      <c r="G2" s="703"/>
      <c r="H2" s="703"/>
      <c r="I2" s="703"/>
      <c r="J2" s="703"/>
      <c r="K2" s="703"/>
      <c r="L2" s="703"/>
      <c r="M2" s="703"/>
      <c r="N2" s="703"/>
      <c r="O2" s="703"/>
      <c r="P2" s="703"/>
      <c r="Q2" s="703"/>
      <c r="R2" s="703"/>
      <c r="S2" s="703"/>
      <c r="T2" s="703"/>
      <c r="U2" s="703"/>
      <c r="V2" s="703"/>
      <c r="W2" s="703"/>
      <c r="X2" s="703"/>
      <c r="Y2" s="703"/>
    </row>
    <row r="3" spans="2:25" ht="72.75" customHeight="1" x14ac:dyDescent="0.2">
      <c r="B3" s="589"/>
      <c r="C3" s="590"/>
      <c r="D3" s="590"/>
      <c r="E3" s="590"/>
      <c r="F3" s="590"/>
      <c r="G3" s="590"/>
      <c r="H3" s="590"/>
      <c r="I3" s="590"/>
      <c r="J3" s="590"/>
      <c r="K3" s="590"/>
      <c r="L3" s="590"/>
      <c r="M3" s="590"/>
      <c r="N3" s="590"/>
      <c r="O3" s="590"/>
      <c r="P3" s="590"/>
      <c r="Q3" s="590"/>
      <c r="R3" s="590"/>
      <c r="S3" s="590"/>
      <c r="T3" s="590"/>
      <c r="U3" s="590"/>
      <c r="V3" s="590"/>
      <c r="W3" s="590"/>
      <c r="X3" s="590"/>
      <c r="Y3" s="591"/>
    </row>
    <row r="4" spans="2:25" ht="18.75" customHeight="1" x14ac:dyDescent="0.2">
      <c r="B4" s="3"/>
      <c r="Y4" s="4"/>
    </row>
    <row r="5" spans="2:25" ht="20.25" customHeight="1" x14ac:dyDescent="0.2">
      <c r="B5" s="3"/>
      <c r="Y5" s="4"/>
    </row>
    <row r="6" spans="2:25" ht="19.5" thickBot="1" x14ac:dyDescent="0.35">
      <c r="B6" s="3"/>
      <c r="C6" s="715" t="s">
        <v>529</v>
      </c>
      <c r="D6" s="715"/>
      <c r="E6" s="630"/>
      <c r="F6" s="714" t="s">
        <v>551</v>
      </c>
      <c r="G6" s="714"/>
      <c r="H6" s="714"/>
      <c r="I6" s="714"/>
      <c r="K6" s="714" t="str">
        <f>"Annual Net Energy Savings ("&amp;Energy_1&amp;")"</f>
        <v>Annual Net Energy Savings (kWh)</v>
      </c>
      <c r="L6" s="714"/>
      <c r="M6" s="714"/>
      <c r="N6" s="714"/>
      <c r="P6" s="714" t="str">
        <f>"Annual Net Demand Savings ("&amp;Demand_1&amp;")"</f>
        <v>Annual Net Demand Savings (kW)</v>
      </c>
      <c r="Q6" s="714"/>
      <c r="R6" s="714"/>
      <c r="S6" s="714"/>
      <c r="U6" s="714" t="s">
        <v>552</v>
      </c>
      <c r="V6" s="714"/>
      <c r="W6" s="714"/>
      <c r="X6" s="714"/>
      <c r="Y6" s="4"/>
    </row>
    <row r="7" spans="2:25" x14ac:dyDescent="0.2">
      <c r="B7" s="3"/>
      <c r="F7" s="712">
        <f>Prg_Year-2</f>
        <v>2023</v>
      </c>
      <c r="G7" s="713"/>
      <c r="H7" s="712">
        <f>F7+1</f>
        <v>2024</v>
      </c>
      <c r="I7" s="713"/>
      <c r="K7" s="712">
        <f>F7</f>
        <v>2023</v>
      </c>
      <c r="L7" s="713"/>
      <c r="M7" s="712">
        <f>H7</f>
        <v>2024</v>
      </c>
      <c r="N7" s="713"/>
      <c r="P7" s="712">
        <f>K7</f>
        <v>2023</v>
      </c>
      <c r="Q7" s="713"/>
      <c r="R7" s="712">
        <f>M7</f>
        <v>2024</v>
      </c>
      <c r="S7" s="713"/>
      <c r="U7" s="712">
        <f>P7</f>
        <v>2023</v>
      </c>
      <c r="V7" s="713"/>
      <c r="W7" s="712">
        <f>R7</f>
        <v>2024</v>
      </c>
      <c r="X7" s="713"/>
      <c r="Y7" s="4"/>
    </row>
    <row r="8" spans="2:25" ht="12.75" customHeight="1" thickBot="1" x14ac:dyDescent="0.3">
      <c r="B8" s="7"/>
      <c r="C8" s="8" t="s">
        <v>85</v>
      </c>
      <c r="D8" s="8" t="s">
        <v>86</v>
      </c>
      <c r="E8" s="8"/>
      <c r="F8" s="384" t="s">
        <v>553</v>
      </c>
      <c r="G8" s="385" t="s">
        <v>554</v>
      </c>
      <c r="H8" s="384" t="s">
        <v>553</v>
      </c>
      <c r="I8" s="385" t="s">
        <v>554</v>
      </c>
      <c r="J8" s="8"/>
      <c r="K8" s="467" t="s">
        <v>555</v>
      </c>
      <c r="L8" s="606" t="s">
        <v>556</v>
      </c>
      <c r="M8" s="467" t="s">
        <v>555</v>
      </c>
      <c r="N8" s="606" t="s">
        <v>556</v>
      </c>
      <c r="O8" s="8"/>
      <c r="P8" s="467" t="s">
        <v>555</v>
      </c>
      <c r="Q8" s="606" t="s">
        <v>556</v>
      </c>
      <c r="R8" s="467" t="s">
        <v>555</v>
      </c>
      <c r="S8" s="606" t="s">
        <v>556</v>
      </c>
      <c r="U8" s="467" t="s">
        <v>555</v>
      </c>
      <c r="V8" s="606" t="s">
        <v>556</v>
      </c>
      <c r="W8" s="467" t="s">
        <v>555</v>
      </c>
      <c r="X8" s="606" t="s">
        <v>556</v>
      </c>
      <c r="Y8" s="4"/>
    </row>
    <row r="9" spans="2:25" ht="12.75" customHeight="1" x14ac:dyDescent="0.25">
      <c r="B9" s="126">
        <v>1</v>
      </c>
      <c r="C9" s="127" t="str">
        <f>'Program Descriptions'!C5</f>
        <v>Home Energy Solutions</v>
      </c>
      <c r="D9" s="127" t="str">
        <f>IF(C9="Empty","",'Program Descriptions'!E5)</f>
        <v>Residential</v>
      </c>
      <c r="E9" s="127"/>
      <c r="F9" s="290">
        <v>11303430.191190075</v>
      </c>
      <c r="G9" s="291">
        <v>10217954.063066075</v>
      </c>
      <c r="H9" s="290">
        <v>15266393.991132263</v>
      </c>
      <c r="I9" s="291">
        <v>11705868.135685854</v>
      </c>
      <c r="J9" s="8"/>
      <c r="K9" s="292">
        <v>27136499.98</v>
      </c>
      <c r="L9" s="293">
        <v>28724746.403376929</v>
      </c>
      <c r="M9" s="292">
        <v>27263296.821846999</v>
      </c>
      <c r="N9" s="293">
        <v>29270923.309294891</v>
      </c>
      <c r="O9" s="8"/>
      <c r="P9" s="292">
        <v>10251.367399999999</v>
      </c>
      <c r="Q9" s="293">
        <v>9494.0058468998432</v>
      </c>
      <c r="R9" s="464">
        <v>9071.2239754251295</v>
      </c>
      <c r="S9" s="293">
        <v>9880.5911226851385</v>
      </c>
      <c r="U9" s="292">
        <v>8773</v>
      </c>
      <c r="V9" s="293">
        <v>7437</v>
      </c>
      <c r="W9" s="292">
        <v>7247</v>
      </c>
      <c r="X9" s="293">
        <v>8505</v>
      </c>
      <c r="Y9" s="4"/>
    </row>
    <row r="10" spans="2:25" ht="12.75" customHeight="1" x14ac:dyDescent="0.25">
      <c r="B10" s="126">
        <v>2</v>
      </c>
      <c r="C10" s="127" t="str">
        <f>'Program Descriptions'!C6</f>
        <v>Multifamily Homes</v>
      </c>
      <c r="D10" s="127" t="str">
        <f>IF(C10="Empty","",'Program Descriptions'!E6)</f>
        <v>Residential</v>
      </c>
      <c r="E10" s="127"/>
      <c r="F10" s="366">
        <v>2650168.5956196925</v>
      </c>
      <c r="G10" s="386">
        <v>2896000.2385589005</v>
      </c>
      <c r="H10" s="366">
        <v>2808661.4451723397</v>
      </c>
      <c r="I10" s="386">
        <v>2282537.1411306723</v>
      </c>
      <c r="J10" s="8"/>
      <c r="K10" s="387">
        <v>14010180.939999999</v>
      </c>
      <c r="L10" s="364">
        <v>12564687.048065411</v>
      </c>
      <c r="M10" s="387">
        <v>9603665.4155000001</v>
      </c>
      <c r="N10" s="364">
        <v>10030475.639955349</v>
      </c>
      <c r="O10" s="8"/>
      <c r="P10" s="387">
        <v>5501.3224</v>
      </c>
      <c r="Q10" s="364">
        <v>2271.1859652912522</v>
      </c>
      <c r="R10" s="464">
        <v>1452.2384999999999</v>
      </c>
      <c r="S10" s="364">
        <v>1359.652997227334</v>
      </c>
      <c r="U10" s="387">
        <v>3907</v>
      </c>
      <c r="V10" s="364">
        <v>2673</v>
      </c>
      <c r="W10" s="387">
        <v>1991</v>
      </c>
      <c r="X10" s="364">
        <v>2025</v>
      </c>
      <c r="Y10" s="4"/>
    </row>
    <row r="11" spans="2:25" ht="12.75" customHeight="1" x14ac:dyDescent="0.25">
      <c r="B11" s="126">
        <v>3</v>
      </c>
      <c r="C11" s="127" t="str">
        <f>'Program Descriptions'!C7</f>
        <v>Manufactured Homes</v>
      </c>
      <c r="D11" s="127" t="str">
        <f>IF(C11="Empty","",'Program Descriptions'!E7)</f>
        <v>Residential</v>
      </c>
      <c r="E11" s="127"/>
      <c r="F11" s="366">
        <v>1261020.6234083758</v>
      </c>
      <c r="G11" s="386">
        <v>1215374.6616045081</v>
      </c>
      <c r="H11" s="366">
        <v>1426035.8156363645</v>
      </c>
      <c r="I11" s="386">
        <v>1144708.8822132822</v>
      </c>
      <c r="J11" s="8"/>
      <c r="K11" s="387">
        <v>5403192.2000000002</v>
      </c>
      <c r="L11" s="364">
        <v>5631396.8575308202</v>
      </c>
      <c r="M11" s="387">
        <v>5023384.1359999999</v>
      </c>
      <c r="N11" s="364">
        <v>4525460.0974663859</v>
      </c>
      <c r="O11" s="8"/>
      <c r="P11" s="387">
        <v>674.40599999999995</v>
      </c>
      <c r="Q11" s="364">
        <v>805.66242866918992</v>
      </c>
      <c r="R11" s="464">
        <v>804.73099999999999</v>
      </c>
      <c r="S11" s="364">
        <v>639.89767549602641</v>
      </c>
      <c r="U11" s="387">
        <v>1566</v>
      </c>
      <c r="V11" s="364">
        <v>625</v>
      </c>
      <c r="W11" s="387">
        <v>602</v>
      </c>
      <c r="X11" s="364">
        <v>1024</v>
      </c>
      <c r="Y11" s="4"/>
    </row>
    <row r="12" spans="2:25" ht="12.75" customHeight="1" x14ac:dyDescent="0.25">
      <c r="B12" s="126">
        <v>4</v>
      </c>
      <c r="C12" s="127" t="str">
        <f>'Program Descriptions'!C8</f>
        <v xml:space="preserve">Low-Income Solutions </v>
      </c>
      <c r="D12" s="127" t="str">
        <f>IF(C12="Empty","",'Program Descriptions'!E8)</f>
        <v>Residential</v>
      </c>
      <c r="E12" s="127"/>
      <c r="F12" s="366">
        <v>4957950.1808030577</v>
      </c>
      <c r="G12" s="386">
        <v>3796362.906385723</v>
      </c>
      <c r="H12" s="366">
        <v>5384249.3367566662</v>
      </c>
      <c r="I12" s="386">
        <v>3691224.931654931</v>
      </c>
      <c r="J12" s="8"/>
      <c r="K12" s="387">
        <v>7862580</v>
      </c>
      <c r="L12" s="387">
        <v>7947476.6916499287</v>
      </c>
      <c r="M12" s="387">
        <v>7872898.9500000002</v>
      </c>
      <c r="N12" s="387">
        <v>7675406.3224241361</v>
      </c>
      <c r="O12" s="8"/>
      <c r="P12" s="387">
        <v>2945.74</v>
      </c>
      <c r="Q12" s="387">
        <v>1847.10456729</v>
      </c>
      <c r="R12" s="464">
        <v>1903.9466666666699</v>
      </c>
      <c r="S12" s="387">
        <v>1847.6325776307497</v>
      </c>
      <c r="U12" s="387">
        <v>2790</v>
      </c>
      <c r="V12" s="387">
        <v>1654</v>
      </c>
      <c r="W12" s="387">
        <v>2193</v>
      </c>
      <c r="X12" s="387">
        <v>1859</v>
      </c>
      <c r="Y12" s="4"/>
    </row>
    <row r="13" spans="2:25" ht="12.75" customHeight="1" x14ac:dyDescent="0.25">
      <c r="B13" s="126">
        <v>5</v>
      </c>
      <c r="C13" s="127" t="str">
        <f>'Program Descriptions'!C9</f>
        <v>Point of Purchase Solutions</v>
      </c>
      <c r="D13" s="127" t="str">
        <f>IF(C13="Empty","",'Program Descriptions'!E9)</f>
        <v>All Classes</v>
      </c>
      <c r="E13" s="127"/>
      <c r="F13" s="366">
        <v>7888519.8511605328</v>
      </c>
      <c r="G13" s="386">
        <v>8417610.5934486445</v>
      </c>
      <c r="H13" s="366">
        <v>8751341.9164119139</v>
      </c>
      <c r="I13" s="386">
        <v>7887959.7989369221</v>
      </c>
      <c r="J13" s="8"/>
      <c r="K13" s="387">
        <v>66846294.521949999</v>
      </c>
      <c r="L13" s="387">
        <v>85011786.517006844</v>
      </c>
      <c r="M13" s="387">
        <v>55525078.901915103</v>
      </c>
      <c r="N13" s="387">
        <v>57949096.364067532</v>
      </c>
      <c r="O13" s="8"/>
      <c r="P13" s="387">
        <v>9934.4228600000006</v>
      </c>
      <c r="Q13" s="387">
        <v>13141.889228402302</v>
      </c>
      <c r="R13" s="464">
        <v>6618.3860386772203</v>
      </c>
      <c r="S13" s="387">
        <v>6004.1536421741039</v>
      </c>
      <c r="U13" s="387">
        <v>271464</v>
      </c>
      <c r="V13" s="387">
        <v>702443</v>
      </c>
      <c r="W13" s="387">
        <v>266316</v>
      </c>
      <c r="X13" s="387">
        <v>310781.75</v>
      </c>
      <c r="Y13" s="4"/>
    </row>
    <row r="14" spans="2:25" ht="12.75" customHeight="1" x14ac:dyDescent="0.25">
      <c r="B14" s="126">
        <v>6</v>
      </c>
      <c r="C14" s="127" t="str">
        <f>'Program Descriptions'!C10</f>
        <v>Large Commercial &amp; Industrial Solutions</v>
      </c>
      <c r="D14" s="127" t="str">
        <f>IF(C14="Empty","",'Program Descriptions'!E10)</f>
        <v>Commercial &amp; Industrial</v>
      </c>
      <c r="E14" s="127"/>
      <c r="F14" s="366">
        <v>21779438.87427019</v>
      </c>
      <c r="G14" s="386">
        <v>15016622.629596792</v>
      </c>
      <c r="H14" s="366">
        <v>19010281.254046436</v>
      </c>
      <c r="I14" s="386">
        <v>15068046.885471053</v>
      </c>
      <c r="J14" s="8"/>
      <c r="K14" s="387">
        <v>114386504.210953</v>
      </c>
      <c r="L14" s="364">
        <v>108799927.57485093</v>
      </c>
      <c r="M14" s="387">
        <v>105503573.110254</v>
      </c>
      <c r="N14" s="364">
        <v>106560256.5469797</v>
      </c>
      <c r="O14" s="8"/>
      <c r="P14" s="387">
        <v>18197.072949684101</v>
      </c>
      <c r="Q14" s="364">
        <v>12257.106472999007</v>
      </c>
      <c r="R14" s="464">
        <v>14936.931122461399</v>
      </c>
      <c r="S14" s="364">
        <v>17223.332392285818</v>
      </c>
      <c r="U14" s="387">
        <v>437</v>
      </c>
      <c r="V14" s="364">
        <v>311</v>
      </c>
      <c r="W14" s="387">
        <v>473</v>
      </c>
      <c r="X14" s="364">
        <v>371</v>
      </c>
      <c r="Y14" s="4"/>
    </row>
    <row r="15" spans="2:25" ht="12.75" customHeight="1" x14ac:dyDescent="0.25">
      <c r="B15" s="126">
        <v>7</v>
      </c>
      <c r="C15" s="127" t="str">
        <f>'Program Descriptions'!C11</f>
        <v>Small Business Solutions</v>
      </c>
      <c r="D15" s="127" t="str">
        <f>IF(C15="Empty","",'Program Descriptions'!E11)</f>
        <v>Small Business</v>
      </c>
      <c r="E15" s="127"/>
      <c r="F15" s="366">
        <v>2580678.994310481</v>
      </c>
      <c r="G15" s="386">
        <v>2122507.6553310882</v>
      </c>
      <c r="H15" s="366">
        <v>4172561.066422848</v>
      </c>
      <c r="I15" s="386">
        <v>2016541.8793523316</v>
      </c>
      <c r="J15" s="8"/>
      <c r="K15" s="387">
        <v>13871484.639317701</v>
      </c>
      <c r="L15" s="364">
        <v>9221327.1564689316</v>
      </c>
      <c r="M15" s="387">
        <v>17147011.9466592</v>
      </c>
      <c r="N15" s="364">
        <v>8754457.3221529014</v>
      </c>
      <c r="O15" s="8"/>
      <c r="P15" s="387">
        <v>1739.8640226478999</v>
      </c>
      <c r="Q15" s="364">
        <v>1506.8489098110892</v>
      </c>
      <c r="R15" s="464">
        <v>2874.39805920341</v>
      </c>
      <c r="S15" s="364">
        <v>1466.9644154710174</v>
      </c>
      <c r="U15" s="387">
        <v>424</v>
      </c>
      <c r="V15" s="364">
        <v>469</v>
      </c>
      <c r="W15" s="387">
        <v>740</v>
      </c>
      <c r="X15" s="364">
        <v>470</v>
      </c>
      <c r="Y15" s="4"/>
    </row>
    <row r="16" spans="2:25" ht="12.75" customHeight="1" x14ac:dyDescent="0.25">
      <c r="B16" s="126">
        <v>8</v>
      </c>
      <c r="C16" s="127" t="str">
        <f>'Program Descriptions'!C12</f>
        <v xml:space="preserve">Public Institutions Solutions </v>
      </c>
      <c r="D16" s="127" t="str">
        <f>IF(C16="Empty","",'Program Descriptions'!E12)</f>
        <v>Municipalities/Schools</v>
      </c>
      <c r="E16" s="127"/>
      <c r="F16" s="366">
        <v>3805633.0300889253</v>
      </c>
      <c r="G16" s="386">
        <v>3572008.2975310688</v>
      </c>
      <c r="H16" s="366">
        <v>2964696.8476506155</v>
      </c>
      <c r="I16" s="386">
        <v>2269902.5327492021</v>
      </c>
      <c r="J16" s="8"/>
      <c r="K16" s="387">
        <v>24661482.856637001</v>
      </c>
      <c r="L16" s="364">
        <v>16832595.430982873</v>
      </c>
      <c r="M16" s="387">
        <v>14514891.427528501</v>
      </c>
      <c r="N16" s="364">
        <v>15695268.854589323</v>
      </c>
      <c r="O16" s="8"/>
      <c r="P16" s="387">
        <v>5883.2090868577898</v>
      </c>
      <c r="Q16" s="364">
        <v>3176.3166709995808</v>
      </c>
      <c r="R16" s="464">
        <v>2850.4554095571102</v>
      </c>
      <c r="S16" s="364">
        <v>2435.3518679671424</v>
      </c>
      <c r="U16" s="387">
        <v>61</v>
      </c>
      <c r="V16" s="364">
        <v>216</v>
      </c>
      <c r="W16" s="387">
        <v>200</v>
      </c>
      <c r="X16" s="364">
        <v>178</v>
      </c>
      <c r="Y16" s="4"/>
    </row>
    <row r="17" spans="2:25" ht="12.75" customHeight="1" x14ac:dyDescent="0.25">
      <c r="B17" s="126">
        <v>9</v>
      </c>
      <c r="C17" s="127" t="str">
        <f>'Program Descriptions'!C13</f>
        <v>Agricultural Energy Solutions</v>
      </c>
      <c r="D17" s="127" t="str">
        <f>IF(C17="Empty","",'Program Descriptions'!E13)</f>
        <v>Agriculture</v>
      </c>
      <c r="E17" s="127"/>
      <c r="F17" s="366">
        <v>1352797.6111376719</v>
      </c>
      <c r="G17" s="386">
        <v>1033381.3710670691</v>
      </c>
      <c r="H17" s="366">
        <v>2121871.1987859295</v>
      </c>
      <c r="I17" s="386">
        <v>1286225.1523420648</v>
      </c>
      <c r="J17" s="8"/>
      <c r="K17" s="387">
        <v>5998345.46</v>
      </c>
      <c r="L17" s="364">
        <v>5111279.0099446345</v>
      </c>
      <c r="M17" s="387">
        <v>6651726.7632648004</v>
      </c>
      <c r="N17" s="364">
        <v>7894087.6442670003</v>
      </c>
      <c r="O17" s="8"/>
      <c r="P17" s="387">
        <v>927.5847</v>
      </c>
      <c r="Q17" s="364">
        <v>1929.9722317210267</v>
      </c>
      <c r="R17" s="464">
        <v>1050.25858932031</v>
      </c>
      <c r="S17" s="364">
        <v>817.14782159999993</v>
      </c>
      <c r="U17" s="387">
        <v>206</v>
      </c>
      <c r="V17" s="364">
        <v>6</v>
      </c>
      <c r="W17" s="387">
        <v>56</v>
      </c>
      <c r="X17" s="364">
        <v>17</v>
      </c>
      <c r="Y17" s="4"/>
    </row>
    <row r="18" spans="2:25" ht="12.75" customHeight="1" x14ac:dyDescent="0.25">
      <c r="B18" s="126">
        <v>10</v>
      </c>
      <c r="C18" s="127" t="str">
        <f>'Program Descriptions'!C14</f>
        <v>Residential Direct Load Control</v>
      </c>
      <c r="D18" s="127" t="str">
        <f>IF(C18="Empty","",'Program Descriptions'!E14)</f>
        <v>Residential</v>
      </c>
      <c r="E18" s="127"/>
      <c r="F18" s="366">
        <v>3547987.8555794684</v>
      </c>
      <c r="G18" s="386">
        <v>2595873.7135446575</v>
      </c>
      <c r="H18" s="366">
        <v>2698350</v>
      </c>
      <c r="I18" s="386">
        <v>2372587.8343897923</v>
      </c>
      <c r="J18" s="8"/>
      <c r="K18" s="387">
        <v>0</v>
      </c>
      <c r="L18" s="364">
        <v>0</v>
      </c>
      <c r="M18" s="387">
        <v>0</v>
      </c>
      <c r="N18" s="364">
        <v>0</v>
      </c>
      <c r="O18" s="8"/>
      <c r="P18" s="387">
        <v>29009.109970990899</v>
      </c>
      <c r="Q18" s="364">
        <v>18535.8</v>
      </c>
      <c r="R18" s="464">
        <v>10506.2045259238</v>
      </c>
      <c r="S18" s="364">
        <v>13643.689399999999</v>
      </c>
      <c r="U18" s="387">
        <v>17797</v>
      </c>
      <c r="V18" s="364">
        <v>14393</v>
      </c>
      <c r="W18" s="387">
        <v>10982</v>
      </c>
      <c r="X18" s="364">
        <v>12944</v>
      </c>
      <c r="Y18" s="4"/>
    </row>
    <row r="19" spans="2:25" ht="12.75" customHeight="1" x14ac:dyDescent="0.25">
      <c r="B19" s="126">
        <v>11</v>
      </c>
      <c r="C19" s="127" t="str">
        <f>'Program Descriptions'!C15</f>
        <v xml:space="preserve">Smart Direct Load Control Pilot </v>
      </c>
      <c r="D19" s="127" t="str">
        <f>IF(C19="Empty","",'Program Descriptions'!E15)</f>
        <v>Res/Small Business</v>
      </c>
      <c r="E19" s="127"/>
      <c r="F19" s="366">
        <v>4005439.2524556117</v>
      </c>
      <c r="G19" s="386">
        <v>3390368.4716238864</v>
      </c>
      <c r="H19" s="366">
        <v>5311365.5999999996</v>
      </c>
      <c r="I19" s="386">
        <v>4625493.4883515928</v>
      </c>
      <c r="J19" s="8"/>
      <c r="K19" s="387">
        <v>4972826.5</v>
      </c>
      <c r="L19" s="364">
        <v>3182436.0860000001</v>
      </c>
      <c r="M19" s="387">
        <v>4384533.5712000001</v>
      </c>
      <c r="N19" s="364">
        <v>3340504</v>
      </c>
      <c r="O19" s="8"/>
      <c r="P19" s="387">
        <v>27513.2778</v>
      </c>
      <c r="Q19" s="364">
        <v>5942.1</v>
      </c>
      <c r="R19" s="464">
        <v>13655.32806</v>
      </c>
      <c r="S19" s="364">
        <v>6753.4</v>
      </c>
      <c r="U19" s="387">
        <v>16525</v>
      </c>
      <c r="V19" s="364">
        <v>1393</v>
      </c>
      <c r="W19" s="387">
        <v>10691</v>
      </c>
      <c r="X19" s="364">
        <v>1974</v>
      </c>
      <c r="Y19" s="4"/>
    </row>
    <row r="20" spans="2:25" ht="12.75" customHeight="1" x14ac:dyDescent="0.25">
      <c r="B20" s="126">
        <v>12</v>
      </c>
      <c r="C20" s="127" t="str">
        <f>'Program Descriptions'!C16</f>
        <v>Agricultural Irrigation Load Control</v>
      </c>
      <c r="D20" s="127" t="str">
        <f>IF(C20="Empty","",'Program Descriptions'!E16)</f>
        <v>Agriculture</v>
      </c>
      <c r="E20" s="127"/>
      <c r="F20" s="366">
        <v>3918060.3574844673</v>
      </c>
      <c r="G20" s="386">
        <v>3869623.1611385327</v>
      </c>
      <c r="H20" s="366">
        <v>3764178.5300000007</v>
      </c>
      <c r="I20" s="386">
        <v>3669706.2477223007</v>
      </c>
      <c r="J20" s="8"/>
      <c r="K20" s="387">
        <v>0</v>
      </c>
      <c r="L20" s="364">
        <v>0</v>
      </c>
      <c r="M20" s="387">
        <v>0</v>
      </c>
      <c r="N20" s="364">
        <v>0</v>
      </c>
      <c r="O20" s="8"/>
      <c r="P20" s="387">
        <v>49922.265229999997</v>
      </c>
      <c r="Q20" s="364">
        <v>17710.8</v>
      </c>
      <c r="R20" s="464">
        <v>22800</v>
      </c>
      <c r="S20" s="364">
        <v>18328.400000000001</v>
      </c>
      <c r="U20" s="387">
        <v>1871</v>
      </c>
      <c r="V20" s="364">
        <v>1605</v>
      </c>
      <c r="W20" s="387">
        <v>483</v>
      </c>
      <c r="X20" s="364">
        <v>1605</v>
      </c>
      <c r="Y20" s="4"/>
    </row>
    <row r="21" spans="2:25" ht="12.75" customHeight="1" thickBot="1" x14ac:dyDescent="0.3">
      <c r="B21" s="126">
        <v>13</v>
      </c>
      <c r="C21" s="127" t="str">
        <f>'Program Descriptions'!C17</f>
        <v>Empty</v>
      </c>
      <c r="D21" s="127" t="str">
        <f>IF(C21="Empty","",'Program Descriptions'!E17)</f>
        <v/>
      </c>
      <c r="E21" s="127"/>
      <c r="F21" s="366">
        <v>303381.89114934253</v>
      </c>
      <c r="G21" s="386">
        <v>30323.010103056182</v>
      </c>
      <c r="H21" s="366">
        <v>0</v>
      </c>
      <c r="I21" s="386">
        <v>0</v>
      </c>
      <c r="J21" s="8"/>
      <c r="K21" s="387">
        <v>0</v>
      </c>
      <c r="L21" s="364">
        <v>0</v>
      </c>
      <c r="M21" s="387"/>
      <c r="N21" s="364">
        <v>0</v>
      </c>
      <c r="O21" s="8"/>
      <c r="P21" s="387">
        <v>0</v>
      </c>
      <c r="Q21" s="364">
        <v>0</v>
      </c>
      <c r="R21" s="464">
        <v>0</v>
      </c>
      <c r="S21" s="364">
        <v>0</v>
      </c>
      <c r="U21" s="387">
        <v>0</v>
      </c>
      <c r="V21" s="364">
        <v>0</v>
      </c>
      <c r="W21" s="387">
        <v>0</v>
      </c>
      <c r="X21" s="364">
        <v>0</v>
      </c>
      <c r="Y21" s="4"/>
    </row>
    <row r="22" spans="2:25" ht="12.75" hidden="1" customHeight="1" x14ac:dyDescent="0.25">
      <c r="B22" s="126">
        <v>14</v>
      </c>
      <c r="C22" s="127" t="str">
        <f>'Program Descriptions'!C18</f>
        <v>Empty</v>
      </c>
      <c r="D22" s="127" t="str">
        <f>IF(C22="Empty","",'Program Descriptions'!E18)</f>
        <v/>
      </c>
      <c r="E22" s="127"/>
      <c r="F22" s="366">
        <v>0</v>
      </c>
      <c r="G22" s="386"/>
      <c r="H22" s="366">
        <v>0</v>
      </c>
      <c r="I22" s="386"/>
      <c r="J22" s="8"/>
      <c r="K22" s="387"/>
      <c r="L22" s="364"/>
      <c r="M22" s="387"/>
      <c r="N22" s="364"/>
      <c r="O22" s="8"/>
      <c r="P22" s="387"/>
      <c r="Q22" s="364"/>
      <c r="R22" s="387"/>
      <c r="S22" s="364"/>
      <c r="U22" s="387"/>
      <c r="V22" s="364"/>
      <c r="W22" s="387"/>
      <c r="X22" s="364"/>
      <c r="Y22" s="4"/>
    </row>
    <row r="23" spans="2:25" ht="12.75" hidden="1" customHeight="1" x14ac:dyDescent="0.25">
      <c r="B23" s="126">
        <v>15</v>
      </c>
      <c r="C23" s="127" t="str">
        <f>'Program Descriptions'!C19</f>
        <v>Empty</v>
      </c>
      <c r="D23" s="127" t="str">
        <f>IF(C23="Empty","",'Program Descriptions'!E19)</f>
        <v/>
      </c>
      <c r="E23" s="127"/>
      <c r="F23" s="366">
        <v>0</v>
      </c>
      <c r="G23" s="386"/>
      <c r="H23" s="366">
        <v>0</v>
      </c>
      <c r="I23" s="386"/>
      <c r="J23" s="8"/>
      <c r="K23" s="387"/>
      <c r="L23" s="364"/>
      <c r="M23" s="387"/>
      <c r="N23" s="364"/>
      <c r="O23" s="8"/>
      <c r="P23" s="387"/>
      <c r="Q23" s="364"/>
      <c r="R23" s="387"/>
      <c r="S23" s="364"/>
      <c r="U23" s="387"/>
      <c r="V23" s="364"/>
      <c r="W23" s="387"/>
      <c r="X23" s="364"/>
      <c r="Y23" s="4"/>
    </row>
    <row r="24" spans="2:25" ht="12.75" hidden="1" customHeight="1" x14ac:dyDescent="0.25">
      <c r="B24" s="126">
        <v>16</v>
      </c>
      <c r="C24" s="127" t="str">
        <f>'Program Descriptions'!C20</f>
        <v>Empty</v>
      </c>
      <c r="D24" s="127" t="str">
        <f>IF(C24="Empty","",'Program Descriptions'!E20)</f>
        <v/>
      </c>
      <c r="E24" s="127"/>
      <c r="F24" s="366">
        <v>0</v>
      </c>
      <c r="G24" s="386"/>
      <c r="H24" s="366">
        <v>0</v>
      </c>
      <c r="I24" s="386"/>
      <c r="J24" s="8"/>
      <c r="K24" s="387"/>
      <c r="L24" s="364"/>
      <c r="M24" s="387"/>
      <c r="N24" s="364"/>
      <c r="O24" s="8"/>
      <c r="P24" s="387"/>
      <c r="Q24" s="364"/>
      <c r="R24" s="387"/>
      <c r="S24" s="364"/>
      <c r="U24" s="387"/>
      <c r="V24" s="364"/>
      <c r="W24" s="387"/>
      <c r="X24" s="364"/>
      <c r="Y24" s="4"/>
    </row>
    <row r="25" spans="2:25" ht="12.75" hidden="1" customHeight="1" x14ac:dyDescent="0.25">
      <c r="B25" s="126">
        <v>17</v>
      </c>
      <c r="C25" s="127" t="str">
        <f>'Program Descriptions'!C21</f>
        <v>Empty</v>
      </c>
      <c r="D25" s="127" t="str">
        <f>IF(C25="Empty","",'Program Descriptions'!E21)</f>
        <v/>
      </c>
      <c r="E25" s="127"/>
      <c r="F25" s="366">
        <v>0</v>
      </c>
      <c r="G25" s="386"/>
      <c r="H25" s="366">
        <v>0</v>
      </c>
      <c r="I25" s="386"/>
      <c r="J25" s="8"/>
      <c r="K25" s="387"/>
      <c r="L25" s="364"/>
      <c r="M25" s="387"/>
      <c r="N25" s="364"/>
      <c r="O25" s="8"/>
      <c r="P25" s="387"/>
      <c r="Q25" s="364"/>
      <c r="R25" s="387"/>
      <c r="S25" s="364"/>
      <c r="U25" s="387"/>
      <c r="V25" s="364"/>
      <c r="W25" s="387"/>
      <c r="X25" s="364"/>
      <c r="Y25" s="4"/>
    </row>
    <row r="26" spans="2:25" ht="12.75" hidden="1" customHeight="1" x14ac:dyDescent="0.25">
      <c r="B26" s="126">
        <v>18</v>
      </c>
      <c r="C26" s="127" t="str">
        <f>'Program Descriptions'!C22</f>
        <v>Empty</v>
      </c>
      <c r="D26" s="127" t="str">
        <f>IF(C26="Empty","",'Program Descriptions'!E22)</f>
        <v/>
      </c>
      <c r="E26" s="127"/>
      <c r="F26" s="366">
        <v>0</v>
      </c>
      <c r="G26" s="386"/>
      <c r="H26" s="366">
        <v>0</v>
      </c>
      <c r="I26" s="386"/>
      <c r="J26" s="8"/>
      <c r="K26" s="387"/>
      <c r="L26" s="364"/>
      <c r="M26" s="387"/>
      <c r="N26" s="364"/>
      <c r="O26" s="8"/>
      <c r="P26" s="387"/>
      <c r="Q26" s="364"/>
      <c r="R26" s="387"/>
      <c r="S26" s="364"/>
      <c r="U26" s="387"/>
      <c r="V26" s="364"/>
      <c r="W26" s="387"/>
      <c r="X26" s="364"/>
      <c r="Y26" s="4"/>
    </row>
    <row r="27" spans="2:25" ht="12.75" hidden="1" customHeight="1" x14ac:dyDescent="0.25">
      <c r="B27" s="126">
        <v>19</v>
      </c>
      <c r="C27" s="127" t="str">
        <f>'Program Descriptions'!C23</f>
        <v>Empty</v>
      </c>
      <c r="D27" s="127" t="str">
        <f>IF(C27="Empty","",'Program Descriptions'!E23)</f>
        <v/>
      </c>
      <c r="E27" s="127"/>
      <c r="F27" s="366">
        <v>0</v>
      </c>
      <c r="G27" s="386"/>
      <c r="H27" s="366">
        <v>0</v>
      </c>
      <c r="I27" s="386"/>
      <c r="J27" s="8"/>
      <c r="K27" s="387"/>
      <c r="L27" s="364"/>
      <c r="M27" s="387"/>
      <c r="N27" s="364"/>
      <c r="O27" s="8"/>
      <c r="P27" s="387"/>
      <c r="Q27" s="364"/>
      <c r="R27" s="387"/>
      <c r="S27" s="364"/>
      <c r="U27" s="387"/>
      <c r="V27" s="364"/>
      <c r="W27" s="387"/>
      <c r="X27" s="364"/>
      <c r="Y27" s="4"/>
    </row>
    <row r="28" spans="2:25" ht="12.75" hidden="1" customHeight="1" thickBot="1" x14ac:dyDescent="0.3">
      <c r="B28" s="126">
        <v>20</v>
      </c>
      <c r="C28" s="127" t="str">
        <f>'Program Descriptions'!C24</f>
        <v>Empty</v>
      </c>
      <c r="D28" s="127" t="str">
        <f>IF(C28="Empty","",'Program Descriptions'!E24)</f>
        <v/>
      </c>
      <c r="E28" s="127"/>
      <c r="F28" s="460">
        <v>0</v>
      </c>
      <c r="G28" s="607"/>
      <c r="H28" s="460">
        <v>0</v>
      </c>
      <c r="I28" s="607"/>
      <c r="J28" s="8"/>
      <c r="K28" s="388"/>
      <c r="L28" s="369"/>
      <c r="M28" s="388"/>
      <c r="N28" s="369"/>
      <c r="O28" s="8"/>
      <c r="P28" s="388"/>
      <c r="Q28" s="369"/>
      <c r="R28" s="388"/>
      <c r="S28" s="369"/>
      <c r="U28" s="388"/>
      <c r="V28" s="369"/>
      <c r="W28" s="388"/>
      <c r="X28" s="369"/>
      <c r="Y28" s="4"/>
    </row>
    <row r="29" spans="2:25" ht="12.75" customHeight="1" thickBot="1" x14ac:dyDescent="0.3">
      <c r="B29" s="7"/>
      <c r="C29" s="127" t="s">
        <v>557</v>
      </c>
      <c r="D29" s="127"/>
      <c r="E29" s="127"/>
      <c r="F29" s="288"/>
      <c r="G29" s="294">
        <v>50000</v>
      </c>
      <c r="H29" s="288"/>
      <c r="I29" s="294">
        <v>211139.39</v>
      </c>
      <c r="J29" s="8"/>
      <c r="K29" s="8"/>
      <c r="L29" s="8"/>
      <c r="M29" s="8"/>
      <c r="N29" s="8"/>
      <c r="O29" s="8"/>
      <c r="P29" s="8"/>
      <c r="Q29" s="8"/>
      <c r="R29" s="8"/>
      <c r="S29" s="8"/>
      <c r="Y29" s="4"/>
    </row>
    <row r="30" spans="2:25" ht="12.75" customHeight="1" x14ac:dyDescent="0.2">
      <c r="B30" s="7"/>
      <c r="Y30" s="4"/>
    </row>
    <row r="31" spans="2:25" ht="12.75" customHeight="1" x14ac:dyDescent="0.25">
      <c r="B31" s="7"/>
      <c r="C31" s="139"/>
      <c r="D31" s="139" t="s">
        <v>558</v>
      </c>
      <c r="E31" s="139"/>
      <c r="F31" s="10">
        <f>SUM(F9:F29)</f>
        <v>69354507.308657885</v>
      </c>
      <c r="G31" s="10">
        <f>SUM(G9:G29)</f>
        <v>58224010.773000009</v>
      </c>
      <c r="H31" s="10">
        <f>SUM(H9:H29)</f>
        <v>73679987.002015382</v>
      </c>
      <c r="I31" s="10">
        <f>SUM(I9:I29)</f>
        <v>58231942.29999999</v>
      </c>
      <c r="K31" s="69">
        <f>SUM(K9:K28)</f>
        <v>285149391.30885768</v>
      </c>
      <c r="L31" s="69">
        <f t="shared" ref="L31:X31" si="0">SUM(L9:L28)</f>
        <v>283027658.7758773</v>
      </c>
      <c r="M31" s="69">
        <f t="shared" si="0"/>
        <v>253490061.04416862</v>
      </c>
      <c r="N31" s="69">
        <f t="shared" si="0"/>
        <v>251695936.10119721</v>
      </c>
      <c r="P31" s="69">
        <f t="shared" si="0"/>
        <v>162499.64242018067</v>
      </c>
      <c r="Q31" s="69">
        <f t="shared" si="0"/>
        <v>88618.792322083289</v>
      </c>
      <c r="R31" s="69">
        <f t="shared" si="0"/>
        <v>88524.101947235045</v>
      </c>
      <c r="S31" s="69">
        <f t="shared" si="0"/>
        <v>80400.213912537336</v>
      </c>
      <c r="U31" s="69">
        <f t="shared" si="0"/>
        <v>325821</v>
      </c>
      <c r="V31" s="69">
        <f t="shared" si="0"/>
        <v>733225</v>
      </c>
      <c r="W31" s="69">
        <f t="shared" si="0"/>
        <v>301974</v>
      </c>
      <c r="X31" s="69">
        <f t="shared" si="0"/>
        <v>341753.75</v>
      </c>
      <c r="Y31" s="4"/>
    </row>
    <row r="32" spans="2:25" ht="12.75" customHeight="1" x14ac:dyDescent="0.2">
      <c r="B32" s="7"/>
      <c r="C32"/>
      <c r="D32"/>
      <c r="E32"/>
      <c r="Y32" s="4"/>
    </row>
    <row r="33" spans="2:25" ht="12.75" customHeight="1" x14ac:dyDescent="0.25">
      <c r="B33" s="7"/>
      <c r="C33" s="148" t="s">
        <v>559</v>
      </c>
      <c r="D33" s="139"/>
      <c r="E33" s="139"/>
      <c r="F33" s="69"/>
      <c r="G33" s="69"/>
      <c r="H33" s="69"/>
      <c r="I33" s="69"/>
      <c r="Y33" s="4"/>
    </row>
    <row r="34" spans="2:25" ht="51.75" customHeight="1" x14ac:dyDescent="0.2">
      <c r="B34" s="7"/>
      <c r="C34" s="716" t="s">
        <v>560</v>
      </c>
      <c r="D34" s="717"/>
      <c r="E34" s="717"/>
      <c r="F34" s="717"/>
      <c r="G34" s="717"/>
      <c r="H34" s="717"/>
      <c r="I34" s="717"/>
      <c r="J34" s="717"/>
      <c r="K34" s="717"/>
      <c r="L34" s="717"/>
      <c r="M34" s="717"/>
      <c r="N34" s="718"/>
      <c r="Y34" s="4"/>
    </row>
    <row r="35" spans="2:25" ht="12.75" customHeight="1" x14ac:dyDescent="0.25">
      <c r="B35" s="7"/>
      <c r="C35" s="139"/>
      <c r="D35" s="139"/>
      <c r="E35" s="139"/>
      <c r="F35" s="69"/>
      <c r="G35" s="69"/>
      <c r="H35" s="69"/>
      <c r="I35" s="69"/>
      <c r="Y35" s="4"/>
    </row>
    <row r="36" spans="2:25" ht="12.75" customHeight="1" x14ac:dyDescent="0.25">
      <c r="B36" s="7"/>
      <c r="C36" s="149"/>
      <c r="D36" s="149"/>
      <c r="E36" s="149"/>
      <c r="F36" s="150"/>
      <c r="G36" s="150"/>
      <c r="H36" s="150"/>
      <c r="I36" s="150"/>
      <c r="J36" s="151"/>
      <c r="K36" s="151"/>
      <c r="L36" s="151"/>
      <c r="M36" s="151"/>
      <c r="N36" s="151"/>
      <c r="O36" s="151"/>
      <c r="P36" s="151"/>
      <c r="Q36" s="151"/>
      <c r="R36" s="151"/>
      <c r="S36" s="151"/>
      <c r="T36" s="151"/>
      <c r="U36" s="151"/>
      <c r="V36" s="151"/>
      <c r="W36" s="151"/>
      <c r="X36" s="151"/>
      <c r="Y36" s="4"/>
    </row>
    <row r="37" spans="2:25" ht="19.5" customHeight="1" thickBot="1" x14ac:dyDescent="0.35">
      <c r="B37" s="3"/>
      <c r="C37" s="715" t="s">
        <v>530</v>
      </c>
      <c r="D37" s="715"/>
      <c r="E37" s="630"/>
      <c r="F37" s="714" t="str">
        <f>F6</f>
        <v>Annual Budget &amp; Actual Costs</v>
      </c>
      <c r="G37" s="714"/>
      <c r="H37" s="714"/>
      <c r="I37" s="714"/>
      <c r="K37" s="714" t="str">
        <f>K6</f>
        <v>Annual Net Energy Savings (kWh)</v>
      </c>
      <c r="L37" s="714"/>
      <c r="M37" s="714"/>
      <c r="N37" s="714"/>
      <c r="P37" s="714" t="str">
        <f>P6</f>
        <v>Annual Net Demand Savings (kW)</v>
      </c>
      <c r="Q37" s="714"/>
      <c r="R37" s="714"/>
      <c r="S37" s="714"/>
      <c r="U37" s="714" t="str">
        <f>U6</f>
        <v>Number of Participants</v>
      </c>
      <c r="V37" s="714"/>
      <c r="W37" s="714"/>
      <c r="X37" s="714"/>
      <c r="Y37" s="4"/>
    </row>
    <row r="38" spans="2:25" ht="12.75" customHeight="1" x14ac:dyDescent="0.3">
      <c r="B38" s="3"/>
      <c r="E38" s="630"/>
      <c r="F38" s="712">
        <f>F7</f>
        <v>2023</v>
      </c>
      <c r="G38" s="713"/>
      <c r="H38" s="712">
        <f>H7</f>
        <v>2024</v>
      </c>
      <c r="I38" s="713"/>
      <c r="K38" s="712">
        <f>K7</f>
        <v>2023</v>
      </c>
      <c r="L38" s="713"/>
      <c r="M38" s="712">
        <f>M7</f>
        <v>2024</v>
      </c>
      <c r="N38" s="713"/>
      <c r="P38" s="712">
        <f>P7</f>
        <v>2023</v>
      </c>
      <c r="Q38" s="713"/>
      <c r="R38" s="712">
        <f>R7</f>
        <v>2024</v>
      </c>
      <c r="S38" s="713"/>
      <c r="U38" s="712">
        <f>U7</f>
        <v>2023</v>
      </c>
      <c r="V38" s="713"/>
      <c r="W38" s="712">
        <f>W7</f>
        <v>2024</v>
      </c>
      <c r="X38" s="713"/>
      <c r="Y38" s="4"/>
    </row>
    <row r="39" spans="2:25" ht="12.75" customHeight="1" thickBot="1" x14ac:dyDescent="0.35">
      <c r="B39" s="7"/>
      <c r="C39" s="8" t="s">
        <v>85</v>
      </c>
      <c r="D39" s="8" t="s">
        <v>86</v>
      </c>
      <c r="E39" s="630"/>
      <c r="F39" s="384" t="str">
        <f>F8</f>
        <v>Budget</v>
      </c>
      <c r="G39" s="385" t="str">
        <f>G8</f>
        <v>Actual</v>
      </c>
      <c r="H39" s="384" t="str">
        <f>H8</f>
        <v>Budget</v>
      </c>
      <c r="I39" s="385" t="str">
        <f>I8</f>
        <v>Actual</v>
      </c>
      <c r="J39" s="8"/>
      <c r="K39" s="384" t="str">
        <f>K8</f>
        <v>Plan</v>
      </c>
      <c r="L39" s="385" t="str">
        <f>L8</f>
        <v>Evaluated</v>
      </c>
      <c r="M39" s="384" t="str">
        <f>M8</f>
        <v>Plan</v>
      </c>
      <c r="N39" s="385" t="str">
        <f>N8</f>
        <v>Evaluated</v>
      </c>
      <c r="O39" s="8"/>
      <c r="P39" s="384" t="str">
        <f>P8</f>
        <v>Plan</v>
      </c>
      <c r="Q39" s="385" t="str">
        <f>Q8</f>
        <v>Evaluated</v>
      </c>
      <c r="R39" s="384" t="str">
        <f>R8</f>
        <v>Plan</v>
      </c>
      <c r="S39" s="385" t="str">
        <f>S8</f>
        <v>Evaluated</v>
      </c>
      <c r="U39" s="384" t="str">
        <f>U8</f>
        <v>Plan</v>
      </c>
      <c r="V39" s="385" t="str">
        <f>V8</f>
        <v>Evaluated</v>
      </c>
      <c r="W39" s="384" t="str">
        <f>W8</f>
        <v>Plan</v>
      </c>
      <c r="X39" s="385" t="str">
        <f>X8</f>
        <v>Evaluated</v>
      </c>
      <c r="Y39" s="4"/>
    </row>
    <row r="40" spans="2:25" ht="13.5" customHeight="1" thickBot="1" x14ac:dyDescent="0.35">
      <c r="B40" s="126">
        <v>1</v>
      </c>
      <c r="C40" s="95" t="s">
        <v>561</v>
      </c>
      <c r="D40" s="95" t="s">
        <v>90</v>
      </c>
      <c r="E40" s="630"/>
      <c r="F40" s="290" t="s">
        <v>175</v>
      </c>
      <c r="G40" s="291" t="s">
        <v>175</v>
      </c>
      <c r="H40" s="291" t="s">
        <v>175</v>
      </c>
      <c r="I40" s="291" t="s">
        <v>175</v>
      </c>
      <c r="J40" s="8"/>
      <c r="K40" s="292" t="s">
        <v>175</v>
      </c>
      <c r="L40" s="292" t="s">
        <v>175</v>
      </c>
      <c r="M40" s="292" t="s">
        <v>175</v>
      </c>
      <c r="N40" s="292" t="s">
        <v>175</v>
      </c>
      <c r="O40" s="8"/>
      <c r="P40" s="292" t="s">
        <v>175</v>
      </c>
      <c r="Q40" s="292" t="s">
        <v>175</v>
      </c>
      <c r="R40" s="292" t="s">
        <v>175</v>
      </c>
      <c r="S40" s="292" t="s">
        <v>175</v>
      </c>
      <c r="U40" s="292" t="s">
        <v>175</v>
      </c>
      <c r="V40" s="292" t="s">
        <v>175</v>
      </c>
      <c r="W40" s="292" t="s">
        <v>175</v>
      </c>
      <c r="X40" s="292" t="s">
        <v>175</v>
      </c>
      <c r="Y40" s="4"/>
    </row>
    <row r="41" spans="2:25" ht="16.5" customHeight="1" thickBot="1" x14ac:dyDescent="0.35">
      <c r="B41" s="126">
        <v>2</v>
      </c>
      <c r="C41" s="95" t="s">
        <v>562</v>
      </c>
      <c r="D41" s="95" t="s">
        <v>90</v>
      </c>
      <c r="E41" s="630"/>
      <c r="F41" s="290" t="s">
        <v>175</v>
      </c>
      <c r="G41" s="291" t="s">
        <v>175</v>
      </c>
      <c r="H41" s="291" t="s">
        <v>175</v>
      </c>
      <c r="I41" s="291" t="s">
        <v>175</v>
      </c>
      <c r="J41" s="8"/>
      <c r="K41" s="387" t="s">
        <v>175</v>
      </c>
      <c r="L41" s="364" t="s">
        <v>175</v>
      </c>
      <c r="M41" s="292" t="s">
        <v>175</v>
      </c>
      <c r="N41" s="292" t="s">
        <v>175</v>
      </c>
      <c r="O41" s="8"/>
      <c r="P41" s="387" t="s">
        <v>175</v>
      </c>
      <c r="Q41" s="364" t="s">
        <v>175</v>
      </c>
      <c r="R41" s="292" t="s">
        <v>175</v>
      </c>
      <c r="S41" s="292" t="s">
        <v>175</v>
      </c>
      <c r="U41" s="387" t="s">
        <v>175</v>
      </c>
      <c r="V41" s="364" t="s">
        <v>175</v>
      </c>
      <c r="W41" s="292" t="s">
        <v>175</v>
      </c>
      <c r="X41" s="292" t="s">
        <v>175</v>
      </c>
      <c r="Y41" s="4"/>
    </row>
    <row r="42" spans="2:25" ht="12.75" customHeight="1" thickBot="1" x14ac:dyDescent="0.35">
      <c r="B42" s="126">
        <v>3</v>
      </c>
      <c r="C42" s="95" t="s">
        <v>563</v>
      </c>
      <c r="D42" s="95" t="s">
        <v>564</v>
      </c>
      <c r="E42" s="630"/>
      <c r="F42" s="290" t="s">
        <v>175</v>
      </c>
      <c r="G42" s="291" t="s">
        <v>175</v>
      </c>
      <c r="H42" s="291" t="s">
        <v>175</v>
      </c>
      <c r="I42" s="291" t="s">
        <v>175</v>
      </c>
      <c r="J42" s="8"/>
      <c r="K42" s="387" t="s">
        <v>175</v>
      </c>
      <c r="L42" s="364" t="s">
        <v>175</v>
      </c>
      <c r="M42" s="292" t="s">
        <v>175</v>
      </c>
      <c r="N42" s="292" t="s">
        <v>175</v>
      </c>
      <c r="O42" s="8"/>
      <c r="P42" s="387" t="s">
        <v>175</v>
      </c>
      <c r="Q42" s="364" t="s">
        <v>175</v>
      </c>
      <c r="R42" s="292" t="s">
        <v>175</v>
      </c>
      <c r="S42" s="292" t="s">
        <v>175</v>
      </c>
      <c r="U42" s="387" t="s">
        <v>175</v>
      </c>
      <c r="V42" s="364" t="s">
        <v>175</v>
      </c>
      <c r="W42" s="292" t="s">
        <v>175</v>
      </c>
      <c r="X42" s="292" t="s">
        <v>175</v>
      </c>
      <c r="Y42" s="4"/>
    </row>
    <row r="43" spans="2:25" ht="12.75" customHeight="1" thickBot="1" x14ac:dyDescent="0.35">
      <c r="B43" s="126">
        <v>4</v>
      </c>
      <c r="C43" s="95" t="s">
        <v>565</v>
      </c>
      <c r="D43" s="95" t="s">
        <v>102</v>
      </c>
      <c r="E43" s="630"/>
      <c r="F43" s="290" t="s">
        <v>175</v>
      </c>
      <c r="G43" s="291" t="s">
        <v>175</v>
      </c>
      <c r="H43" s="291" t="s">
        <v>175</v>
      </c>
      <c r="I43" s="291" t="s">
        <v>175</v>
      </c>
      <c r="J43" s="8"/>
      <c r="K43" s="387" t="s">
        <v>175</v>
      </c>
      <c r="L43" s="364" t="s">
        <v>175</v>
      </c>
      <c r="M43" s="292" t="s">
        <v>175</v>
      </c>
      <c r="N43" s="292" t="s">
        <v>175</v>
      </c>
      <c r="O43" s="8"/>
      <c r="P43" s="387" t="s">
        <v>175</v>
      </c>
      <c r="Q43" s="364" t="s">
        <v>175</v>
      </c>
      <c r="R43" s="292" t="s">
        <v>175</v>
      </c>
      <c r="S43" s="292" t="s">
        <v>175</v>
      </c>
      <c r="U43" s="387" t="s">
        <v>175</v>
      </c>
      <c r="V43" s="364" t="s">
        <v>175</v>
      </c>
      <c r="W43" s="292" t="s">
        <v>175</v>
      </c>
      <c r="X43" s="292" t="s">
        <v>175</v>
      </c>
      <c r="Y43" s="4"/>
    </row>
    <row r="44" spans="2:25" ht="12.75" customHeight="1" thickBot="1" x14ac:dyDescent="0.35">
      <c r="B44" s="126">
        <v>5</v>
      </c>
      <c r="C44" s="95" t="s">
        <v>566</v>
      </c>
      <c r="D44" s="95" t="s">
        <v>90</v>
      </c>
      <c r="E44" s="630"/>
      <c r="F44" s="290" t="s">
        <v>175</v>
      </c>
      <c r="G44" s="291" t="s">
        <v>175</v>
      </c>
      <c r="H44" s="291" t="s">
        <v>175</v>
      </c>
      <c r="I44" s="291" t="s">
        <v>175</v>
      </c>
      <c r="J44" s="8"/>
      <c r="K44" s="387" t="s">
        <v>175</v>
      </c>
      <c r="L44" s="364" t="s">
        <v>175</v>
      </c>
      <c r="M44" s="292" t="s">
        <v>175</v>
      </c>
      <c r="N44" s="292" t="s">
        <v>175</v>
      </c>
      <c r="O44" s="8"/>
      <c r="P44" s="387" t="s">
        <v>175</v>
      </c>
      <c r="Q44" s="364" t="s">
        <v>175</v>
      </c>
      <c r="R44" s="292" t="s">
        <v>175</v>
      </c>
      <c r="S44" s="292" t="s">
        <v>175</v>
      </c>
      <c r="U44" s="387" t="s">
        <v>175</v>
      </c>
      <c r="V44" s="364" t="s">
        <v>175</v>
      </c>
      <c r="W44" s="292" t="s">
        <v>175</v>
      </c>
      <c r="X44" s="292" t="s">
        <v>175</v>
      </c>
      <c r="Y44" s="4"/>
    </row>
    <row r="45" spans="2:25" ht="12.75" customHeight="1" x14ac:dyDescent="0.3">
      <c r="B45" s="126">
        <v>6</v>
      </c>
      <c r="C45" s="95" t="s">
        <v>567</v>
      </c>
      <c r="D45" s="95" t="s">
        <v>90</v>
      </c>
      <c r="E45" s="630"/>
      <c r="F45" s="290" t="s">
        <v>175</v>
      </c>
      <c r="G45" s="291" t="s">
        <v>175</v>
      </c>
      <c r="H45" s="291" t="s">
        <v>175</v>
      </c>
      <c r="I45" s="291" t="s">
        <v>175</v>
      </c>
      <c r="J45" s="8"/>
      <c r="K45" s="387" t="s">
        <v>175</v>
      </c>
      <c r="L45" s="364" t="s">
        <v>175</v>
      </c>
      <c r="M45" s="292" t="s">
        <v>175</v>
      </c>
      <c r="N45" s="292" t="s">
        <v>175</v>
      </c>
      <c r="O45" s="8"/>
      <c r="P45" s="387" t="s">
        <v>175</v>
      </c>
      <c r="Q45" s="364" t="s">
        <v>175</v>
      </c>
      <c r="R45" s="292" t="s">
        <v>175</v>
      </c>
      <c r="S45" s="292" t="s">
        <v>175</v>
      </c>
      <c r="U45" s="387" t="s">
        <v>175</v>
      </c>
      <c r="V45" s="364" t="s">
        <v>175</v>
      </c>
      <c r="W45" s="292" t="s">
        <v>175</v>
      </c>
      <c r="X45" s="292" t="s">
        <v>175</v>
      </c>
      <c r="Y45" s="4"/>
    </row>
    <row r="46" spans="2:25" ht="12.75" customHeight="1" x14ac:dyDescent="0.3">
      <c r="B46" s="126">
        <v>7</v>
      </c>
      <c r="C46" s="95" t="s">
        <v>568</v>
      </c>
      <c r="D46" s="95" t="s">
        <v>98</v>
      </c>
      <c r="E46" s="630"/>
      <c r="F46" s="366">
        <v>303381.89114934253</v>
      </c>
      <c r="G46" s="386">
        <v>30323.010103056182</v>
      </c>
      <c r="H46" s="366">
        <v>0</v>
      </c>
      <c r="I46" s="386">
        <v>0</v>
      </c>
      <c r="J46" s="8"/>
      <c r="K46" s="387">
        <v>0</v>
      </c>
      <c r="L46" s="387">
        <v>0</v>
      </c>
      <c r="M46" s="387">
        <v>0</v>
      </c>
      <c r="N46" s="387">
        <v>0</v>
      </c>
      <c r="O46" s="8"/>
      <c r="P46" s="387">
        <v>0</v>
      </c>
      <c r="Q46" s="387">
        <v>0</v>
      </c>
      <c r="R46" s="387">
        <v>0</v>
      </c>
      <c r="S46" s="387">
        <v>0</v>
      </c>
      <c r="U46" s="387">
        <v>0</v>
      </c>
      <c r="V46" s="387">
        <v>0</v>
      </c>
      <c r="W46" s="387">
        <v>0</v>
      </c>
      <c r="X46" s="387">
        <v>0</v>
      </c>
      <c r="Y46" s="4"/>
    </row>
    <row r="47" spans="2:25" ht="12.75" customHeight="1" x14ac:dyDescent="0.3">
      <c r="B47" s="126">
        <v>8</v>
      </c>
      <c r="C47" s="95"/>
      <c r="D47" s="95"/>
      <c r="E47" s="630"/>
      <c r="F47" s="366"/>
      <c r="G47" s="386"/>
      <c r="H47" s="366"/>
      <c r="I47" s="386"/>
      <c r="J47" s="8"/>
      <c r="K47" s="387"/>
      <c r="L47" s="364"/>
      <c r="M47" s="387"/>
      <c r="N47" s="364"/>
      <c r="O47" s="8"/>
      <c r="P47" s="387"/>
      <c r="Q47" s="364"/>
      <c r="R47" s="387"/>
      <c r="S47" s="364"/>
      <c r="U47" s="387"/>
      <c r="V47" s="364"/>
      <c r="W47" s="387"/>
      <c r="X47" s="364"/>
      <c r="Y47" s="4"/>
    </row>
    <row r="48" spans="2:25" ht="12.75" customHeight="1" x14ac:dyDescent="0.3">
      <c r="B48" s="126">
        <v>9</v>
      </c>
      <c r="C48" s="95"/>
      <c r="D48" s="95"/>
      <c r="E48" s="630"/>
      <c r="F48" s="366"/>
      <c r="G48" s="386"/>
      <c r="H48" s="366"/>
      <c r="I48" s="386"/>
      <c r="J48" s="8"/>
      <c r="K48" s="387"/>
      <c r="L48" s="364"/>
      <c r="M48" s="387"/>
      <c r="N48" s="364"/>
      <c r="O48" s="8"/>
      <c r="P48" s="387"/>
      <c r="Q48" s="364"/>
      <c r="R48" s="387"/>
      <c r="S48" s="364"/>
      <c r="U48" s="387"/>
      <c r="V48" s="364"/>
      <c r="W48" s="387"/>
      <c r="X48" s="364"/>
      <c r="Y48" s="4"/>
    </row>
    <row r="49" spans="2:25" ht="12.75" customHeight="1" x14ac:dyDescent="0.3">
      <c r="B49" s="126">
        <v>10</v>
      </c>
      <c r="C49" s="95"/>
      <c r="D49" s="95"/>
      <c r="E49" s="630"/>
      <c r="F49" s="366"/>
      <c r="G49" s="386"/>
      <c r="H49" s="366"/>
      <c r="I49" s="386"/>
      <c r="J49" s="8"/>
      <c r="K49" s="387"/>
      <c r="L49" s="364"/>
      <c r="M49" s="387"/>
      <c r="N49" s="364"/>
      <c r="O49" s="8"/>
      <c r="P49" s="387"/>
      <c r="Q49" s="364"/>
      <c r="R49" s="387"/>
      <c r="S49" s="364"/>
      <c r="U49" s="387"/>
      <c r="V49" s="364"/>
      <c r="W49" s="387"/>
      <c r="X49" s="364"/>
      <c r="Y49" s="4"/>
    </row>
    <row r="50" spans="2:25" ht="12.75" customHeight="1" x14ac:dyDescent="0.25">
      <c r="B50" s="7"/>
      <c r="C50" s="139"/>
      <c r="D50" s="139"/>
      <c r="E50" s="139"/>
      <c r="F50" s="69"/>
      <c r="G50" s="69"/>
      <c r="H50" s="69"/>
      <c r="I50" s="69"/>
      <c r="Y50" s="4"/>
    </row>
    <row r="51" spans="2:25" ht="12.75" customHeight="1" x14ac:dyDescent="0.25">
      <c r="B51" s="7"/>
      <c r="C51" s="139"/>
      <c r="D51" s="139" t="s">
        <v>569</v>
      </c>
      <c r="E51" s="139"/>
      <c r="F51" s="10">
        <f>SUM(F40:F49)</f>
        <v>303381.89114934253</v>
      </c>
      <c r="G51" s="10">
        <f>SUM(G40:G49)</f>
        <v>30323.010103056182</v>
      </c>
      <c r="H51" s="10">
        <f>SUM(H40:H49)</f>
        <v>0</v>
      </c>
      <c r="I51" s="10">
        <f>SUM(I40:I49)</f>
        <v>0</v>
      </c>
      <c r="K51" s="69">
        <f>SUM(K40:K49)</f>
        <v>0</v>
      </c>
      <c r="L51" s="69">
        <f>SUM(L40:L49)</f>
        <v>0</v>
      </c>
      <c r="M51" s="69">
        <f>SUM(M40:M49)</f>
        <v>0</v>
      </c>
      <c r="N51" s="69">
        <f>SUM(N40:N49)</f>
        <v>0</v>
      </c>
      <c r="P51" s="69">
        <f>SUM(P40:P49)</f>
        <v>0</v>
      </c>
      <c r="Q51" s="69">
        <f>SUM(Q40:Q49)</f>
        <v>0</v>
      </c>
      <c r="R51" s="69">
        <f>SUM(R40:R49)</f>
        <v>0</v>
      </c>
      <c r="S51" s="69">
        <f>SUM(S40:S49)</f>
        <v>0</v>
      </c>
      <c r="U51" s="69">
        <f>SUM(U40:U49)</f>
        <v>0</v>
      </c>
      <c r="V51" s="69">
        <f>SUM(V40:V49)</f>
        <v>0</v>
      </c>
      <c r="W51" s="69">
        <f>SUM(W40:W49)</f>
        <v>0</v>
      </c>
      <c r="X51" s="69">
        <f>SUM(X40:X49)</f>
        <v>0</v>
      </c>
      <c r="Y51" s="4"/>
    </row>
    <row r="52" spans="2:25" ht="12.75" customHeight="1" x14ac:dyDescent="0.25">
      <c r="B52" s="7"/>
      <c r="C52" s="139"/>
      <c r="D52" s="139"/>
      <c r="E52" s="139"/>
      <c r="F52" s="69"/>
      <c r="G52" s="69"/>
      <c r="H52" s="69"/>
      <c r="I52" s="69"/>
      <c r="Y52" s="4"/>
    </row>
    <row r="53" spans="2:25" ht="12.75" customHeight="1" x14ac:dyDescent="0.25">
      <c r="B53" s="7"/>
      <c r="C53" s="139"/>
      <c r="D53" s="139"/>
      <c r="E53" s="139"/>
      <c r="F53" s="69"/>
      <c r="G53" s="69"/>
      <c r="H53" s="69"/>
      <c r="I53" s="69"/>
      <c r="Y53" s="4"/>
    </row>
    <row r="54" spans="2:25" ht="12.75" customHeight="1" x14ac:dyDescent="0.25">
      <c r="B54" s="7"/>
      <c r="C54" s="144"/>
      <c r="D54" s="144" t="s">
        <v>570</v>
      </c>
      <c r="E54" s="144"/>
      <c r="F54" s="145">
        <f>F31+F51</f>
        <v>69657889.199807227</v>
      </c>
      <c r="G54" s="145">
        <f>G31+G51</f>
        <v>58254333.783103064</v>
      </c>
      <c r="H54" s="145">
        <f>H31+H51</f>
        <v>73679987.002015382</v>
      </c>
      <c r="I54" s="145">
        <f>I31+I51</f>
        <v>58231942.29999999</v>
      </c>
      <c r="J54" s="146"/>
      <c r="K54" s="147">
        <f>K31+K51</f>
        <v>285149391.30885768</v>
      </c>
      <c r="L54" s="147">
        <f>L31+L51</f>
        <v>283027658.7758773</v>
      </c>
      <c r="M54" s="147">
        <f>M31+M51</f>
        <v>253490061.04416862</v>
      </c>
      <c r="N54" s="147">
        <f>N31+N51</f>
        <v>251695936.10119721</v>
      </c>
      <c r="O54" s="146"/>
      <c r="P54" s="147">
        <f>P31+P51</f>
        <v>162499.64242018067</v>
      </c>
      <c r="Q54" s="147">
        <f>Q31+Q51</f>
        <v>88618.792322083289</v>
      </c>
      <c r="R54" s="147">
        <f>R31+R51</f>
        <v>88524.101947235045</v>
      </c>
      <c r="S54" s="147">
        <f>S31+S51</f>
        <v>80400.213912537336</v>
      </c>
      <c r="T54" s="146"/>
      <c r="U54" s="147">
        <f>U31+U51</f>
        <v>325821</v>
      </c>
      <c r="V54" s="147">
        <f>V31+V51</f>
        <v>733225</v>
      </c>
      <c r="W54" s="147">
        <f>W31+W51</f>
        <v>301974</v>
      </c>
      <c r="X54" s="147">
        <f>X31+X51</f>
        <v>341753.75</v>
      </c>
      <c r="Y54" s="4"/>
    </row>
    <row r="55" spans="2:25" ht="12.75" customHeight="1" x14ac:dyDescent="0.25">
      <c r="B55" s="7"/>
      <c r="C55" s="139"/>
      <c r="D55" s="139"/>
      <c r="E55" s="139"/>
      <c r="F55" s="69">
        <f>'Prior Year Portfolio'!G11-F54</f>
        <v>-303381.89114934206</v>
      </c>
      <c r="G55" s="69">
        <f>'Prior Year Portfolio'!H11-G54</f>
        <v>-30323.010103069246</v>
      </c>
      <c r="H55" s="69">
        <f>'Prior Year Portfolio'!G10-H54</f>
        <v>-2.0153820514678955E-3</v>
      </c>
      <c r="I55" s="69">
        <f>'Prior Year Portfolio'!H10-I54</f>
        <v>0</v>
      </c>
      <c r="K55" s="160">
        <f>'Prior Year Portfolio'!I11-K54</f>
        <v>-284864242.30885768</v>
      </c>
      <c r="L55" s="160">
        <f>'Prior Year Portfolio'!J11-L54</f>
        <v>-282744630.7758773</v>
      </c>
      <c r="M55" s="160">
        <f>'Prior Year Portfolio'!I10-M54</f>
        <v>-253236571.04416862</v>
      </c>
      <c r="N55" s="160">
        <f>'Prior Year Portfolio'!J10-N54</f>
        <v>-251444240.10119721</v>
      </c>
      <c r="Y55" s="4"/>
    </row>
    <row r="56" spans="2:25" ht="12.75" customHeight="1" x14ac:dyDescent="0.2">
      <c r="B56" s="5"/>
      <c r="C56" s="353"/>
      <c r="D56" s="353"/>
      <c r="E56" s="353"/>
      <c r="F56" s="353"/>
      <c r="G56" s="353"/>
      <c r="H56" s="353"/>
      <c r="I56" s="353"/>
      <c r="J56" s="353"/>
      <c r="K56" s="353"/>
      <c r="L56" s="353"/>
      <c r="M56" s="353"/>
      <c r="N56" s="353"/>
      <c r="O56" s="353"/>
      <c r="P56" s="353"/>
      <c r="Q56" s="353"/>
      <c r="R56" s="353"/>
      <c r="S56" s="353"/>
      <c r="T56" s="353"/>
      <c r="U56" s="353"/>
      <c r="V56" s="353"/>
      <c r="W56" s="353"/>
      <c r="X56" s="353"/>
      <c r="Y56" s="6"/>
    </row>
  </sheetData>
  <mergeCells count="28">
    <mergeCell ref="U37:X37"/>
    <mergeCell ref="U38:V38"/>
    <mergeCell ref="W38:X38"/>
    <mergeCell ref="P38:Q38"/>
    <mergeCell ref="C34:N34"/>
    <mergeCell ref="C37:D37"/>
    <mergeCell ref="F37:I37"/>
    <mergeCell ref="K37:N37"/>
    <mergeCell ref="P37:S37"/>
    <mergeCell ref="R38:S38"/>
    <mergeCell ref="F38:G38"/>
    <mergeCell ref="H38:I38"/>
    <mergeCell ref="K38:L38"/>
    <mergeCell ref="M38:N38"/>
    <mergeCell ref="B2:Y2"/>
    <mergeCell ref="F7:G7"/>
    <mergeCell ref="H7:I7"/>
    <mergeCell ref="K7:L7"/>
    <mergeCell ref="M7:N7"/>
    <mergeCell ref="P7:Q7"/>
    <mergeCell ref="R7:S7"/>
    <mergeCell ref="F6:I6"/>
    <mergeCell ref="K6:N6"/>
    <mergeCell ref="P6:S6"/>
    <mergeCell ref="C6:D6"/>
    <mergeCell ref="U6:X6"/>
    <mergeCell ref="U7:V7"/>
    <mergeCell ref="W7:X7"/>
  </mergeCells>
  <conditionalFormatting sqref="F9:I28 K9:N28">
    <cfRule type="expression" dxfId="10" priority="4">
      <formula>$B9&gt;Programs</formula>
    </cfRule>
  </conditionalFormatting>
  <conditionalFormatting sqref="P9:S28">
    <cfRule type="expression" dxfId="9" priority="1">
      <formula>$B9&gt;Programs</formula>
    </cfRule>
    <cfRule type="expression" dxfId="8" priority="2">
      <formula>Demand_1=NG_Demand</formula>
    </cfRule>
  </conditionalFormatting>
  <conditionalFormatting sqref="P40:S49">
    <cfRule type="expression" dxfId="7" priority="5">
      <formula>Demand_1=NG_Demand</formula>
    </cfRule>
  </conditionalFormatting>
  <conditionalFormatting sqref="U9:X28">
    <cfRule type="expression" dxfId="6" priority="3">
      <formula>$B9&gt;Programs</formula>
    </cfRule>
  </conditionalFormatting>
  <dataValidations count="1">
    <dataValidation type="list" allowBlank="1" showInputMessage="1" showErrorMessage="1" sqref="D40:D49" xr:uid="{00000000-0002-0000-1700-000000000000}">
      <formula1>Sector_Type</formula1>
    </dataValidation>
  </dataValidations>
  <pageMargins left="0.25" right="0.25" top="0.5" bottom="0.5" header="0.3" footer="0.3"/>
  <pageSetup scale="57" fitToHeight="0"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1:N15"/>
  <sheetViews>
    <sheetView showGridLines="0" showRowColHeaders="0" zoomScale="110" zoomScaleNormal="110" workbookViewId="0"/>
  </sheetViews>
  <sheetFormatPr defaultColWidth="9.42578125" defaultRowHeight="12.75" x14ac:dyDescent="0.2"/>
  <cols>
    <col min="1" max="1" width="1" style="2" customWidth="1"/>
    <col min="2" max="2" width="1.5703125" style="2" customWidth="1"/>
    <col min="3" max="3" width="14.42578125" style="2" bestFit="1" customWidth="1"/>
    <col min="4" max="4" width="16.5703125" style="2" customWidth="1"/>
    <col min="5" max="5" width="17.5703125" style="2" customWidth="1"/>
    <col min="6" max="6" width="1.5703125" style="2" customWidth="1"/>
    <col min="7" max="7" width="14.5703125" style="2" customWidth="1"/>
    <col min="8" max="8" width="14" style="2" customWidth="1"/>
    <col min="9" max="9" width="15" style="2" customWidth="1"/>
    <col min="10" max="10" width="12.42578125" style="2" customWidth="1"/>
    <col min="11" max="11" width="6.42578125" style="2" customWidth="1"/>
    <col min="12" max="12" width="1" style="2" customWidth="1"/>
    <col min="13" max="13" width="9.42578125" style="2"/>
    <col min="14" max="14" width="0" style="2" hidden="1" customWidth="1"/>
    <col min="15" max="16384" width="9.42578125" style="2"/>
  </cols>
  <sheetData>
    <row r="1" spans="2:14" ht="5.0999999999999996" customHeight="1" thickBot="1" x14ac:dyDescent="0.25"/>
    <row r="2" spans="2:14" ht="38.25" customHeight="1" x14ac:dyDescent="0.2">
      <c r="B2" s="703" t="s">
        <v>571</v>
      </c>
      <c r="C2" s="703"/>
      <c r="D2" s="703"/>
      <c r="E2" s="703"/>
      <c r="F2" s="703"/>
      <c r="G2" s="703"/>
      <c r="H2" s="703"/>
      <c r="I2" s="703"/>
      <c r="J2" s="703"/>
      <c r="K2" s="703"/>
    </row>
    <row r="3" spans="2:14" x14ac:dyDescent="0.2">
      <c r="B3" s="589"/>
      <c r="C3" s="590"/>
      <c r="D3" s="590"/>
      <c r="E3" s="590"/>
      <c r="F3" s="590"/>
      <c r="G3" s="590"/>
      <c r="H3" s="590"/>
      <c r="I3" s="590"/>
      <c r="J3" s="590"/>
      <c r="K3" s="591"/>
    </row>
    <row r="4" spans="2:14" x14ac:dyDescent="0.2">
      <c r="B4" s="3"/>
      <c r="K4" s="4"/>
    </row>
    <row r="5" spans="2:14" x14ac:dyDescent="0.2">
      <c r="B5" s="3"/>
      <c r="K5" s="4"/>
    </row>
    <row r="6" spans="2:14" ht="15" customHeight="1" x14ac:dyDescent="0.2">
      <c r="B6" s="3"/>
      <c r="C6" s="194" t="str">
        <f>IF(N14&gt;0,"Incomplete - All 'yellow' shaded cells must be completed.","")</f>
        <v/>
      </c>
      <c r="K6" s="4"/>
    </row>
    <row r="7" spans="2:14" x14ac:dyDescent="0.2">
      <c r="B7" s="3"/>
      <c r="D7" s="719" t="s">
        <v>10</v>
      </c>
      <c r="E7" s="719"/>
      <c r="G7" s="720" t="s">
        <v>572</v>
      </c>
      <c r="H7" s="720"/>
      <c r="I7" s="720"/>
      <c r="J7" s="720"/>
      <c r="K7" s="4"/>
    </row>
    <row r="8" spans="2:14" x14ac:dyDescent="0.2">
      <c r="B8" s="3"/>
      <c r="D8" s="719" t="s">
        <v>573</v>
      </c>
      <c r="E8" s="719"/>
      <c r="G8" s="719" t="s">
        <v>574</v>
      </c>
      <c r="H8" s="719"/>
      <c r="I8" s="719" t="s">
        <v>575</v>
      </c>
      <c r="J8" s="719"/>
      <c r="K8" s="4"/>
    </row>
    <row r="9" spans="2:14" ht="12.75" customHeight="1" x14ac:dyDescent="0.25">
      <c r="B9" s="7"/>
      <c r="C9" s="143" t="s">
        <v>74</v>
      </c>
      <c r="D9" s="631" t="s">
        <v>576</v>
      </c>
      <c r="E9" s="631" t="str">
        <f>"Sales ("&amp;Energy_2&amp;")"</f>
        <v>Sales (MWh)</v>
      </c>
      <c r="G9" s="631" t="s">
        <v>553</v>
      </c>
      <c r="H9" s="631" t="s">
        <v>554</v>
      </c>
      <c r="I9" s="631" t="s">
        <v>555</v>
      </c>
      <c r="J9" s="631" t="s">
        <v>554</v>
      </c>
      <c r="K9" s="4"/>
    </row>
    <row r="10" spans="2:14" ht="12.75" customHeight="1" x14ac:dyDescent="0.2">
      <c r="B10" s="7"/>
      <c r="C10" s="127">
        <f>Prg_Year-1</f>
        <v>2024</v>
      </c>
      <c r="D10" s="455">
        <v>2221980583</v>
      </c>
      <c r="E10" s="464">
        <v>22518603</v>
      </c>
      <c r="G10" s="455">
        <v>73679987</v>
      </c>
      <c r="H10" s="455">
        <v>58231942.300000004</v>
      </c>
      <c r="I10" s="464">
        <v>253490</v>
      </c>
      <c r="J10" s="464">
        <v>251696</v>
      </c>
      <c r="K10" s="4"/>
      <c r="N10" s="179">
        <f>IF(OR(ISBLANK(D10),ISBLANK(E10),ISBLANK(G10),ISBLANK(H10),ISBLANK(I10),ISBLANK(J10)),1,0)</f>
        <v>0</v>
      </c>
    </row>
    <row r="11" spans="2:14" ht="12.75" customHeight="1" x14ac:dyDescent="0.2">
      <c r="B11" s="7"/>
      <c r="C11" s="127">
        <f>C10-1</f>
        <v>2023</v>
      </c>
      <c r="D11" s="455">
        <v>2236944970</v>
      </c>
      <c r="E11" s="464">
        <v>22518603</v>
      </c>
      <c r="G11" s="455">
        <v>69354507.308657885</v>
      </c>
      <c r="H11" s="455">
        <v>58224010.772999994</v>
      </c>
      <c r="I11" s="464">
        <v>285149</v>
      </c>
      <c r="J11" s="464">
        <v>283028</v>
      </c>
      <c r="K11" s="4"/>
      <c r="N11" s="179">
        <f>IF(OR(ISBLANK(D11),ISBLANK(E11),ISBLANK(G11),ISBLANK(H11),ISBLANK(I11),ISBLANK(J11)),1,0)</f>
        <v>0</v>
      </c>
    </row>
    <row r="12" spans="2:14" ht="12.75" customHeight="1" x14ac:dyDescent="0.2">
      <c r="B12" s="7"/>
      <c r="C12" s="127">
        <f>C11-1</f>
        <v>2022</v>
      </c>
      <c r="D12" s="455">
        <v>2056564892</v>
      </c>
      <c r="E12" s="464">
        <v>22326106</v>
      </c>
      <c r="G12" s="455">
        <v>69354507.308657885</v>
      </c>
      <c r="H12" s="455">
        <v>59151985.549999997</v>
      </c>
      <c r="I12" s="464">
        <v>285149</v>
      </c>
      <c r="J12" s="464">
        <v>292926</v>
      </c>
      <c r="K12" s="4"/>
      <c r="N12" s="179">
        <f>IF(OR(ISBLANK(D12),ISBLANK(E12),ISBLANK(G12),ISBLANK(H12),ISBLANK(I12),ISBLANK(J12)),1,0)</f>
        <v>0</v>
      </c>
    </row>
    <row r="13" spans="2:14" ht="12.75" customHeight="1" x14ac:dyDescent="0.2">
      <c r="B13" s="7"/>
      <c r="C13" s="127">
        <f>C12-1</f>
        <v>2021</v>
      </c>
      <c r="D13" s="455">
        <v>1878947018</v>
      </c>
      <c r="E13" s="464">
        <v>22281461</v>
      </c>
      <c r="G13" s="455">
        <v>69584738.691990227</v>
      </c>
      <c r="H13" s="455">
        <v>58872091.350000009</v>
      </c>
      <c r="I13" s="464">
        <v>285765</v>
      </c>
      <c r="J13" s="464">
        <v>311158</v>
      </c>
      <c r="K13" s="4"/>
      <c r="N13" s="179">
        <f>IF(OR(ISBLANK(D13),ISBLANK(E13),ISBLANK(G13),ISBLANK(H13),ISBLANK(I13),ISBLANK(J13)),1,0)</f>
        <v>0</v>
      </c>
    </row>
    <row r="14" spans="2:14" ht="12.75" customHeight="1" x14ac:dyDescent="0.2">
      <c r="B14" s="7"/>
      <c r="C14"/>
      <c r="K14" s="4"/>
      <c r="N14" s="2">
        <f>SUM(N10:N13)</f>
        <v>0</v>
      </c>
    </row>
    <row r="15" spans="2:14" ht="12.75" customHeight="1" x14ac:dyDescent="0.2">
      <c r="B15" s="5"/>
      <c r="C15" s="353"/>
      <c r="D15" s="353"/>
      <c r="E15" s="353"/>
      <c r="F15" s="353"/>
      <c r="G15" s="353"/>
      <c r="H15" s="353"/>
      <c r="I15" s="353"/>
      <c r="J15" s="353"/>
      <c r="K15" s="6"/>
    </row>
  </sheetData>
  <mergeCells count="6">
    <mergeCell ref="D7:E7"/>
    <mergeCell ref="G8:H8"/>
    <mergeCell ref="I8:J8"/>
    <mergeCell ref="G7:J7"/>
    <mergeCell ref="B2:K2"/>
    <mergeCell ref="D8:E8"/>
  </mergeCells>
  <dataValidations count="1">
    <dataValidation allowBlank="1" showInputMessage="1" showErrorMessage="1" prompt="These values can be copied from the previous years workbook." sqref="D10" xr:uid="{00000000-0002-0000-1800-000000000000}"/>
  </dataValidations>
  <pageMargins left="0.25" right="0.25" top="0.5" bottom="0.5" header="0.3" footer="0.3"/>
  <pageSetup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1:C39"/>
  <sheetViews>
    <sheetView showGridLines="0" showRowColHeaders="0" zoomScale="130" zoomScaleNormal="130" workbookViewId="0">
      <pane ySplit="3" topLeftCell="A4" activePane="bottomLeft" state="frozen"/>
      <selection pane="bottomLeft" activeCell="A4" sqref="A4"/>
    </sheetView>
  </sheetViews>
  <sheetFormatPr defaultColWidth="9.42578125" defaultRowHeight="12.75" x14ac:dyDescent="0.2"/>
  <cols>
    <col min="1" max="1" width="1" style="2" customWidth="1"/>
    <col min="2" max="2" width="33.42578125" style="2" customWidth="1"/>
    <col min="3" max="3" width="100" style="2" customWidth="1"/>
    <col min="4" max="4" width="1" style="2" customWidth="1"/>
    <col min="5" max="16384" width="9.42578125" style="2"/>
  </cols>
  <sheetData>
    <row r="1" spans="2:3" ht="5.0999999999999996" customHeight="1" thickBot="1" x14ac:dyDescent="0.25"/>
    <row r="2" spans="2:3" ht="38.25" customHeight="1" thickBot="1" x14ac:dyDescent="0.25">
      <c r="B2" s="660" t="s">
        <v>577</v>
      </c>
      <c r="C2" s="660"/>
    </row>
    <row r="3" spans="2:3" s="1" customFormat="1" ht="15.75" x14ac:dyDescent="0.25">
      <c r="B3" s="468" t="s">
        <v>578</v>
      </c>
      <c r="C3" s="468" t="s">
        <v>579</v>
      </c>
    </row>
    <row r="4" spans="2:3" s="1" customFormat="1" x14ac:dyDescent="0.2">
      <c r="B4" s="469" t="s">
        <v>580</v>
      </c>
      <c r="C4" s="137" t="s">
        <v>581</v>
      </c>
    </row>
    <row r="5" spans="2:3" s="1" customFormat="1" x14ac:dyDescent="0.2">
      <c r="B5" s="469" t="s">
        <v>582</v>
      </c>
      <c r="C5" s="137" t="s">
        <v>583</v>
      </c>
    </row>
    <row r="6" spans="2:3" s="1" customFormat="1" x14ac:dyDescent="0.2">
      <c r="B6" s="469" t="s">
        <v>584</v>
      </c>
      <c r="C6" s="137" t="s">
        <v>585</v>
      </c>
    </row>
    <row r="7" spans="2:3" s="1" customFormat="1" x14ac:dyDescent="0.2">
      <c r="B7" s="469" t="s">
        <v>586</v>
      </c>
      <c r="C7" s="137" t="s">
        <v>587</v>
      </c>
    </row>
    <row r="8" spans="2:3" s="1" customFormat="1" ht="79.5" customHeight="1" x14ac:dyDescent="0.2">
      <c r="B8" s="469" t="s">
        <v>414</v>
      </c>
      <c r="C8" s="137" t="s">
        <v>588</v>
      </c>
    </row>
    <row r="9" spans="2:3" s="1" customFormat="1" ht="38.25" x14ac:dyDescent="0.2">
      <c r="B9" s="469" t="s">
        <v>589</v>
      </c>
      <c r="C9" s="137" t="s">
        <v>590</v>
      </c>
    </row>
    <row r="10" spans="2:3" s="1" customFormat="1" x14ac:dyDescent="0.2">
      <c r="B10" s="469" t="s">
        <v>591</v>
      </c>
      <c r="C10" s="137" t="s">
        <v>592</v>
      </c>
    </row>
    <row r="11" spans="2:3" s="1" customFormat="1" x14ac:dyDescent="0.2">
      <c r="B11" s="469" t="s">
        <v>593</v>
      </c>
      <c r="C11" s="137" t="s">
        <v>594</v>
      </c>
    </row>
    <row r="12" spans="2:3" s="1" customFormat="1" x14ac:dyDescent="0.2">
      <c r="B12" s="469" t="s">
        <v>595</v>
      </c>
      <c r="C12" s="137" t="s">
        <v>596</v>
      </c>
    </row>
    <row r="13" spans="2:3" s="1" customFormat="1" ht="25.5" x14ac:dyDescent="0.2">
      <c r="B13" s="469" t="s">
        <v>597</v>
      </c>
      <c r="C13" s="137" t="s">
        <v>598</v>
      </c>
    </row>
    <row r="14" spans="2:3" s="1" customFormat="1" ht="25.5" x14ac:dyDescent="0.2">
      <c r="B14" s="469" t="s">
        <v>168</v>
      </c>
      <c r="C14" s="137" t="s">
        <v>599</v>
      </c>
    </row>
    <row r="15" spans="2:3" s="1" customFormat="1" x14ac:dyDescent="0.2">
      <c r="B15" s="469" t="s">
        <v>600</v>
      </c>
      <c r="C15" s="137" t="s">
        <v>601</v>
      </c>
    </row>
    <row r="16" spans="2:3" s="1" customFormat="1" ht="25.5" x14ac:dyDescent="0.2">
      <c r="B16" s="469" t="s">
        <v>602</v>
      </c>
      <c r="C16" s="137" t="s">
        <v>603</v>
      </c>
    </row>
    <row r="17" spans="2:3" s="1" customFormat="1" ht="51" x14ac:dyDescent="0.2">
      <c r="B17" s="469" t="s">
        <v>604</v>
      </c>
      <c r="C17" s="137" t="s">
        <v>605</v>
      </c>
    </row>
    <row r="18" spans="2:3" s="1" customFormat="1" x14ac:dyDescent="0.2">
      <c r="B18" s="469" t="s">
        <v>606</v>
      </c>
      <c r="C18" s="137" t="s">
        <v>607</v>
      </c>
    </row>
    <row r="19" spans="2:3" s="1" customFormat="1" x14ac:dyDescent="0.2">
      <c r="B19" s="469" t="s">
        <v>422</v>
      </c>
      <c r="C19" s="137" t="s">
        <v>608</v>
      </c>
    </row>
    <row r="20" spans="2:3" s="1" customFormat="1" ht="25.5" x14ac:dyDescent="0.2">
      <c r="B20" s="469" t="s">
        <v>609</v>
      </c>
      <c r="C20" s="137" t="s">
        <v>610</v>
      </c>
    </row>
    <row r="21" spans="2:3" s="1" customFormat="1" x14ac:dyDescent="0.2">
      <c r="B21" s="469" t="s">
        <v>611</v>
      </c>
      <c r="C21" s="137" t="s">
        <v>612</v>
      </c>
    </row>
    <row r="22" spans="2:3" s="1" customFormat="1" ht="38.25" x14ac:dyDescent="0.2">
      <c r="B22" s="469" t="s">
        <v>613</v>
      </c>
      <c r="C22" s="137" t="s">
        <v>614</v>
      </c>
    </row>
    <row r="23" spans="2:3" s="1" customFormat="1" ht="25.5" x14ac:dyDescent="0.2">
      <c r="B23" s="469" t="s">
        <v>615</v>
      </c>
      <c r="C23" s="137" t="s">
        <v>616</v>
      </c>
    </row>
    <row r="24" spans="2:3" s="1" customFormat="1" x14ac:dyDescent="0.2">
      <c r="B24" s="469" t="s">
        <v>416</v>
      </c>
      <c r="C24" s="137" t="s">
        <v>617</v>
      </c>
    </row>
    <row r="25" spans="2:3" s="1" customFormat="1" x14ac:dyDescent="0.2">
      <c r="B25" s="469" t="s">
        <v>618</v>
      </c>
      <c r="C25" s="137" t="s">
        <v>619</v>
      </c>
    </row>
    <row r="26" spans="2:3" s="1" customFormat="1" ht="63.75" x14ac:dyDescent="0.2">
      <c r="B26" s="469" t="s">
        <v>620</v>
      </c>
      <c r="C26" s="137" t="s">
        <v>621</v>
      </c>
    </row>
    <row r="27" spans="2:3" s="1" customFormat="1" x14ac:dyDescent="0.2">
      <c r="B27" s="469" t="s">
        <v>622</v>
      </c>
      <c r="C27" s="137" t="s">
        <v>623</v>
      </c>
    </row>
    <row r="28" spans="2:3" s="1" customFormat="1" ht="38.25" x14ac:dyDescent="0.2">
      <c r="B28" s="469" t="s">
        <v>624</v>
      </c>
      <c r="C28" s="137" t="s">
        <v>625</v>
      </c>
    </row>
    <row r="29" spans="2:3" s="1" customFormat="1" ht="38.25" x14ac:dyDescent="0.2">
      <c r="B29" s="469" t="s">
        <v>626</v>
      </c>
      <c r="C29" s="137" t="s">
        <v>627</v>
      </c>
    </row>
    <row r="30" spans="2:3" s="1" customFormat="1" ht="25.5" x14ac:dyDescent="0.2">
      <c r="B30" s="469" t="s">
        <v>74</v>
      </c>
      <c r="C30" s="137" t="s">
        <v>628</v>
      </c>
    </row>
    <row r="31" spans="2:3" s="1" customFormat="1" ht="38.25" x14ac:dyDescent="0.2">
      <c r="B31" s="469" t="s">
        <v>629</v>
      </c>
      <c r="C31" s="137" t="s">
        <v>630</v>
      </c>
    </row>
    <row r="32" spans="2:3" s="1" customFormat="1" ht="25.5" x14ac:dyDescent="0.2">
      <c r="B32" s="469" t="s">
        <v>631</v>
      </c>
      <c r="C32" s="137" t="s">
        <v>632</v>
      </c>
    </row>
    <row r="33" spans="2:3" s="1" customFormat="1" ht="25.5" x14ac:dyDescent="0.2">
      <c r="B33" s="469" t="s">
        <v>633</v>
      </c>
      <c r="C33" s="137" t="s">
        <v>634</v>
      </c>
    </row>
    <row r="34" spans="2:3" s="1" customFormat="1" ht="25.5" x14ac:dyDescent="0.2">
      <c r="B34" s="469" t="s">
        <v>635</v>
      </c>
      <c r="C34" s="137" t="s">
        <v>636</v>
      </c>
    </row>
    <row r="35" spans="2:3" s="1" customFormat="1" ht="25.5" x14ac:dyDescent="0.2">
      <c r="B35" s="469" t="s">
        <v>637</v>
      </c>
      <c r="C35" s="137" t="s">
        <v>638</v>
      </c>
    </row>
    <row r="36" spans="2:3" s="1" customFormat="1" ht="25.5" x14ac:dyDescent="0.2">
      <c r="B36" s="469" t="s">
        <v>428</v>
      </c>
      <c r="C36" s="137" t="s">
        <v>639</v>
      </c>
    </row>
    <row r="37" spans="2:3" s="1" customFormat="1" x14ac:dyDescent="0.2">
      <c r="B37"/>
      <c r="C37"/>
    </row>
    <row r="38" spans="2:3" s="1" customFormat="1" x14ac:dyDescent="0.2">
      <c r="B38"/>
      <c r="C38"/>
    </row>
    <row r="39" spans="2:3" s="1" customFormat="1" x14ac:dyDescent="0.2">
      <c r="B39"/>
      <c r="C39"/>
    </row>
  </sheetData>
  <sheetProtection password="C925" sheet="1" objects="1" scenarios="1"/>
  <mergeCells count="1">
    <mergeCell ref="B2:C2"/>
  </mergeCells>
  <pageMargins left="0.25" right="0.25" top="0.5" bottom="0.5" header="0.3" footer="0.3"/>
  <pageSetup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1:C18"/>
  <sheetViews>
    <sheetView showGridLines="0" showRowColHeaders="0" workbookViewId="0">
      <pane ySplit="3" topLeftCell="A4" activePane="bottomLeft" state="frozen"/>
      <selection pane="bottomLeft" activeCell="A4" sqref="A4"/>
    </sheetView>
  </sheetViews>
  <sheetFormatPr defaultColWidth="9.42578125" defaultRowHeight="12.75" x14ac:dyDescent="0.2"/>
  <cols>
    <col min="1" max="1" width="1" style="2" customWidth="1"/>
    <col min="2" max="2" width="33.42578125" style="2" customWidth="1"/>
    <col min="3" max="3" width="100" style="2" customWidth="1"/>
    <col min="4" max="4" width="1" style="2" customWidth="1"/>
    <col min="5" max="16384" width="9.42578125" style="2"/>
  </cols>
  <sheetData>
    <row r="1" spans="2:3" ht="5.0999999999999996" customHeight="1" thickBot="1" x14ac:dyDescent="0.25"/>
    <row r="2" spans="2:3" ht="38.25" customHeight="1" thickBot="1" x14ac:dyDescent="0.25">
      <c r="B2" s="660" t="s">
        <v>640</v>
      </c>
      <c r="C2" s="660"/>
    </row>
    <row r="3" spans="2:3" s="1" customFormat="1" ht="15.75" x14ac:dyDescent="0.25">
      <c r="B3" s="468" t="s">
        <v>578</v>
      </c>
      <c r="C3" s="468" t="s">
        <v>579</v>
      </c>
    </row>
    <row r="4" spans="2:3" s="1" customFormat="1" ht="28.5" customHeight="1" x14ac:dyDescent="0.2">
      <c r="B4" s="469" t="s">
        <v>641</v>
      </c>
      <c r="C4" s="137" t="s">
        <v>642</v>
      </c>
    </row>
    <row r="5" spans="2:3" s="1" customFormat="1" ht="66.75" customHeight="1" x14ac:dyDescent="0.2">
      <c r="B5" s="469" t="s">
        <v>643</v>
      </c>
      <c r="C5" s="137" t="s">
        <v>644</v>
      </c>
    </row>
    <row r="6" spans="2:3" s="1" customFormat="1" ht="72" customHeight="1" x14ac:dyDescent="0.2">
      <c r="B6" s="469" t="s">
        <v>99</v>
      </c>
      <c r="C6" s="137" t="s">
        <v>645</v>
      </c>
    </row>
    <row r="7" spans="2:3" s="1" customFormat="1" ht="40.5" customHeight="1" x14ac:dyDescent="0.2">
      <c r="B7" s="469" t="s">
        <v>103</v>
      </c>
      <c r="C7" s="137" t="s">
        <v>646</v>
      </c>
    </row>
    <row r="8" spans="2:3" s="1" customFormat="1" ht="15.75" customHeight="1" x14ac:dyDescent="0.2">
      <c r="B8" s="469" t="s">
        <v>113</v>
      </c>
      <c r="C8" s="137" t="s">
        <v>647</v>
      </c>
    </row>
    <row r="9" spans="2:3" s="1" customFormat="1" ht="114.75" x14ac:dyDescent="0.2">
      <c r="B9" s="469" t="s">
        <v>648</v>
      </c>
      <c r="C9" s="137" t="s">
        <v>649</v>
      </c>
    </row>
    <row r="10" spans="2:3" s="1" customFormat="1" ht="42" customHeight="1" x14ac:dyDescent="0.2">
      <c r="B10" s="469" t="s">
        <v>96</v>
      </c>
      <c r="C10" s="137" t="s">
        <v>650</v>
      </c>
    </row>
    <row r="11" spans="2:3" s="1" customFormat="1" ht="81" customHeight="1" x14ac:dyDescent="0.2">
      <c r="B11" s="469" t="s">
        <v>651</v>
      </c>
      <c r="C11" s="137" t="s">
        <v>652</v>
      </c>
    </row>
    <row r="12" spans="2:3" s="1" customFormat="1" ht="42" customHeight="1" x14ac:dyDescent="0.2">
      <c r="B12" s="469" t="s">
        <v>136</v>
      </c>
      <c r="C12" s="137" t="s">
        <v>653</v>
      </c>
    </row>
    <row r="13" spans="2:3" s="1" customFormat="1" ht="27.75" customHeight="1" x14ac:dyDescent="0.2">
      <c r="B13" s="469" t="s">
        <v>110</v>
      </c>
      <c r="C13" s="137" t="s">
        <v>654</v>
      </c>
    </row>
    <row r="14" spans="2:3" s="1" customFormat="1" ht="78" customHeight="1" x14ac:dyDescent="0.2">
      <c r="B14" s="469" t="s">
        <v>655</v>
      </c>
      <c r="C14" s="137" t="s">
        <v>656</v>
      </c>
    </row>
    <row r="15" spans="2:3" s="1" customFormat="1" ht="129.75" customHeight="1" x14ac:dyDescent="0.2">
      <c r="B15" s="469" t="s">
        <v>91</v>
      </c>
      <c r="C15" s="137" t="s">
        <v>657</v>
      </c>
    </row>
    <row r="16" spans="2:3" s="1" customFormat="1" x14ac:dyDescent="0.2">
      <c r="B16"/>
      <c r="C16"/>
    </row>
    <row r="17" spans="2:3" s="1" customFormat="1" x14ac:dyDescent="0.2">
      <c r="B17"/>
      <c r="C17"/>
    </row>
    <row r="18" spans="2:3" s="1" customFormat="1" x14ac:dyDescent="0.2">
      <c r="B18"/>
      <c r="C18"/>
    </row>
  </sheetData>
  <sheetProtection password="C925" sheet="1" objects="1" scenarios="1"/>
  <mergeCells count="1">
    <mergeCell ref="B2:C2"/>
  </mergeCells>
  <pageMargins left="0.25" right="0.25" top="0.5" bottom="0.5" header="0.3" footer="0.3"/>
  <pageSetup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C12"/>
  <sheetViews>
    <sheetView showGridLines="0" showRowColHeaders="0" workbookViewId="0">
      <pane ySplit="3" topLeftCell="A4" activePane="bottomLeft" state="frozen"/>
      <selection pane="bottomLeft" activeCell="A3" sqref="A3"/>
    </sheetView>
  </sheetViews>
  <sheetFormatPr defaultColWidth="9.42578125" defaultRowHeight="12.75" x14ac:dyDescent="0.2"/>
  <cols>
    <col min="1" max="1" width="1" style="2" customWidth="1"/>
    <col min="2" max="2" width="33.42578125" style="2" customWidth="1"/>
    <col min="3" max="3" width="100" style="2" customWidth="1"/>
    <col min="4" max="4" width="1" style="2" customWidth="1"/>
    <col min="5" max="16384" width="9.42578125" style="2"/>
  </cols>
  <sheetData>
    <row r="1" spans="2:3" ht="5.0999999999999996" customHeight="1" thickBot="1" x14ac:dyDescent="0.25"/>
    <row r="2" spans="2:3" ht="38.25" customHeight="1" thickBot="1" x14ac:dyDescent="0.25">
      <c r="B2" s="660" t="s">
        <v>658</v>
      </c>
      <c r="C2" s="660"/>
    </row>
    <row r="3" spans="2:3" s="1" customFormat="1" ht="15.75" x14ac:dyDescent="0.25">
      <c r="B3" s="468" t="s">
        <v>578</v>
      </c>
      <c r="C3" s="468" t="s">
        <v>579</v>
      </c>
    </row>
    <row r="4" spans="2:3" s="1" customFormat="1" ht="25.35" customHeight="1" x14ac:dyDescent="0.2">
      <c r="B4" s="469" t="s">
        <v>182</v>
      </c>
      <c r="C4" s="137" t="s">
        <v>659</v>
      </c>
    </row>
    <row r="5" spans="2:3" s="1" customFormat="1" ht="25.35" customHeight="1" x14ac:dyDescent="0.2">
      <c r="B5" s="469" t="s">
        <v>184</v>
      </c>
      <c r="C5" s="137" t="s">
        <v>660</v>
      </c>
    </row>
    <row r="6" spans="2:3" s="1" customFormat="1" ht="25.35" customHeight="1" x14ac:dyDescent="0.2">
      <c r="B6" s="469" t="s">
        <v>185</v>
      </c>
      <c r="C6" s="137" t="s">
        <v>661</v>
      </c>
    </row>
    <row r="7" spans="2:3" s="1" customFormat="1" ht="25.35" customHeight="1" x14ac:dyDescent="0.2">
      <c r="B7" s="469" t="s">
        <v>662</v>
      </c>
      <c r="C7" s="137" t="s">
        <v>663</v>
      </c>
    </row>
    <row r="8" spans="2:3" s="1" customFormat="1" ht="25.35" customHeight="1" x14ac:dyDescent="0.2">
      <c r="B8" s="469" t="s">
        <v>183</v>
      </c>
      <c r="C8" s="137" t="s">
        <v>664</v>
      </c>
    </row>
    <row r="9" spans="2:3" s="1" customFormat="1" ht="25.35" customHeight="1" x14ac:dyDescent="0.2">
      <c r="B9" s="469" t="s">
        <v>665</v>
      </c>
      <c r="C9" s="137" t="s">
        <v>666</v>
      </c>
    </row>
    <row r="10" spans="2:3" s="1" customFormat="1" ht="24.75" customHeight="1" x14ac:dyDescent="0.2">
      <c r="B10" s="469" t="s">
        <v>667</v>
      </c>
      <c r="C10" s="137" t="s">
        <v>668</v>
      </c>
    </row>
    <row r="11" spans="2:3" s="1" customFormat="1" x14ac:dyDescent="0.2">
      <c r="B11"/>
      <c r="C11"/>
    </row>
    <row r="12" spans="2:3" s="1" customFormat="1" x14ac:dyDescent="0.2">
      <c r="B12"/>
      <c r="C12"/>
    </row>
  </sheetData>
  <sheetProtection password="C925" sheet="1" objects="1" scenarios="1"/>
  <mergeCells count="1">
    <mergeCell ref="B2:C2"/>
  </mergeCells>
  <pageMargins left="0.25" right="0.25" top="0.5" bottom="0.5" header="0.3" footer="0.3"/>
  <pageSetup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1:C25"/>
  <sheetViews>
    <sheetView showGridLines="0" showRowColHeaders="0" workbookViewId="0">
      <pane ySplit="3" topLeftCell="A4" activePane="bottomLeft" state="frozen"/>
      <selection pane="bottomLeft" activeCell="A4" sqref="A4"/>
    </sheetView>
  </sheetViews>
  <sheetFormatPr defaultColWidth="9.42578125" defaultRowHeight="12.75" x14ac:dyDescent="0.2"/>
  <cols>
    <col min="1" max="1" width="1" style="2" customWidth="1"/>
    <col min="2" max="2" width="37.42578125" style="2" customWidth="1"/>
    <col min="3" max="3" width="97.42578125" style="2" customWidth="1"/>
    <col min="4" max="4" width="1" style="2" customWidth="1"/>
    <col min="5" max="16384" width="9.42578125" style="2"/>
  </cols>
  <sheetData>
    <row r="1" spans="2:3" ht="5.0999999999999996" customHeight="1" thickBot="1" x14ac:dyDescent="0.25"/>
    <row r="2" spans="2:3" ht="38.25" customHeight="1" thickBot="1" x14ac:dyDescent="0.25">
      <c r="B2" s="660" t="s">
        <v>669</v>
      </c>
      <c r="C2" s="660"/>
    </row>
    <row r="3" spans="2:3" s="1" customFormat="1" ht="15.75" x14ac:dyDescent="0.25">
      <c r="B3" s="468" t="s">
        <v>578</v>
      </c>
      <c r="C3" s="468" t="s">
        <v>579</v>
      </c>
    </row>
    <row r="4" spans="2:3" s="1" customFormat="1" ht="76.5" x14ac:dyDescent="0.2">
      <c r="B4" s="469" t="s">
        <v>643</v>
      </c>
      <c r="C4" s="137" t="s">
        <v>644</v>
      </c>
    </row>
    <row r="5" spans="2:3" s="1" customFormat="1" ht="51" x14ac:dyDescent="0.2">
      <c r="B5" s="469" t="s">
        <v>670</v>
      </c>
      <c r="C5" s="137" t="s">
        <v>671</v>
      </c>
    </row>
    <row r="6" spans="2:3" s="1" customFormat="1" ht="38.25" x14ac:dyDescent="0.2">
      <c r="B6" s="469" t="s">
        <v>672</v>
      </c>
      <c r="C6" s="137" t="s">
        <v>673</v>
      </c>
    </row>
    <row r="7" spans="2:3" s="1" customFormat="1" ht="52.5" customHeight="1" x14ac:dyDescent="0.2">
      <c r="B7" s="469" t="s">
        <v>674</v>
      </c>
      <c r="C7" s="137" t="s">
        <v>675</v>
      </c>
    </row>
    <row r="8" spans="2:3" s="1" customFormat="1" ht="15.75" customHeight="1" x14ac:dyDescent="0.2">
      <c r="B8" s="469" t="s">
        <v>676</v>
      </c>
      <c r="C8" s="137" t="s">
        <v>677</v>
      </c>
    </row>
    <row r="9" spans="2:3" s="1" customFormat="1" ht="38.25" x14ac:dyDescent="0.2">
      <c r="B9" s="469" t="s">
        <v>678</v>
      </c>
      <c r="C9" s="137" t="s">
        <v>679</v>
      </c>
    </row>
    <row r="10" spans="2:3" s="1" customFormat="1" ht="108" customHeight="1" x14ac:dyDescent="0.2">
      <c r="B10" s="469" t="s">
        <v>680</v>
      </c>
      <c r="C10" s="137" t="s">
        <v>681</v>
      </c>
    </row>
    <row r="11" spans="2:3" s="1" customFormat="1" ht="29.25" customHeight="1" x14ac:dyDescent="0.2">
      <c r="B11" s="469" t="s">
        <v>648</v>
      </c>
      <c r="C11" s="137" t="s">
        <v>682</v>
      </c>
    </row>
    <row r="12" spans="2:3" s="1" customFormat="1" ht="18.75" customHeight="1" x14ac:dyDescent="0.2">
      <c r="B12" s="469" t="s">
        <v>94</v>
      </c>
      <c r="C12" s="137" t="s">
        <v>683</v>
      </c>
    </row>
    <row r="13" spans="2:3" s="1" customFormat="1" ht="63.75" x14ac:dyDescent="0.2">
      <c r="B13" s="469" t="s">
        <v>684</v>
      </c>
      <c r="C13" s="137" t="s">
        <v>685</v>
      </c>
    </row>
    <row r="14" spans="2:3" s="1" customFormat="1" ht="38.25" x14ac:dyDescent="0.2">
      <c r="B14" s="469" t="s">
        <v>686</v>
      </c>
      <c r="C14" s="137" t="s">
        <v>687</v>
      </c>
    </row>
    <row r="15" spans="2:3" s="1" customFormat="1" ht="25.5" x14ac:dyDescent="0.2">
      <c r="B15" s="469" t="s">
        <v>688</v>
      </c>
      <c r="C15" s="137" t="s">
        <v>689</v>
      </c>
    </row>
    <row r="16" spans="2:3" s="1" customFormat="1" ht="38.25" x14ac:dyDescent="0.2">
      <c r="B16" s="469" t="s">
        <v>690</v>
      </c>
      <c r="C16" s="137" t="s">
        <v>691</v>
      </c>
    </row>
    <row r="17" spans="2:3" s="1" customFormat="1" x14ac:dyDescent="0.2">
      <c r="B17" s="469" t="s">
        <v>692</v>
      </c>
      <c r="C17" s="137" t="s">
        <v>693</v>
      </c>
    </row>
    <row r="18" spans="2:3" s="1" customFormat="1" ht="38.25" x14ac:dyDescent="0.2">
      <c r="B18" s="469" t="s">
        <v>694</v>
      </c>
      <c r="C18" s="137" t="s">
        <v>695</v>
      </c>
    </row>
    <row r="19" spans="2:3" s="1" customFormat="1" x14ac:dyDescent="0.2">
      <c r="B19" s="469" t="s">
        <v>136</v>
      </c>
      <c r="C19" s="137" t="s">
        <v>696</v>
      </c>
    </row>
    <row r="20" spans="2:3" s="1" customFormat="1" ht="76.5" x14ac:dyDescent="0.2">
      <c r="B20" s="469" t="s">
        <v>697</v>
      </c>
      <c r="C20" s="137" t="s">
        <v>698</v>
      </c>
    </row>
    <row r="21" spans="2:3" s="1" customFormat="1" ht="65.25" customHeight="1" x14ac:dyDescent="0.2">
      <c r="B21" s="469" t="s">
        <v>699</v>
      </c>
      <c r="C21" s="137" t="s">
        <v>700</v>
      </c>
    </row>
    <row r="22" spans="2:3" s="1" customFormat="1" ht="129.75" customHeight="1" x14ac:dyDescent="0.2">
      <c r="B22" s="469" t="s">
        <v>701</v>
      </c>
      <c r="C22" s="137" t="s">
        <v>702</v>
      </c>
    </row>
    <row r="23" spans="2:3" s="1" customFormat="1" x14ac:dyDescent="0.2">
      <c r="B23"/>
      <c r="C23"/>
    </row>
    <row r="24" spans="2:3" s="1" customFormat="1" x14ac:dyDescent="0.2">
      <c r="B24"/>
      <c r="C24"/>
    </row>
    <row r="25" spans="2:3" s="1" customFormat="1" x14ac:dyDescent="0.2">
      <c r="B25"/>
      <c r="C25"/>
    </row>
  </sheetData>
  <sheetProtection password="C925" sheet="1" objects="1" scenarios="1"/>
  <mergeCells count="1">
    <mergeCell ref="B2:C2"/>
  </mergeCells>
  <pageMargins left="0.25" right="0.25" top="0.5" bottom="0.5" header="0.3" footer="0.3"/>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O102"/>
  <sheetViews>
    <sheetView showGridLines="0" showRowColHeaders="0" zoomScale="110" zoomScaleNormal="110" workbookViewId="0">
      <pane ySplit="2" topLeftCell="A3" activePane="bottomLeft" state="frozen"/>
      <selection pane="bottomLeft" activeCell="A3" sqref="A3"/>
    </sheetView>
  </sheetViews>
  <sheetFormatPr defaultColWidth="9.42578125" defaultRowHeight="12.75" x14ac:dyDescent="0.2"/>
  <cols>
    <col min="1" max="1" width="1" style="2" customWidth="1"/>
    <col min="2" max="2" width="3.5703125" style="2" customWidth="1"/>
    <col min="3" max="3" width="26" style="2" bestFit="1" customWidth="1"/>
    <col min="4" max="4" width="30.5703125" style="2" customWidth="1"/>
    <col min="5" max="5" width="9.42578125" style="2"/>
    <col min="6" max="6" width="11.42578125" style="2" customWidth="1"/>
    <col min="7" max="10" width="9.42578125" style="2"/>
    <col min="11" max="11" width="15.42578125" style="2" customWidth="1"/>
    <col min="12" max="12" width="1" style="2" customWidth="1"/>
    <col min="13" max="13" width="16" style="2" customWidth="1"/>
    <col min="14" max="15" width="0" style="2" hidden="1" customWidth="1"/>
    <col min="16" max="16384" width="9.42578125" style="2"/>
  </cols>
  <sheetData>
    <row r="1" spans="2:15" ht="28.5" customHeight="1" x14ac:dyDescent="0.2"/>
    <row r="2" spans="2:15" ht="64.5" customHeight="1" x14ac:dyDescent="0.2">
      <c r="B2" s="461"/>
      <c r="C2" s="462"/>
      <c r="D2" s="462"/>
      <c r="E2" s="462"/>
      <c r="F2" s="462"/>
      <c r="G2" s="462"/>
      <c r="H2" s="462"/>
      <c r="I2" s="462"/>
      <c r="J2" s="462"/>
      <c r="K2" s="463"/>
    </row>
    <row r="3" spans="2:15" ht="12.75" customHeight="1" x14ac:dyDescent="0.2">
      <c r="B3" s="589"/>
      <c r="C3" s="194" t="str">
        <f>IF(N14&gt;0,"Incomplete - All 'yellow' shaded cells must be completed.","")</f>
        <v/>
      </c>
      <c r="D3" s="590"/>
      <c r="E3" s="590"/>
      <c r="F3" s="590"/>
      <c r="G3" s="590"/>
      <c r="H3" s="590"/>
      <c r="I3" s="590"/>
      <c r="J3" s="590"/>
      <c r="K3" s="591"/>
    </row>
    <row r="4" spans="2:15" ht="15" customHeight="1" x14ac:dyDescent="0.25">
      <c r="B4" s="3"/>
      <c r="C4" s="8" t="s">
        <v>34</v>
      </c>
      <c r="F4" s="9" t="s">
        <v>68</v>
      </c>
      <c r="K4" s="4"/>
    </row>
    <row r="5" spans="2:15" ht="15" customHeight="1" x14ac:dyDescent="0.2">
      <c r="B5" s="126">
        <v>1</v>
      </c>
      <c r="C5" s="127" t="s">
        <v>69</v>
      </c>
      <c r="D5" s="95" t="s">
        <v>70</v>
      </c>
      <c r="F5" s="140" t="s">
        <v>71</v>
      </c>
      <c r="K5" s="4"/>
      <c r="N5" s="179">
        <f t="shared" ref="N5:N13" si="0">IF(ISBLANK(D5),1,0)</f>
        <v>0</v>
      </c>
    </row>
    <row r="6" spans="2:15" ht="15" customHeight="1" x14ac:dyDescent="0.2">
      <c r="B6" s="126">
        <v>2</v>
      </c>
      <c r="C6" s="127" t="s">
        <v>72</v>
      </c>
      <c r="D6" s="95" t="s">
        <v>73</v>
      </c>
      <c r="K6" s="4"/>
      <c r="N6" s="179">
        <f t="shared" si="0"/>
        <v>0</v>
      </c>
    </row>
    <row r="7" spans="2:15" ht="15" customHeight="1" x14ac:dyDescent="0.2">
      <c r="B7" s="126">
        <v>3</v>
      </c>
      <c r="C7" s="127" t="s">
        <v>74</v>
      </c>
      <c r="D7" s="95">
        <v>2025</v>
      </c>
      <c r="F7" s="9" t="str">
        <f>"Total "&amp;Prg_Year&amp;" Utility Revenue"</f>
        <v>Total 2025 Utility Revenue</v>
      </c>
      <c r="K7" s="4"/>
      <c r="N7" s="179">
        <f t="shared" si="0"/>
        <v>0</v>
      </c>
    </row>
    <row r="8" spans="2:15" ht="15" customHeight="1" x14ac:dyDescent="0.2">
      <c r="B8" s="126">
        <v>4</v>
      </c>
      <c r="C8" s="127" t="s">
        <v>75</v>
      </c>
      <c r="D8" s="95" t="s">
        <v>76</v>
      </c>
      <c r="F8" s="651">
        <v>2415710672</v>
      </c>
      <c r="G8" s="652"/>
      <c r="H8" s="653"/>
      <c r="K8" s="4"/>
      <c r="N8" s="179">
        <f t="shared" si="0"/>
        <v>0</v>
      </c>
      <c r="O8" s="179">
        <f>IF(ISBLANK(F8),1,0)</f>
        <v>0</v>
      </c>
    </row>
    <row r="9" spans="2:15" ht="15" customHeight="1" x14ac:dyDescent="0.2">
      <c r="B9" s="126">
        <v>5</v>
      </c>
      <c r="C9" s="127" t="s">
        <v>77</v>
      </c>
      <c r="D9" s="141">
        <v>45778</v>
      </c>
      <c r="K9" s="4"/>
      <c r="N9" s="179">
        <f t="shared" si="0"/>
        <v>0</v>
      </c>
    </row>
    <row r="10" spans="2:15" ht="15" customHeight="1" x14ac:dyDescent="0.2">
      <c r="B10" s="126">
        <v>6</v>
      </c>
      <c r="C10" s="127" t="s">
        <v>78</v>
      </c>
      <c r="D10" s="95" t="s">
        <v>79</v>
      </c>
      <c r="F10" s="9" t="str">
        <f>"Total "&amp;Prg_Year&amp;" Utility Energy Sales ("&amp;Energy_2&amp;")"</f>
        <v>Total 2025 Utility Energy Sales (MWh)</v>
      </c>
      <c r="K10" s="4"/>
      <c r="N10" s="179">
        <f t="shared" si="0"/>
        <v>0</v>
      </c>
    </row>
    <row r="11" spans="2:15" ht="15" customHeight="1" x14ac:dyDescent="0.2">
      <c r="B11" s="126">
        <v>7</v>
      </c>
      <c r="C11" s="127" t="s">
        <v>80</v>
      </c>
      <c r="D11" s="95" t="s">
        <v>81</v>
      </c>
      <c r="F11" s="654">
        <v>25862890</v>
      </c>
      <c r="G11" s="655"/>
      <c r="H11" s="656"/>
      <c r="K11" s="4"/>
      <c r="N11" s="179">
        <f t="shared" si="0"/>
        <v>0</v>
      </c>
      <c r="O11" s="179">
        <f>IF(ISBLANK(F11),1,0)</f>
        <v>0</v>
      </c>
    </row>
    <row r="12" spans="2:15" ht="15" customHeight="1" x14ac:dyDescent="0.2">
      <c r="B12" s="126">
        <v>8</v>
      </c>
      <c r="C12" s="127" t="s">
        <v>82</v>
      </c>
      <c r="D12" s="95" t="s">
        <v>83</v>
      </c>
      <c r="K12" s="4"/>
      <c r="N12" s="179">
        <f t="shared" si="0"/>
        <v>0</v>
      </c>
    </row>
    <row r="13" spans="2:15" ht="15" customHeight="1" x14ac:dyDescent="0.2">
      <c r="B13" s="126">
        <v>9</v>
      </c>
      <c r="C13" s="2" t="s">
        <v>84</v>
      </c>
      <c r="D13" s="95">
        <v>5</v>
      </c>
      <c r="F13" s="9"/>
      <c r="K13" s="4"/>
      <c r="N13" s="179">
        <f t="shared" si="0"/>
        <v>0</v>
      </c>
    </row>
    <row r="14" spans="2:15" ht="15" customHeight="1" x14ac:dyDescent="0.2">
      <c r="B14" s="3"/>
      <c r="F14" s="9"/>
      <c r="K14" s="4"/>
      <c r="N14" s="179">
        <f>SUM(N5:O13)</f>
        <v>0</v>
      </c>
    </row>
    <row r="15" spans="2:15" ht="15" customHeight="1" x14ac:dyDescent="0.2">
      <c r="B15" s="5"/>
      <c r="C15" s="353"/>
      <c r="D15" s="353"/>
      <c r="E15" s="353"/>
      <c r="F15" s="353"/>
      <c r="G15" s="353"/>
      <c r="H15" s="353"/>
      <c r="I15" s="353"/>
      <c r="J15" s="353"/>
      <c r="K15" s="6"/>
    </row>
    <row r="16" spans="2:15" ht="15" customHeight="1" x14ac:dyDescent="0.2">
      <c r="B16" s="590"/>
      <c r="C16" s="590"/>
      <c r="D16" s="590"/>
      <c r="E16" s="590"/>
      <c r="F16" s="590"/>
      <c r="G16" s="590"/>
      <c r="H16" s="590"/>
      <c r="I16" s="590"/>
      <c r="J16" s="590"/>
      <c r="K16" s="590"/>
    </row>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sheetData>
  <sheetProtection password="C925" sheet="1" objects="1" scenarios="1" formatRows="0"/>
  <mergeCells count="2">
    <mergeCell ref="F8:H8"/>
    <mergeCell ref="F11:H11"/>
  </mergeCells>
  <dataValidations count="4">
    <dataValidation type="list" allowBlank="1" showInputMessage="1" showErrorMessage="1" sqref="F5" xr:uid="{00000000-0002-0000-0200-000000000000}">
      <formula1>Utility_Type</formula1>
    </dataValidation>
    <dataValidation type="textLength" allowBlank="1" showInputMessage="1" showErrorMessage="1" error="Name exceed the allowed number of charactes." prompt="Do not exceed 32 characters." sqref="D6" xr:uid="{00000000-0002-0000-0200-000001000000}">
      <formula1>1</formula1>
      <formula2>32</formula2>
    </dataValidation>
    <dataValidation type="custom" allowBlank="1" showInputMessage="1" showErrorMessage="1" errorTitle="Program Year" error="Please enter year using 4-digits.  (i.e. 2017)_x000a_" prompt="Must be the four digit year." sqref="D7" xr:uid="{00000000-0002-0000-0200-000002000000}">
      <formula1>AND(ISNUMBER(D7),LEN(D7)=4)</formula1>
    </dataValidation>
    <dataValidation allowBlank="1" showInputMessage="1" showErrorMessage="1" prompt="Report Utility Staff Only!" sqref="D13" xr:uid="{00000000-0002-0000-0200-000003000000}"/>
  </dataValidations>
  <pageMargins left="0.25" right="0.25" top="0.25" bottom="0.25" header="0.3" footer="0.3"/>
  <pageSetup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C25"/>
  <sheetViews>
    <sheetView showGridLines="0" showRowColHeaders="0" workbookViewId="0">
      <pane ySplit="3" topLeftCell="A4" activePane="bottomLeft" state="frozen"/>
      <selection pane="bottomLeft" activeCell="A4" sqref="A4"/>
    </sheetView>
  </sheetViews>
  <sheetFormatPr defaultColWidth="9.42578125" defaultRowHeight="12.75" x14ac:dyDescent="0.2"/>
  <cols>
    <col min="1" max="1" width="1" style="2" customWidth="1"/>
    <col min="2" max="2" width="36.42578125" style="2" customWidth="1"/>
    <col min="3" max="3" width="97.42578125" style="2" customWidth="1"/>
    <col min="4" max="4" width="1" style="2" customWidth="1"/>
    <col min="5" max="16384" width="9.42578125" style="2"/>
  </cols>
  <sheetData>
    <row r="1" spans="2:3" ht="5.0999999999999996" customHeight="1" thickBot="1" x14ac:dyDescent="0.25"/>
    <row r="2" spans="2:3" ht="38.25" customHeight="1" thickBot="1" x14ac:dyDescent="0.25">
      <c r="B2" s="660" t="s">
        <v>703</v>
      </c>
      <c r="C2" s="660"/>
    </row>
    <row r="3" spans="2:3" s="1" customFormat="1" ht="15.75" x14ac:dyDescent="0.25">
      <c r="B3" s="468" t="s">
        <v>578</v>
      </c>
      <c r="C3" s="468" t="s">
        <v>579</v>
      </c>
    </row>
    <row r="4" spans="2:3" s="1" customFormat="1" ht="25.5" x14ac:dyDescent="0.2">
      <c r="B4" s="469" t="s">
        <v>140</v>
      </c>
      <c r="C4" s="137" t="s">
        <v>642</v>
      </c>
    </row>
    <row r="5" spans="2:3" s="1" customFormat="1" ht="51" x14ac:dyDescent="0.2">
      <c r="B5" s="469" t="s">
        <v>103</v>
      </c>
      <c r="C5" s="137" t="s">
        <v>704</v>
      </c>
    </row>
    <row r="6" spans="2:3" s="1" customFormat="1" ht="25.5" x14ac:dyDescent="0.2">
      <c r="B6" s="469" t="s">
        <v>141</v>
      </c>
      <c r="C6" s="137" t="s">
        <v>705</v>
      </c>
    </row>
    <row r="7" spans="2:3" s="1" customFormat="1" ht="46.5" customHeight="1" x14ac:dyDescent="0.2">
      <c r="B7" s="469" t="s">
        <v>142</v>
      </c>
      <c r="C7" s="137" t="s">
        <v>706</v>
      </c>
    </row>
    <row r="8" spans="2:3" s="1" customFormat="1" ht="76.5" x14ac:dyDescent="0.2">
      <c r="B8" s="469" t="s">
        <v>143</v>
      </c>
      <c r="C8" s="137" t="s">
        <v>707</v>
      </c>
    </row>
    <row r="9" spans="2:3" s="1" customFormat="1" ht="25.5" x14ac:dyDescent="0.2">
      <c r="B9" s="469" t="s">
        <v>144</v>
      </c>
      <c r="C9" s="137" t="s">
        <v>708</v>
      </c>
    </row>
    <row r="10" spans="2:3" s="1" customFormat="1" ht="165.75" x14ac:dyDescent="0.2">
      <c r="B10" s="469" t="s">
        <v>678</v>
      </c>
      <c r="C10" s="137" t="s">
        <v>709</v>
      </c>
    </row>
    <row r="11" spans="2:3" s="1" customFormat="1" ht="238.5" customHeight="1" x14ac:dyDescent="0.2">
      <c r="B11" s="470" t="s">
        <v>710</v>
      </c>
      <c r="C11" s="137" t="s">
        <v>711</v>
      </c>
    </row>
    <row r="12" spans="2:3" s="1" customFormat="1" ht="76.5" x14ac:dyDescent="0.2">
      <c r="B12" s="469" t="s">
        <v>648</v>
      </c>
      <c r="C12" s="137" t="s">
        <v>712</v>
      </c>
    </row>
    <row r="13" spans="2:3" s="1" customFormat="1" ht="52.5" customHeight="1" x14ac:dyDescent="0.2">
      <c r="B13" s="469" t="s">
        <v>145</v>
      </c>
      <c r="C13" s="137" t="s">
        <v>713</v>
      </c>
    </row>
    <row r="14" spans="2:3" s="1" customFormat="1" ht="38.25" x14ac:dyDescent="0.2">
      <c r="B14" s="469" t="s">
        <v>136</v>
      </c>
      <c r="C14" s="137" t="s">
        <v>714</v>
      </c>
    </row>
    <row r="15" spans="2:3" s="1" customFormat="1" ht="25.5" x14ac:dyDescent="0.2">
      <c r="B15" s="469" t="s">
        <v>146</v>
      </c>
      <c r="C15" s="137" t="s">
        <v>715</v>
      </c>
    </row>
    <row r="16" spans="2:3" s="1" customFormat="1" ht="38.25" x14ac:dyDescent="0.2">
      <c r="B16" s="469" t="s">
        <v>147</v>
      </c>
      <c r="C16" s="137" t="s">
        <v>716</v>
      </c>
    </row>
    <row r="17" spans="2:3" s="1" customFormat="1" ht="25.5" x14ac:dyDescent="0.2">
      <c r="B17" s="469" t="s">
        <v>148</v>
      </c>
      <c r="C17" s="137" t="s">
        <v>717</v>
      </c>
    </row>
    <row r="18" spans="2:3" s="1" customFormat="1" ht="25.5" x14ac:dyDescent="0.2">
      <c r="B18" s="469" t="s">
        <v>149</v>
      </c>
      <c r="C18" s="137" t="s">
        <v>718</v>
      </c>
    </row>
    <row r="19" spans="2:3" s="1" customFormat="1" ht="51" x14ac:dyDescent="0.2">
      <c r="B19" s="469" t="s">
        <v>150</v>
      </c>
      <c r="C19" s="137" t="s">
        <v>719</v>
      </c>
    </row>
    <row r="20" spans="2:3" s="1" customFormat="1" ht="25.5" x14ac:dyDescent="0.2">
      <c r="B20" s="469" t="s">
        <v>151</v>
      </c>
      <c r="C20" s="137" t="s">
        <v>720</v>
      </c>
    </row>
    <row r="21" spans="2:3" s="1" customFormat="1" ht="38.25" x14ac:dyDescent="0.2">
      <c r="B21" s="469" t="s">
        <v>152</v>
      </c>
      <c r="C21" s="137" t="s">
        <v>721</v>
      </c>
    </row>
    <row r="22" spans="2:3" s="1" customFormat="1" ht="25.5" x14ac:dyDescent="0.2">
      <c r="B22" s="469" t="s">
        <v>153</v>
      </c>
      <c r="C22" s="137" t="s">
        <v>722</v>
      </c>
    </row>
    <row r="23" spans="2:3" s="1" customFormat="1" x14ac:dyDescent="0.2">
      <c r="B23"/>
      <c r="C23"/>
    </row>
    <row r="24" spans="2:3" s="1" customFormat="1" x14ac:dyDescent="0.2">
      <c r="B24"/>
      <c r="C24"/>
    </row>
    <row r="25" spans="2:3" s="1" customFormat="1" x14ac:dyDescent="0.2">
      <c r="B25"/>
      <c r="C25"/>
    </row>
  </sheetData>
  <sheetProtection password="C925" sheet="1" objects="1" scenarios="1"/>
  <mergeCells count="1">
    <mergeCell ref="B2:C2"/>
  </mergeCells>
  <pageMargins left="0.25" right="0.25" top="0.5" bottom="0.5" header="0.3" footer="0.3"/>
  <pageSetup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1:C15"/>
  <sheetViews>
    <sheetView showGridLines="0" showRowColHeaders="0" workbookViewId="0">
      <pane ySplit="3" topLeftCell="A4" activePane="bottomLeft" state="frozen"/>
      <selection pane="bottomLeft" activeCell="A4" sqref="A4"/>
    </sheetView>
  </sheetViews>
  <sheetFormatPr defaultColWidth="9.42578125" defaultRowHeight="12.75" x14ac:dyDescent="0.2"/>
  <cols>
    <col min="1" max="1" width="1" style="2" customWidth="1"/>
    <col min="2" max="2" width="31.5703125" style="2" customWidth="1"/>
    <col min="3" max="3" width="101.42578125" style="2" customWidth="1"/>
    <col min="4" max="4" width="1" style="2" customWidth="1"/>
    <col min="5" max="16384" width="9.42578125" style="2"/>
  </cols>
  <sheetData>
    <row r="1" spans="2:3" ht="5.0999999999999996" customHeight="1" thickBot="1" x14ac:dyDescent="0.25"/>
    <row r="2" spans="2:3" ht="38.25" customHeight="1" thickBot="1" x14ac:dyDescent="0.25">
      <c r="B2" s="660" t="s">
        <v>723</v>
      </c>
      <c r="C2" s="660"/>
    </row>
    <row r="3" spans="2:3" s="1" customFormat="1" ht="15.75" x14ac:dyDescent="0.25">
      <c r="B3" s="468" t="s">
        <v>578</v>
      </c>
      <c r="C3" s="468" t="s">
        <v>579</v>
      </c>
    </row>
    <row r="4" spans="2:3" s="1" customFormat="1" ht="53.25" customHeight="1" x14ac:dyDescent="0.2">
      <c r="B4" s="469" t="s">
        <v>154</v>
      </c>
      <c r="C4" s="137" t="s">
        <v>724</v>
      </c>
    </row>
    <row r="5" spans="2:3" s="1" customFormat="1" ht="114.75" x14ac:dyDescent="0.2">
      <c r="B5" s="469" t="s">
        <v>155</v>
      </c>
      <c r="C5" s="137" t="s">
        <v>725</v>
      </c>
    </row>
    <row r="6" spans="2:3" s="1" customFormat="1" ht="26.25" customHeight="1" x14ac:dyDescent="0.2">
      <c r="B6" s="469" t="s">
        <v>156</v>
      </c>
      <c r="C6" s="137" t="s">
        <v>726</v>
      </c>
    </row>
    <row r="7" spans="2:3" s="1" customFormat="1" ht="28.5" customHeight="1" x14ac:dyDescent="0.2">
      <c r="B7" s="469" t="s">
        <v>157</v>
      </c>
      <c r="C7" s="137" t="s">
        <v>727</v>
      </c>
    </row>
    <row r="8" spans="2:3" s="1" customFormat="1" ht="29.25" customHeight="1" x14ac:dyDescent="0.2">
      <c r="B8" s="469" t="s">
        <v>136</v>
      </c>
      <c r="C8" s="137" t="s">
        <v>728</v>
      </c>
    </row>
    <row r="9" spans="2:3" s="1" customFormat="1" ht="51" x14ac:dyDescent="0.2">
      <c r="B9" s="469" t="s">
        <v>729</v>
      </c>
      <c r="C9" s="137" t="s">
        <v>730</v>
      </c>
    </row>
    <row r="10" spans="2:3" s="1" customFormat="1" ht="41.25" customHeight="1" x14ac:dyDescent="0.2">
      <c r="B10" s="469" t="s">
        <v>159</v>
      </c>
      <c r="C10" s="137" t="s">
        <v>731</v>
      </c>
    </row>
    <row r="11" spans="2:3" s="1" customFormat="1" ht="45" customHeight="1" x14ac:dyDescent="0.2">
      <c r="B11" s="469" t="s">
        <v>160</v>
      </c>
      <c r="C11" s="137" t="s">
        <v>732</v>
      </c>
    </row>
    <row r="12" spans="2:3" s="1" customFormat="1" ht="30" customHeight="1" x14ac:dyDescent="0.2">
      <c r="B12" s="469" t="s">
        <v>161</v>
      </c>
      <c r="C12" s="137" t="s">
        <v>733</v>
      </c>
    </row>
    <row r="13" spans="2:3" s="1" customFormat="1" x14ac:dyDescent="0.2">
      <c r="B13"/>
      <c r="C13"/>
    </row>
    <row r="14" spans="2:3" s="1" customFormat="1" x14ac:dyDescent="0.2">
      <c r="B14"/>
      <c r="C14"/>
    </row>
    <row r="15" spans="2:3" s="1" customFormat="1" x14ac:dyDescent="0.2">
      <c r="B15"/>
      <c r="C15"/>
    </row>
  </sheetData>
  <mergeCells count="1">
    <mergeCell ref="B2:C2"/>
  </mergeCells>
  <pageMargins left="0.25" right="0.25" top="0.5" bottom="0.5" header="0.3" footer="0.3"/>
  <pageSetup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C31"/>
  <sheetViews>
    <sheetView showGridLines="0" showRowColHeaders="0" workbookViewId="0">
      <selection activeCell="A4" sqref="A4"/>
    </sheetView>
  </sheetViews>
  <sheetFormatPr defaultColWidth="9.42578125" defaultRowHeight="12.75" x14ac:dyDescent="0.2"/>
  <cols>
    <col min="1" max="1" width="1" style="2" customWidth="1"/>
    <col min="2" max="3" width="66.5703125" style="2" customWidth="1"/>
    <col min="4" max="4" width="1" style="2" customWidth="1"/>
    <col min="5" max="16384" width="9.42578125" style="2"/>
  </cols>
  <sheetData>
    <row r="1" spans="2:3" ht="5.0999999999999996" customHeight="1" thickBot="1" x14ac:dyDescent="0.25"/>
    <row r="2" spans="2:3" ht="38.25" customHeight="1" thickBot="1" x14ac:dyDescent="0.25">
      <c r="B2" s="660" t="s">
        <v>734</v>
      </c>
      <c r="C2" s="660"/>
    </row>
    <row r="3" spans="2:3" x14ac:dyDescent="0.2">
      <c r="B3" s="589"/>
      <c r="C3" s="591"/>
    </row>
    <row r="4" spans="2:3" ht="15.75" x14ac:dyDescent="0.25">
      <c r="B4" s="16" t="s">
        <v>735</v>
      </c>
      <c r="C4" s="17" t="s">
        <v>736</v>
      </c>
    </row>
    <row r="5" spans="2:3" x14ac:dyDescent="0.2">
      <c r="B5" s="7" t="s">
        <v>737</v>
      </c>
      <c r="C5" s="15" t="s">
        <v>738</v>
      </c>
    </row>
    <row r="6" spans="2:3" x14ac:dyDescent="0.2">
      <c r="B6" s="7" t="s">
        <v>739</v>
      </c>
      <c r="C6" s="81" t="s">
        <v>740</v>
      </c>
    </row>
    <row r="7" spans="2:3" x14ac:dyDescent="0.2">
      <c r="B7" s="7" t="s">
        <v>741</v>
      </c>
      <c r="C7" s="15" t="s">
        <v>742</v>
      </c>
    </row>
    <row r="8" spans="2:3" x14ac:dyDescent="0.2">
      <c r="B8" s="7" t="s">
        <v>743</v>
      </c>
      <c r="C8" s="15" t="s">
        <v>744</v>
      </c>
    </row>
    <row r="9" spans="2:3" x14ac:dyDescent="0.2">
      <c r="B9" s="7" t="s">
        <v>745</v>
      </c>
      <c r="C9" s="15" t="s">
        <v>746</v>
      </c>
    </row>
    <row r="10" spans="2:3" x14ac:dyDescent="0.2">
      <c r="B10" s="7" t="s">
        <v>747</v>
      </c>
      <c r="C10" s="15" t="s">
        <v>748</v>
      </c>
    </row>
    <row r="11" spans="2:3" x14ac:dyDescent="0.2">
      <c r="B11" s="80" t="s">
        <v>749</v>
      </c>
      <c r="C11" s="15" t="s">
        <v>750</v>
      </c>
    </row>
    <row r="12" spans="2:3" x14ac:dyDescent="0.2">
      <c r="B12" s="7"/>
      <c r="C12" s="15" t="s">
        <v>751</v>
      </c>
    </row>
    <row r="13" spans="2:3" x14ac:dyDescent="0.2">
      <c r="B13" s="7"/>
      <c r="C13" s="15" t="s">
        <v>752</v>
      </c>
    </row>
    <row r="14" spans="2:3" ht="15.75" x14ac:dyDescent="0.25">
      <c r="B14" s="16" t="s">
        <v>753</v>
      </c>
      <c r="C14" s="15" t="s">
        <v>754</v>
      </c>
    </row>
    <row r="15" spans="2:3" x14ac:dyDescent="0.2">
      <c r="B15" s="7" t="s">
        <v>755</v>
      </c>
      <c r="C15" s="15" t="s">
        <v>756</v>
      </c>
    </row>
    <row r="16" spans="2:3" x14ac:dyDescent="0.2">
      <c r="B16" s="7" t="s">
        <v>757</v>
      </c>
      <c r="C16" s="82" t="s">
        <v>758</v>
      </c>
    </row>
    <row r="17" spans="2:3" x14ac:dyDescent="0.2">
      <c r="B17" s="7" t="s">
        <v>759</v>
      </c>
      <c r="C17" s="82" t="s">
        <v>760</v>
      </c>
    </row>
    <row r="18" spans="2:3" x14ac:dyDescent="0.2">
      <c r="B18" s="7" t="s">
        <v>761</v>
      </c>
      <c r="C18" s="4"/>
    </row>
    <row r="19" spans="2:3" ht="15.75" x14ac:dyDescent="0.25">
      <c r="B19" s="7" t="s">
        <v>762</v>
      </c>
      <c r="C19" s="17" t="s">
        <v>763</v>
      </c>
    </row>
    <row r="20" spans="2:3" x14ac:dyDescent="0.2">
      <c r="B20" s="7" t="s">
        <v>764</v>
      </c>
      <c r="C20" s="15" t="s">
        <v>765</v>
      </c>
    </row>
    <row r="21" spans="2:3" x14ac:dyDescent="0.2">
      <c r="B21" s="7" t="s">
        <v>766</v>
      </c>
      <c r="C21" s="81" t="s">
        <v>767</v>
      </c>
    </row>
    <row r="22" spans="2:3" x14ac:dyDescent="0.2">
      <c r="B22" s="7"/>
      <c r="C22" s="15" t="s">
        <v>768</v>
      </c>
    </row>
    <row r="23" spans="2:3" x14ac:dyDescent="0.2">
      <c r="B23" s="7"/>
      <c r="C23" s="15"/>
    </row>
    <row r="24" spans="2:3" x14ac:dyDescent="0.2">
      <c r="B24" s="3"/>
      <c r="C24" s="4"/>
    </row>
    <row r="25" spans="2:3" ht="15.75" x14ac:dyDescent="0.25">
      <c r="B25" s="16" t="s">
        <v>769</v>
      </c>
      <c r="C25" s="17" t="s">
        <v>557</v>
      </c>
    </row>
    <row r="26" spans="2:3" x14ac:dyDescent="0.2">
      <c r="B26" s="7" t="s">
        <v>770</v>
      </c>
      <c r="C26" s="15" t="s">
        <v>771</v>
      </c>
    </row>
    <row r="27" spans="2:3" x14ac:dyDescent="0.2">
      <c r="B27" s="7" t="s">
        <v>772</v>
      </c>
      <c r="C27" s="15" t="s">
        <v>773</v>
      </c>
    </row>
    <row r="28" spans="2:3" x14ac:dyDescent="0.2">
      <c r="B28" s="7" t="s">
        <v>774</v>
      </c>
      <c r="C28" s="15" t="s">
        <v>775</v>
      </c>
    </row>
    <row r="29" spans="2:3" x14ac:dyDescent="0.2">
      <c r="B29" s="3"/>
      <c r="C29" s="81" t="s">
        <v>776</v>
      </c>
    </row>
    <row r="30" spans="2:3" x14ac:dyDescent="0.2">
      <c r="B30" s="3"/>
      <c r="C30" s="4" t="s">
        <v>777</v>
      </c>
    </row>
    <row r="31" spans="2:3" x14ac:dyDescent="0.2">
      <c r="B31" s="5"/>
      <c r="C31" s="6"/>
    </row>
  </sheetData>
  <sheetProtection password="C925" sheet="1" objects="1" scenarios="1"/>
  <mergeCells count="1">
    <mergeCell ref="B2:C2"/>
  </mergeCells>
  <phoneticPr fontId="0" type="noConversion"/>
  <dataValidations count="6">
    <dataValidation allowBlank="1" showInputMessage="1" showErrorMessage="1" prompt="Costs to develop and plan Energy Efficiency Programs." sqref="B4" xr:uid="{00000000-0002-0000-1F00-000000000000}"/>
    <dataValidation allowBlank="1" showInputMessage="1" showErrorMessage="1" prompt="Costs to communicate the benefits an delivery resources of energy efficiency programs and services to customers and trade allies designed to seek participation in EE programs." sqref="C4" xr:uid="{00000000-0002-0000-1F00-000001000000}"/>
    <dataValidation allowBlank="1" showInputMessage="1" showErrorMessage="1" prompt="Amounts paid to program participants, contractors or other third parties for energy efficient equipment, products and/or services.  Incentive costs include rebates, direct install costs, and up stream payments." sqref="B14" xr:uid="{00000000-0002-0000-1F00-000002000000}"/>
    <dataValidation allowBlank="1" showInputMessage="1" showErrorMessage="1" prompt="Costs incurred to determine deemed savings or other program-specific savings and other effects from EE program EM&amp;V." sqref="C19" xr:uid="{00000000-0002-0000-1F00-000003000000}"/>
    <dataValidation allowBlank="1" showInputMessage="1" showErrorMessage="1" prompt="Incremental costs incurred to be compliant with EE rules set forth by the APSC; should not include LCFC or Utility Performance Incentives.  " sqref="C25" xr:uid="{00000000-0002-0000-1F00-000004000000}"/>
    <dataValidation allowBlank="1" showInputMessage="1" showErrorMessage="1" prompt="Costs incurred to manage and/or support EE programs.  " sqref="B25" xr:uid="{00000000-0002-0000-1F00-000005000000}"/>
  </dataValidations>
  <pageMargins left="0.25" right="0.25" top="0.5" bottom="0.5" header="0.3" footer="0.3"/>
  <pageSetup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B1:J29"/>
  <sheetViews>
    <sheetView showGridLines="0" showRowColHeaders="0" workbookViewId="0"/>
  </sheetViews>
  <sheetFormatPr defaultColWidth="9.42578125" defaultRowHeight="12.75" x14ac:dyDescent="0.2"/>
  <cols>
    <col min="1" max="1" width="1" style="2" customWidth="1"/>
    <col min="2" max="2" width="21.5703125" style="2" customWidth="1"/>
    <col min="3" max="3" width="6.5703125" style="2" bestFit="1" customWidth="1"/>
    <col min="4" max="4" width="25.5703125" style="2" customWidth="1"/>
    <col min="5" max="5" width="29" style="2" bestFit="1" customWidth="1"/>
    <col min="6" max="6" width="2.42578125" style="2" customWidth="1"/>
    <col min="7" max="7" width="21.42578125" style="2" customWidth="1"/>
    <col min="8" max="8" width="2.42578125" style="2" customWidth="1"/>
    <col min="9" max="9" width="19" style="2" customWidth="1"/>
    <col min="10" max="10" width="5.42578125" style="2" customWidth="1"/>
    <col min="11" max="11" width="1" style="2" customWidth="1"/>
    <col min="12" max="16384" width="9.42578125" style="2"/>
  </cols>
  <sheetData>
    <row r="1" spans="2:10" ht="5.0999999999999996" customHeight="1" thickBot="1" x14ac:dyDescent="0.25"/>
    <row r="2" spans="2:10" ht="38.25" customHeight="1" thickBot="1" x14ac:dyDescent="0.25">
      <c r="B2" s="660" t="s">
        <v>778</v>
      </c>
      <c r="C2" s="660"/>
      <c r="D2" s="660"/>
      <c r="E2" s="660"/>
      <c r="F2" s="660"/>
      <c r="G2" s="660"/>
      <c r="H2" s="660"/>
      <c r="I2" s="660"/>
      <c r="J2" s="660"/>
    </row>
    <row r="3" spans="2:10" x14ac:dyDescent="0.2">
      <c r="B3" s="589"/>
      <c r="C3" s="590"/>
      <c r="D3" s="590"/>
      <c r="E3" s="590"/>
      <c r="F3" s="590"/>
      <c r="G3" s="590"/>
      <c r="H3" s="590"/>
      <c r="I3" s="590"/>
      <c r="J3" s="591"/>
    </row>
    <row r="4" spans="2:10" ht="15.75" x14ac:dyDescent="0.25">
      <c r="B4" s="16" t="s">
        <v>86</v>
      </c>
      <c r="C4" s="116" t="s">
        <v>779</v>
      </c>
      <c r="D4" s="8" t="s">
        <v>87</v>
      </c>
      <c r="E4" s="8" t="s">
        <v>88</v>
      </c>
      <c r="G4" s="8" t="s">
        <v>780</v>
      </c>
      <c r="H4" s="114"/>
      <c r="I4" s="114"/>
      <c r="J4" s="4"/>
    </row>
    <row r="5" spans="2:10" x14ac:dyDescent="0.2">
      <c r="B5" s="7" t="s">
        <v>121</v>
      </c>
      <c r="C5" s="117">
        <v>11</v>
      </c>
      <c r="D5" t="s">
        <v>641</v>
      </c>
      <c r="E5" t="s">
        <v>781</v>
      </c>
      <c r="G5" t="s">
        <v>182</v>
      </c>
      <c r="H5"/>
      <c r="I5"/>
      <c r="J5" s="4"/>
    </row>
    <row r="6" spans="2:10" x14ac:dyDescent="0.2">
      <c r="B6" s="7" t="s">
        <v>782</v>
      </c>
      <c r="C6" s="117"/>
      <c r="D6" t="s">
        <v>643</v>
      </c>
      <c r="E6" t="s">
        <v>783</v>
      </c>
      <c r="G6" t="s">
        <v>184</v>
      </c>
      <c r="H6"/>
      <c r="I6"/>
      <c r="J6" s="4"/>
    </row>
    <row r="7" spans="2:10" x14ac:dyDescent="0.2">
      <c r="B7" s="7" t="s">
        <v>90</v>
      </c>
      <c r="C7" s="117">
        <v>1</v>
      </c>
      <c r="D7" t="s">
        <v>99</v>
      </c>
      <c r="E7" t="s">
        <v>111</v>
      </c>
      <c r="G7" t="s">
        <v>185</v>
      </c>
      <c r="H7"/>
      <c r="I7"/>
      <c r="J7" s="4"/>
    </row>
    <row r="8" spans="2:10" x14ac:dyDescent="0.2">
      <c r="B8" s="7" t="s">
        <v>105</v>
      </c>
      <c r="C8" s="117">
        <v>2</v>
      </c>
      <c r="D8" t="s">
        <v>103</v>
      </c>
      <c r="E8" t="s">
        <v>100</v>
      </c>
      <c r="G8" t="s">
        <v>662</v>
      </c>
      <c r="H8"/>
      <c r="J8" s="4"/>
    </row>
    <row r="9" spans="2:10" x14ac:dyDescent="0.2">
      <c r="B9" s="7" t="s">
        <v>102</v>
      </c>
      <c r="C9" s="117">
        <v>4</v>
      </c>
      <c r="D9" t="s">
        <v>113</v>
      </c>
      <c r="E9" t="s">
        <v>784</v>
      </c>
      <c r="G9" t="s">
        <v>183</v>
      </c>
      <c r="H9"/>
      <c r="I9"/>
      <c r="J9" s="4"/>
    </row>
    <row r="10" spans="2:10" x14ac:dyDescent="0.2">
      <c r="B10" s="7" t="s">
        <v>107</v>
      </c>
      <c r="C10" s="117">
        <v>7</v>
      </c>
      <c r="D10" t="s">
        <v>648</v>
      </c>
      <c r="E10" t="s">
        <v>785</v>
      </c>
      <c r="G10" t="s">
        <v>665</v>
      </c>
      <c r="H10"/>
      <c r="I10"/>
      <c r="J10" s="4"/>
    </row>
    <row r="11" spans="2:10" x14ac:dyDescent="0.2">
      <c r="B11" s="7" t="s">
        <v>109</v>
      </c>
      <c r="C11" s="117">
        <v>8</v>
      </c>
      <c r="D11" t="s">
        <v>96</v>
      </c>
      <c r="E11" t="s">
        <v>92</v>
      </c>
      <c r="G11" t="s">
        <v>667</v>
      </c>
      <c r="H11"/>
      <c r="I11"/>
      <c r="J11" s="4"/>
    </row>
    <row r="12" spans="2:10" x14ac:dyDescent="0.2">
      <c r="B12" s="7" t="s">
        <v>136</v>
      </c>
      <c r="C12" s="117">
        <v>10</v>
      </c>
      <c r="D12" t="s">
        <v>651</v>
      </c>
      <c r="E12" t="s">
        <v>786</v>
      </c>
      <c r="G12"/>
      <c r="H12"/>
      <c r="I12"/>
      <c r="J12" s="4"/>
    </row>
    <row r="13" spans="2:10" x14ac:dyDescent="0.2">
      <c r="B13" s="7" t="s">
        <v>787</v>
      </c>
      <c r="C13" s="117"/>
      <c r="D13" t="s">
        <v>136</v>
      </c>
      <c r="E13" t="s">
        <v>788</v>
      </c>
      <c r="G13"/>
      <c r="H13"/>
      <c r="I13"/>
      <c r="J13" s="4"/>
    </row>
    <row r="14" spans="2:10" x14ac:dyDescent="0.2">
      <c r="B14" s="7" t="s">
        <v>115</v>
      </c>
      <c r="C14" s="117">
        <v>3</v>
      </c>
      <c r="D14" t="s">
        <v>110</v>
      </c>
      <c r="E14"/>
      <c r="G14"/>
      <c r="H14"/>
      <c r="I14"/>
      <c r="J14" s="4"/>
    </row>
    <row r="15" spans="2:10" x14ac:dyDescent="0.2">
      <c r="B15" s="7" t="s">
        <v>564</v>
      </c>
      <c r="C15" s="117">
        <v>5</v>
      </c>
      <c r="D15" t="s">
        <v>655</v>
      </c>
      <c r="E15"/>
      <c r="G15"/>
      <c r="H15"/>
      <c r="I15"/>
      <c r="J15" s="4"/>
    </row>
    <row r="16" spans="2:10" x14ac:dyDescent="0.2">
      <c r="B16" s="7" t="s">
        <v>789</v>
      </c>
      <c r="C16" s="117">
        <v>6</v>
      </c>
      <c r="D16" t="s">
        <v>91</v>
      </c>
      <c r="E16"/>
      <c r="G16"/>
      <c r="J16" s="4"/>
    </row>
    <row r="17" spans="2:10" x14ac:dyDescent="0.2">
      <c r="B17" s="7" t="s">
        <v>98</v>
      </c>
      <c r="C17" s="117">
        <v>9</v>
      </c>
      <c r="D17"/>
      <c r="E17"/>
      <c r="H17"/>
      <c r="I17" s="115"/>
      <c r="J17" s="4"/>
    </row>
    <row r="18" spans="2:10" x14ac:dyDescent="0.2">
      <c r="B18" s="7"/>
      <c r="C18"/>
      <c r="D18"/>
      <c r="E18"/>
      <c r="G18" s="115"/>
      <c r="H18"/>
      <c r="I18"/>
      <c r="J18" s="4"/>
    </row>
    <row r="19" spans="2:10" x14ac:dyDescent="0.2">
      <c r="B19" s="7"/>
      <c r="C19"/>
      <c r="D19"/>
      <c r="E19"/>
      <c r="G19"/>
      <c r="J19" s="4"/>
    </row>
    <row r="20" spans="2:10" x14ac:dyDescent="0.2">
      <c r="B20" s="7"/>
      <c r="C20"/>
      <c r="D20"/>
      <c r="E20"/>
      <c r="J20" s="4"/>
    </row>
    <row r="21" spans="2:10" x14ac:dyDescent="0.2">
      <c r="B21" s="7"/>
      <c r="C21"/>
      <c r="D21"/>
      <c r="E21"/>
      <c r="I21"/>
      <c r="J21" s="4"/>
    </row>
    <row r="22" spans="2:10" x14ac:dyDescent="0.2">
      <c r="B22" s="7"/>
      <c r="C22"/>
      <c r="D22"/>
      <c r="E22"/>
      <c r="I22" s="115"/>
      <c r="J22" s="4"/>
    </row>
    <row r="23" spans="2:10" x14ac:dyDescent="0.2">
      <c r="B23" s="7"/>
      <c r="C23"/>
      <c r="G23" s="115"/>
      <c r="I23"/>
      <c r="J23" s="4"/>
    </row>
    <row r="24" spans="2:10" x14ac:dyDescent="0.2">
      <c r="B24" s="7"/>
      <c r="C24"/>
      <c r="G24"/>
      <c r="J24" s="4"/>
    </row>
    <row r="25" spans="2:10" x14ac:dyDescent="0.2">
      <c r="B25" s="7"/>
      <c r="C25"/>
      <c r="J25" s="4"/>
    </row>
    <row r="26" spans="2:10" x14ac:dyDescent="0.2">
      <c r="B26" s="7"/>
      <c r="C26"/>
      <c r="J26" s="4"/>
    </row>
    <row r="27" spans="2:10" x14ac:dyDescent="0.2">
      <c r="B27" s="3"/>
      <c r="C27"/>
      <c r="J27" s="4"/>
    </row>
    <row r="28" spans="2:10" x14ac:dyDescent="0.2">
      <c r="B28" s="3"/>
      <c r="C28"/>
      <c r="J28" s="4"/>
    </row>
    <row r="29" spans="2:10" x14ac:dyDescent="0.2">
      <c r="B29" s="5"/>
      <c r="C29" s="353"/>
      <c r="D29" s="353"/>
      <c r="E29" s="353"/>
      <c r="F29" s="353"/>
      <c r="G29" s="353"/>
      <c r="H29" s="353"/>
      <c r="I29" s="353"/>
      <c r="J29" s="6"/>
    </row>
  </sheetData>
  <sheetProtection password="CAE5" sheet="1" objects="1" scenarios="1"/>
  <mergeCells count="1">
    <mergeCell ref="B2:J2"/>
  </mergeCells>
  <pageMargins left="0.25" right="0.25" top="0.5" bottom="0.5" header="0.3" footer="0.3"/>
  <pageSetup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0000"/>
  </sheetPr>
  <dimension ref="B2:T74"/>
  <sheetViews>
    <sheetView topLeftCell="E26" zoomScale="75" zoomScaleNormal="75" workbookViewId="0">
      <selection activeCell="E41" sqref="E41"/>
    </sheetView>
  </sheetViews>
  <sheetFormatPr defaultRowHeight="12.75" x14ac:dyDescent="0.2"/>
  <cols>
    <col min="1" max="1" width="1.5703125" customWidth="1"/>
    <col min="2" max="2" width="39" bestFit="1" customWidth="1"/>
    <col min="3" max="3" width="21" bestFit="1" customWidth="1"/>
    <col min="4" max="4" width="26.5703125" bestFit="1" customWidth="1"/>
    <col min="5" max="5" width="26.5703125" customWidth="1"/>
    <col min="6" max="6" width="12.42578125" bestFit="1" customWidth="1"/>
    <col min="7" max="7" width="13.42578125" bestFit="1" customWidth="1"/>
    <col min="8" max="8" width="14.5703125" bestFit="1" customWidth="1"/>
    <col min="9" max="9" width="11.42578125" bestFit="1" customWidth="1"/>
    <col min="10" max="10" width="16.42578125" customWidth="1"/>
    <col min="11" max="11" width="13.42578125" customWidth="1"/>
    <col min="12" max="12" width="10.5703125" customWidth="1"/>
    <col min="13" max="13" width="12" customWidth="1"/>
    <col min="14" max="14" width="14.42578125" customWidth="1"/>
    <col min="15" max="15" width="12.42578125" bestFit="1" customWidth="1"/>
    <col min="16" max="16" width="10.5703125" customWidth="1"/>
    <col min="17" max="17" width="9.5703125" customWidth="1"/>
    <col min="18" max="18" width="14.42578125" customWidth="1"/>
    <col min="19" max="19" width="9.5703125" bestFit="1" customWidth="1"/>
    <col min="20" max="21" width="11.42578125" bestFit="1" customWidth="1"/>
    <col min="23" max="23" width="11.42578125" bestFit="1" customWidth="1"/>
    <col min="25" max="25" width="11.42578125" bestFit="1" customWidth="1"/>
  </cols>
  <sheetData>
    <row r="2" spans="2:14" x14ac:dyDescent="0.2">
      <c r="B2" s="59" t="s">
        <v>790</v>
      </c>
    </row>
    <row r="3" spans="2:14" ht="38.25" x14ac:dyDescent="0.2">
      <c r="B3" s="471" t="s">
        <v>85</v>
      </c>
      <c r="C3" s="471" t="s">
        <v>791</v>
      </c>
      <c r="D3" s="471" t="s">
        <v>792</v>
      </c>
      <c r="E3" s="471" t="s">
        <v>793</v>
      </c>
      <c r="F3" s="472" t="str">
        <f>Budgets!D4</f>
        <v>Planning / Design</v>
      </c>
      <c r="G3" s="472" t="str">
        <f>Budgets!E4</f>
        <v>Marketing &amp; Delivery</v>
      </c>
      <c r="H3" s="472" t="str">
        <f>Budgets!F4</f>
        <v>Incentives / Direct Install Costs</v>
      </c>
      <c r="I3" s="472" t="str">
        <f>Budgets!G4</f>
        <v>EM&amp;V</v>
      </c>
      <c r="J3" s="472" t="str">
        <f>Budgets!H4</f>
        <v>Administration</v>
      </c>
      <c r="K3" s="472" t="str">
        <f>Budgets!I4</f>
        <v>Total</v>
      </c>
      <c r="L3" s="472" t="str">
        <f>'Savings &amp; Participants'!D4</f>
        <v>Demand 
Savings</v>
      </c>
      <c r="M3" s="472" t="str">
        <f>'Savings &amp; Participants'!E4</f>
        <v>Energy 
Savings</v>
      </c>
      <c r="N3" s="472" t="str">
        <f>'Savings &amp; Participants'!G5</f>
        <v>Participants</v>
      </c>
    </row>
    <row r="4" spans="2:14" x14ac:dyDescent="0.2">
      <c r="B4" s="473" t="str">
        <f>'Program Descriptions'!C5</f>
        <v>Home Energy Solutions</v>
      </c>
      <c r="C4" s="473" t="str">
        <f>IF(B4="Empty","",'Program Descriptions'!E5)</f>
        <v>Residential</v>
      </c>
      <c r="D4" s="473" t="str">
        <f>IF(B4="Empty","",'Program Descriptions'!F5)</f>
        <v>Whole Home</v>
      </c>
      <c r="E4" s="473" t="str">
        <f>IF(B4="Empty","",'Program Descriptions'!G5)</f>
        <v>Trade Ally</v>
      </c>
      <c r="F4" s="474">
        <f>Budgets!D5</f>
        <v>9378.1281192540482</v>
      </c>
      <c r="G4" s="474">
        <f>Budgets!E5</f>
        <v>1950273</v>
      </c>
      <c r="H4" s="474">
        <f>Budgets!F5</f>
        <v>12775023.826518342</v>
      </c>
      <c r="I4" s="474">
        <f>Budgets!G5</f>
        <v>210070.06987129067</v>
      </c>
      <c r="J4" s="474">
        <f>Budgets!H5</f>
        <v>303851.35106383113</v>
      </c>
      <c r="K4" s="475">
        <f>SUM(F4:J4)</f>
        <v>15248596.375572719</v>
      </c>
      <c r="L4" s="476">
        <f>IF(Demand_1=NG_Demand,"n/a",'Savings &amp; Participants'!D6)</f>
        <v>9072.1565942814195</v>
      </c>
      <c r="M4" s="476">
        <f>'Savings &amp; Participants'!E6</f>
        <v>27272531.0301213</v>
      </c>
      <c r="N4" s="476">
        <f>'Savings &amp; Participants'!G6</f>
        <v>7281</v>
      </c>
    </row>
    <row r="5" spans="2:14" x14ac:dyDescent="0.2">
      <c r="B5" s="473" t="str">
        <f>'Program Descriptions'!C6</f>
        <v>Multifamily Homes</v>
      </c>
      <c r="C5" s="473" t="str">
        <f>IF(B5="Empty","",'Program Descriptions'!E6)</f>
        <v>Residential</v>
      </c>
      <c r="D5" s="473" t="str">
        <f>IF(B5="Empty","",'Program Descriptions'!F6)</f>
        <v>Whole Home</v>
      </c>
      <c r="E5" s="473" t="str">
        <f>IF(B5="Empty","",'Program Descriptions'!G6)</f>
        <v>Trade Ally</v>
      </c>
      <c r="F5" s="474">
        <f>Budgets!D6</f>
        <v>3343.8289267054547</v>
      </c>
      <c r="G5" s="474">
        <f>Budgets!E6</f>
        <v>881744</v>
      </c>
      <c r="H5" s="474">
        <f>Budgets!F6</f>
        <v>1788591.3</v>
      </c>
      <c r="I5" s="474">
        <f>Budgets!G6</f>
        <v>74901.767958202181</v>
      </c>
      <c r="J5" s="474">
        <f>Budgets!H6</f>
        <v>108340.05722525674</v>
      </c>
      <c r="K5" s="475">
        <f t="shared" ref="K5:K23" si="0">SUM(F5:J5)</f>
        <v>2856920.9541101647</v>
      </c>
      <c r="L5" s="476">
        <f>IF(Demand_1=NG_Demand,"n/a",'Savings &amp; Participants'!D7)</f>
        <v>1472.4884999999999</v>
      </c>
      <c r="M5" s="476">
        <f>'Savings &amp; Participants'!E7</f>
        <v>9784860.4155000001</v>
      </c>
      <c r="N5" s="476">
        <f>'Savings &amp; Participants'!G7</f>
        <v>2028</v>
      </c>
    </row>
    <row r="6" spans="2:14" x14ac:dyDescent="0.2">
      <c r="B6" s="473" t="str">
        <f>'Program Descriptions'!C7</f>
        <v>Manufactured Homes</v>
      </c>
      <c r="C6" s="473" t="str">
        <f>IF(B6="Empty","",'Program Descriptions'!E7)</f>
        <v>Residential</v>
      </c>
      <c r="D6" s="473" t="str">
        <f>IF(B6="Empty","",'Program Descriptions'!F7)</f>
        <v>Whole Home</v>
      </c>
      <c r="E6" s="473" t="str">
        <f>IF(B6="Empty","",'Program Descriptions'!G7)</f>
        <v>Trade Ally</v>
      </c>
      <c r="F6" s="474">
        <f>Budgets!D7</f>
        <v>1727.3281588206423</v>
      </c>
      <c r="G6" s="474">
        <f>Budgets!E7</f>
        <v>443485</v>
      </c>
      <c r="H6" s="474">
        <f>Budgets!F7</f>
        <v>880690.24999999988</v>
      </c>
      <c r="I6" s="474">
        <f>Budgets!G7</f>
        <v>38692.150757582385</v>
      </c>
      <c r="J6" s="474">
        <f>Budgets!H7</f>
        <v>55965.432345788809</v>
      </c>
      <c r="K6" s="475">
        <f t="shared" si="0"/>
        <v>1420560.1612621918</v>
      </c>
      <c r="L6" s="476">
        <f>IF(Demand_1=NG_Demand,"n/a",'Savings &amp; Participants'!D8)</f>
        <v>804.73099999999999</v>
      </c>
      <c r="M6" s="476">
        <f>'Savings &amp; Participants'!E8</f>
        <v>5023384.1359999999</v>
      </c>
      <c r="N6" s="476">
        <f>'Savings &amp; Participants'!G8</f>
        <v>602</v>
      </c>
    </row>
    <row r="7" spans="2:14" x14ac:dyDescent="0.2">
      <c r="B7" s="473" t="str">
        <f>'Program Descriptions'!C8</f>
        <v xml:space="preserve">Low-Income Solutions </v>
      </c>
      <c r="C7" s="473" t="str">
        <f>IF(B7="Empty","",'Program Descriptions'!E8)</f>
        <v>Residential</v>
      </c>
      <c r="D7" s="473" t="str">
        <f>IF(B7="Empty","",'Program Descriptions'!F8)</f>
        <v>Market Specific/Hard to Reach</v>
      </c>
      <c r="E7" s="473" t="str">
        <f>IF(B7="Empty","",'Program Descriptions'!G8)</f>
        <v>Trade Ally</v>
      </c>
      <c r="F7" s="474">
        <f>Budgets!D8</f>
        <v>2707.1551129102163</v>
      </c>
      <c r="G7" s="474">
        <f>Budgets!E8</f>
        <v>1451528</v>
      </c>
      <c r="H7" s="474">
        <f>Budgets!F8</f>
        <v>3809512.6</v>
      </c>
      <c r="I7" s="474">
        <f>Budgets!G8</f>
        <v>60640.274529188842</v>
      </c>
      <c r="J7" s="474">
        <f>Budgets!H8</f>
        <v>87711.825658291011</v>
      </c>
      <c r="K7" s="475">
        <f t="shared" si="0"/>
        <v>5412099.8553003902</v>
      </c>
      <c r="L7" s="476">
        <f>IF(Demand_1=NG_Demand,"n/a",'Savings &amp; Participants'!D9)</f>
        <v>1903.9466666666699</v>
      </c>
      <c r="M7" s="476">
        <f>'Savings &amp; Participants'!E9</f>
        <v>7872898.9500000002</v>
      </c>
      <c r="N7" s="476">
        <f>'Savings &amp; Participants'!G9</f>
        <v>2192</v>
      </c>
    </row>
    <row r="8" spans="2:14" x14ac:dyDescent="0.2">
      <c r="B8" s="473" t="str">
        <f>'Program Descriptions'!C9</f>
        <v>Point of Purchase Solutions</v>
      </c>
      <c r="C8" s="473" t="str">
        <f>IF(B8="Empty","",'Program Descriptions'!E9)</f>
        <v>All Classes</v>
      </c>
      <c r="D8" s="473" t="str">
        <f>IF(B8="Empty","",'Program Descriptions'!F9)</f>
        <v>Consumer Product Rebate</v>
      </c>
      <c r="E8" s="473" t="str">
        <f>IF(B8="Empty","",'Program Descriptions'!G9)</f>
        <v>Retail Outlets</v>
      </c>
      <c r="F8" s="474">
        <f>Budgets!D9</f>
        <v>18954.43609228994</v>
      </c>
      <c r="G8" s="474">
        <f>Budgets!E9</f>
        <v>1422300.3434958092</v>
      </c>
      <c r="H8" s="474">
        <f>Budgets!F9</f>
        <v>6261289.7377207428</v>
      </c>
      <c r="I8" s="474">
        <f>Budgets!G9</f>
        <v>424579.36846729461</v>
      </c>
      <c r="J8" s="474">
        <f>Budgets!H9</f>
        <v>614123.72939019406</v>
      </c>
      <c r="K8" s="475">
        <f t="shared" si="0"/>
        <v>8741247.6151663307</v>
      </c>
      <c r="L8" s="476">
        <f>IF(Demand_1=NG_Demand,"n/a",'Savings &amp; Participants'!D10)</f>
        <v>6476.5710836772196</v>
      </c>
      <c r="M8" s="476">
        <f>'Savings &amp; Participants'!E10</f>
        <v>54949160.336915098</v>
      </c>
      <c r="N8" s="476">
        <f>'Savings &amp; Participants'!G10</f>
        <v>251361</v>
      </c>
    </row>
    <row r="9" spans="2:14" x14ac:dyDescent="0.2">
      <c r="B9" s="473" t="str">
        <f>'Program Descriptions'!C10</f>
        <v>Large Commercial &amp; Industrial Solutions</v>
      </c>
      <c r="C9" s="473" t="str">
        <f>IF(B9="Empty","",'Program Descriptions'!E10)</f>
        <v>Commercial &amp; Industrial</v>
      </c>
      <c r="D9" s="473" t="str">
        <f>IF(B9="Empty","",'Program Descriptions'!F10)</f>
        <v>Custom</v>
      </c>
      <c r="E9" s="473" t="str">
        <f>IF(B9="Empty","",'Program Descriptions'!G10)</f>
        <v>Trade Ally</v>
      </c>
      <c r="F9" s="474">
        <f>Budgets!D10</f>
        <v>36278.191704177814</v>
      </c>
      <c r="G9" s="474">
        <f>Budgets!E10</f>
        <v>5589300.4649246186</v>
      </c>
      <c r="H9" s="474">
        <f>Budgets!F10</f>
        <v>11469821.790311828</v>
      </c>
      <c r="I9" s="474">
        <f>Budgets!G10</f>
        <v>812631.49417358299</v>
      </c>
      <c r="J9" s="474">
        <f>Budgets!H10</f>
        <v>1175413.4112153612</v>
      </c>
      <c r="K9" s="475">
        <f t="shared" si="0"/>
        <v>19083445.352329567</v>
      </c>
      <c r="L9" s="476">
        <f>IF(Demand_1=NG_Demand,"n/a",'Savings &amp; Participants'!D11)</f>
        <v>14936.931122461399</v>
      </c>
      <c r="M9" s="476">
        <f>'Savings &amp; Participants'!E11</f>
        <v>105503573.110254</v>
      </c>
      <c r="N9" s="476">
        <f>'Savings &amp; Participants'!G11</f>
        <v>487</v>
      </c>
    </row>
    <row r="10" spans="2:14" x14ac:dyDescent="0.2">
      <c r="B10" s="473" t="str">
        <f>'Program Descriptions'!C11</f>
        <v>Small Business Solutions</v>
      </c>
      <c r="C10" s="473" t="str">
        <f>IF(B10="Empty","",'Program Descriptions'!E11)</f>
        <v>Small Business</v>
      </c>
      <c r="D10" s="473" t="str">
        <f>IF(B10="Empty","",'Program Descriptions'!F11)</f>
        <v>Market Specific/Hard to Reach</v>
      </c>
      <c r="E10" s="473" t="str">
        <f>IF(B10="Empty","",'Program Descriptions'!G11)</f>
        <v>Trade Ally</v>
      </c>
      <c r="F10" s="474">
        <f>Budgets!D11</f>
        <v>5896.1281425479256</v>
      </c>
      <c r="G10" s="474">
        <f>Budgets!E11</f>
        <v>720731.22270016791</v>
      </c>
      <c r="H10" s="474">
        <f>Budgets!F11</f>
        <v>3129250.7410567314</v>
      </c>
      <c r="I10" s="474">
        <f>Budgets!G11</f>
        <v>132073.27039307353</v>
      </c>
      <c r="J10" s="474">
        <f>Budgets!H11</f>
        <v>191034.55181855278</v>
      </c>
      <c r="K10" s="475">
        <f t="shared" si="0"/>
        <v>4178985.9141110736</v>
      </c>
      <c r="L10" s="476">
        <f>IF(Demand_1=NG_Demand,"n/a",'Savings &amp; Participants'!D12)</f>
        <v>2874.39805920341</v>
      </c>
      <c r="M10" s="476">
        <f>'Savings &amp; Participants'!E12</f>
        <v>17147011.9466592</v>
      </c>
      <c r="N10" s="476">
        <f>'Savings &amp; Participants'!G12</f>
        <v>751</v>
      </c>
    </row>
    <row r="11" spans="2:14" x14ac:dyDescent="0.2">
      <c r="B11" s="473" t="str">
        <f>'Program Descriptions'!C12</f>
        <v xml:space="preserve">Public Institutions Solutions </v>
      </c>
      <c r="C11" s="473" t="str">
        <f>IF(B11="Empty","",'Program Descriptions'!E12)</f>
        <v>Municipalities/Schools</v>
      </c>
      <c r="D11" s="473" t="str">
        <f>IF(B11="Empty","",'Program Descriptions'!F12)</f>
        <v>Market Specific/Hard to Reach</v>
      </c>
      <c r="E11" s="473" t="str">
        <f>IF(B11="Empty","",'Program Descriptions'!G12)</f>
        <v>Trade Ally</v>
      </c>
      <c r="F11" s="474">
        <f>Budgets!D12</f>
        <v>4991.0538406402902</v>
      </c>
      <c r="G11" s="474">
        <f>Budgets!E12</f>
        <v>865606.54535897344</v>
      </c>
      <c r="H11" s="474">
        <f>Budgets!F12</f>
        <v>1833469.8064288292</v>
      </c>
      <c r="I11" s="474">
        <f>Budgets!G12</f>
        <v>111799.6060303425</v>
      </c>
      <c r="J11" s="474">
        <f>Budgets!H12</f>
        <v>161710.14443674541</v>
      </c>
      <c r="K11" s="475">
        <f t="shared" si="0"/>
        <v>2977577.1560955308</v>
      </c>
      <c r="L11" s="476">
        <f>IF(Demand_1=NG_Demand,"n/a",'Savings &amp; Participants'!D13)</f>
        <v>2850.4554095571102</v>
      </c>
      <c r="M11" s="476">
        <f>'Savings &amp; Participants'!E13</f>
        <v>14514891.427528501</v>
      </c>
      <c r="N11" s="476">
        <f>'Savings &amp; Participants'!G13</f>
        <v>207</v>
      </c>
    </row>
    <row r="12" spans="2:14" x14ac:dyDescent="0.2">
      <c r="B12" s="473" t="str">
        <f>'Program Descriptions'!C13</f>
        <v>Agricultural Energy Solutions</v>
      </c>
      <c r="C12" s="473" t="str">
        <f>IF(B12="Empty","",'Program Descriptions'!E13)</f>
        <v>Agriculture</v>
      </c>
      <c r="D12" s="473" t="str">
        <f>IF(B12="Empty","",'Program Descriptions'!F13)</f>
        <v>Prescriptive/Standard Offer</v>
      </c>
      <c r="E12" s="473" t="str">
        <f>IF(B12="Empty","",'Program Descriptions'!G13)</f>
        <v>Implementing Contractor</v>
      </c>
      <c r="F12" s="474">
        <f>Budgets!D13</f>
        <v>2420.9341472773403</v>
      </c>
      <c r="G12" s="474">
        <f>Budgets!E13</f>
        <v>700820</v>
      </c>
      <c r="H12" s="474">
        <f>Budgets!F13</f>
        <v>1361682.9148112901</v>
      </c>
      <c r="I12" s="474">
        <f>Budgets!G13</f>
        <v>54228.924899012425</v>
      </c>
      <c r="J12" s="474">
        <f>Budgets!H13</f>
        <v>78438.266371785823</v>
      </c>
      <c r="K12" s="475">
        <f t="shared" si="0"/>
        <v>2197591.0402293657</v>
      </c>
      <c r="L12" s="476">
        <f>IF(Demand_1=NG_Demand,"n/a",'Savings &amp; Participants'!D14)</f>
        <v>1104.10181093031</v>
      </c>
      <c r="M12" s="476">
        <f>'Savings &amp; Participants'!E14</f>
        <v>7060545.7997548003</v>
      </c>
      <c r="N12" s="476">
        <f>'Savings &amp; Participants'!G14</f>
        <v>75</v>
      </c>
    </row>
    <row r="13" spans="2:14" x14ac:dyDescent="0.2">
      <c r="B13" s="473" t="str">
        <f>'Program Descriptions'!C14</f>
        <v>Residential Direct Load Control</v>
      </c>
      <c r="C13" s="473" t="str">
        <f>IF(B13="Empty","",'Program Descriptions'!E14)</f>
        <v>Residential</v>
      </c>
      <c r="D13" s="473" t="str">
        <f>IF(B13="Empty","",'Program Descriptions'!F14)</f>
        <v>Demand Response</v>
      </c>
      <c r="E13" s="473" t="str">
        <f>IF(B13="Empty","",'Program Descriptions'!G14)</f>
        <v>Implementing Contractor</v>
      </c>
      <c r="F13" s="474">
        <f>Budgets!D14</f>
        <v>3509.8566308243726</v>
      </c>
      <c r="G13" s="474">
        <f>Budgets!E14</f>
        <v>1958500</v>
      </c>
      <c r="H13" s="474">
        <f>Budgets!F14</f>
        <v>512000</v>
      </c>
      <c r="I13" s="474">
        <f>Budgets!G14</f>
        <v>78620.788530465943</v>
      </c>
      <c r="J13" s="474">
        <f>Budgets!H14</f>
        <v>113719.35483870968</v>
      </c>
      <c r="K13" s="475">
        <f t="shared" si="0"/>
        <v>2666350.0000000005</v>
      </c>
      <c r="L13" s="476">
        <f>IF(Demand_1=NG_Demand,"n/a",'Savings &amp; Participants'!D15)</f>
        <v>9888.19249498711</v>
      </c>
      <c r="M13" s="476">
        <f>'Savings &amp; Participants'!E15</f>
        <v>0</v>
      </c>
      <c r="N13" s="476">
        <f>'Savings &amp; Participants'!G15</f>
        <v>9587</v>
      </c>
    </row>
    <row r="14" spans="2:14" x14ac:dyDescent="0.2">
      <c r="B14" s="473" t="str">
        <f>'Program Descriptions'!C15</f>
        <v xml:space="preserve">Smart Direct Load Control Pilot </v>
      </c>
      <c r="C14" s="473" t="str">
        <f>IF(B14="Empty","",'Program Descriptions'!E15)</f>
        <v>Res/Small Business</v>
      </c>
      <c r="D14" s="473" t="str">
        <f>IF(B14="Empty","",'Program Descriptions'!F15)</f>
        <v>Demand Response</v>
      </c>
      <c r="E14" s="473" t="str">
        <f>IF(B14="Empty","",'Program Descriptions'!G15)</f>
        <v>Trade Ally</v>
      </c>
      <c r="F14" s="474">
        <f>Budgets!D15</f>
        <v>5460.8655913978546</v>
      </c>
      <c r="G14" s="474">
        <f>Budgets!E15</f>
        <v>3047163</v>
      </c>
      <c r="H14" s="474">
        <f>Budgets!F15</f>
        <v>2367097.5999999996</v>
      </c>
      <c r="I14" s="474">
        <f>Budgets!G15</f>
        <v>122323.38924731193</v>
      </c>
      <c r="J14" s="474">
        <f>Budgets!H15</f>
        <v>176932.04516129047</v>
      </c>
      <c r="K14" s="475">
        <f t="shared" si="0"/>
        <v>5718976.8999999994</v>
      </c>
      <c r="L14" s="476">
        <f>IF(Demand_1=NG_Demand,"n/a",'Savings &amp; Participants'!D16)</f>
        <v>16851.286059999999</v>
      </c>
      <c r="M14" s="476">
        <f>'Savings &amp; Participants'!E16</f>
        <v>4280579.2548000002</v>
      </c>
      <c r="N14" s="476">
        <f>'Savings &amp; Participants'!G16</f>
        <v>13378</v>
      </c>
    </row>
    <row r="15" spans="2:14" x14ac:dyDescent="0.2">
      <c r="B15" s="473" t="str">
        <f>'Program Descriptions'!C16</f>
        <v>Agricultural Irrigation Load Control</v>
      </c>
      <c r="C15" s="473" t="str">
        <f>IF(B15="Empty","",'Program Descriptions'!E16)</f>
        <v>Agriculture</v>
      </c>
      <c r="D15" s="473" t="str">
        <f>IF(B15="Empty","",'Program Descriptions'!F16)</f>
        <v>Demand Response</v>
      </c>
      <c r="E15" s="473" t="str">
        <f>IF(B15="Empty","",'Program Descriptions'!G16)</f>
        <v>Implementing Contractor</v>
      </c>
      <c r="F15" s="474">
        <f>Budgets!D16</f>
        <v>5332.0935331541277</v>
      </c>
      <c r="G15" s="474">
        <f>Budgets!E16</f>
        <v>2975308.1914999997</v>
      </c>
      <c r="H15" s="474">
        <f>Budgets!F16</f>
        <v>525000</v>
      </c>
      <c r="I15" s="474">
        <f>Budgets!G16</f>
        <v>119438.89514265247</v>
      </c>
      <c r="J15" s="474">
        <f>Budgets!H16</f>
        <v>172759.83047419376</v>
      </c>
      <c r="K15" s="475">
        <f t="shared" si="0"/>
        <v>3797839.0106500001</v>
      </c>
      <c r="L15" s="476">
        <f>IF(Demand_1=NG_Demand,"n/a",'Savings &amp; Participants'!D17)</f>
        <v>25200</v>
      </c>
      <c r="M15" s="476">
        <f>'Savings &amp; Participants'!E17</f>
        <v>0</v>
      </c>
      <c r="N15" s="476">
        <f>'Savings &amp; Participants'!G17</f>
        <v>505</v>
      </c>
    </row>
    <row r="16" spans="2:14" x14ac:dyDescent="0.2">
      <c r="B16" s="473" t="str">
        <f>'Program Descriptions'!C17</f>
        <v>Empty</v>
      </c>
      <c r="C16" s="473" t="str">
        <f>IF(B16="Empty","",'Program Descriptions'!E17)</f>
        <v/>
      </c>
      <c r="D16" s="473" t="str">
        <f>IF(B16="Empty","",'Program Descriptions'!F17)</f>
        <v/>
      </c>
      <c r="E16" s="473" t="str">
        <f>IF(B16="Empty","",'Program Descriptions'!G17)</f>
        <v/>
      </c>
      <c r="F16" s="474">
        <f>Budgets!D17</f>
        <v>0</v>
      </c>
      <c r="G16" s="474">
        <f>Budgets!E17</f>
        <v>0</v>
      </c>
      <c r="H16" s="474">
        <f>Budgets!F17</f>
        <v>0</v>
      </c>
      <c r="I16" s="474">
        <f>Budgets!G17</f>
        <v>0</v>
      </c>
      <c r="J16" s="474">
        <f>Budgets!H17</f>
        <v>0</v>
      </c>
      <c r="K16" s="475">
        <f t="shared" si="0"/>
        <v>0</v>
      </c>
      <c r="L16" s="476">
        <f>IF(Demand_1=NG_Demand,"n/a",'Savings &amp; Participants'!D18)</f>
        <v>0</v>
      </c>
      <c r="M16" s="476">
        <f>'Savings &amp; Participants'!E18</f>
        <v>0</v>
      </c>
      <c r="N16" s="476">
        <f>'Savings &amp; Participants'!G18</f>
        <v>0</v>
      </c>
    </row>
    <row r="17" spans="2:20" x14ac:dyDescent="0.2">
      <c r="B17" s="473" t="str">
        <f>'Program Descriptions'!C18</f>
        <v>Empty</v>
      </c>
      <c r="C17" s="473" t="str">
        <f>IF(B17="Empty","",'Program Descriptions'!E18)</f>
        <v/>
      </c>
      <c r="D17" s="473" t="str">
        <f>IF(B17="Empty","",'Program Descriptions'!F18)</f>
        <v/>
      </c>
      <c r="E17" s="473" t="str">
        <f>IF(B17="Empty","",'Program Descriptions'!G18)</f>
        <v/>
      </c>
      <c r="F17" s="474">
        <f>Budgets!D18</f>
        <v>0</v>
      </c>
      <c r="G17" s="474">
        <f>Budgets!E18</f>
        <v>0</v>
      </c>
      <c r="H17" s="474">
        <f>Budgets!F18</f>
        <v>0</v>
      </c>
      <c r="I17" s="474">
        <f>Budgets!G18</f>
        <v>0</v>
      </c>
      <c r="J17" s="474">
        <f>Budgets!H18</f>
        <v>0</v>
      </c>
      <c r="K17" s="475">
        <f t="shared" si="0"/>
        <v>0</v>
      </c>
      <c r="L17" s="476">
        <f>IF(Demand_1=NG_Demand,"n/a",'Savings &amp; Participants'!D19)</f>
        <v>0</v>
      </c>
      <c r="M17" s="476">
        <f>'Savings &amp; Participants'!E19</f>
        <v>0</v>
      </c>
      <c r="N17" s="476">
        <f>'Savings &amp; Participants'!G19</f>
        <v>0</v>
      </c>
    </row>
    <row r="18" spans="2:20" x14ac:dyDescent="0.2">
      <c r="B18" s="473" t="str">
        <f>'Program Descriptions'!C19</f>
        <v>Empty</v>
      </c>
      <c r="C18" s="473" t="str">
        <f>IF(B18="Empty","",'Program Descriptions'!E19)</f>
        <v/>
      </c>
      <c r="D18" s="473" t="str">
        <f>IF(B18="Empty","",'Program Descriptions'!F19)</f>
        <v/>
      </c>
      <c r="E18" s="473" t="str">
        <f>IF(B18="Empty","",'Program Descriptions'!G19)</f>
        <v/>
      </c>
      <c r="F18" s="474">
        <f>Budgets!D19</f>
        <v>0</v>
      </c>
      <c r="G18" s="474">
        <f>Budgets!E19</f>
        <v>0</v>
      </c>
      <c r="H18" s="474">
        <f>Budgets!F19</f>
        <v>0</v>
      </c>
      <c r="I18" s="474">
        <f>Budgets!G19</f>
        <v>0</v>
      </c>
      <c r="J18" s="474">
        <f>Budgets!H19</f>
        <v>0</v>
      </c>
      <c r="K18" s="475">
        <f t="shared" si="0"/>
        <v>0</v>
      </c>
      <c r="L18" s="476">
        <f>IF(Demand_1=NG_Demand,"n/a",'Savings &amp; Participants'!D20)</f>
        <v>0</v>
      </c>
      <c r="M18" s="476">
        <f>'Savings &amp; Participants'!E20</f>
        <v>0</v>
      </c>
      <c r="N18" s="476">
        <f>'Savings &amp; Participants'!G20</f>
        <v>0</v>
      </c>
    </row>
    <row r="19" spans="2:20" x14ac:dyDescent="0.2">
      <c r="B19" s="473" t="str">
        <f>'Program Descriptions'!C20</f>
        <v>Empty</v>
      </c>
      <c r="C19" s="473" t="str">
        <f>IF(B19="Empty","",'Program Descriptions'!E20)</f>
        <v/>
      </c>
      <c r="D19" s="473" t="str">
        <f>IF(B19="Empty","",'Program Descriptions'!F20)</f>
        <v/>
      </c>
      <c r="E19" s="473" t="str">
        <f>IF(B19="Empty","",'Program Descriptions'!G20)</f>
        <v/>
      </c>
      <c r="F19" s="474">
        <f>Budgets!D20</f>
        <v>0</v>
      </c>
      <c r="G19" s="474">
        <f>Budgets!E20</f>
        <v>0</v>
      </c>
      <c r="H19" s="474">
        <f>Budgets!F20</f>
        <v>0</v>
      </c>
      <c r="I19" s="474">
        <f>Budgets!G20</f>
        <v>0</v>
      </c>
      <c r="J19" s="474">
        <f>Budgets!H20</f>
        <v>0</v>
      </c>
      <c r="K19" s="475">
        <f t="shared" si="0"/>
        <v>0</v>
      </c>
      <c r="L19" s="476">
        <f>IF(Demand_1=NG_Demand,"n/a",'Savings &amp; Participants'!D21)</f>
        <v>0</v>
      </c>
      <c r="M19" s="476">
        <f>'Savings &amp; Participants'!E21</f>
        <v>0</v>
      </c>
      <c r="N19" s="476">
        <f>'Savings &amp; Participants'!G21</f>
        <v>0</v>
      </c>
    </row>
    <row r="20" spans="2:20" x14ac:dyDescent="0.2">
      <c r="B20" s="473" t="str">
        <f>'Program Descriptions'!C21</f>
        <v>Empty</v>
      </c>
      <c r="C20" s="473" t="str">
        <f>IF(B20="Empty","",'Program Descriptions'!E21)</f>
        <v/>
      </c>
      <c r="D20" s="473" t="str">
        <f>IF(B20="Empty","",'Program Descriptions'!F21)</f>
        <v/>
      </c>
      <c r="E20" s="473" t="str">
        <f>IF(B20="Empty","",'Program Descriptions'!G21)</f>
        <v/>
      </c>
      <c r="F20" s="474">
        <f>Budgets!D21</f>
        <v>0</v>
      </c>
      <c r="G20" s="474">
        <f>Budgets!E21</f>
        <v>0</v>
      </c>
      <c r="H20" s="474">
        <f>Budgets!F21</f>
        <v>0</v>
      </c>
      <c r="I20" s="474">
        <f>Budgets!G21</f>
        <v>0</v>
      </c>
      <c r="J20" s="474">
        <f>Budgets!H21</f>
        <v>0</v>
      </c>
      <c r="K20" s="475">
        <f t="shared" si="0"/>
        <v>0</v>
      </c>
      <c r="L20" s="476">
        <f>IF(Demand_1=NG_Demand,"n/a",'Savings &amp; Participants'!D22)</f>
        <v>0</v>
      </c>
      <c r="M20" s="476">
        <f>'Savings &amp; Participants'!E22</f>
        <v>0</v>
      </c>
      <c r="N20" s="476">
        <f>'Savings &amp; Participants'!G22</f>
        <v>0</v>
      </c>
    </row>
    <row r="21" spans="2:20" x14ac:dyDescent="0.2">
      <c r="B21" s="473" t="str">
        <f>'Program Descriptions'!C22</f>
        <v>Empty</v>
      </c>
      <c r="C21" s="473" t="str">
        <f>IF(B21="Empty","",'Program Descriptions'!E22)</f>
        <v/>
      </c>
      <c r="D21" s="473" t="str">
        <f>IF(B21="Empty","",'Program Descriptions'!F22)</f>
        <v/>
      </c>
      <c r="E21" s="473" t="str">
        <f>IF(B21="Empty","",'Program Descriptions'!G22)</f>
        <v/>
      </c>
      <c r="F21" s="474">
        <f>Budgets!D22</f>
        <v>0</v>
      </c>
      <c r="G21" s="474">
        <f>Budgets!E22</f>
        <v>0</v>
      </c>
      <c r="H21" s="474">
        <f>Budgets!F22</f>
        <v>0</v>
      </c>
      <c r="I21" s="474">
        <f>Budgets!G22</f>
        <v>0</v>
      </c>
      <c r="J21" s="474">
        <f>Budgets!H22</f>
        <v>0</v>
      </c>
      <c r="K21" s="475">
        <f t="shared" si="0"/>
        <v>0</v>
      </c>
      <c r="L21" s="476">
        <f>IF(Demand_1=NG_Demand,"n/a",'Savings &amp; Participants'!D23)</f>
        <v>0</v>
      </c>
      <c r="M21" s="476">
        <f>'Savings &amp; Participants'!E23</f>
        <v>0</v>
      </c>
      <c r="N21" s="476">
        <f>'Savings &amp; Participants'!G23</f>
        <v>0</v>
      </c>
    </row>
    <row r="22" spans="2:20" x14ac:dyDescent="0.2">
      <c r="B22" s="473" t="str">
        <f>'Program Descriptions'!C23</f>
        <v>Empty</v>
      </c>
      <c r="C22" s="473" t="str">
        <f>IF(B22="Empty","",'Program Descriptions'!E23)</f>
        <v/>
      </c>
      <c r="D22" s="473" t="str">
        <f>IF(B22="Empty","",'Program Descriptions'!F23)</f>
        <v/>
      </c>
      <c r="E22" s="473" t="str">
        <f>IF(B22="Empty","",'Program Descriptions'!G23)</f>
        <v/>
      </c>
      <c r="F22" s="474">
        <f>Budgets!D23</f>
        <v>0</v>
      </c>
      <c r="G22" s="474">
        <f>Budgets!E23</f>
        <v>0</v>
      </c>
      <c r="H22" s="474">
        <f>Budgets!F23</f>
        <v>0</v>
      </c>
      <c r="I22" s="474">
        <f>Budgets!G23</f>
        <v>0</v>
      </c>
      <c r="J22" s="474">
        <f>Budgets!H23</f>
        <v>0</v>
      </c>
      <c r="K22" s="475">
        <f t="shared" si="0"/>
        <v>0</v>
      </c>
      <c r="L22" s="476">
        <f>IF(Demand_1=NG_Demand,"n/a",'Savings &amp; Participants'!D24)</f>
        <v>0</v>
      </c>
      <c r="M22" s="476">
        <f>'Savings &amp; Participants'!E24</f>
        <v>0</v>
      </c>
      <c r="N22" s="476">
        <f>'Savings &amp; Participants'!G24</f>
        <v>0</v>
      </c>
    </row>
    <row r="23" spans="2:20" x14ac:dyDescent="0.2">
      <c r="B23" s="473" t="str">
        <f>'Program Descriptions'!C24</f>
        <v>Empty</v>
      </c>
      <c r="C23" s="473" t="str">
        <f>IF(B23="Empty","",'Program Descriptions'!E24)</f>
        <v/>
      </c>
      <c r="D23" s="473" t="str">
        <f>IF(B23="Empty","",'Program Descriptions'!F24)</f>
        <v/>
      </c>
      <c r="E23" s="473" t="str">
        <f>IF(B23="Empty","",'Program Descriptions'!G24)</f>
        <v/>
      </c>
      <c r="F23" s="474">
        <f>Budgets!D24</f>
        <v>0</v>
      </c>
      <c r="G23" s="474">
        <f>Budgets!E24</f>
        <v>0</v>
      </c>
      <c r="H23" s="474">
        <f>Budgets!F24</f>
        <v>0</v>
      </c>
      <c r="I23" s="474">
        <f>Budgets!G24</f>
        <v>0</v>
      </c>
      <c r="J23" s="474">
        <f>Budgets!H24</f>
        <v>0</v>
      </c>
      <c r="K23" s="475">
        <f t="shared" si="0"/>
        <v>0</v>
      </c>
      <c r="L23" s="476">
        <f>IF(Demand_1=NG_Demand,"n/a",'Savings &amp; Participants'!D25)</f>
        <v>0</v>
      </c>
      <c r="M23" s="476">
        <f>'Savings &amp; Participants'!E25</f>
        <v>0</v>
      </c>
      <c r="N23" s="476">
        <f>'Savings &amp; Participants'!G25</f>
        <v>0</v>
      </c>
    </row>
    <row r="24" spans="2:20" x14ac:dyDescent="0.2">
      <c r="B24" s="124" t="str">
        <f>Budgets!H26</f>
        <v>Regulatory</v>
      </c>
      <c r="C24" s="295" t="s">
        <v>794</v>
      </c>
      <c r="D24" s="295" t="s">
        <v>794</v>
      </c>
      <c r="E24" s="295" t="s">
        <v>794</v>
      </c>
      <c r="F24" s="474"/>
      <c r="G24" s="474"/>
      <c r="H24" s="474"/>
      <c r="I24" s="474"/>
      <c r="J24" s="474"/>
      <c r="K24" s="475">
        <f>Budgets!I26</f>
        <v>0</v>
      </c>
      <c r="L24" s="476"/>
      <c r="M24" s="476"/>
      <c r="N24" s="476"/>
    </row>
    <row r="25" spans="2:20" x14ac:dyDescent="0.2">
      <c r="F25" s="474">
        <f t="shared" ref="F25:N25" si="1">SUM(F4:F23)</f>
        <v>100000.00000000003</v>
      </c>
      <c r="G25" s="474">
        <f t="shared" si="1"/>
        <v>22006759.76797957</v>
      </c>
      <c r="H25" s="474">
        <f t="shared" si="1"/>
        <v>46713430.566847771</v>
      </c>
      <c r="I25" s="474">
        <f t="shared" si="1"/>
        <v>2240000.0000000005</v>
      </c>
      <c r="J25" s="474">
        <f t="shared" si="1"/>
        <v>3240000.0000000009</v>
      </c>
      <c r="K25" s="475">
        <f>SUM(K4:K24)</f>
        <v>74300190.334827334</v>
      </c>
      <c r="L25" s="476">
        <f t="shared" si="1"/>
        <v>93435.258801764649</v>
      </c>
      <c r="M25" s="476">
        <f t="shared" si="1"/>
        <v>253409436.4075329</v>
      </c>
      <c r="N25" s="476">
        <f t="shared" si="1"/>
        <v>288454</v>
      </c>
    </row>
    <row r="27" spans="2:20" x14ac:dyDescent="0.2">
      <c r="B27" s="59" t="s">
        <v>795</v>
      </c>
    </row>
    <row r="28" spans="2:20" ht="38.25" x14ac:dyDescent="0.2">
      <c r="B28" s="471" t="str">
        <f t="shared" ref="B28:B49" si="2">B3</f>
        <v>Program Name</v>
      </c>
      <c r="C28" s="471" t="str">
        <f t="shared" ref="C28:N28" si="3">C3</f>
        <v>Sector</v>
      </c>
      <c r="D28" s="471" t="str">
        <f t="shared" si="3"/>
        <v>Type</v>
      </c>
      <c r="E28" s="471" t="str">
        <f t="shared" si="3"/>
        <v>Channel</v>
      </c>
      <c r="F28" s="472" t="str">
        <f t="shared" si="3"/>
        <v>Planning / Design</v>
      </c>
      <c r="G28" s="472" t="str">
        <f t="shared" si="3"/>
        <v>Marketing &amp; Delivery</v>
      </c>
      <c r="H28" s="472" t="str">
        <f t="shared" si="3"/>
        <v>Incentives / Direct Install Costs</v>
      </c>
      <c r="I28" s="472" t="str">
        <f t="shared" si="3"/>
        <v>EM&amp;V</v>
      </c>
      <c r="J28" s="472" t="str">
        <f t="shared" si="3"/>
        <v>Administration</v>
      </c>
      <c r="K28" s="472" t="str">
        <f t="shared" si="3"/>
        <v>Total</v>
      </c>
      <c r="L28" s="472" t="str">
        <f t="shared" si="3"/>
        <v>Demand 
Savings</v>
      </c>
      <c r="M28" s="472" t="str">
        <f t="shared" si="3"/>
        <v>Energy 
Savings</v>
      </c>
      <c r="N28" s="472" t="str">
        <f t="shared" si="3"/>
        <v>Participants</v>
      </c>
      <c r="O28" s="472" t="s">
        <v>796</v>
      </c>
      <c r="P28" s="472" t="s">
        <v>797</v>
      </c>
      <c r="Q28" s="472" t="s">
        <v>798</v>
      </c>
      <c r="R28" s="472" t="s">
        <v>799</v>
      </c>
      <c r="S28" s="472" t="s">
        <v>800</v>
      </c>
      <c r="T28" s="472" t="s">
        <v>428</v>
      </c>
    </row>
    <row r="29" spans="2:20" x14ac:dyDescent="0.2">
      <c r="B29" s="473" t="str">
        <f t="shared" si="2"/>
        <v>Home Energy Solutions</v>
      </c>
      <c r="C29" s="473" t="str">
        <f t="shared" ref="C29:E48" si="4">C4</f>
        <v>Residential</v>
      </c>
      <c r="D29" s="473" t="str">
        <f t="shared" si="4"/>
        <v>Whole Home</v>
      </c>
      <c r="E29" s="473" t="str">
        <f t="shared" si="4"/>
        <v>Trade Ally</v>
      </c>
      <c r="F29" s="474">
        <f>'Actual Expenses'!D5</f>
        <v>0</v>
      </c>
      <c r="G29" s="474">
        <f>'Actual Expenses'!E5</f>
        <v>1929789.54</v>
      </c>
      <c r="H29" s="474">
        <f>'Actual Expenses'!F5</f>
        <v>10246231.24</v>
      </c>
      <c r="I29" s="474">
        <f>'Actual Expenses'!G5</f>
        <v>148037.71835416299</v>
      </c>
      <c r="J29" s="474">
        <f>'Actual Expenses'!H5</f>
        <v>170883.488147695</v>
      </c>
      <c r="K29" s="475">
        <f>SUM(F29:J29)</f>
        <v>12494941.98650186</v>
      </c>
      <c r="L29" s="476">
        <f>IF(Demand_1=NG_Demand,"n/a",'Evaluated Savings'!D6)</f>
        <v>9970.9398610737026</v>
      </c>
      <c r="M29" s="476">
        <f>'Evaluated Savings'!E6</f>
        <v>30406973.18046065</v>
      </c>
      <c r="N29" s="476">
        <f>'Evaluated Savings'!G6</f>
        <v>7403</v>
      </c>
      <c r="O29" s="476">
        <f>'Cost-Benefits'!F7</f>
        <v>573255.54702994099</v>
      </c>
      <c r="P29" s="474">
        <f>'Cost-Benefits'!G7</f>
        <v>12172.260864124122</v>
      </c>
      <c r="Q29" s="474">
        <f>'Cost-Benefits'!H7</f>
        <v>29608.227003337008</v>
      </c>
      <c r="R29" s="474">
        <f>'Cost-Benefits'!I7</f>
        <v>17435.966139212884</v>
      </c>
      <c r="S29" s="477">
        <f>'Cost-Benefits'!J7</f>
        <v>2.4324344781833203</v>
      </c>
      <c r="T29" s="478">
        <f>'Cost-Benefits'!L7</f>
        <v>3.7413895131770201E-2</v>
      </c>
    </row>
    <row r="30" spans="2:20" x14ac:dyDescent="0.2">
      <c r="B30" s="473" t="str">
        <f t="shared" si="2"/>
        <v>Multifamily Homes</v>
      </c>
      <c r="C30" s="473" t="str">
        <f t="shared" si="4"/>
        <v>Residential</v>
      </c>
      <c r="D30" s="473" t="str">
        <f t="shared" si="4"/>
        <v>Whole Home</v>
      </c>
      <c r="E30" s="473" t="str">
        <f t="shared" si="4"/>
        <v>Trade Ally</v>
      </c>
      <c r="F30" s="474">
        <f>'Actual Expenses'!D9</f>
        <v>0</v>
      </c>
      <c r="G30" s="474">
        <f>'Actual Expenses'!E9</f>
        <v>866740.34</v>
      </c>
      <c r="H30" s="474">
        <f>'Actual Expenses'!F9</f>
        <v>1606194.09</v>
      </c>
      <c r="I30" s="474">
        <f>'Actual Expenses'!G9</f>
        <v>51167.004428612498</v>
      </c>
      <c r="J30" s="474">
        <f>'Actual Expenses'!H9</f>
        <v>92085.393096687301</v>
      </c>
      <c r="K30" s="475">
        <f t="shared" ref="K30:K48" si="5">SUM(F30:J30)</f>
        <v>2616186.8275253</v>
      </c>
      <c r="L30" s="476">
        <f>IF(Demand_1=NG_Demand,"n/a",'Evaluated Savings'!D7)</f>
        <v>1607.1534009760283</v>
      </c>
      <c r="M30" s="476">
        <f>'Evaluated Savings'!E7</f>
        <v>10077059.989879465</v>
      </c>
      <c r="N30" s="476">
        <f>'Evaluated Savings'!G7</f>
        <v>2265</v>
      </c>
      <c r="O30" s="476">
        <f>'Cost-Benefits'!F8</f>
        <v>184418.42326136731</v>
      </c>
      <c r="P30" s="474">
        <f>'Cost-Benefits'!G8</f>
        <v>2472.9344300000002</v>
      </c>
      <c r="Q30" s="474">
        <f>'Cost-Benefits'!H8</f>
        <v>6369.6595724271183</v>
      </c>
      <c r="R30" s="474">
        <f>'Cost-Benefits'!I8</f>
        <v>3896.725142427118</v>
      </c>
      <c r="S30" s="477">
        <f>'Cost-Benefits'!J8</f>
        <v>2.5757494801134366</v>
      </c>
      <c r="T30" s="478">
        <f>'Cost-Benefits'!L8</f>
        <v>2.3297892256493903E-2</v>
      </c>
    </row>
    <row r="31" spans="2:20" x14ac:dyDescent="0.2">
      <c r="B31" s="473" t="str">
        <f t="shared" si="2"/>
        <v>Manufactured Homes</v>
      </c>
      <c r="C31" s="473" t="str">
        <f t="shared" si="4"/>
        <v>Residential</v>
      </c>
      <c r="D31" s="473" t="str">
        <f t="shared" si="4"/>
        <v>Whole Home</v>
      </c>
      <c r="E31" s="473" t="str">
        <f t="shared" si="4"/>
        <v>Trade Ally</v>
      </c>
      <c r="F31" s="474">
        <f>'Actual Expenses'!D13</f>
        <v>0</v>
      </c>
      <c r="G31" s="474">
        <f>'Actual Expenses'!E13</f>
        <v>438487.8</v>
      </c>
      <c r="H31" s="474">
        <f>'Actual Expenses'!F13</f>
        <v>783753.83</v>
      </c>
      <c r="I31" s="474">
        <f>'Actual Expenses'!G13</f>
        <v>25216.7526347393</v>
      </c>
      <c r="J31" s="474">
        <f>'Actual Expenses'!H13</f>
        <v>62630.3328511652</v>
      </c>
      <c r="K31" s="475">
        <f t="shared" si="5"/>
        <v>1310088.7154859044</v>
      </c>
      <c r="L31" s="476">
        <f>IF(Demand_1=NG_Demand,"n/a",'Evaluated Savings'!D8)</f>
        <v>719.19207163148815</v>
      </c>
      <c r="M31" s="476">
        <f>'Evaluated Savings'!E8</f>
        <v>5070585.2644848609</v>
      </c>
      <c r="N31" s="476">
        <f>'Evaluated Savings'!G8</f>
        <v>647</v>
      </c>
      <c r="O31" s="476">
        <f>'Cost-Benefits'!F9</f>
        <v>93177.584346410862</v>
      </c>
      <c r="P31" s="474">
        <f>'Cost-Benefits'!G9</f>
        <v>1222.24163</v>
      </c>
      <c r="Q31" s="474">
        <f>'Cost-Benefits'!H9</f>
        <v>3075.2037742752591</v>
      </c>
      <c r="R31" s="474">
        <f>'Cost-Benefits'!I9</f>
        <v>1852.9621442752591</v>
      </c>
      <c r="S31" s="477">
        <f>'Cost-Benefits'!J9</f>
        <v>2.5160358629539226</v>
      </c>
      <c r="T31" s="478">
        <f>'Cost-Benefits'!L9</f>
        <v>2.2834347354622746E-2</v>
      </c>
    </row>
    <row r="32" spans="2:20" x14ac:dyDescent="0.2">
      <c r="B32" s="473" t="str">
        <f t="shared" si="2"/>
        <v xml:space="preserve">Low-Income Solutions </v>
      </c>
      <c r="C32" s="473" t="str">
        <f t="shared" si="4"/>
        <v>Residential</v>
      </c>
      <c r="D32" s="473" t="str">
        <f t="shared" si="4"/>
        <v>Market Specific/Hard to Reach</v>
      </c>
      <c r="E32" s="473" t="str">
        <f t="shared" si="4"/>
        <v>Trade Ally</v>
      </c>
      <c r="F32" s="474">
        <f>'Actual Expenses'!D17</f>
        <v>0</v>
      </c>
      <c r="G32" s="474">
        <f>'Actual Expenses'!E17</f>
        <v>1484415.81</v>
      </c>
      <c r="H32" s="474">
        <f>'Actual Expenses'!F17</f>
        <v>3189237.37</v>
      </c>
      <c r="I32" s="474">
        <f>'Actual Expenses'!G17</f>
        <v>40946.257178259701</v>
      </c>
      <c r="J32" s="474">
        <f>'Actual Expenses'!H17</f>
        <v>49328.405571756703</v>
      </c>
      <c r="K32" s="475">
        <f t="shared" si="5"/>
        <v>4763927.8427500166</v>
      </c>
      <c r="L32" s="476">
        <f>IF(Demand_1=NG_Demand,"n/a",'Evaluated Savings'!D9)</f>
        <v>2377.2343506521393</v>
      </c>
      <c r="M32" s="476">
        <f>'Evaluated Savings'!E9</f>
        <v>8312577.7166410862</v>
      </c>
      <c r="N32" s="476">
        <f>'Evaluated Savings'!G9</f>
        <v>2161</v>
      </c>
      <c r="O32" s="476">
        <f>'Cost-Benefits'!F10</f>
        <v>156303.19848541205</v>
      </c>
      <c r="P32" s="474">
        <f>'Cost-Benefits'!G10</f>
        <v>4673.6531799999993</v>
      </c>
      <c r="Q32" s="474">
        <f>'Cost-Benefits'!H10</f>
        <v>7648.4190986711546</v>
      </c>
      <c r="R32" s="474">
        <f>'Cost-Benefits'!I10</f>
        <v>2974.7659186711553</v>
      </c>
      <c r="S32" s="477">
        <f>'Cost-Benefits'!J10</f>
        <v>1.6364969337907003</v>
      </c>
      <c r="T32" s="478">
        <f>'Cost-Benefits'!L10</f>
        <v>5.2620197012119972E-2</v>
      </c>
    </row>
    <row r="33" spans="2:20" x14ac:dyDescent="0.2">
      <c r="B33" s="473" t="str">
        <f t="shared" si="2"/>
        <v>Point of Purchase Solutions</v>
      </c>
      <c r="C33" s="473" t="str">
        <f t="shared" si="4"/>
        <v>All Classes</v>
      </c>
      <c r="D33" s="473" t="str">
        <f t="shared" si="4"/>
        <v>Consumer Product Rebate</v>
      </c>
      <c r="E33" s="473" t="str">
        <f t="shared" si="4"/>
        <v>Retail Outlets</v>
      </c>
      <c r="F33" s="474">
        <f>'Actual Expenses'!D21</f>
        <v>0</v>
      </c>
      <c r="G33" s="474">
        <f>'Actual Expenses'!E21</f>
        <v>2032377.85</v>
      </c>
      <c r="H33" s="474">
        <f>'Actual Expenses'!F21</f>
        <v>4796547.38</v>
      </c>
      <c r="I33" s="474">
        <f>'Actual Expenses'!G21</f>
        <v>301769.53716494498</v>
      </c>
      <c r="J33" s="474">
        <f>'Actual Expenses'!H21</f>
        <v>345378.11942252697</v>
      </c>
      <c r="K33" s="475">
        <f t="shared" si="5"/>
        <v>7476072.8865874726</v>
      </c>
      <c r="L33" s="476">
        <f>IF(Demand_1=NG_Demand,"n/a",'Evaluated Savings'!D10)</f>
        <v>5820.0255478381659</v>
      </c>
      <c r="M33" s="476">
        <f>'Evaluated Savings'!E10</f>
        <v>57671890.179663248</v>
      </c>
      <c r="N33" s="476">
        <f>'Evaluated Savings'!G10</f>
        <v>225890</v>
      </c>
      <c r="O33" s="476">
        <f>'Cost-Benefits'!F11</f>
        <v>717751.98194082058</v>
      </c>
      <c r="P33" s="474">
        <f>'Cost-Benefits'!G11</f>
        <v>7249.6459697364753</v>
      </c>
      <c r="Q33" s="474">
        <f>'Cost-Benefits'!H11</f>
        <v>24377.298353876471</v>
      </c>
      <c r="R33" s="474">
        <f>'Cost-Benefits'!I11</f>
        <v>17127.652384139998</v>
      </c>
      <c r="S33" s="477">
        <f>'Cost-Benefits'!J11</f>
        <v>3.3625501790899985</v>
      </c>
      <c r="T33" s="478">
        <f>'Cost-Benefits'!L11</f>
        <v>1.503063113101881E-2</v>
      </c>
    </row>
    <row r="34" spans="2:20" x14ac:dyDescent="0.2">
      <c r="B34" s="473" t="str">
        <f t="shared" si="2"/>
        <v>Large Commercial &amp; Industrial Solutions</v>
      </c>
      <c r="C34" s="473" t="str">
        <f t="shared" si="4"/>
        <v>Commercial &amp; Industrial</v>
      </c>
      <c r="D34" s="473" t="str">
        <f t="shared" si="4"/>
        <v>Custom</v>
      </c>
      <c r="E34" s="473" t="str">
        <f t="shared" si="4"/>
        <v>Trade Ally</v>
      </c>
      <c r="F34" s="474">
        <f>'Actual Expenses'!D25</f>
        <v>0</v>
      </c>
      <c r="G34" s="474">
        <f>'Actual Expenses'!E25</f>
        <v>5064907.7699999996</v>
      </c>
      <c r="H34" s="474">
        <f>'Actual Expenses'!F25</f>
        <v>6565319.9399999995</v>
      </c>
      <c r="I34" s="474">
        <f>'Actual Expenses'!G25</f>
        <v>579873.84065516701</v>
      </c>
      <c r="J34" s="474">
        <f>'Actual Expenses'!H25</f>
        <v>666447.29894696502</v>
      </c>
      <c r="K34" s="475">
        <f t="shared" si="5"/>
        <v>12876548.849602131</v>
      </c>
      <c r="L34" s="476">
        <f>IF(Demand_1=NG_Demand,"n/a",'Evaluated Savings'!D11)</f>
        <v>13133.008398738688</v>
      </c>
      <c r="M34" s="476">
        <f>'Evaluated Savings'!E11</f>
        <v>106468813.42825335</v>
      </c>
      <c r="N34" s="476">
        <f>'Evaluated Savings'!G11</f>
        <v>350</v>
      </c>
      <c r="O34" s="476">
        <f>'Cost-Benefits'!F12</f>
        <v>774785.77671116265</v>
      </c>
      <c r="P34" s="474">
        <f>'Cost-Benefits'!G12</f>
        <v>12051.635231107</v>
      </c>
      <c r="Q34" s="474">
        <f>'Cost-Benefits'!H12</f>
        <v>26591.344140614456</v>
      </c>
      <c r="R34" s="474">
        <f>'Cost-Benefits'!I12</f>
        <v>14539.708909507455</v>
      </c>
      <c r="S34" s="477">
        <f>'Cost-Benefits'!J12</f>
        <v>2.2064511272278122</v>
      </c>
      <c r="T34" s="478">
        <f>'Cost-Benefits'!L12</f>
        <v>2.0006567610869608E-2</v>
      </c>
    </row>
    <row r="35" spans="2:20" x14ac:dyDescent="0.2">
      <c r="B35" s="473" t="str">
        <f t="shared" si="2"/>
        <v>Small Business Solutions</v>
      </c>
      <c r="C35" s="473" t="str">
        <f t="shared" si="4"/>
        <v>Small Business</v>
      </c>
      <c r="D35" s="473" t="str">
        <f t="shared" si="4"/>
        <v>Market Specific/Hard to Reach</v>
      </c>
      <c r="E35" s="473" t="str">
        <f t="shared" si="4"/>
        <v>Trade Ally</v>
      </c>
      <c r="F35" s="474">
        <f>'Actual Expenses'!D29</f>
        <v>0</v>
      </c>
      <c r="G35" s="474">
        <f>'Actual Expenses'!E29</f>
        <v>635622.53</v>
      </c>
      <c r="H35" s="474">
        <f>'Actual Expenses'!F29</f>
        <v>1312215.58</v>
      </c>
      <c r="I35" s="474">
        <f>'Actual Expenses'!G29</f>
        <v>92139.955769107706</v>
      </c>
      <c r="J35" s="474">
        <f>'Actual Expenses'!H29</f>
        <v>112840.72573850599</v>
      </c>
      <c r="K35" s="475">
        <f t="shared" si="5"/>
        <v>2152818.7915076138</v>
      </c>
      <c r="L35" s="476">
        <f>IF(Demand_1=NG_Demand,"n/a",'Evaluated Savings'!D12)</f>
        <v>1569.0608079820718</v>
      </c>
      <c r="M35" s="476">
        <f>'Evaluated Savings'!E12</f>
        <v>9777978.5595276505</v>
      </c>
      <c r="N35" s="476">
        <f>'Evaluated Savings'!G12</f>
        <v>786</v>
      </c>
      <c r="O35" s="476">
        <f>'Cost-Benefits'!F13</f>
        <v>118152.79649513905</v>
      </c>
      <c r="P35" s="474">
        <f>'Cost-Benefits'!G13</f>
        <v>2017.33761999997</v>
      </c>
      <c r="Q35" s="474">
        <f>'Cost-Benefits'!H13</f>
        <v>5119.4411991914531</v>
      </c>
      <c r="R35" s="474">
        <f>'Cost-Benefits'!I13</f>
        <v>3102.1035791914828</v>
      </c>
      <c r="S35" s="477">
        <f>'Cost-Benefits'!J13</f>
        <v>2.5377215734426888</v>
      </c>
      <c r="T35" s="478">
        <f>'Cost-Benefits'!L13</f>
        <v>2.515689704260542E-2</v>
      </c>
    </row>
    <row r="36" spans="2:20" x14ac:dyDescent="0.2">
      <c r="B36" s="473" t="str">
        <f t="shared" si="2"/>
        <v xml:space="preserve">Public Institutions Solutions </v>
      </c>
      <c r="C36" s="473" t="str">
        <f t="shared" si="4"/>
        <v>Municipalities/Schools</v>
      </c>
      <c r="D36" s="473" t="str">
        <f t="shared" si="4"/>
        <v>Market Specific/Hard to Reach</v>
      </c>
      <c r="E36" s="473" t="str">
        <f t="shared" si="4"/>
        <v>Trade Ally</v>
      </c>
      <c r="F36" s="474">
        <f>'Actual Expenses'!D33</f>
        <v>0</v>
      </c>
      <c r="G36" s="474">
        <f>'Actual Expenses'!E33</f>
        <v>841111.53</v>
      </c>
      <c r="H36" s="474">
        <f>'Actual Expenses'!F33</f>
        <v>1488321.67</v>
      </c>
      <c r="I36" s="474">
        <f>'Actual Expenses'!G33</f>
        <v>77610.481677115909</v>
      </c>
      <c r="J36" s="474">
        <f>'Actual Expenses'!H33</f>
        <v>127589.42574527701</v>
      </c>
      <c r="K36" s="475">
        <f t="shared" si="5"/>
        <v>2534633.1074223933</v>
      </c>
      <c r="L36" s="476">
        <f>IF(Demand_1=NG_Demand,"n/a",'Evaluated Savings'!D13)</f>
        <v>2675.8490454759699</v>
      </c>
      <c r="M36" s="476">
        <f>'Evaluated Savings'!E13</f>
        <v>16338233.136987923</v>
      </c>
      <c r="N36" s="476">
        <f>'Evaluated Savings'!G13</f>
        <v>250</v>
      </c>
      <c r="O36" s="476">
        <f>'Cost-Benefits'!F14</f>
        <v>198832.24784770506</v>
      </c>
      <c r="P36" s="474">
        <f>'Cost-Benefits'!G14</f>
        <v>4068.304959999999</v>
      </c>
      <c r="Q36" s="474">
        <f>'Cost-Benefits'!H14</f>
        <v>7746.715739701438</v>
      </c>
      <c r="R36" s="474">
        <f>'Cost-Benefits'!I14</f>
        <v>3678.410779701439</v>
      </c>
      <c r="S36" s="477">
        <f>'Cost-Benefits'!J14</f>
        <v>1.9041629906970985</v>
      </c>
      <c r="T36" s="478">
        <f>'Cost-Benefits'!L14</f>
        <v>3.0218849241961297E-2</v>
      </c>
    </row>
    <row r="37" spans="2:20" x14ac:dyDescent="0.2">
      <c r="B37" s="473" t="str">
        <f t="shared" si="2"/>
        <v>Agricultural Energy Solutions</v>
      </c>
      <c r="C37" s="473" t="str">
        <f t="shared" si="4"/>
        <v>Agriculture</v>
      </c>
      <c r="D37" s="473" t="str">
        <f t="shared" si="4"/>
        <v>Prescriptive/Standard Offer</v>
      </c>
      <c r="E37" s="473" t="str">
        <f t="shared" si="4"/>
        <v>Implementing Contractor</v>
      </c>
      <c r="F37" s="474">
        <f>'Actual Expenses'!D37</f>
        <v>0</v>
      </c>
      <c r="G37" s="474">
        <f>'Actual Expenses'!E37</f>
        <v>680820</v>
      </c>
      <c r="H37" s="474">
        <f>'Actual Expenses'!F37</f>
        <v>1254561.1499999999</v>
      </c>
      <c r="I37" s="474">
        <f>'Actual Expenses'!G37</f>
        <v>36351.451982727602</v>
      </c>
      <c r="J37" s="474">
        <f>'Actual Expenses'!H37</f>
        <v>47715.955185508697</v>
      </c>
      <c r="K37" s="475">
        <f t="shared" si="5"/>
        <v>2019448.557168236</v>
      </c>
      <c r="L37" s="476">
        <f>IF(Demand_1=NG_Demand,"n/a",'Evaluated Savings'!D14)</f>
        <v>340.34000000000003</v>
      </c>
      <c r="M37" s="476">
        <f>'Evaluated Savings'!E14</f>
        <v>7194115.5260958355</v>
      </c>
      <c r="N37" s="476">
        <f>'Evaluated Savings'!G14</f>
        <v>23</v>
      </c>
      <c r="O37" s="476">
        <f>'Cost-Benefits'!F15</f>
        <v>70678.700022146892</v>
      </c>
      <c r="P37" s="474">
        <f>'Cost-Benefits'!G15</f>
        <v>2089.8801100000001</v>
      </c>
      <c r="Q37" s="474">
        <f>'Cost-Benefits'!H15</f>
        <v>2149.6189381027648</v>
      </c>
      <c r="R37" s="474">
        <f>'Cost-Benefits'!I15</f>
        <v>59.738828102764728</v>
      </c>
      <c r="S37" s="477">
        <f>'Cost-Benefits'!J15</f>
        <v>1.0285848110697435</v>
      </c>
      <c r="T37" s="478">
        <f>'Cost-Benefits'!L15</f>
        <v>4.0909343638066982E-2</v>
      </c>
    </row>
    <row r="38" spans="2:20" x14ac:dyDescent="0.2">
      <c r="B38" s="473" t="str">
        <f t="shared" si="2"/>
        <v>Residential Direct Load Control</v>
      </c>
      <c r="C38" s="473" t="str">
        <f t="shared" si="4"/>
        <v>Residential</v>
      </c>
      <c r="D38" s="473" t="str">
        <f t="shared" si="4"/>
        <v>Demand Response</v>
      </c>
      <c r="E38" s="473" t="str">
        <f t="shared" si="4"/>
        <v>Implementing Contractor</v>
      </c>
      <c r="F38" s="474">
        <f>'Actual Expenses'!D41</f>
        <v>0</v>
      </c>
      <c r="G38" s="474">
        <f>'Actual Expenses'!E41</f>
        <v>1866000</v>
      </c>
      <c r="H38" s="474">
        <f>'Actual Expenses'!F41</f>
        <v>362152.5</v>
      </c>
      <c r="I38" s="474">
        <f>'Actual Expenses'!G41</f>
        <v>53832.305189516097</v>
      </c>
      <c r="J38" s="474">
        <f>'Actual Expenses'!H41</f>
        <v>63954.824741487399</v>
      </c>
      <c r="K38" s="475">
        <f t="shared" si="5"/>
        <v>2345939.6299310033</v>
      </c>
      <c r="L38" s="476">
        <f>IF(Demand_1=NG_Demand,"n/a",'Evaluated Savings'!D15)</f>
        <v>13675</v>
      </c>
      <c r="M38" s="476">
        <f>'Evaluated Savings'!E15</f>
        <v>0</v>
      </c>
      <c r="N38" s="476">
        <f>'Evaluated Savings'!G15</f>
        <v>11789</v>
      </c>
      <c r="O38" s="476">
        <f>'Cost-Benefits'!F16</f>
        <v>0</v>
      </c>
      <c r="P38" s="474">
        <f>'Cost-Benefits'!G16</f>
        <v>1866</v>
      </c>
      <c r="Q38" s="474">
        <f>'Cost-Benefits'!H16</f>
        <v>0</v>
      </c>
      <c r="R38" s="474">
        <f>'Cost-Benefits'!I16</f>
        <v>-1866</v>
      </c>
      <c r="S38" s="477">
        <f>'Cost-Benefits'!J16</f>
        <v>0</v>
      </c>
      <c r="T38" s="478" t="str">
        <f>'Cost-Benefits'!L16</f>
        <v>n/a</v>
      </c>
    </row>
    <row r="39" spans="2:20" x14ac:dyDescent="0.2">
      <c r="B39" s="473" t="str">
        <f t="shared" si="2"/>
        <v xml:space="preserve">Smart Direct Load Control Pilot </v>
      </c>
      <c r="C39" s="473" t="str">
        <f t="shared" si="4"/>
        <v>Res/Small Business</v>
      </c>
      <c r="D39" s="473" t="str">
        <f t="shared" si="4"/>
        <v>Demand Response</v>
      </c>
      <c r="E39" s="473" t="str">
        <f t="shared" si="4"/>
        <v>Trade Ally</v>
      </c>
      <c r="F39" s="474">
        <f>'Actual Expenses'!D45</f>
        <v>0</v>
      </c>
      <c r="G39" s="474">
        <f>'Actual Expenses'!E45</f>
        <v>3092759.32</v>
      </c>
      <c r="H39" s="474">
        <f>'Actual Expenses'!F45</f>
        <v>1624964.91</v>
      </c>
      <c r="I39" s="474">
        <f>'Actual Expenses'!G45</f>
        <v>85152.533911234001</v>
      </c>
      <c r="J39" s="474">
        <f>'Actual Expenses'!H45</f>
        <v>99505.126293706999</v>
      </c>
      <c r="K39" s="475">
        <f t="shared" si="5"/>
        <v>4902381.89020494</v>
      </c>
      <c r="L39" s="476">
        <f>IF(Demand_1=NG_Demand,"n/a",'Evaluated Savings'!D16)</f>
        <v>5554.4400000000005</v>
      </c>
      <c r="M39" s="476">
        <f>'Evaluated Savings'!E16</f>
        <v>4521927</v>
      </c>
      <c r="N39" s="476">
        <f>'Evaluated Savings'!G16</f>
        <v>1365</v>
      </c>
      <c r="O39" s="476">
        <f>'Cost-Benefits'!F17</f>
        <v>55452.844493684846</v>
      </c>
      <c r="P39" s="474">
        <f>'Cost-Benefits'!G17</f>
        <v>3092.7593199999997</v>
      </c>
      <c r="Q39" s="474">
        <f>'Cost-Benefits'!H17</f>
        <v>1719.0898789637467</v>
      </c>
      <c r="R39" s="474">
        <f>'Cost-Benefits'!I17</f>
        <v>-1373.6694410362529</v>
      </c>
      <c r="S39" s="477">
        <f>'Cost-Benefits'!J17</f>
        <v>0.55584340748627892</v>
      </c>
      <c r="T39" s="478">
        <f>'Cost-Benefits'!L17</f>
        <v>8.2582219057555459E-2</v>
      </c>
    </row>
    <row r="40" spans="2:20" x14ac:dyDescent="0.2">
      <c r="B40" s="473" t="str">
        <f t="shared" si="2"/>
        <v>Agricultural Irrigation Load Control</v>
      </c>
      <c r="C40" s="473" t="str">
        <f t="shared" si="4"/>
        <v>Agriculture</v>
      </c>
      <c r="D40" s="473" t="str">
        <f t="shared" si="4"/>
        <v>Demand Response</v>
      </c>
      <c r="E40" s="473" t="str">
        <f t="shared" si="4"/>
        <v>Implementing Contractor</v>
      </c>
      <c r="F40" s="474">
        <f>'Actual Expenses'!D49</f>
        <v>0</v>
      </c>
      <c r="G40" s="474">
        <f>'Actual Expenses'!E49</f>
        <v>3190015.25</v>
      </c>
      <c r="H40" s="474">
        <f>'Actual Expenses'!F49</f>
        <v>350250</v>
      </c>
      <c r="I40" s="474">
        <f>'Actual Expenses'!G49</f>
        <v>83085.311054413105</v>
      </c>
      <c r="J40" s="474">
        <f>'Actual Expenses'!H49</f>
        <v>97973.314258717903</v>
      </c>
      <c r="K40" s="475">
        <f t="shared" si="5"/>
        <v>3721323.8753131311</v>
      </c>
      <c r="L40" s="476">
        <f>IF(Demand_1=NG_Demand,"n/a",'Evaluated Savings'!D17)</f>
        <v>17847.3</v>
      </c>
      <c r="M40" s="476">
        <f>'Evaluated Savings'!E17</f>
        <v>0</v>
      </c>
      <c r="N40" s="476">
        <f>'Evaluated Savings'!G17</f>
        <v>916</v>
      </c>
      <c r="O40" s="476">
        <f>'Cost-Benefits'!F18</f>
        <v>0</v>
      </c>
      <c r="P40" s="474">
        <f>'Cost-Benefits'!G18</f>
        <v>3190.0152499999999</v>
      </c>
      <c r="Q40" s="474">
        <f>'Cost-Benefits'!H18</f>
        <v>0</v>
      </c>
      <c r="R40" s="474">
        <f>'Cost-Benefits'!I18</f>
        <v>-3190.0152499999999</v>
      </c>
      <c r="S40" s="477">
        <f>'Cost-Benefits'!J18</f>
        <v>0</v>
      </c>
      <c r="T40" s="478" t="str">
        <f>'Cost-Benefits'!L18</f>
        <v>n/a</v>
      </c>
    </row>
    <row r="41" spans="2:20" x14ac:dyDescent="0.2">
      <c r="B41" s="473" t="str">
        <f t="shared" si="2"/>
        <v>Empty</v>
      </c>
      <c r="C41" s="473" t="str">
        <f t="shared" si="4"/>
        <v/>
      </c>
      <c r="D41" s="473" t="str">
        <f t="shared" si="4"/>
        <v/>
      </c>
      <c r="E41" s="473" t="str">
        <f t="shared" si="4"/>
        <v/>
      </c>
      <c r="F41" s="474">
        <f>'Actual Expenses'!D53</f>
        <v>0</v>
      </c>
      <c r="G41" s="474">
        <f>'Actual Expenses'!E53</f>
        <v>0</v>
      </c>
      <c r="H41" s="474">
        <f>'Actual Expenses'!F53</f>
        <v>0</v>
      </c>
      <c r="I41" s="474">
        <f>'Actual Expenses'!G53</f>
        <v>0</v>
      </c>
      <c r="J41" s="474">
        <f>'Actual Expenses'!H53</f>
        <v>0</v>
      </c>
      <c r="K41" s="475">
        <f t="shared" si="5"/>
        <v>0</v>
      </c>
      <c r="L41" s="476">
        <f>IF(Demand_1=NG_Demand,"n/a",'Evaluated Savings'!D18)</f>
        <v>0</v>
      </c>
      <c r="M41" s="476">
        <f>'Evaluated Savings'!E18</f>
        <v>0</v>
      </c>
      <c r="N41" s="476">
        <f>'Evaluated Savings'!G18</f>
        <v>0</v>
      </c>
      <c r="O41" s="476">
        <f>'Cost-Benefits'!F19</f>
        <v>0</v>
      </c>
      <c r="P41" s="474">
        <f>'Cost-Benefits'!G19</f>
        <v>0</v>
      </c>
      <c r="Q41" s="474">
        <f>'Cost-Benefits'!H19</f>
        <v>0</v>
      </c>
      <c r="R41" s="474">
        <f>'Cost-Benefits'!I19</f>
        <v>0</v>
      </c>
      <c r="S41" s="477" t="str">
        <f>'Cost-Benefits'!J19</f>
        <v>n/a</v>
      </c>
      <c r="T41" s="478" t="str">
        <f>'Cost-Benefits'!L19</f>
        <v>n/a</v>
      </c>
    </row>
    <row r="42" spans="2:20" x14ac:dyDescent="0.2">
      <c r="B42" s="473" t="str">
        <f t="shared" si="2"/>
        <v>Empty</v>
      </c>
      <c r="C42" s="473" t="str">
        <f t="shared" si="4"/>
        <v/>
      </c>
      <c r="D42" s="473" t="str">
        <f t="shared" si="4"/>
        <v/>
      </c>
      <c r="E42" s="473" t="str">
        <f t="shared" si="4"/>
        <v/>
      </c>
      <c r="F42" s="474">
        <f>'Actual Expenses'!D57</f>
        <v>0</v>
      </c>
      <c r="G42" s="474">
        <f>'Actual Expenses'!E57</f>
        <v>0</v>
      </c>
      <c r="H42" s="474">
        <f>'Actual Expenses'!F57</f>
        <v>0</v>
      </c>
      <c r="I42" s="474">
        <f>'Actual Expenses'!G57</f>
        <v>0</v>
      </c>
      <c r="J42" s="474">
        <f>'Actual Expenses'!H57</f>
        <v>0</v>
      </c>
      <c r="K42" s="475">
        <f t="shared" si="5"/>
        <v>0</v>
      </c>
      <c r="L42" s="476">
        <f>IF(Demand_1=NG_Demand,"n/a",'Evaluated Savings'!D19)</f>
        <v>0</v>
      </c>
      <c r="M42" s="476">
        <f>'Evaluated Savings'!E19</f>
        <v>0</v>
      </c>
      <c r="N42" s="476">
        <f>'Evaluated Savings'!G19</f>
        <v>0</v>
      </c>
      <c r="O42" s="476">
        <f>'Cost-Benefits'!F20</f>
        <v>0</v>
      </c>
      <c r="P42" s="474">
        <f>'Cost-Benefits'!G20</f>
        <v>0</v>
      </c>
      <c r="Q42" s="474">
        <f>'Cost-Benefits'!H20</f>
        <v>0</v>
      </c>
      <c r="R42" s="474">
        <f>'Cost-Benefits'!I20</f>
        <v>0</v>
      </c>
      <c r="S42" s="477" t="str">
        <f>'Cost-Benefits'!J20</f>
        <v>n/a</v>
      </c>
      <c r="T42" s="478" t="str">
        <f>'Cost-Benefits'!L20</f>
        <v>n/a</v>
      </c>
    </row>
    <row r="43" spans="2:20" x14ac:dyDescent="0.2">
      <c r="B43" s="473" t="str">
        <f t="shared" si="2"/>
        <v>Empty</v>
      </c>
      <c r="C43" s="473" t="str">
        <f t="shared" si="4"/>
        <v/>
      </c>
      <c r="D43" s="473" t="str">
        <f t="shared" si="4"/>
        <v/>
      </c>
      <c r="E43" s="473" t="str">
        <f t="shared" si="4"/>
        <v/>
      </c>
      <c r="F43" s="474">
        <f>'Actual Expenses'!D61</f>
        <v>0</v>
      </c>
      <c r="G43" s="474">
        <f>'Actual Expenses'!E61</f>
        <v>0</v>
      </c>
      <c r="H43" s="474">
        <f>'Actual Expenses'!F61</f>
        <v>0</v>
      </c>
      <c r="I43" s="474">
        <f>'Actual Expenses'!G61</f>
        <v>0</v>
      </c>
      <c r="J43" s="474">
        <f>'Actual Expenses'!H61</f>
        <v>0</v>
      </c>
      <c r="K43" s="475">
        <f t="shared" si="5"/>
        <v>0</v>
      </c>
      <c r="L43" s="476">
        <f>IF(Demand_1=NG_Demand,"n/a",'Evaluated Savings'!D20)</f>
        <v>0</v>
      </c>
      <c r="M43" s="476">
        <f>'Evaluated Savings'!E20</f>
        <v>0</v>
      </c>
      <c r="N43" s="476">
        <f>'Evaluated Savings'!G20</f>
        <v>0</v>
      </c>
      <c r="O43" s="476">
        <f>'Cost-Benefits'!F21</f>
        <v>0</v>
      </c>
      <c r="P43" s="474">
        <f>'Cost-Benefits'!G21</f>
        <v>0</v>
      </c>
      <c r="Q43" s="474">
        <f>'Cost-Benefits'!H21</f>
        <v>0</v>
      </c>
      <c r="R43" s="474">
        <f>'Cost-Benefits'!I21</f>
        <v>0</v>
      </c>
      <c r="S43" s="477" t="str">
        <f>'Cost-Benefits'!J21</f>
        <v>n/a</v>
      </c>
      <c r="T43" s="478" t="str">
        <f>'Cost-Benefits'!L21</f>
        <v>n/a</v>
      </c>
    </row>
    <row r="44" spans="2:20" x14ac:dyDescent="0.2">
      <c r="B44" s="473" t="str">
        <f t="shared" si="2"/>
        <v>Empty</v>
      </c>
      <c r="C44" s="473" t="str">
        <f t="shared" si="4"/>
        <v/>
      </c>
      <c r="D44" s="473" t="str">
        <f t="shared" si="4"/>
        <v/>
      </c>
      <c r="E44" s="473" t="str">
        <f t="shared" si="4"/>
        <v/>
      </c>
      <c r="F44" s="474">
        <f>'Actual Expenses'!D65</f>
        <v>0</v>
      </c>
      <c r="G44" s="474">
        <f>'Actual Expenses'!E65</f>
        <v>0</v>
      </c>
      <c r="H44" s="474">
        <f>'Actual Expenses'!F65</f>
        <v>0</v>
      </c>
      <c r="I44" s="474">
        <f>'Actual Expenses'!G65</f>
        <v>0</v>
      </c>
      <c r="J44" s="474">
        <f>'Actual Expenses'!H65</f>
        <v>0</v>
      </c>
      <c r="K44" s="475">
        <f t="shared" si="5"/>
        <v>0</v>
      </c>
      <c r="L44" s="476">
        <f>IF(Demand_1=NG_Demand,"n/a",'Evaluated Savings'!D21)</f>
        <v>0</v>
      </c>
      <c r="M44" s="476">
        <f>'Evaluated Savings'!E21</f>
        <v>0</v>
      </c>
      <c r="N44" s="476">
        <f>'Evaluated Savings'!G21</f>
        <v>0</v>
      </c>
      <c r="O44" s="476">
        <f>'Cost-Benefits'!F22</f>
        <v>0</v>
      </c>
      <c r="P44" s="474">
        <f>'Cost-Benefits'!G22</f>
        <v>0</v>
      </c>
      <c r="Q44" s="474">
        <f>'Cost-Benefits'!H22</f>
        <v>0</v>
      </c>
      <c r="R44" s="474">
        <f>'Cost-Benefits'!I22</f>
        <v>0</v>
      </c>
      <c r="S44" s="477" t="str">
        <f>'Cost-Benefits'!J22</f>
        <v>n/a</v>
      </c>
      <c r="T44" s="478" t="str">
        <f>'Cost-Benefits'!L22</f>
        <v>n/a</v>
      </c>
    </row>
    <row r="45" spans="2:20" x14ac:dyDescent="0.2">
      <c r="B45" s="473" t="str">
        <f t="shared" si="2"/>
        <v>Empty</v>
      </c>
      <c r="C45" s="473" t="str">
        <f t="shared" si="4"/>
        <v/>
      </c>
      <c r="D45" s="473" t="str">
        <f t="shared" si="4"/>
        <v/>
      </c>
      <c r="E45" s="473" t="str">
        <f t="shared" si="4"/>
        <v/>
      </c>
      <c r="F45" s="474">
        <f>'Actual Expenses'!D69</f>
        <v>0</v>
      </c>
      <c r="G45" s="474">
        <f>'Actual Expenses'!E69</f>
        <v>0</v>
      </c>
      <c r="H45" s="474">
        <f>'Actual Expenses'!F69</f>
        <v>0</v>
      </c>
      <c r="I45" s="474">
        <f>'Actual Expenses'!G69</f>
        <v>0</v>
      </c>
      <c r="J45" s="474">
        <f>'Actual Expenses'!H69</f>
        <v>0</v>
      </c>
      <c r="K45" s="475">
        <f t="shared" si="5"/>
        <v>0</v>
      </c>
      <c r="L45" s="476">
        <f>IF(Demand_1=NG_Demand,"n/a",'Evaluated Savings'!D22)</f>
        <v>0</v>
      </c>
      <c r="M45" s="476">
        <f>'Evaluated Savings'!E22</f>
        <v>0</v>
      </c>
      <c r="N45" s="476">
        <f>'Evaluated Savings'!G22</f>
        <v>0</v>
      </c>
      <c r="O45" s="476">
        <f>'Cost-Benefits'!F23</f>
        <v>0</v>
      </c>
      <c r="P45" s="474">
        <f>'Cost-Benefits'!G23</f>
        <v>0</v>
      </c>
      <c r="Q45" s="474">
        <f>'Cost-Benefits'!H23</f>
        <v>0</v>
      </c>
      <c r="R45" s="474">
        <f>'Cost-Benefits'!I23</f>
        <v>0</v>
      </c>
      <c r="S45" s="477" t="str">
        <f>'Cost-Benefits'!J23</f>
        <v>n/a</v>
      </c>
      <c r="T45" s="478" t="str">
        <f>'Cost-Benefits'!L23</f>
        <v>n/a</v>
      </c>
    </row>
    <row r="46" spans="2:20" ht="12.75" customHeight="1" x14ac:dyDescent="0.2">
      <c r="B46" s="473" t="str">
        <f t="shared" si="2"/>
        <v>Empty</v>
      </c>
      <c r="C46" s="473" t="str">
        <f t="shared" si="4"/>
        <v/>
      </c>
      <c r="D46" s="473" t="str">
        <f t="shared" si="4"/>
        <v/>
      </c>
      <c r="E46" s="473" t="str">
        <f t="shared" si="4"/>
        <v/>
      </c>
      <c r="F46" s="474">
        <f>'Actual Expenses'!D73</f>
        <v>0</v>
      </c>
      <c r="G46" s="474">
        <f>'Actual Expenses'!E73</f>
        <v>0</v>
      </c>
      <c r="H46" s="474">
        <f>'Actual Expenses'!F73</f>
        <v>0</v>
      </c>
      <c r="I46" s="474">
        <f>'Actual Expenses'!G73</f>
        <v>0</v>
      </c>
      <c r="J46" s="474">
        <f>'Actual Expenses'!H73</f>
        <v>0</v>
      </c>
      <c r="K46" s="475">
        <f t="shared" si="5"/>
        <v>0</v>
      </c>
      <c r="L46" s="476">
        <f>IF(Demand_1=NG_Demand,"n/a",'Evaluated Savings'!D23)</f>
        <v>0</v>
      </c>
      <c r="M46" s="476">
        <f>'Evaluated Savings'!E23</f>
        <v>0</v>
      </c>
      <c r="N46" s="476">
        <f>'Evaluated Savings'!G23</f>
        <v>0</v>
      </c>
      <c r="O46" s="476">
        <f>'Cost-Benefits'!F24</f>
        <v>0</v>
      </c>
      <c r="P46" s="474">
        <f>'Cost-Benefits'!G24</f>
        <v>0</v>
      </c>
      <c r="Q46" s="474">
        <f>'Cost-Benefits'!H24</f>
        <v>0</v>
      </c>
      <c r="R46" s="474">
        <f>'Cost-Benefits'!I24</f>
        <v>0</v>
      </c>
      <c r="S46" s="477" t="str">
        <f>'Cost-Benefits'!J24</f>
        <v>n/a</v>
      </c>
      <c r="T46" s="478" t="str">
        <f>'Cost-Benefits'!L24</f>
        <v>n/a</v>
      </c>
    </row>
    <row r="47" spans="2:20" ht="12.75" customHeight="1" x14ac:dyDescent="0.2">
      <c r="B47" s="473" t="str">
        <f t="shared" si="2"/>
        <v>Empty</v>
      </c>
      <c r="C47" s="473" t="str">
        <f t="shared" si="4"/>
        <v/>
      </c>
      <c r="D47" s="473" t="str">
        <f t="shared" si="4"/>
        <v/>
      </c>
      <c r="E47" s="473" t="str">
        <f t="shared" si="4"/>
        <v/>
      </c>
      <c r="F47" s="474">
        <f>'Actual Expenses'!D77</f>
        <v>0</v>
      </c>
      <c r="G47" s="474">
        <f>'Actual Expenses'!E77</f>
        <v>0</v>
      </c>
      <c r="H47" s="474">
        <f>'Actual Expenses'!F77</f>
        <v>0</v>
      </c>
      <c r="I47" s="474">
        <f>'Actual Expenses'!G77</f>
        <v>0</v>
      </c>
      <c r="J47" s="474">
        <f>'Actual Expenses'!H77</f>
        <v>0</v>
      </c>
      <c r="K47" s="475">
        <f t="shared" si="5"/>
        <v>0</v>
      </c>
      <c r="L47" s="476">
        <f>IF(Demand_1=NG_Demand,"n/a",'Evaluated Savings'!D24)</f>
        <v>0</v>
      </c>
      <c r="M47" s="476">
        <f>'Evaluated Savings'!E24</f>
        <v>0</v>
      </c>
      <c r="N47" s="476">
        <f>'Evaluated Savings'!G24</f>
        <v>0</v>
      </c>
      <c r="O47" s="476">
        <f>'Cost-Benefits'!F25</f>
        <v>0</v>
      </c>
      <c r="P47" s="474">
        <f>'Cost-Benefits'!G25</f>
        <v>0</v>
      </c>
      <c r="Q47" s="474">
        <f>'Cost-Benefits'!H25</f>
        <v>0</v>
      </c>
      <c r="R47" s="474">
        <f>'Cost-Benefits'!I25</f>
        <v>0</v>
      </c>
      <c r="S47" s="477" t="str">
        <f>'Cost-Benefits'!J25</f>
        <v>n/a</v>
      </c>
      <c r="T47" s="478" t="str">
        <f>'Cost-Benefits'!L25</f>
        <v>n/a</v>
      </c>
    </row>
    <row r="48" spans="2:20" x14ac:dyDescent="0.2">
      <c r="B48" s="473" t="str">
        <f t="shared" si="2"/>
        <v>Empty</v>
      </c>
      <c r="C48" s="473" t="str">
        <f t="shared" si="4"/>
        <v/>
      </c>
      <c r="D48" s="473" t="str">
        <f t="shared" si="4"/>
        <v/>
      </c>
      <c r="E48" s="473" t="str">
        <f t="shared" si="4"/>
        <v/>
      </c>
      <c r="F48" s="474">
        <f>'Actual Expenses'!D81</f>
        <v>0</v>
      </c>
      <c r="G48" s="474">
        <f>'Actual Expenses'!E81</f>
        <v>0</v>
      </c>
      <c r="H48" s="474">
        <f>'Actual Expenses'!F81</f>
        <v>0</v>
      </c>
      <c r="I48" s="474">
        <f>'Actual Expenses'!G81</f>
        <v>0</v>
      </c>
      <c r="J48" s="474">
        <f>'Actual Expenses'!H81</f>
        <v>0</v>
      </c>
      <c r="K48" s="475">
        <f t="shared" si="5"/>
        <v>0</v>
      </c>
      <c r="L48" s="476">
        <f>IF(Demand_1=NG_Demand,"n/a",'Evaluated Savings'!D25)</f>
        <v>0</v>
      </c>
      <c r="M48" s="476">
        <f>'Evaluated Savings'!E25</f>
        <v>0</v>
      </c>
      <c r="N48" s="476">
        <f>'Evaluated Savings'!G25</f>
        <v>0</v>
      </c>
      <c r="O48" s="476">
        <f>'Cost-Benefits'!F26</f>
        <v>0</v>
      </c>
      <c r="P48" s="474">
        <f>'Cost-Benefits'!G26</f>
        <v>0</v>
      </c>
      <c r="Q48" s="474">
        <f>'Cost-Benefits'!H26</f>
        <v>0</v>
      </c>
      <c r="R48" s="474">
        <f>'Cost-Benefits'!I26</f>
        <v>0</v>
      </c>
      <c r="S48" s="477" t="str">
        <f>'Cost-Benefits'!J26</f>
        <v>n/a</v>
      </c>
      <c r="T48" s="478" t="str">
        <f>'Cost-Benefits'!L26</f>
        <v>n/a</v>
      </c>
    </row>
    <row r="49" spans="2:20" x14ac:dyDescent="0.2">
      <c r="B49" s="124" t="str">
        <f t="shared" si="2"/>
        <v>Regulatory</v>
      </c>
      <c r="C49" s="295" t="str">
        <f>C24</f>
        <v>-</v>
      </c>
      <c r="D49" s="295" t="str">
        <f>D24</f>
        <v>-</v>
      </c>
      <c r="E49" s="295" t="str">
        <f>E24</f>
        <v>-</v>
      </c>
      <c r="F49" s="474"/>
      <c r="G49" s="474"/>
      <c r="H49" s="474"/>
      <c r="I49" s="474"/>
      <c r="J49" s="474"/>
      <c r="K49" s="475">
        <f>'Actual Expenses'!I91</f>
        <v>23019.69</v>
      </c>
      <c r="L49" s="476"/>
      <c r="M49" s="476"/>
      <c r="N49" s="476"/>
      <c r="O49" s="476"/>
      <c r="P49" s="474"/>
      <c r="Q49" s="474"/>
      <c r="R49" s="474"/>
      <c r="S49" s="477"/>
      <c r="T49" s="478"/>
    </row>
    <row r="50" spans="2:20" x14ac:dyDescent="0.2">
      <c r="F50" s="474">
        <f>SUM(F29:F48)</f>
        <v>0</v>
      </c>
      <c r="G50" s="474">
        <f t="shared" ref="G50:T50" si="6">SUM(G29:G48)</f>
        <v>22123047.739999998</v>
      </c>
      <c r="H50" s="474">
        <f t="shared" si="6"/>
        <v>33579749.659999996</v>
      </c>
      <c r="I50" s="474">
        <f t="shared" si="6"/>
        <v>1575183.1500000011</v>
      </c>
      <c r="J50" s="474">
        <f t="shared" si="6"/>
        <v>1936332.4100000001</v>
      </c>
      <c r="K50" s="475">
        <f>SUM(K29:K49)</f>
        <v>59237332.650000006</v>
      </c>
      <c r="L50" s="476">
        <f t="shared" si="6"/>
        <v>75289.54348436826</v>
      </c>
      <c r="M50" s="476">
        <f t="shared" si="6"/>
        <v>255840153.98199406</v>
      </c>
      <c r="N50" s="476">
        <f t="shared" si="6"/>
        <v>253845</v>
      </c>
      <c r="O50" s="476">
        <f t="shared" si="6"/>
        <v>2942809.1006337907</v>
      </c>
      <c r="P50" s="474">
        <f t="shared" si="6"/>
        <v>56166.668564967564</v>
      </c>
      <c r="Q50" s="474">
        <f t="shared" si="6"/>
        <v>114405.01769916086</v>
      </c>
      <c r="R50" s="474">
        <f t="shared" si="6"/>
        <v>58238.349134193304</v>
      </c>
      <c r="S50" s="477">
        <f t="shared" si="6"/>
        <v>20.756030844055001</v>
      </c>
      <c r="T50" s="478">
        <f t="shared" si="6"/>
        <v>0.35007083947708445</v>
      </c>
    </row>
    <row r="53" spans="2:20" x14ac:dyDescent="0.2">
      <c r="B53" s="59" t="s">
        <v>801</v>
      </c>
      <c r="C53" s="721" t="s">
        <v>39</v>
      </c>
      <c r="D53" s="722"/>
      <c r="E53" s="722"/>
      <c r="F53" s="723"/>
      <c r="G53" s="721" t="s">
        <v>802</v>
      </c>
      <c r="H53" s="722"/>
      <c r="I53" s="722"/>
      <c r="J53" s="723"/>
      <c r="K53" s="721" t="s">
        <v>803</v>
      </c>
      <c r="L53" s="722"/>
      <c r="M53" s="722"/>
      <c r="N53" s="723"/>
      <c r="O53" s="721" t="s">
        <v>180</v>
      </c>
      <c r="P53" s="722"/>
      <c r="Q53" s="722"/>
      <c r="R53" s="723"/>
    </row>
    <row r="54" spans="2:20" x14ac:dyDescent="0.2">
      <c r="B54" s="471" t="str">
        <f t="shared" ref="B54:B74" si="7">B3</f>
        <v>Program Name</v>
      </c>
      <c r="C54" s="472" t="s">
        <v>553</v>
      </c>
      <c r="D54" s="472" t="s">
        <v>554</v>
      </c>
      <c r="E54" s="472" t="s">
        <v>804</v>
      </c>
      <c r="F54" s="472" t="s">
        <v>554</v>
      </c>
      <c r="G54" s="472" t="s">
        <v>555</v>
      </c>
      <c r="H54" s="472" t="s">
        <v>556</v>
      </c>
      <c r="I54" s="472" t="s">
        <v>555</v>
      </c>
      <c r="J54" s="472" t="s">
        <v>556</v>
      </c>
      <c r="K54" s="472" t="s">
        <v>555</v>
      </c>
      <c r="L54" s="472" t="s">
        <v>556</v>
      </c>
      <c r="M54" s="472" t="s">
        <v>555</v>
      </c>
      <c r="N54" s="472" t="s">
        <v>556</v>
      </c>
      <c r="O54" s="472" t="s">
        <v>555</v>
      </c>
      <c r="P54" s="472" t="s">
        <v>556</v>
      </c>
      <c r="Q54" s="472" t="s">
        <v>555</v>
      </c>
      <c r="R54" s="472" t="s">
        <v>556</v>
      </c>
    </row>
    <row r="55" spans="2:20" x14ac:dyDescent="0.2">
      <c r="B55" s="473" t="str">
        <f t="shared" si="7"/>
        <v>Home Energy Solutions</v>
      </c>
      <c r="C55" s="474">
        <f>'Prior Year Progam'!F9</f>
        <v>11303430.191190075</v>
      </c>
      <c r="D55" s="474">
        <f>'Prior Year Progam'!G9</f>
        <v>10217954.063066075</v>
      </c>
      <c r="E55" s="474">
        <f>'Prior Year Progam'!H9</f>
        <v>15266393.991132263</v>
      </c>
      <c r="F55" s="474">
        <f>'Prior Year Progam'!I9</f>
        <v>11705868.135685854</v>
      </c>
      <c r="G55" s="476">
        <f>'Prior Year Progam'!K9</f>
        <v>27136499.98</v>
      </c>
      <c r="H55" s="476">
        <f>'Prior Year Progam'!L9</f>
        <v>28724746.403376929</v>
      </c>
      <c r="I55" s="476">
        <f>'Prior Year Progam'!M9</f>
        <v>27263296.821846999</v>
      </c>
      <c r="J55" s="476">
        <f>'Prior Year Progam'!N9</f>
        <v>29270923.309294891</v>
      </c>
      <c r="K55" s="476">
        <f>IF(Demand_1=NG_Demand,"n/a",'Prior Year Progam'!P9)</f>
        <v>10251.367399999999</v>
      </c>
      <c r="L55" s="476">
        <f>IF(Demand_1=NG_Demand,"n/a",'Prior Year Progam'!Q9)</f>
        <v>9494.0058468998432</v>
      </c>
      <c r="M55" s="476">
        <f>IF(Demand_1=NG_Demand,"n/a",'Prior Year Progam'!R9)</f>
        <v>9071.2239754251295</v>
      </c>
      <c r="N55" s="476">
        <f>IF(Demand_1=NG_Demand,"n/a",'Prior Year Progam'!S9)</f>
        <v>9880.5911226851385</v>
      </c>
      <c r="O55" s="476">
        <f>'Prior Year Progam'!U9</f>
        <v>8773</v>
      </c>
      <c r="P55" s="476">
        <f>'Prior Year Progam'!V9</f>
        <v>7437</v>
      </c>
      <c r="Q55" s="476">
        <f>'Prior Year Progam'!W9</f>
        <v>7247</v>
      </c>
      <c r="R55" s="476">
        <f>'Prior Year Progam'!X9</f>
        <v>8505</v>
      </c>
    </row>
    <row r="56" spans="2:20" x14ac:dyDescent="0.2">
      <c r="B56" s="473" t="str">
        <f t="shared" si="7"/>
        <v>Multifamily Homes</v>
      </c>
      <c r="C56" s="474">
        <f>'Prior Year Progam'!F10</f>
        <v>2650168.5956196925</v>
      </c>
      <c r="D56" s="474">
        <f>'Prior Year Progam'!G10</f>
        <v>2896000.2385589005</v>
      </c>
      <c r="E56" s="474">
        <f>'Prior Year Progam'!H10</f>
        <v>2808661.4451723397</v>
      </c>
      <c r="F56" s="474">
        <f>'Prior Year Progam'!I10</f>
        <v>2282537.1411306723</v>
      </c>
      <c r="G56" s="476">
        <f>'Prior Year Progam'!K10</f>
        <v>14010180.939999999</v>
      </c>
      <c r="H56" s="476">
        <f>'Prior Year Progam'!L10</f>
        <v>12564687.048065411</v>
      </c>
      <c r="I56" s="476">
        <f>'Prior Year Progam'!M10</f>
        <v>9603665.4155000001</v>
      </c>
      <c r="J56" s="476">
        <f>'Prior Year Progam'!N10</f>
        <v>10030475.639955349</v>
      </c>
      <c r="K56" s="476">
        <f>IF(Demand_1=NG_Demand,"n/a",'Prior Year Progam'!P10)</f>
        <v>5501.3224</v>
      </c>
      <c r="L56" s="476">
        <f>IF(Demand_1=NG_Demand,"n/a",'Prior Year Progam'!Q10)</f>
        <v>2271.1859652912522</v>
      </c>
      <c r="M56" s="476">
        <f>IF(Demand_1=NG_Demand,"n/a",'Prior Year Progam'!R10)</f>
        <v>1452.2384999999999</v>
      </c>
      <c r="N56" s="476">
        <f>IF(Demand_1=NG_Demand,"n/a",'Prior Year Progam'!S10)</f>
        <v>1359.652997227334</v>
      </c>
      <c r="O56" s="476">
        <f>'Prior Year Progam'!U10</f>
        <v>3907</v>
      </c>
      <c r="P56" s="476">
        <f>'Prior Year Progam'!V10</f>
        <v>2673</v>
      </c>
      <c r="Q56" s="476">
        <f>'Prior Year Progam'!W10</f>
        <v>1991</v>
      </c>
      <c r="R56" s="476">
        <f>'Prior Year Progam'!X10</f>
        <v>2025</v>
      </c>
    </row>
    <row r="57" spans="2:20" x14ac:dyDescent="0.2">
      <c r="B57" s="473" t="str">
        <f t="shared" si="7"/>
        <v>Manufactured Homes</v>
      </c>
      <c r="C57" s="474">
        <f>'Prior Year Progam'!F11</f>
        <v>1261020.6234083758</v>
      </c>
      <c r="D57" s="474">
        <f>'Prior Year Progam'!G11</f>
        <v>1215374.6616045081</v>
      </c>
      <c r="E57" s="474">
        <f>'Prior Year Progam'!H11</f>
        <v>1426035.8156363645</v>
      </c>
      <c r="F57" s="474">
        <f>'Prior Year Progam'!I11</f>
        <v>1144708.8822132822</v>
      </c>
      <c r="G57" s="476">
        <f>'Prior Year Progam'!K11</f>
        <v>5403192.2000000002</v>
      </c>
      <c r="H57" s="476">
        <f>'Prior Year Progam'!L11</f>
        <v>5631396.8575308202</v>
      </c>
      <c r="I57" s="476">
        <f>'Prior Year Progam'!M11</f>
        <v>5023384.1359999999</v>
      </c>
      <c r="J57" s="476">
        <f>'Prior Year Progam'!N11</f>
        <v>4525460.0974663859</v>
      </c>
      <c r="K57" s="476">
        <f>IF(Demand_1=NG_Demand,"n/a",'Prior Year Progam'!P11)</f>
        <v>674.40599999999995</v>
      </c>
      <c r="L57" s="476">
        <f>IF(Demand_1=NG_Demand,"n/a",'Prior Year Progam'!Q11)</f>
        <v>805.66242866918992</v>
      </c>
      <c r="M57" s="476">
        <f>IF(Demand_1=NG_Demand,"n/a",'Prior Year Progam'!R11)</f>
        <v>804.73099999999999</v>
      </c>
      <c r="N57" s="476">
        <f>IF(Demand_1=NG_Demand,"n/a",'Prior Year Progam'!S11)</f>
        <v>639.89767549602641</v>
      </c>
      <c r="O57" s="476">
        <f>'Prior Year Progam'!U11</f>
        <v>1566</v>
      </c>
      <c r="P57" s="476">
        <f>'Prior Year Progam'!V11</f>
        <v>625</v>
      </c>
      <c r="Q57" s="476">
        <f>'Prior Year Progam'!W11</f>
        <v>602</v>
      </c>
      <c r="R57" s="476">
        <f>'Prior Year Progam'!X11</f>
        <v>1024</v>
      </c>
    </row>
    <row r="58" spans="2:20" x14ac:dyDescent="0.2">
      <c r="B58" s="473" t="str">
        <f t="shared" si="7"/>
        <v xml:space="preserve">Low-Income Solutions </v>
      </c>
      <c r="C58" s="474">
        <f>'Prior Year Progam'!F12</f>
        <v>4957950.1808030577</v>
      </c>
      <c r="D58" s="474">
        <f>'Prior Year Progam'!G12</f>
        <v>3796362.906385723</v>
      </c>
      <c r="E58" s="474">
        <f>'Prior Year Progam'!H12</f>
        <v>5384249.3367566662</v>
      </c>
      <c r="F58" s="474">
        <f>'Prior Year Progam'!I12</f>
        <v>3691224.931654931</v>
      </c>
      <c r="G58" s="476">
        <f>'Prior Year Progam'!K12</f>
        <v>7862580</v>
      </c>
      <c r="H58" s="476">
        <f>'Prior Year Progam'!L12</f>
        <v>7947476.6916499287</v>
      </c>
      <c r="I58" s="476">
        <f>'Prior Year Progam'!M12</f>
        <v>7872898.9500000002</v>
      </c>
      <c r="J58" s="476">
        <f>'Prior Year Progam'!N12</f>
        <v>7675406.3224241361</v>
      </c>
      <c r="K58" s="476">
        <f>IF(Demand_1=NG_Demand,"n/a",'Prior Year Progam'!P12)</f>
        <v>2945.74</v>
      </c>
      <c r="L58" s="476">
        <f>IF(Demand_1=NG_Demand,"n/a",'Prior Year Progam'!Q12)</f>
        <v>1847.10456729</v>
      </c>
      <c r="M58" s="476">
        <f>IF(Demand_1=NG_Demand,"n/a",'Prior Year Progam'!R12)</f>
        <v>1903.9466666666699</v>
      </c>
      <c r="N58" s="476">
        <f>IF(Demand_1=NG_Demand,"n/a",'Prior Year Progam'!S12)</f>
        <v>1847.6325776307497</v>
      </c>
      <c r="O58" s="476">
        <f>'Prior Year Progam'!U12</f>
        <v>2790</v>
      </c>
      <c r="P58" s="476">
        <f>'Prior Year Progam'!V12</f>
        <v>1654</v>
      </c>
      <c r="Q58" s="476">
        <f>'Prior Year Progam'!W12</f>
        <v>2193</v>
      </c>
      <c r="R58" s="476">
        <f>'Prior Year Progam'!X12</f>
        <v>1859</v>
      </c>
    </row>
    <row r="59" spans="2:20" x14ac:dyDescent="0.2">
      <c r="B59" s="473" t="str">
        <f t="shared" si="7"/>
        <v>Point of Purchase Solutions</v>
      </c>
      <c r="C59" s="474">
        <f>'Prior Year Progam'!F13</f>
        <v>7888519.8511605328</v>
      </c>
      <c r="D59" s="474">
        <f>'Prior Year Progam'!G13</f>
        <v>8417610.5934486445</v>
      </c>
      <c r="E59" s="474">
        <f>'Prior Year Progam'!H13</f>
        <v>8751341.9164119139</v>
      </c>
      <c r="F59" s="474">
        <f>'Prior Year Progam'!I13</f>
        <v>7887959.7989369221</v>
      </c>
      <c r="G59" s="476">
        <f>'Prior Year Progam'!K13</f>
        <v>66846294.521949999</v>
      </c>
      <c r="H59" s="476">
        <f>'Prior Year Progam'!L13</f>
        <v>85011786.517006844</v>
      </c>
      <c r="I59" s="476">
        <f>'Prior Year Progam'!M13</f>
        <v>55525078.901915103</v>
      </c>
      <c r="J59" s="476">
        <f>'Prior Year Progam'!N13</f>
        <v>57949096.364067532</v>
      </c>
      <c r="K59" s="476">
        <f>IF(Demand_1=NG_Demand,"n/a",'Prior Year Progam'!P13)</f>
        <v>9934.4228600000006</v>
      </c>
      <c r="L59" s="476">
        <f>IF(Demand_1=NG_Demand,"n/a",'Prior Year Progam'!Q13)</f>
        <v>13141.889228402302</v>
      </c>
      <c r="M59" s="476">
        <f>IF(Demand_1=NG_Demand,"n/a",'Prior Year Progam'!R13)</f>
        <v>6618.3860386772203</v>
      </c>
      <c r="N59" s="476">
        <f>IF(Demand_1=NG_Demand,"n/a",'Prior Year Progam'!S13)</f>
        <v>6004.1536421741039</v>
      </c>
      <c r="O59" s="476">
        <f>'Prior Year Progam'!U13</f>
        <v>271464</v>
      </c>
      <c r="P59" s="476">
        <f>'Prior Year Progam'!V13</f>
        <v>702443</v>
      </c>
      <c r="Q59" s="476">
        <f>'Prior Year Progam'!W13</f>
        <v>266316</v>
      </c>
      <c r="R59" s="476">
        <f>'Prior Year Progam'!X13</f>
        <v>310781.75</v>
      </c>
    </row>
    <row r="60" spans="2:20" x14ac:dyDescent="0.2">
      <c r="B60" s="473" t="str">
        <f t="shared" si="7"/>
        <v>Large Commercial &amp; Industrial Solutions</v>
      </c>
      <c r="C60" s="474">
        <f>'Prior Year Progam'!F14</f>
        <v>21779438.87427019</v>
      </c>
      <c r="D60" s="474">
        <f>'Prior Year Progam'!G14</f>
        <v>15016622.629596792</v>
      </c>
      <c r="E60" s="474">
        <f>'Prior Year Progam'!H14</f>
        <v>19010281.254046436</v>
      </c>
      <c r="F60" s="474">
        <f>'Prior Year Progam'!I14</f>
        <v>15068046.885471053</v>
      </c>
      <c r="G60" s="476">
        <f>'Prior Year Progam'!K14</f>
        <v>114386504.210953</v>
      </c>
      <c r="H60" s="476">
        <f>'Prior Year Progam'!L14</f>
        <v>108799927.57485093</v>
      </c>
      <c r="I60" s="476">
        <f>'Prior Year Progam'!M14</f>
        <v>105503573.110254</v>
      </c>
      <c r="J60" s="476">
        <f>'Prior Year Progam'!N14</f>
        <v>106560256.5469797</v>
      </c>
      <c r="K60" s="476">
        <f>IF(Demand_1=NG_Demand,"n/a",'Prior Year Progam'!P14)</f>
        <v>18197.072949684101</v>
      </c>
      <c r="L60" s="476">
        <f>IF(Demand_1=NG_Demand,"n/a",'Prior Year Progam'!Q14)</f>
        <v>12257.106472999007</v>
      </c>
      <c r="M60" s="476">
        <f>IF(Demand_1=NG_Demand,"n/a",'Prior Year Progam'!R14)</f>
        <v>14936.931122461399</v>
      </c>
      <c r="N60" s="476">
        <f>IF(Demand_1=NG_Demand,"n/a",'Prior Year Progam'!S14)</f>
        <v>17223.332392285818</v>
      </c>
      <c r="O60" s="476">
        <f>'Prior Year Progam'!U14</f>
        <v>437</v>
      </c>
      <c r="P60" s="476">
        <f>'Prior Year Progam'!V14</f>
        <v>311</v>
      </c>
      <c r="Q60" s="476">
        <f>'Prior Year Progam'!W14</f>
        <v>473</v>
      </c>
      <c r="R60" s="476">
        <f>'Prior Year Progam'!X14</f>
        <v>371</v>
      </c>
    </row>
    <row r="61" spans="2:20" x14ac:dyDescent="0.2">
      <c r="B61" s="473" t="str">
        <f t="shared" si="7"/>
        <v>Small Business Solutions</v>
      </c>
      <c r="C61" s="474">
        <f>'Prior Year Progam'!F15</f>
        <v>2580678.994310481</v>
      </c>
      <c r="D61" s="474">
        <f>'Prior Year Progam'!G15</f>
        <v>2122507.6553310882</v>
      </c>
      <c r="E61" s="474">
        <f>'Prior Year Progam'!H15</f>
        <v>4172561.066422848</v>
      </c>
      <c r="F61" s="474">
        <f>'Prior Year Progam'!I15</f>
        <v>2016541.8793523316</v>
      </c>
      <c r="G61" s="476">
        <f>'Prior Year Progam'!K15</f>
        <v>13871484.639317701</v>
      </c>
      <c r="H61" s="476">
        <f>'Prior Year Progam'!L15</f>
        <v>9221327.1564689316</v>
      </c>
      <c r="I61" s="476">
        <f>'Prior Year Progam'!M15</f>
        <v>17147011.9466592</v>
      </c>
      <c r="J61" s="476">
        <f>'Prior Year Progam'!N15</f>
        <v>8754457.3221529014</v>
      </c>
      <c r="K61" s="476">
        <f>IF(Demand_1=NG_Demand,"n/a",'Prior Year Progam'!P15)</f>
        <v>1739.8640226478999</v>
      </c>
      <c r="L61" s="476">
        <f>IF(Demand_1=NG_Demand,"n/a",'Prior Year Progam'!Q15)</f>
        <v>1506.8489098110892</v>
      </c>
      <c r="M61" s="476">
        <f>IF(Demand_1=NG_Demand,"n/a",'Prior Year Progam'!R15)</f>
        <v>2874.39805920341</v>
      </c>
      <c r="N61" s="476">
        <f>IF(Demand_1=NG_Demand,"n/a",'Prior Year Progam'!S15)</f>
        <v>1466.9644154710174</v>
      </c>
      <c r="O61" s="476">
        <f>'Prior Year Progam'!U15</f>
        <v>424</v>
      </c>
      <c r="P61" s="476">
        <f>'Prior Year Progam'!V15</f>
        <v>469</v>
      </c>
      <c r="Q61" s="476">
        <f>'Prior Year Progam'!W15</f>
        <v>740</v>
      </c>
      <c r="R61" s="476">
        <f>'Prior Year Progam'!X15</f>
        <v>470</v>
      </c>
    </row>
    <row r="62" spans="2:20" x14ac:dyDescent="0.2">
      <c r="B62" s="473" t="str">
        <f t="shared" si="7"/>
        <v xml:space="preserve">Public Institutions Solutions </v>
      </c>
      <c r="C62" s="474">
        <f>'Prior Year Progam'!F16</f>
        <v>3805633.0300889253</v>
      </c>
      <c r="D62" s="474">
        <f>'Prior Year Progam'!G16</f>
        <v>3572008.2975310688</v>
      </c>
      <c r="E62" s="474">
        <f>'Prior Year Progam'!H16</f>
        <v>2964696.8476506155</v>
      </c>
      <c r="F62" s="474">
        <f>'Prior Year Progam'!I16</f>
        <v>2269902.5327492021</v>
      </c>
      <c r="G62" s="476">
        <f>'Prior Year Progam'!K16</f>
        <v>24661482.856637001</v>
      </c>
      <c r="H62" s="476">
        <f>'Prior Year Progam'!L16</f>
        <v>16832595.430982873</v>
      </c>
      <c r="I62" s="476">
        <f>'Prior Year Progam'!M16</f>
        <v>14514891.427528501</v>
      </c>
      <c r="J62" s="476">
        <f>'Prior Year Progam'!N16</f>
        <v>15695268.854589323</v>
      </c>
      <c r="K62" s="476">
        <f>IF(Demand_1=NG_Demand,"n/a",'Prior Year Progam'!P16)</f>
        <v>5883.2090868577898</v>
      </c>
      <c r="L62" s="476">
        <f>IF(Demand_1=NG_Demand,"n/a",'Prior Year Progam'!Q16)</f>
        <v>3176.3166709995808</v>
      </c>
      <c r="M62" s="476">
        <f>IF(Demand_1=NG_Demand,"n/a",'Prior Year Progam'!R16)</f>
        <v>2850.4554095571102</v>
      </c>
      <c r="N62" s="476">
        <f>IF(Demand_1=NG_Demand,"n/a",'Prior Year Progam'!S16)</f>
        <v>2435.3518679671424</v>
      </c>
      <c r="O62" s="476">
        <f>'Prior Year Progam'!U16</f>
        <v>61</v>
      </c>
      <c r="P62" s="476">
        <f>'Prior Year Progam'!V16</f>
        <v>216</v>
      </c>
      <c r="Q62" s="476">
        <f>'Prior Year Progam'!W16</f>
        <v>200</v>
      </c>
      <c r="R62" s="476">
        <f>'Prior Year Progam'!X16</f>
        <v>178</v>
      </c>
    </row>
    <row r="63" spans="2:20" x14ac:dyDescent="0.2">
      <c r="B63" s="473" t="str">
        <f t="shared" si="7"/>
        <v>Agricultural Energy Solutions</v>
      </c>
      <c r="C63" s="474">
        <f>'Prior Year Progam'!F17</f>
        <v>1352797.6111376719</v>
      </c>
      <c r="D63" s="474">
        <f>'Prior Year Progam'!G17</f>
        <v>1033381.3710670691</v>
      </c>
      <c r="E63" s="474">
        <f>'Prior Year Progam'!H17</f>
        <v>2121871.1987859295</v>
      </c>
      <c r="F63" s="474">
        <f>'Prior Year Progam'!I17</f>
        <v>1286225.1523420648</v>
      </c>
      <c r="G63" s="476">
        <f>'Prior Year Progam'!K17</f>
        <v>5998345.46</v>
      </c>
      <c r="H63" s="476">
        <f>'Prior Year Progam'!L17</f>
        <v>5111279.0099446345</v>
      </c>
      <c r="I63" s="476">
        <f>'Prior Year Progam'!M17</f>
        <v>6651726.7632648004</v>
      </c>
      <c r="J63" s="476">
        <f>'Prior Year Progam'!N17</f>
        <v>7894087.6442670003</v>
      </c>
      <c r="K63" s="476">
        <f>IF(Demand_1=NG_Demand,"n/a",'Prior Year Progam'!P17)</f>
        <v>927.5847</v>
      </c>
      <c r="L63" s="476">
        <f>IF(Demand_1=NG_Demand,"n/a",'Prior Year Progam'!Q17)</f>
        <v>1929.9722317210267</v>
      </c>
      <c r="M63" s="476">
        <f>IF(Demand_1=NG_Demand,"n/a",'Prior Year Progam'!R17)</f>
        <v>1050.25858932031</v>
      </c>
      <c r="N63" s="476">
        <f>IF(Demand_1=NG_Demand,"n/a",'Prior Year Progam'!S17)</f>
        <v>817.14782159999993</v>
      </c>
      <c r="O63" s="476">
        <f>'Prior Year Progam'!U17</f>
        <v>206</v>
      </c>
      <c r="P63" s="476">
        <f>'Prior Year Progam'!V17</f>
        <v>6</v>
      </c>
      <c r="Q63" s="476">
        <f>'Prior Year Progam'!W17</f>
        <v>56</v>
      </c>
      <c r="R63" s="476">
        <f>'Prior Year Progam'!X17</f>
        <v>17</v>
      </c>
    </row>
    <row r="64" spans="2:20" x14ac:dyDescent="0.2">
      <c r="B64" s="473" t="str">
        <f t="shared" si="7"/>
        <v>Residential Direct Load Control</v>
      </c>
      <c r="C64" s="474">
        <f>'Prior Year Progam'!F18</f>
        <v>3547987.8555794684</v>
      </c>
      <c r="D64" s="474">
        <f>'Prior Year Progam'!G18</f>
        <v>2595873.7135446575</v>
      </c>
      <c r="E64" s="474">
        <f>'Prior Year Progam'!H18</f>
        <v>2698350</v>
      </c>
      <c r="F64" s="474">
        <f>'Prior Year Progam'!I18</f>
        <v>2372587.8343897923</v>
      </c>
      <c r="G64" s="476">
        <f>'Prior Year Progam'!K18</f>
        <v>0</v>
      </c>
      <c r="H64" s="476">
        <f>'Prior Year Progam'!L18</f>
        <v>0</v>
      </c>
      <c r="I64" s="476">
        <f>'Prior Year Progam'!M18</f>
        <v>0</v>
      </c>
      <c r="J64" s="476">
        <f>'Prior Year Progam'!N18</f>
        <v>0</v>
      </c>
      <c r="K64" s="476">
        <f>IF(Demand_1=NG_Demand,"n/a",'Prior Year Progam'!P18)</f>
        <v>29009.109970990899</v>
      </c>
      <c r="L64" s="476">
        <f>IF(Demand_1=NG_Demand,"n/a",'Prior Year Progam'!Q18)</f>
        <v>18535.8</v>
      </c>
      <c r="M64" s="476">
        <f>IF(Demand_1=NG_Demand,"n/a",'Prior Year Progam'!R18)</f>
        <v>10506.2045259238</v>
      </c>
      <c r="N64" s="476">
        <f>IF(Demand_1=NG_Demand,"n/a",'Prior Year Progam'!S18)</f>
        <v>13643.689399999999</v>
      </c>
      <c r="O64" s="476">
        <f>'Prior Year Progam'!U18</f>
        <v>17797</v>
      </c>
      <c r="P64" s="476">
        <f>'Prior Year Progam'!V18</f>
        <v>14393</v>
      </c>
      <c r="Q64" s="476">
        <f>'Prior Year Progam'!W18</f>
        <v>10982</v>
      </c>
      <c r="R64" s="476">
        <f>'Prior Year Progam'!X18</f>
        <v>12944</v>
      </c>
    </row>
    <row r="65" spans="2:18" x14ac:dyDescent="0.2">
      <c r="B65" s="473" t="str">
        <f t="shared" si="7"/>
        <v xml:space="preserve">Smart Direct Load Control Pilot </v>
      </c>
      <c r="C65" s="474">
        <f>'Prior Year Progam'!F19</f>
        <v>4005439.2524556117</v>
      </c>
      <c r="D65" s="474">
        <f>'Prior Year Progam'!G19</f>
        <v>3390368.4716238864</v>
      </c>
      <c r="E65" s="474">
        <f>'Prior Year Progam'!H19</f>
        <v>5311365.5999999996</v>
      </c>
      <c r="F65" s="474">
        <f>'Prior Year Progam'!I19</f>
        <v>4625493.4883515928</v>
      </c>
      <c r="G65" s="476">
        <f>'Prior Year Progam'!K19</f>
        <v>4972826.5</v>
      </c>
      <c r="H65" s="476">
        <f>'Prior Year Progam'!L19</f>
        <v>3182436.0860000001</v>
      </c>
      <c r="I65" s="476">
        <f>'Prior Year Progam'!M19</f>
        <v>4384533.5712000001</v>
      </c>
      <c r="J65" s="476">
        <f>'Prior Year Progam'!N19</f>
        <v>3340504</v>
      </c>
      <c r="K65" s="476">
        <f>IF(Demand_1=NG_Demand,"n/a",'Prior Year Progam'!P19)</f>
        <v>27513.2778</v>
      </c>
      <c r="L65" s="476">
        <f>IF(Demand_1=NG_Demand,"n/a",'Prior Year Progam'!Q19)</f>
        <v>5942.1</v>
      </c>
      <c r="M65" s="476">
        <f>IF(Demand_1=NG_Demand,"n/a",'Prior Year Progam'!R19)</f>
        <v>13655.32806</v>
      </c>
      <c r="N65" s="476">
        <f>IF(Demand_1=NG_Demand,"n/a",'Prior Year Progam'!S19)</f>
        <v>6753.4</v>
      </c>
      <c r="O65" s="476">
        <f>'Prior Year Progam'!U19</f>
        <v>16525</v>
      </c>
      <c r="P65" s="476">
        <f>'Prior Year Progam'!V19</f>
        <v>1393</v>
      </c>
      <c r="Q65" s="476">
        <f>'Prior Year Progam'!W19</f>
        <v>10691</v>
      </c>
      <c r="R65" s="476">
        <f>'Prior Year Progam'!X19</f>
        <v>1974</v>
      </c>
    </row>
    <row r="66" spans="2:18" x14ac:dyDescent="0.2">
      <c r="B66" s="473" t="str">
        <f t="shared" si="7"/>
        <v>Agricultural Irrigation Load Control</v>
      </c>
      <c r="C66" s="474">
        <f>'Prior Year Progam'!F20</f>
        <v>3918060.3574844673</v>
      </c>
      <c r="D66" s="474">
        <f>'Prior Year Progam'!G20</f>
        <v>3869623.1611385327</v>
      </c>
      <c r="E66" s="474">
        <f>'Prior Year Progam'!H20</f>
        <v>3764178.5300000007</v>
      </c>
      <c r="F66" s="474">
        <f>'Prior Year Progam'!I20</f>
        <v>3669706.2477223007</v>
      </c>
      <c r="G66" s="476">
        <f>'Prior Year Progam'!K20</f>
        <v>0</v>
      </c>
      <c r="H66" s="476">
        <f>'Prior Year Progam'!L20</f>
        <v>0</v>
      </c>
      <c r="I66" s="476">
        <f>'Prior Year Progam'!M20</f>
        <v>0</v>
      </c>
      <c r="J66" s="476">
        <f>'Prior Year Progam'!N20</f>
        <v>0</v>
      </c>
      <c r="K66" s="476">
        <f>IF(Demand_1=NG_Demand,"n/a",'Prior Year Progam'!P20)</f>
        <v>49922.265229999997</v>
      </c>
      <c r="L66" s="476">
        <f>IF(Demand_1=NG_Demand,"n/a",'Prior Year Progam'!Q20)</f>
        <v>17710.8</v>
      </c>
      <c r="M66" s="476">
        <f>IF(Demand_1=NG_Demand,"n/a",'Prior Year Progam'!R20)</f>
        <v>22800</v>
      </c>
      <c r="N66" s="476">
        <f>IF(Demand_1=NG_Demand,"n/a",'Prior Year Progam'!S20)</f>
        <v>18328.400000000001</v>
      </c>
      <c r="O66" s="476">
        <f>'Prior Year Progam'!U20</f>
        <v>1871</v>
      </c>
      <c r="P66" s="476">
        <f>'Prior Year Progam'!V20</f>
        <v>1605</v>
      </c>
      <c r="Q66" s="476">
        <f>'Prior Year Progam'!W20</f>
        <v>483</v>
      </c>
      <c r="R66" s="476">
        <f>'Prior Year Progam'!X20</f>
        <v>1605</v>
      </c>
    </row>
    <row r="67" spans="2:18" x14ac:dyDescent="0.2">
      <c r="B67" s="473" t="str">
        <f t="shared" si="7"/>
        <v>Empty</v>
      </c>
      <c r="C67" s="474">
        <f>'Prior Year Progam'!F21</f>
        <v>303381.89114934253</v>
      </c>
      <c r="D67" s="474">
        <f>'Prior Year Progam'!G21</f>
        <v>30323.010103056182</v>
      </c>
      <c r="E67" s="474">
        <f>'Prior Year Progam'!H21</f>
        <v>0</v>
      </c>
      <c r="F67" s="474">
        <f>'Prior Year Progam'!I21</f>
        <v>0</v>
      </c>
      <c r="G67" s="476">
        <f>'Prior Year Progam'!K21</f>
        <v>0</v>
      </c>
      <c r="H67" s="476">
        <f>'Prior Year Progam'!L21</f>
        <v>0</v>
      </c>
      <c r="I67" s="476">
        <f>'Prior Year Progam'!M21</f>
        <v>0</v>
      </c>
      <c r="J67" s="476">
        <f>'Prior Year Progam'!N21</f>
        <v>0</v>
      </c>
      <c r="K67" s="476">
        <f>IF(Demand_1=NG_Demand,"n/a",'Prior Year Progam'!P21)</f>
        <v>0</v>
      </c>
      <c r="L67" s="476">
        <f>IF(Demand_1=NG_Demand,"n/a",'Prior Year Progam'!Q21)</f>
        <v>0</v>
      </c>
      <c r="M67" s="476">
        <f>IF(Demand_1=NG_Demand,"n/a",'Prior Year Progam'!R21)</f>
        <v>0</v>
      </c>
      <c r="N67" s="476">
        <f>IF(Demand_1=NG_Demand,"n/a",'Prior Year Progam'!S21)</f>
        <v>0</v>
      </c>
      <c r="O67" s="476">
        <f>'Prior Year Progam'!U21</f>
        <v>0</v>
      </c>
      <c r="P67" s="476">
        <f>'Prior Year Progam'!V21</f>
        <v>0</v>
      </c>
      <c r="Q67" s="476">
        <f>'Prior Year Progam'!W21</f>
        <v>0</v>
      </c>
      <c r="R67" s="476">
        <f>'Prior Year Progam'!X21</f>
        <v>0</v>
      </c>
    </row>
    <row r="68" spans="2:18" x14ac:dyDescent="0.2">
      <c r="B68" s="473" t="str">
        <f t="shared" si="7"/>
        <v>Empty</v>
      </c>
      <c r="C68" s="474">
        <f>'Prior Year Progam'!F22</f>
        <v>0</v>
      </c>
      <c r="D68" s="474">
        <f>'Prior Year Progam'!G22</f>
        <v>0</v>
      </c>
      <c r="E68" s="474">
        <f>'Prior Year Progam'!H22</f>
        <v>0</v>
      </c>
      <c r="F68" s="474">
        <f>'Prior Year Progam'!I22</f>
        <v>0</v>
      </c>
      <c r="G68" s="476">
        <f>'Prior Year Progam'!K22</f>
        <v>0</v>
      </c>
      <c r="H68" s="476">
        <f>'Prior Year Progam'!L22</f>
        <v>0</v>
      </c>
      <c r="I68" s="476">
        <f>'Prior Year Progam'!M22</f>
        <v>0</v>
      </c>
      <c r="J68" s="476">
        <f>'Prior Year Progam'!N22</f>
        <v>0</v>
      </c>
      <c r="K68" s="476">
        <f>IF(Demand_1=NG_Demand,"n/a",'Prior Year Progam'!P22)</f>
        <v>0</v>
      </c>
      <c r="L68" s="476">
        <f>IF(Demand_1=NG_Demand,"n/a",'Prior Year Progam'!Q22)</f>
        <v>0</v>
      </c>
      <c r="M68" s="476">
        <f>IF(Demand_1=NG_Demand,"n/a",'Prior Year Progam'!R22)</f>
        <v>0</v>
      </c>
      <c r="N68" s="476">
        <f>IF(Demand_1=NG_Demand,"n/a",'Prior Year Progam'!S22)</f>
        <v>0</v>
      </c>
      <c r="O68" s="476">
        <f>'Prior Year Progam'!U22</f>
        <v>0</v>
      </c>
      <c r="P68" s="476">
        <f>'Prior Year Progam'!V22</f>
        <v>0</v>
      </c>
      <c r="Q68" s="476">
        <f>'Prior Year Progam'!W22</f>
        <v>0</v>
      </c>
      <c r="R68" s="476">
        <f>'Prior Year Progam'!X22</f>
        <v>0</v>
      </c>
    </row>
    <row r="69" spans="2:18" x14ac:dyDescent="0.2">
      <c r="B69" s="473" t="str">
        <f t="shared" si="7"/>
        <v>Empty</v>
      </c>
      <c r="C69" s="474">
        <f>'Prior Year Progam'!F23</f>
        <v>0</v>
      </c>
      <c r="D69" s="474">
        <f>'Prior Year Progam'!G23</f>
        <v>0</v>
      </c>
      <c r="E69" s="474">
        <f>'Prior Year Progam'!H23</f>
        <v>0</v>
      </c>
      <c r="F69" s="474">
        <f>'Prior Year Progam'!I23</f>
        <v>0</v>
      </c>
      <c r="G69" s="476">
        <f>'Prior Year Progam'!K23</f>
        <v>0</v>
      </c>
      <c r="H69" s="476">
        <f>'Prior Year Progam'!L23</f>
        <v>0</v>
      </c>
      <c r="I69" s="476">
        <f>'Prior Year Progam'!M23</f>
        <v>0</v>
      </c>
      <c r="J69" s="476">
        <f>'Prior Year Progam'!N23</f>
        <v>0</v>
      </c>
      <c r="K69" s="476">
        <f>IF(Demand_1=NG_Demand,"n/a",'Prior Year Progam'!P23)</f>
        <v>0</v>
      </c>
      <c r="L69" s="476">
        <f>IF(Demand_1=NG_Demand,"n/a",'Prior Year Progam'!Q23)</f>
        <v>0</v>
      </c>
      <c r="M69" s="476">
        <f>IF(Demand_1=NG_Demand,"n/a",'Prior Year Progam'!R23)</f>
        <v>0</v>
      </c>
      <c r="N69" s="476">
        <f>IF(Demand_1=NG_Demand,"n/a",'Prior Year Progam'!S23)</f>
        <v>0</v>
      </c>
      <c r="O69" s="476">
        <f>'Prior Year Progam'!U23</f>
        <v>0</v>
      </c>
      <c r="P69" s="476">
        <f>'Prior Year Progam'!V23</f>
        <v>0</v>
      </c>
      <c r="Q69" s="476">
        <f>'Prior Year Progam'!W23</f>
        <v>0</v>
      </c>
      <c r="R69" s="476">
        <f>'Prior Year Progam'!X23</f>
        <v>0</v>
      </c>
    </row>
    <row r="70" spans="2:18" x14ac:dyDescent="0.2">
      <c r="B70" s="473" t="str">
        <f t="shared" si="7"/>
        <v>Empty</v>
      </c>
      <c r="C70" s="474">
        <f>'Prior Year Progam'!F24</f>
        <v>0</v>
      </c>
      <c r="D70" s="474">
        <f>'Prior Year Progam'!G24</f>
        <v>0</v>
      </c>
      <c r="E70" s="474">
        <f>'Prior Year Progam'!H24</f>
        <v>0</v>
      </c>
      <c r="F70" s="474">
        <f>'Prior Year Progam'!I24</f>
        <v>0</v>
      </c>
      <c r="G70" s="476">
        <f>'Prior Year Progam'!K24</f>
        <v>0</v>
      </c>
      <c r="H70" s="476">
        <f>'Prior Year Progam'!L24</f>
        <v>0</v>
      </c>
      <c r="I70" s="476">
        <f>'Prior Year Progam'!M24</f>
        <v>0</v>
      </c>
      <c r="J70" s="476">
        <f>'Prior Year Progam'!N24</f>
        <v>0</v>
      </c>
      <c r="K70" s="476">
        <f>IF(Demand_1=NG_Demand,"n/a",'Prior Year Progam'!P24)</f>
        <v>0</v>
      </c>
      <c r="L70" s="476">
        <f>IF(Demand_1=NG_Demand,"n/a",'Prior Year Progam'!Q24)</f>
        <v>0</v>
      </c>
      <c r="M70" s="476">
        <f>IF(Demand_1=NG_Demand,"n/a",'Prior Year Progam'!R24)</f>
        <v>0</v>
      </c>
      <c r="N70" s="476">
        <f>IF(Demand_1=NG_Demand,"n/a",'Prior Year Progam'!S24)</f>
        <v>0</v>
      </c>
      <c r="O70" s="476">
        <f>'Prior Year Progam'!U24</f>
        <v>0</v>
      </c>
      <c r="P70" s="476">
        <f>'Prior Year Progam'!V24</f>
        <v>0</v>
      </c>
      <c r="Q70" s="476">
        <f>'Prior Year Progam'!W24</f>
        <v>0</v>
      </c>
      <c r="R70" s="476">
        <f>'Prior Year Progam'!X24</f>
        <v>0</v>
      </c>
    </row>
    <row r="71" spans="2:18" x14ac:dyDescent="0.2">
      <c r="B71" s="473" t="str">
        <f t="shared" si="7"/>
        <v>Empty</v>
      </c>
      <c r="C71" s="474">
        <f>'Prior Year Progam'!F25</f>
        <v>0</v>
      </c>
      <c r="D71" s="474">
        <f>'Prior Year Progam'!G25</f>
        <v>0</v>
      </c>
      <c r="E71" s="474">
        <f>'Prior Year Progam'!H25</f>
        <v>0</v>
      </c>
      <c r="F71" s="474">
        <f>'Prior Year Progam'!I25</f>
        <v>0</v>
      </c>
      <c r="G71" s="476">
        <f>'Prior Year Progam'!K25</f>
        <v>0</v>
      </c>
      <c r="H71" s="476">
        <f>'Prior Year Progam'!L25</f>
        <v>0</v>
      </c>
      <c r="I71" s="476">
        <f>'Prior Year Progam'!M25</f>
        <v>0</v>
      </c>
      <c r="J71" s="476">
        <f>'Prior Year Progam'!N25</f>
        <v>0</v>
      </c>
      <c r="K71" s="476">
        <f>IF(Demand_1=NG_Demand,"n/a",'Prior Year Progam'!P25)</f>
        <v>0</v>
      </c>
      <c r="L71" s="476">
        <f>IF(Demand_1=NG_Demand,"n/a",'Prior Year Progam'!Q25)</f>
        <v>0</v>
      </c>
      <c r="M71" s="476">
        <f>IF(Demand_1=NG_Demand,"n/a",'Prior Year Progam'!R25)</f>
        <v>0</v>
      </c>
      <c r="N71" s="476">
        <f>IF(Demand_1=NG_Demand,"n/a",'Prior Year Progam'!S25)</f>
        <v>0</v>
      </c>
      <c r="O71" s="476">
        <f>'Prior Year Progam'!U25</f>
        <v>0</v>
      </c>
      <c r="P71" s="476">
        <f>'Prior Year Progam'!V25</f>
        <v>0</v>
      </c>
      <c r="Q71" s="476">
        <f>'Prior Year Progam'!W25</f>
        <v>0</v>
      </c>
      <c r="R71" s="476">
        <f>'Prior Year Progam'!X25</f>
        <v>0</v>
      </c>
    </row>
    <row r="72" spans="2:18" x14ac:dyDescent="0.2">
      <c r="B72" s="473" t="str">
        <f t="shared" si="7"/>
        <v>Empty</v>
      </c>
      <c r="C72" s="474">
        <f>'Prior Year Progam'!F26</f>
        <v>0</v>
      </c>
      <c r="D72" s="474">
        <f>'Prior Year Progam'!G26</f>
        <v>0</v>
      </c>
      <c r="E72" s="474">
        <f>'Prior Year Progam'!H26</f>
        <v>0</v>
      </c>
      <c r="F72" s="474">
        <f>'Prior Year Progam'!I26</f>
        <v>0</v>
      </c>
      <c r="G72" s="476">
        <f>'Prior Year Progam'!K26</f>
        <v>0</v>
      </c>
      <c r="H72" s="476">
        <f>'Prior Year Progam'!L26</f>
        <v>0</v>
      </c>
      <c r="I72" s="476">
        <f>'Prior Year Progam'!M26</f>
        <v>0</v>
      </c>
      <c r="J72" s="476">
        <f>'Prior Year Progam'!N26</f>
        <v>0</v>
      </c>
      <c r="K72" s="476">
        <f>IF(Demand_1=NG_Demand,"n/a",'Prior Year Progam'!P26)</f>
        <v>0</v>
      </c>
      <c r="L72" s="476">
        <f>IF(Demand_1=NG_Demand,"n/a",'Prior Year Progam'!Q26)</f>
        <v>0</v>
      </c>
      <c r="M72" s="476">
        <f>IF(Demand_1=NG_Demand,"n/a",'Prior Year Progam'!R26)</f>
        <v>0</v>
      </c>
      <c r="N72" s="476">
        <f>IF(Demand_1=NG_Demand,"n/a",'Prior Year Progam'!S26)</f>
        <v>0</v>
      </c>
      <c r="O72" s="476">
        <f>'Prior Year Progam'!U26</f>
        <v>0</v>
      </c>
      <c r="P72" s="476">
        <f>'Prior Year Progam'!V26</f>
        <v>0</v>
      </c>
      <c r="Q72" s="476">
        <f>'Prior Year Progam'!W26</f>
        <v>0</v>
      </c>
      <c r="R72" s="476">
        <f>'Prior Year Progam'!X26</f>
        <v>0</v>
      </c>
    </row>
    <row r="73" spans="2:18" x14ac:dyDescent="0.2">
      <c r="B73" s="473" t="str">
        <f t="shared" si="7"/>
        <v>Empty</v>
      </c>
      <c r="C73" s="474">
        <f>'Prior Year Progam'!F27</f>
        <v>0</v>
      </c>
      <c r="D73" s="474">
        <f>'Prior Year Progam'!G27</f>
        <v>0</v>
      </c>
      <c r="E73" s="474">
        <f>'Prior Year Progam'!H27</f>
        <v>0</v>
      </c>
      <c r="F73" s="474">
        <f>'Prior Year Progam'!I27</f>
        <v>0</v>
      </c>
      <c r="G73" s="476">
        <f>'Prior Year Progam'!K27</f>
        <v>0</v>
      </c>
      <c r="H73" s="476">
        <f>'Prior Year Progam'!L27</f>
        <v>0</v>
      </c>
      <c r="I73" s="476">
        <f>'Prior Year Progam'!M27</f>
        <v>0</v>
      </c>
      <c r="J73" s="476">
        <f>'Prior Year Progam'!N27</f>
        <v>0</v>
      </c>
      <c r="K73" s="476">
        <f>IF(Demand_1=NG_Demand,"n/a",'Prior Year Progam'!P27)</f>
        <v>0</v>
      </c>
      <c r="L73" s="476">
        <f>IF(Demand_1=NG_Demand,"n/a",'Prior Year Progam'!Q27)</f>
        <v>0</v>
      </c>
      <c r="M73" s="476">
        <f>IF(Demand_1=NG_Demand,"n/a",'Prior Year Progam'!R27)</f>
        <v>0</v>
      </c>
      <c r="N73" s="476">
        <f>IF(Demand_1=NG_Demand,"n/a",'Prior Year Progam'!S27)</f>
        <v>0</v>
      </c>
      <c r="O73" s="476">
        <f>'Prior Year Progam'!U27</f>
        <v>0</v>
      </c>
      <c r="P73" s="476">
        <f>'Prior Year Progam'!V27</f>
        <v>0</v>
      </c>
      <c r="Q73" s="476">
        <f>'Prior Year Progam'!W27</f>
        <v>0</v>
      </c>
      <c r="R73" s="476">
        <f>'Prior Year Progam'!X27</f>
        <v>0</v>
      </c>
    </row>
    <row r="74" spans="2:18" x14ac:dyDescent="0.2">
      <c r="B74" s="473" t="str">
        <f t="shared" si="7"/>
        <v>Empty</v>
      </c>
      <c r="C74" s="474">
        <f>'Prior Year Progam'!F28</f>
        <v>0</v>
      </c>
      <c r="D74" s="474">
        <f>'Prior Year Progam'!G28</f>
        <v>0</v>
      </c>
      <c r="E74" s="474">
        <f>'Prior Year Progam'!H28</f>
        <v>0</v>
      </c>
      <c r="F74" s="474">
        <f>'Prior Year Progam'!I28</f>
        <v>0</v>
      </c>
      <c r="G74" s="476">
        <f>'Prior Year Progam'!K28</f>
        <v>0</v>
      </c>
      <c r="H74" s="476">
        <f>'Prior Year Progam'!L28</f>
        <v>0</v>
      </c>
      <c r="I74" s="476">
        <f>'Prior Year Progam'!M28</f>
        <v>0</v>
      </c>
      <c r="J74" s="476">
        <f>'Prior Year Progam'!N28</f>
        <v>0</v>
      </c>
      <c r="K74" s="476">
        <f>IF(Demand_1=NG_Demand,"n/a",'Prior Year Progam'!P28)</f>
        <v>0</v>
      </c>
      <c r="L74" s="476">
        <f>IF(Demand_1=NG_Demand,"n/a",'Prior Year Progam'!Q28)</f>
        <v>0</v>
      </c>
      <c r="M74" s="476">
        <f>IF(Demand_1=NG_Demand,"n/a",'Prior Year Progam'!R28)</f>
        <v>0</v>
      </c>
      <c r="N74" s="476">
        <f>IF(Demand_1=NG_Demand,"n/a",'Prior Year Progam'!S28)</f>
        <v>0</v>
      </c>
      <c r="O74" s="476">
        <f>'Prior Year Progam'!U28</f>
        <v>0</v>
      </c>
      <c r="P74" s="476">
        <f>'Prior Year Progam'!V28</f>
        <v>0</v>
      </c>
      <c r="Q74" s="476">
        <f>'Prior Year Progam'!W28</f>
        <v>0</v>
      </c>
      <c r="R74" s="476">
        <f>'Prior Year Progam'!X28</f>
        <v>0</v>
      </c>
    </row>
  </sheetData>
  <mergeCells count="4">
    <mergeCell ref="C53:F53"/>
    <mergeCell ref="G53:J53"/>
    <mergeCell ref="K53:N53"/>
    <mergeCell ref="O53:R53"/>
  </mergeCells>
  <pageMargins left="0.7" right="0.7" top="0.75" bottom="0.75" header="0.3" footer="0.3"/>
  <pageSetup orientation="portrait" horizontalDpi="300"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0000"/>
  </sheetPr>
  <dimension ref="A2:J22"/>
  <sheetViews>
    <sheetView topLeftCell="B1" zoomScale="75" zoomScaleNormal="75" workbookViewId="0">
      <selection activeCell="C3" sqref="C3"/>
    </sheetView>
  </sheetViews>
  <sheetFormatPr defaultRowHeight="12.75" x14ac:dyDescent="0.2"/>
  <cols>
    <col min="2" max="2" width="36.5703125" bestFit="1" customWidth="1"/>
    <col min="3" max="3" width="39" bestFit="1" customWidth="1"/>
    <col min="4" max="4" width="21.5703125" bestFit="1" customWidth="1"/>
    <col min="5" max="5" width="23" bestFit="1" customWidth="1"/>
    <col min="6" max="6" width="8.42578125" bestFit="1" customWidth="1"/>
    <col min="7" max="7" width="1.42578125" customWidth="1"/>
    <col min="9" max="9" width="1.5703125" customWidth="1"/>
    <col min="10" max="10" width="45.42578125" customWidth="1"/>
  </cols>
  <sheetData>
    <row r="2" spans="1:10" x14ac:dyDescent="0.2">
      <c r="A2" s="471" t="s">
        <v>779</v>
      </c>
      <c r="B2" s="471" t="s">
        <v>85</v>
      </c>
      <c r="C2" s="471" t="str">
        <f>Data!B3</f>
        <v>Program Name</v>
      </c>
      <c r="D2" s="471" t="str">
        <f>Data!C3</f>
        <v>Sector</v>
      </c>
      <c r="E2" s="471" t="str">
        <f>Data!E3</f>
        <v>Channel</v>
      </c>
      <c r="F2" s="479" t="s">
        <v>805</v>
      </c>
      <c r="G2" s="67"/>
      <c r="H2" s="479" t="s">
        <v>806</v>
      </c>
      <c r="I2" s="67"/>
      <c r="J2" s="471" t="s">
        <v>85</v>
      </c>
    </row>
    <row r="3" spans="1:10" x14ac:dyDescent="0.2">
      <c r="A3" s="473">
        <f>COUNTIF($B$3:$B$22,"&lt;="&amp;B3)</f>
        <v>11</v>
      </c>
      <c r="B3" s="473" t="str">
        <f>IF(Data!B4="Empty","*Hide*",Data!B4)</f>
        <v>Home Energy Solutions</v>
      </c>
      <c r="C3" s="473" t="str">
        <f>VLOOKUP(SMALL($A$3:$A$22,ROW()-2),$A$3:$B$22,2,FALSE)</f>
        <v>*Hide*</v>
      </c>
      <c r="D3" s="473" t="e">
        <f>VLOOKUP($C3,Data!$B$4:$E$23,MATCH(D$2,Data!$B$3:$E$3,0),FALSE)</f>
        <v>#N/A</v>
      </c>
      <c r="E3" s="473" t="e">
        <f>VLOOKUP($C3,Data!$B$4:$E$23,MATCH(E$2,Data!$B$3:$E$3,0),FALSE)</f>
        <v>#N/A</v>
      </c>
      <c r="F3" s="480">
        <f>IF(ISERROR(D3),MAX(List!$C$5:$C$17)+2,IF(E3=List!$E$10,MAX(List!$C$5:$C$17)+1,VLOOKUP(D3,List!$B$5:$C$17,2,FALSE)))</f>
        <v>13</v>
      </c>
      <c r="G3" s="67"/>
      <c r="H3" s="480">
        <f>RANK(F3,$F$3:$F$22,-1)+COUNTIF($F$3:F3,F3)-1</f>
        <v>13</v>
      </c>
      <c r="I3" s="67"/>
      <c r="J3" s="473" t="str">
        <f ca="1">OFFSET(C$3,MATCH(SMALL(H$3:H$22,ROW()-ROW(H$3)+1),H$3:H$22,0)-1,0)</f>
        <v>Home Energy Solutions</v>
      </c>
    </row>
    <row r="4" spans="1:10" x14ac:dyDescent="0.2">
      <c r="A4" s="473">
        <f t="shared" ref="A4:A22" si="0">COUNTIF($B$3:$B$22,"&lt;="&amp;B4)</f>
        <v>15</v>
      </c>
      <c r="B4" s="473" t="str">
        <f>IF(Data!B5="Empty","*Hide*",Data!B5)</f>
        <v>Multifamily Homes</v>
      </c>
      <c r="C4" s="473" t="str">
        <f t="shared" ref="C4:C22" si="1">VLOOKUP(SMALL($A$3:$A$22,ROW()-2),$A$3:$B$22,2,FALSE)</f>
        <v>*Hide*</v>
      </c>
      <c r="D4" s="473" t="e">
        <f>VLOOKUP($C4,Data!$B$4:$E$23,MATCH(D$2,Data!$B$3:$E$3,0),FALSE)</f>
        <v>#N/A</v>
      </c>
      <c r="E4" s="473" t="e">
        <f>VLOOKUP($C4,Data!$B$4:$E$23,MATCH(E$2,Data!$B$3:$E$3,0),FALSE)</f>
        <v>#N/A</v>
      </c>
      <c r="F4" s="480">
        <f>IF(ISERROR(D4),MAX(List!$C$5:$C$17)+2,IF(E4=List!$E$10,MAX(List!$C$5:$C$17)+1,VLOOKUP(D4,List!$B$5:$C$17,2,FALSE)))</f>
        <v>13</v>
      </c>
      <c r="G4" s="67"/>
      <c r="H4" s="480">
        <f>RANK(F4,$F$3:$F$22,-1)+COUNTIF($F$3:F4,F4)-1</f>
        <v>14</v>
      </c>
      <c r="I4" s="67"/>
      <c r="J4" s="473" t="str">
        <f t="shared" ref="J4:J22" ca="1" si="2">OFFSET(C$3,MATCH(SMALL(H$3:H$22,ROW()-ROW(H$3)+1),H$3:H$22,0)-1,0)</f>
        <v xml:space="preserve">Low-Income Solutions </v>
      </c>
    </row>
    <row r="5" spans="1:10" x14ac:dyDescent="0.2">
      <c r="A5" s="473">
        <f t="shared" si="0"/>
        <v>14</v>
      </c>
      <c r="B5" s="473" t="str">
        <f>IF(Data!B6="Empty","*Hide*",Data!B6)</f>
        <v>Manufactured Homes</v>
      </c>
      <c r="C5" s="473" t="str">
        <f t="shared" si="1"/>
        <v>*Hide*</v>
      </c>
      <c r="D5" s="473" t="e">
        <f>VLOOKUP($C5,Data!$B$4:$E$23,MATCH(D$2,Data!$B$3:$E$3,0),FALSE)</f>
        <v>#N/A</v>
      </c>
      <c r="E5" s="473" t="e">
        <f>VLOOKUP($C5,Data!$B$4:$E$23,MATCH(E$2,Data!$B$3:$E$3,0),FALSE)</f>
        <v>#N/A</v>
      </c>
      <c r="F5" s="480">
        <f>IF(ISERROR(D5),MAX(List!$C$5:$C$17)+2,IF(E5=List!$E$10,MAX(List!$C$5:$C$17)+1,VLOOKUP(D5,List!$B$5:$C$17,2,FALSE)))</f>
        <v>13</v>
      </c>
      <c r="G5" s="67"/>
      <c r="H5" s="480">
        <f>RANK(F5,$F$3:$F$22,-1)+COUNTIF($F$3:F5,F5)-1</f>
        <v>15</v>
      </c>
      <c r="I5" s="67"/>
      <c r="J5" s="473" t="str">
        <f t="shared" ca="1" si="2"/>
        <v>Manufactured Homes</v>
      </c>
    </row>
    <row r="6" spans="1:10" x14ac:dyDescent="0.2">
      <c r="A6" s="473">
        <f t="shared" si="0"/>
        <v>13</v>
      </c>
      <c r="B6" s="473" t="str">
        <f>IF(Data!B7="Empty","*Hide*",Data!B7)</f>
        <v xml:space="preserve">Low-Income Solutions </v>
      </c>
      <c r="C6" s="473" t="str">
        <f t="shared" si="1"/>
        <v>*Hide*</v>
      </c>
      <c r="D6" s="473" t="e">
        <f>VLOOKUP($C6,Data!$B$4:$E$23,MATCH(D$2,Data!$B$3:$E$3,0),FALSE)</f>
        <v>#N/A</v>
      </c>
      <c r="E6" s="473" t="e">
        <f>VLOOKUP($C6,Data!$B$4:$E$23,MATCH(E$2,Data!$B$3:$E$3,0),FALSE)</f>
        <v>#N/A</v>
      </c>
      <c r="F6" s="480">
        <f>IF(ISERROR(D6),MAX(List!$C$5:$C$17)+2,IF(E6=List!$E$10,MAX(List!$C$5:$C$17)+1,VLOOKUP(D6,List!$B$5:$C$17,2,FALSE)))</f>
        <v>13</v>
      </c>
      <c r="G6" s="67"/>
      <c r="H6" s="480">
        <f>RANK(F6,$F$3:$F$22,-1)+COUNTIF($F$3:F6,F6)-1</f>
        <v>16</v>
      </c>
      <c r="I6" s="67"/>
      <c r="J6" s="473" t="str">
        <f t="shared" ca="1" si="2"/>
        <v>Multifamily Homes</v>
      </c>
    </row>
    <row r="7" spans="1:10" x14ac:dyDescent="0.2">
      <c r="A7" s="473">
        <f t="shared" si="0"/>
        <v>16</v>
      </c>
      <c r="B7" s="473" t="str">
        <f>IF(Data!B8="Empty","*Hide*",Data!B8)</f>
        <v>Point of Purchase Solutions</v>
      </c>
      <c r="C7" s="473" t="str">
        <f t="shared" si="1"/>
        <v>*Hide*</v>
      </c>
      <c r="D7" s="473" t="e">
        <f>VLOOKUP($C7,Data!$B$4:$E$23,MATCH(D$2,Data!$B$3:$E$3,0),FALSE)</f>
        <v>#N/A</v>
      </c>
      <c r="E7" s="473" t="e">
        <f>VLOOKUP($C7,Data!$B$4:$E$23,MATCH(E$2,Data!$B$3:$E$3,0),FALSE)</f>
        <v>#N/A</v>
      </c>
      <c r="F7" s="480">
        <f>IF(ISERROR(D7),MAX(List!$C$5:$C$17)+2,IF(E7=List!$E$10,MAX(List!$C$5:$C$17)+1,VLOOKUP(D7,List!$B$5:$C$17,2,FALSE)))</f>
        <v>13</v>
      </c>
      <c r="G7" s="67"/>
      <c r="H7" s="480">
        <f>RANK(F7,$F$3:$F$22,-1)+COUNTIF($F$3:F7,F7)-1</f>
        <v>17</v>
      </c>
      <c r="I7" s="67"/>
      <c r="J7" s="473" t="str">
        <f t="shared" ca="1" si="2"/>
        <v>Residential Direct Load Control</v>
      </c>
    </row>
    <row r="8" spans="1:10" x14ac:dyDescent="0.2">
      <c r="A8" s="473">
        <f t="shared" si="0"/>
        <v>12</v>
      </c>
      <c r="B8" s="473" t="str">
        <f>IF(Data!B9="Empty","*Hide*",Data!B9)</f>
        <v>Large Commercial &amp; Industrial Solutions</v>
      </c>
      <c r="C8" s="473" t="str">
        <f t="shared" si="1"/>
        <v>*Hide*</v>
      </c>
      <c r="D8" s="473" t="e">
        <f>VLOOKUP($C8,Data!$B$4:$E$23,MATCH(D$2,Data!$B$3:$E$3,0),FALSE)</f>
        <v>#N/A</v>
      </c>
      <c r="E8" s="473" t="e">
        <f>VLOOKUP($C8,Data!$B$4:$E$23,MATCH(E$2,Data!$B$3:$E$3,0),FALSE)</f>
        <v>#N/A</v>
      </c>
      <c r="F8" s="480">
        <f>IF(ISERROR(D8),MAX(List!$C$5:$C$17)+2,IF(E8=List!$E$10,MAX(List!$C$5:$C$17)+1,VLOOKUP(D8,List!$B$5:$C$17,2,FALSE)))</f>
        <v>13</v>
      </c>
      <c r="G8" s="67"/>
      <c r="H8" s="480">
        <f>RANK(F8,$F$3:$F$22,-1)+COUNTIF($F$3:F8,F8)-1</f>
        <v>18</v>
      </c>
      <c r="I8" s="67"/>
      <c r="J8" s="473" t="str">
        <f t="shared" ca="1" si="2"/>
        <v>Small Business Solutions</v>
      </c>
    </row>
    <row r="9" spans="1:10" x14ac:dyDescent="0.2">
      <c r="A9" s="473">
        <f t="shared" si="0"/>
        <v>19</v>
      </c>
      <c r="B9" s="473" t="str">
        <f>IF(Data!B10="Empty","*Hide*",Data!B10)</f>
        <v>Small Business Solutions</v>
      </c>
      <c r="C9" s="473" t="str">
        <f t="shared" si="1"/>
        <v>*Hide*</v>
      </c>
      <c r="D9" s="473" t="e">
        <f>VLOOKUP($C9,Data!$B$4:$E$23,MATCH(D$2,Data!$B$3:$E$3,0),FALSE)</f>
        <v>#N/A</v>
      </c>
      <c r="E9" s="473" t="e">
        <f>VLOOKUP($C9,Data!$B$4:$E$23,MATCH(E$2,Data!$B$3:$E$3,0),FALSE)</f>
        <v>#N/A</v>
      </c>
      <c r="F9" s="480">
        <f>IF(ISERROR(D9),MAX(List!$C$5:$C$17)+2,IF(E9=List!$E$10,MAX(List!$C$5:$C$17)+1,VLOOKUP(D9,List!$B$5:$C$17,2,FALSE)))</f>
        <v>13</v>
      </c>
      <c r="G9" s="67"/>
      <c r="H9" s="480">
        <f>RANK(F9,$F$3:$F$22,-1)+COUNTIF($F$3:F9,F9)-1</f>
        <v>19</v>
      </c>
      <c r="I9" s="67"/>
      <c r="J9" s="473" t="str">
        <f t="shared" ca="1" si="2"/>
        <v xml:space="preserve">Smart Direct Load Control Pilot </v>
      </c>
    </row>
    <row r="10" spans="1:10" x14ac:dyDescent="0.2">
      <c r="A10" s="473">
        <f t="shared" si="0"/>
        <v>17</v>
      </c>
      <c r="B10" s="473" t="str">
        <f>IF(Data!B11="Empty","*Hide*",Data!B11)</f>
        <v xml:space="preserve">Public Institutions Solutions </v>
      </c>
      <c r="C10" s="473" t="str">
        <f t="shared" si="1"/>
        <v>*Hide*</v>
      </c>
      <c r="D10" s="473" t="e">
        <f>VLOOKUP($C10,Data!$B$4:$E$23,MATCH(D$2,Data!$B$3:$E$3,0),FALSE)</f>
        <v>#N/A</v>
      </c>
      <c r="E10" s="473" t="e">
        <f>VLOOKUP($C10,Data!$B$4:$E$23,MATCH(E$2,Data!$B$3:$E$3,0),FALSE)</f>
        <v>#N/A</v>
      </c>
      <c r="F10" s="480">
        <f>IF(ISERROR(D10),MAX(List!$C$5:$C$17)+2,IF(E10=List!$E$10,MAX(List!$C$5:$C$17)+1,VLOOKUP(D10,List!$B$5:$C$17,2,FALSE)))</f>
        <v>13</v>
      </c>
      <c r="G10" s="67"/>
      <c r="H10" s="480">
        <f>RANK(F10,$F$3:$F$22,-1)+COUNTIF($F$3:F10,F10)-1</f>
        <v>20</v>
      </c>
      <c r="I10" s="67"/>
      <c r="J10" s="473" t="str">
        <f t="shared" ca="1" si="2"/>
        <v>Large Commercial &amp; Industrial Solutions</v>
      </c>
    </row>
    <row r="11" spans="1:10" x14ac:dyDescent="0.2">
      <c r="A11" s="473">
        <f t="shared" si="0"/>
        <v>9</v>
      </c>
      <c r="B11" s="473" t="str">
        <f>IF(Data!B12="Empty","*Hide*",Data!B12)</f>
        <v>Agricultural Energy Solutions</v>
      </c>
      <c r="C11" s="473" t="str">
        <f t="shared" si="1"/>
        <v>Agricultural Energy Solutions</v>
      </c>
      <c r="D11" s="473" t="str">
        <f>VLOOKUP($C11,Data!$B$4:$E$23,MATCH(D$2,Data!$B$3:$E$3,0),FALSE)</f>
        <v>Agriculture</v>
      </c>
      <c r="E11" s="473" t="str">
        <f>VLOOKUP($C11,Data!$B$4:$E$23,MATCH(E$2,Data!$B$3:$E$3,0),FALSE)</f>
        <v>Implementing Contractor</v>
      </c>
      <c r="F11" s="480">
        <f>IF(ISERROR(D11),MAX(List!$C$5:$C$17)+2,IF(E11=List!$E$10,MAX(List!$C$5:$C$17)+1,VLOOKUP(D11,List!$B$5:$C$17,2,FALSE)))</f>
        <v>8</v>
      </c>
      <c r="G11" s="67"/>
      <c r="H11" s="480">
        <f>RANK(F11,$F$3:$F$22,-1)+COUNTIF($F$3:F11,F11)-1</f>
        <v>10</v>
      </c>
      <c r="I11" s="67"/>
      <c r="J11" s="473" t="str">
        <f t="shared" ca="1" si="2"/>
        <v xml:space="preserve">Public Institutions Solutions </v>
      </c>
    </row>
    <row r="12" spans="1:10" x14ac:dyDescent="0.2">
      <c r="A12" s="473">
        <f t="shared" si="0"/>
        <v>18</v>
      </c>
      <c r="B12" s="473" t="str">
        <f>IF(Data!B13="Empty","*Hide*",Data!B13)</f>
        <v>Residential Direct Load Control</v>
      </c>
      <c r="C12" s="473" t="str">
        <f t="shared" si="1"/>
        <v>Agricultural Irrigation Load Control</v>
      </c>
      <c r="D12" s="473" t="str">
        <f>VLOOKUP($C12,Data!$B$4:$E$23,MATCH(D$2,Data!$B$3:$E$3,0),FALSE)</f>
        <v>Agriculture</v>
      </c>
      <c r="E12" s="473" t="str">
        <f>VLOOKUP($C12,Data!$B$4:$E$23,MATCH(E$2,Data!$B$3:$E$3,0),FALSE)</f>
        <v>Implementing Contractor</v>
      </c>
      <c r="F12" s="480">
        <f>IF(ISERROR(D12),MAX(List!$C$5:$C$17)+2,IF(E12=List!$E$10,MAX(List!$C$5:$C$17)+1,VLOOKUP(D12,List!$B$5:$C$17,2,FALSE)))</f>
        <v>8</v>
      </c>
      <c r="G12" s="67"/>
      <c r="H12" s="480">
        <f>RANK(F12,$F$3:$F$22,-1)+COUNTIF($F$3:F12,F12)-1</f>
        <v>11</v>
      </c>
      <c r="I12" s="67"/>
      <c r="J12" s="473" t="str">
        <f t="shared" ca="1" si="2"/>
        <v>Agricultural Energy Solutions</v>
      </c>
    </row>
    <row r="13" spans="1:10" x14ac:dyDescent="0.2">
      <c r="A13" s="473">
        <f t="shared" si="0"/>
        <v>20</v>
      </c>
      <c r="B13" s="473" t="str">
        <f>IF(Data!B14="Empty","*Hide*",Data!B14)</f>
        <v xml:space="preserve">Smart Direct Load Control Pilot </v>
      </c>
      <c r="C13" s="473" t="str">
        <f t="shared" si="1"/>
        <v>Home Energy Solutions</v>
      </c>
      <c r="D13" s="473" t="str">
        <f>VLOOKUP($C13,Data!$B$4:$E$23,MATCH(D$2,Data!$B$3:$E$3,0),FALSE)</f>
        <v>Residential</v>
      </c>
      <c r="E13" s="473" t="str">
        <f>VLOOKUP($C13,Data!$B$4:$E$23,MATCH(E$2,Data!$B$3:$E$3,0),FALSE)</f>
        <v>Trade Ally</v>
      </c>
      <c r="F13" s="480">
        <f>IF(ISERROR(D13),MAX(List!$C$5:$C$17)+2,IF(E13=List!$E$10,MAX(List!$C$5:$C$17)+1,VLOOKUP(D13,List!$B$5:$C$17,2,FALSE)))</f>
        <v>1</v>
      </c>
      <c r="G13" s="67"/>
      <c r="H13" s="480">
        <f>RANK(F13,$F$3:$F$22,-1)+COUNTIF($F$3:F13,F13)-1</f>
        <v>1</v>
      </c>
      <c r="I13" s="67"/>
      <c r="J13" s="473" t="str">
        <f t="shared" ca="1" si="2"/>
        <v>Agricultural Irrigation Load Control</v>
      </c>
    </row>
    <row r="14" spans="1:10" x14ac:dyDescent="0.2">
      <c r="A14" s="473">
        <f t="shared" si="0"/>
        <v>10</v>
      </c>
      <c r="B14" s="473" t="str">
        <f>IF(Data!B15="Empty","*Hide*",Data!B15)</f>
        <v>Agricultural Irrigation Load Control</v>
      </c>
      <c r="C14" s="473" t="str">
        <f t="shared" si="1"/>
        <v>Large Commercial &amp; Industrial Solutions</v>
      </c>
      <c r="D14" s="473" t="str">
        <f>VLOOKUP($C14,Data!$B$4:$E$23,MATCH(D$2,Data!$B$3:$E$3,0),FALSE)</f>
        <v>Commercial &amp; Industrial</v>
      </c>
      <c r="E14" s="473" t="str">
        <f>VLOOKUP($C14,Data!$B$4:$E$23,MATCH(E$2,Data!$B$3:$E$3,0),FALSE)</f>
        <v>Trade Ally</v>
      </c>
      <c r="F14" s="480">
        <f>IF(ISERROR(D14),MAX(List!$C$5:$C$17)+2,IF(E14=List!$E$10,MAX(List!$C$5:$C$17)+1,VLOOKUP(D14,List!$B$5:$C$17,2,FALSE)))</f>
        <v>4</v>
      </c>
      <c r="G14" s="67"/>
      <c r="H14" s="480">
        <f>RANK(F14,$F$3:$F$22,-1)+COUNTIF($F$3:F14,F14)-1</f>
        <v>8</v>
      </c>
      <c r="I14" s="67"/>
      <c r="J14" s="473" t="str">
        <f t="shared" ca="1" si="2"/>
        <v>Point of Purchase Solutions</v>
      </c>
    </row>
    <row r="15" spans="1:10" x14ac:dyDescent="0.2">
      <c r="A15" s="473">
        <f t="shared" si="0"/>
        <v>8</v>
      </c>
      <c r="B15" s="473" t="str">
        <f>IF(Data!B16="Empty","*Hide*",Data!B16)</f>
        <v>*Hide*</v>
      </c>
      <c r="C15" s="473" t="str">
        <f t="shared" si="1"/>
        <v xml:space="preserve">Low-Income Solutions </v>
      </c>
      <c r="D15" s="473" t="str">
        <f>VLOOKUP($C15,Data!$B$4:$E$23,MATCH(D$2,Data!$B$3:$E$3,0),FALSE)</f>
        <v>Residential</v>
      </c>
      <c r="E15" s="473" t="str">
        <f>VLOOKUP($C15,Data!$B$4:$E$23,MATCH(E$2,Data!$B$3:$E$3,0),FALSE)</f>
        <v>Trade Ally</v>
      </c>
      <c r="F15" s="480">
        <f>IF(ISERROR(D15),MAX(List!$C$5:$C$17)+2,IF(E15=List!$E$10,MAX(List!$C$5:$C$17)+1,VLOOKUP(D15,List!$B$5:$C$17,2,FALSE)))</f>
        <v>1</v>
      </c>
      <c r="G15" s="67"/>
      <c r="H15" s="480">
        <f>RANK(F15,$F$3:$F$22,-1)+COUNTIF($F$3:F15,F15)-1</f>
        <v>2</v>
      </c>
      <c r="I15" s="67"/>
      <c r="J15" s="473" t="str">
        <f t="shared" ca="1" si="2"/>
        <v>*Hide*</v>
      </c>
    </row>
    <row r="16" spans="1:10" x14ac:dyDescent="0.2">
      <c r="A16" s="473">
        <f t="shared" si="0"/>
        <v>8</v>
      </c>
      <c r="B16" s="473" t="str">
        <f>IF(Data!B17="Empty","*Hide*",Data!B17)</f>
        <v>*Hide*</v>
      </c>
      <c r="C16" s="473" t="str">
        <f t="shared" si="1"/>
        <v>Manufactured Homes</v>
      </c>
      <c r="D16" s="473" t="str">
        <f>VLOOKUP($C16,Data!$B$4:$E$23,MATCH(D$2,Data!$B$3:$E$3,0),FALSE)</f>
        <v>Residential</v>
      </c>
      <c r="E16" s="473" t="str">
        <f>VLOOKUP($C16,Data!$B$4:$E$23,MATCH(E$2,Data!$B$3:$E$3,0),FALSE)</f>
        <v>Trade Ally</v>
      </c>
      <c r="F16" s="480">
        <f>IF(ISERROR(D16),MAX(List!$C$5:$C$17)+2,IF(E16=List!$E$10,MAX(List!$C$5:$C$17)+1,VLOOKUP(D16,List!$B$5:$C$17,2,FALSE)))</f>
        <v>1</v>
      </c>
      <c r="G16" s="67"/>
      <c r="H16" s="480">
        <f>RANK(F16,$F$3:$F$22,-1)+COUNTIF($F$3:F16,F16)-1</f>
        <v>3</v>
      </c>
      <c r="I16" s="67"/>
      <c r="J16" s="473" t="str">
        <f t="shared" ca="1" si="2"/>
        <v>*Hide*</v>
      </c>
    </row>
    <row r="17" spans="1:10" x14ac:dyDescent="0.2">
      <c r="A17" s="473">
        <f t="shared" si="0"/>
        <v>8</v>
      </c>
      <c r="B17" s="473" t="str">
        <f>IF(Data!B18="Empty","*Hide*",Data!B18)</f>
        <v>*Hide*</v>
      </c>
      <c r="C17" s="473" t="str">
        <f t="shared" si="1"/>
        <v>Multifamily Homes</v>
      </c>
      <c r="D17" s="473" t="str">
        <f>VLOOKUP($C17,Data!$B$4:$E$23,MATCH(D$2,Data!$B$3:$E$3,0),FALSE)</f>
        <v>Residential</v>
      </c>
      <c r="E17" s="473" t="str">
        <f>VLOOKUP($C17,Data!$B$4:$E$23,MATCH(E$2,Data!$B$3:$E$3,0),FALSE)</f>
        <v>Trade Ally</v>
      </c>
      <c r="F17" s="480">
        <f>IF(ISERROR(D17),MAX(List!$C$5:$C$17)+2,IF(E17=List!$E$10,MAX(List!$C$5:$C$17)+1,VLOOKUP(D17,List!$B$5:$C$17,2,FALSE)))</f>
        <v>1</v>
      </c>
      <c r="G17" s="67"/>
      <c r="H17" s="480">
        <f>RANK(F17,$F$3:$F$22,-1)+COUNTIF($F$3:F17,F17)-1</f>
        <v>4</v>
      </c>
      <c r="I17" s="67"/>
      <c r="J17" s="473" t="str">
        <f t="shared" ca="1" si="2"/>
        <v>*Hide*</v>
      </c>
    </row>
    <row r="18" spans="1:10" x14ac:dyDescent="0.2">
      <c r="A18" s="473">
        <f t="shared" si="0"/>
        <v>8</v>
      </c>
      <c r="B18" s="473" t="str">
        <f>IF(Data!B19="Empty","*Hide*",Data!B19)</f>
        <v>*Hide*</v>
      </c>
      <c r="C18" s="473" t="str">
        <f t="shared" si="1"/>
        <v>Point of Purchase Solutions</v>
      </c>
      <c r="D18" s="473" t="str">
        <f>VLOOKUP($C18,Data!$B$4:$E$23,MATCH(D$2,Data!$B$3:$E$3,0),FALSE)</f>
        <v>All Classes</v>
      </c>
      <c r="E18" s="473" t="str">
        <f>VLOOKUP($C18,Data!$B$4:$E$23,MATCH(E$2,Data!$B$3:$E$3,0),FALSE)</f>
        <v>Retail Outlets</v>
      </c>
      <c r="F18" s="480">
        <f>IF(ISERROR(D18),MAX(List!$C$5:$C$17)+2,IF(E18=List!$E$10,MAX(List!$C$5:$C$17)+1,VLOOKUP(D18,List!$B$5:$C$17,2,FALSE)))</f>
        <v>9</v>
      </c>
      <c r="G18" s="67"/>
      <c r="H18" s="480">
        <f>RANK(F18,$F$3:$F$22,-1)+COUNTIF($F$3:F18,F18)-1</f>
        <v>12</v>
      </c>
      <c r="I18" s="67"/>
      <c r="J18" s="473" t="str">
        <f t="shared" ca="1" si="2"/>
        <v>*Hide*</v>
      </c>
    </row>
    <row r="19" spans="1:10" x14ac:dyDescent="0.2">
      <c r="A19" s="473">
        <f t="shared" si="0"/>
        <v>8</v>
      </c>
      <c r="B19" s="473" t="str">
        <f>IF(Data!B20="Empty","*Hide*",Data!B20)</f>
        <v>*Hide*</v>
      </c>
      <c r="C19" s="473" t="str">
        <f t="shared" si="1"/>
        <v xml:space="preserve">Public Institutions Solutions </v>
      </c>
      <c r="D19" s="473" t="str">
        <f>VLOOKUP($C19,Data!$B$4:$E$23,MATCH(D$2,Data!$B$3:$E$3,0),FALSE)</f>
        <v>Municipalities/Schools</v>
      </c>
      <c r="E19" s="473" t="str">
        <f>VLOOKUP($C19,Data!$B$4:$E$23,MATCH(E$2,Data!$B$3:$E$3,0),FALSE)</f>
        <v>Trade Ally</v>
      </c>
      <c r="F19" s="480">
        <f>IF(ISERROR(D19),MAX(List!$C$5:$C$17)+2,IF(E19=List!$E$10,MAX(List!$C$5:$C$17)+1,VLOOKUP(D19,List!$B$5:$C$17,2,FALSE)))</f>
        <v>7</v>
      </c>
      <c r="G19" s="67"/>
      <c r="H19" s="480">
        <f>RANK(F19,$F$3:$F$22,-1)+COUNTIF($F$3:F19,F19)-1</f>
        <v>9</v>
      </c>
      <c r="I19" s="67"/>
      <c r="J19" s="473" t="str">
        <f t="shared" ca="1" si="2"/>
        <v>*Hide*</v>
      </c>
    </row>
    <row r="20" spans="1:10" x14ac:dyDescent="0.2">
      <c r="A20" s="473">
        <f t="shared" si="0"/>
        <v>8</v>
      </c>
      <c r="B20" s="473" t="str">
        <f>IF(Data!B21="Empty","*Hide*",Data!B21)</f>
        <v>*Hide*</v>
      </c>
      <c r="C20" s="473" t="str">
        <f t="shared" si="1"/>
        <v>Residential Direct Load Control</v>
      </c>
      <c r="D20" s="473" t="str">
        <f>VLOOKUP($C20,Data!$B$4:$E$23,MATCH(D$2,Data!$B$3:$E$3,0),FALSE)</f>
        <v>Residential</v>
      </c>
      <c r="E20" s="473" t="str">
        <f>VLOOKUP($C20,Data!$B$4:$E$23,MATCH(E$2,Data!$B$3:$E$3,0),FALSE)</f>
        <v>Implementing Contractor</v>
      </c>
      <c r="F20" s="480">
        <f>IF(ISERROR(D20),MAX(List!$C$5:$C$17)+2,IF(E20=List!$E$10,MAX(List!$C$5:$C$17)+1,VLOOKUP(D20,List!$B$5:$C$17,2,FALSE)))</f>
        <v>1</v>
      </c>
      <c r="G20" s="67"/>
      <c r="H20" s="480">
        <f>RANK(F20,$F$3:$F$22,-1)+COUNTIF($F$3:F20,F20)-1</f>
        <v>5</v>
      </c>
      <c r="I20" s="67"/>
      <c r="J20" s="473" t="str">
        <f t="shared" ca="1" si="2"/>
        <v>*Hide*</v>
      </c>
    </row>
    <row r="21" spans="1:10" x14ac:dyDescent="0.2">
      <c r="A21" s="473">
        <f t="shared" si="0"/>
        <v>8</v>
      </c>
      <c r="B21" s="473" t="str">
        <f>IF(Data!B22="Empty","*Hide*",Data!B22)</f>
        <v>*Hide*</v>
      </c>
      <c r="C21" s="473" t="str">
        <f t="shared" si="1"/>
        <v>Small Business Solutions</v>
      </c>
      <c r="D21" s="473" t="str">
        <f>VLOOKUP($C21,Data!$B$4:$E$23,MATCH(D$2,Data!$B$3:$E$3,0),FALSE)</f>
        <v>Small Business</v>
      </c>
      <c r="E21" s="473" t="str">
        <f>VLOOKUP($C21,Data!$B$4:$E$23,MATCH(E$2,Data!$B$3:$E$3,0),FALSE)</f>
        <v>Trade Ally</v>
      </c>
      <c r="F21" s="480">
        <f>IF(ISERROR(D21),MAX(List!$C$5:$C$17)+2,IF(E21=List!$E$10,MAX(List!$C$5:$C$17)+1,VLOOKUP(D21,List!$B$5:$C$17,2,FALSE)))</f>
        <v>2</v>
      </c>
      <c r="G21" s="67"/>
      <c r="H21" s="480">
        <f>RANK(F21,$F$3:$F$22,-1)+COUNTIF($F$3:F21,F21)-1</f>
        <v>6</v>
      </c>
      <c r="I21" s="67"/>
      <c r="J21" s="473" t="str">
        <f t="shared" ca="1" si="2"/>
        <v>*Hide*</v>
      </c>
    </row>
    <row r="22" spans="1:10" x14ac:dyDescent="0.2">
      <c r="A22" s="473">
        <f t="shared" si="0"/>
        <v>8</v>
      </c>
      <c r="B22" s="473" t="str">
        <f>IF(Data!B23="Empty","*Hide*",Data!B23)</f>
        <v>*Hide*</v>
      </c>
      <c r="C22" s="473" t="str">
        <f t="shared" si="1"/>
        <v xml:space="preserve">Smart Direct Load Control Pilot </v>
      </c>
      <c r="D22" s="473" t="str">
        <f>VLOOKUP($C22,Data!$B$4:$E$23,MATCH(D$2,Data!$B$3:$E$3,0),FALSE)</f>
        <v>Res/Small Business</v>
      </c>
      <c r="E22" s="473" t="str">
        <f>VLOOKUP($C22,Data!$B$4:$E$23,MATCH(E$2,Data!$B$3:$E$3,0),FALSE)</f>
        <v>Trade Ally</v>
      </c>
      <c r="F22" s="480">
        <f>IF(ISERROR(D22),MAX(List!$C$5:$C$17)+2,IF(E22=List!$E$10,MAX(List!$C$5:$C$17)+1,VLOOKUP(D22,List!$B$5:$C$17,2,FALSE)))</f>
        <v>3</v>
      </c>
      <c r="G22" s="67"/>
      <c r="H22" s="480">
        <f>RANK(F22,$F$3:$F$22,-1)+COUNTIF($F$3:F22,F22)-1</f>
        <v>7</v>
      </c>
      <c r="I22" s="67"/>
      <c r="J22" s="473" t="str">
        <f t="shared" ca="1" si="2"/>
        <v>*Hide*</v>
      </c>
    </row>
  </sheetData>
  <pageMargins left="0.7" right="0.7" top="0.75" bottom="0.75" header="0.3" footer="0.3"/>
  <pageSetup orientation="portrait" horizontalDpi="300"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0000"/>
  </sheetPr>
  <dimension ref="B1:O126"/>
  <sheetViews>
    <sheetView zoomScale="75" zoomScaleNormal="75" workbookViewId="0">
      <selection activeCell="M47" sqref="M47"/>
    </sheetView>
  </sheetViews>
  <sheetFormatPr defaultRowHeight="12.75" x14ac:dyDescent="0.2"/>
  <cols>
    <col min="1" max="1" width="5" customWidth="1"/>
    <col min="2" max="2" width="35.5703125" customWidth="1"/>
    <col min="3" max="3" width="21.5703125" bestFit="1" customWidth="1"/>
    <col min="4" max="4" width="26.5703125" bestFit="1" customWidth="1"/>
    <col min="5" max="5" width="13.42578125" customWidth="1"/>
    <col min="6" max="6" width="13.42578125" bestFit="1" customWidth="1"/>
    <col min="7" max="7" width="15.5703125" bestFit="1" customWidth="1"/>
    <col min="8" max="8" width="12.42578125" bestFit="1" customWidth="1"/>
    <col min="9" max="9" width="12" customWidth="1"/>
    <col min="11" max="11" width="11.5703125" bestFit="1" customWidth="1"/>
    <col min="12" max="12" width="14" customWidth="1"/>
    <col min="13" max="13" width="13" customWidth="1"/>
    <col min="14" max="14" width="13.5703125" bestFit="1" customWidth="1"/>
    <col min="15" max="15" width="21.5703125" bestFit="1" customWidth="1"/>
    <col min="16" max="16" width="12.42578125" bestFit="1" customWidth="1"/>
    <col min="17" max="17" width="12.5703125" bestFit="1" customWidth="1"/>
    <col min="18" max="18" width="12" bestFit="1" customWidth="1"/>
    <col min="22" max="22" width="10.42578125" bestFit="1" customWidth="1"/>
    <col min="23" max="23" width="11.5703125" bestFit="1" customWidth="1"/>
  </cols>
  <sheetData>
    <row r="1" spans="2:12" x14ac:dyDescent="0.2">
      <c r="B1" s="125"/>
    </row>
    <row r="2" spans="2:12" x14ac:dyDescent="0.2">
      <c r="B2" s="59" t="s">
        <v>807</v>
      </c>
    </row>
    <row r="3" spans="2:12" x14ac:dyDescent="0.2">
      <c r="B3" s="471" t="s">
        <v>589</v>
      </c>
      <c r="C3" s="471" t="s">
        <v>808</v>
      </c>
      <c r="D3" s="471" t="s">
        <v>48</v>
      </c>
      <c r="E3" s="471" t="s">
        <v>56</v>
      </c>
      <c r="F3" s="471" t="s">
        <v>57</v>
      </c>
      <c r="G3" s="471" t="s">
        <v>809</v>
      </c>
      <c r="H3" s="471" t="s">
        <v>800</v>
      </c>
      <c r="I3" s="471" t="s">
        <v>810</v>
      </c>
      <c r="J3" s="208" t="s">
        <v>811</v>
      </c>
      <c r="K3" s="208" t="s">
        <v>812</v>
      </c>
      <c r="L3" s="208" t="s">
        <v>813</v>
      </c>
    </row>
    <row r="4" spans="2:12" x14ac:dyDescent="0.2">
      <c r="B4" s="476">
        <f>IF(Demand_1=NG_Demand,"n/a",'Evaluated Savings'!D26/1000)</f>
        <v>75.289543484368266</v>
      </c>
      <c r="C4" s="476">
        <f>IF(Demand_1=NG_Demand,'Evaluated Savings'!E26,'Evaluated Savings'!E26/1000)</f>
        <v>255840.15398199405</v>
      </c>
      <c r="D4" s="481">
        <f>'Actual Expenses'!J91</f>
        <v>59237332.649999991</v>
      </c>
      <c r="E4" s="481">
        <f>LCFC!J33</f>
        <v>0</v>
      </c>
      <c r="F4" s="481">
        <f>Incentives!D21</f>
        <v>5821532.94441933</v>
      </c>
      <c r="G4" s="481">
        <f>'Cost-Benefits'!I27*1000</f>
        <v>58215329.444193296</v>
      </c>
      <c r="H4" s="482">
        <f>'Cost-Benefits'!J27</f>
        <v>2.0360500521026945</v>
      </c>
      <c r="I4" s="482">
        <f>'Other CB Test'!I26</f>
        <v>1.8040649441747414</v>
      </c>
      <c r="J4" s="209">
        <f>Incentives!D14</f>
        <v>1.2E-2</v>
      </c>
      <c r="K4" s="209">
        <f>Incentives!F13</f>
        <v>1.564027882925011E-2</v>
      </c>
      <c r="L4" s="209">
        <f>Incentives!D17</f>
        <v>1.3</v>
      </c>
    </row>
    <row r="7" spans="2:12" x14ac:dyDescent="0.2">
      <c r="B7" s="59" t="s">
        <v>814</v>
      </c>
    </row>
    <row r="8" spans="2:12" x14ac:dyDescent="0.2">
      <c r="B8" s="471" t="s">
        <v>85</v>
      </c>
      <c r="C8" s="471" t="s">
        <v>791</v>
      </c>
      <c r="D8" s="471" t="s">
        <v>792</v>
      </c>
      <c r="E8" s="479" t="s">
        <v>553</v>
      </c>
      <c r="F8" s="479" t="s">
        <v>554</v>
      </c>
    </row>
    <row r="9" spans="2:12" x14ac:dyDescent="0.2">
      <c r="B9" s="473" t="str">
        <f ca="1">Order!J3</f>
        <v>Home Energy Solutions</v>
      </c>
      <c r="C9" s="483" t="str">
        <f ca="1">IF(ISERROR(VLOOKUP(B9,Data!$B$4:$N$23,2,FALSE)),"-",VLOOKUP(B9,Data!$B$4:$N$23,2,FALSE))</f>
        <v>Residential</v>
      </c>
      <c r="D9" s="484" t="str">
        <f ca="1">IF(ISERROR(VLOOKUP(B9,Data!$B$4:$N$23,3,FALSE)),"-",VLOOKUP(B9,Data!$B$4:$N$23,3,FALSE))</f>
        <v>Whole Home</v>
      </c>
      <c r="E9" s="481">
        <f ca="1">IF(ISERROR(VLOOKUP(B9,Data!$B$4:$N$23,10,FALSE)),"-",VLOOKUP(B9,Data!$B$4:$N$23,10,FALSE))</f>
        <v>15248596.375572719</v>
      </c>
      <c r="F9" s="481">
        <f ca="1">IF(ISERROR(VLOOKUP(B9,Data!$B$29:$N$48,10,FALSE)),"-",VLOOKUP(B9,Data!$B$29:$N$48,10,FALSE))</f>
        <v>12494941.98650186</v>
      </c>
    </row>
    <row r="10" spans="2:12" x14ac:dyDescent="0.2">
      <c r="B10" s="473" t="str">
        <f ca="1">Order!J4</f>
        <v xml:space="preserve">Low-Income Solutions </v>
      </c>
      <c r="C10" s="483" t="str">
        <f ca="1">IF(ISERROR(VLOOKUP(B10,Data!$B$4:$N$23,2,FALSE)),"-",VLOOKUP(B10,Data!$B$4:$N$23,2,FALSE))</f>
        <v>Residential</v>
      </c>
      <c r="D10" s="484" t="str">
        <f ca="1">IF(ISERROR(VLOOKUP(B10,Data!$B$4:$N$23,3,FALSE)),"-",VLOOKUP(B10,Data!$B$4:$N$23,3,FALSE))</f>
        <v>Market Specific/Hard to Reach</v>
      </c>
      <c r="E10" s="481">
        <f ca="1">IF(ISERROR(VLOOKUP(B10,Data!$B$4:$N$23,10,FALSE)),"-",VLOOKUP(B10,Data!$B$4:$N$23,10,FALSE))</f>
        <v>5412099.8553003902</v>
      </c>
      <c r="F10" s="481">
        <f ca="1">IF(ISERROR(VLOOKUP(B10,Data!$B$29:$N$48,10,FALSE)),"-",VLOOKUP(B10,Data!$B$29:$N$48,10,FALSE))</f>
        <v>4763927.8427500166</v>
      </c>
    </row>
    <row r="11" spans="2:12" x14ac:dyDescent="0.2">
      <c r="B11" s="473" t="str">
        <f ca="1">Order!J5</f>
        <v>Manufactured Homes</v>
      </c>
      <c r="C11" s="483" t="str">
        <f ca="1">IF(ISERROR(VLOOKUP(B11,Data!$B$4:$N$23,2,FALSE)),"-",VLOOKUP(B11,Data!$B$4:$N$23,2,FALSE))</f>
        <v>Residential</v>
      </c>
      <c r="D11" s="484" t="str">
        <f ca="1">IF(ISERROR(VLOOKUP(B11,Data!$B$4:$N$23,3,FALSE)),"-",VLOOKUP(B11,Data!$B$4:$N$23,3,FALSE))</f>
        <v>Whole Home</v>
      </c>
      <c r="E11" s="481">
        <f ca="1">IF(ISERROR(VLOOKUP(B11,Data!$B$4:$N$23,10,FALSE)),"-",VLOOKUP(B11,Data!$B$4:$N$23,10,FALSE))</f>
        <v>1420560.1612621918</v>
      </c>
      <c r="F11" s="481">
        <f ca="1">IF(ISERROR(VLOOKUP(B11,Data!$B$29:$N$48,10,FALSE)),"-",VLOOKUP(B11,Data!$B$29:$N$48,10,FALSE))</f>
        <v>1310088.7154859044</v>
      </c>
    </row>
    <row r="12" spans="2:12" x14ac:dyDescent="0.2">
      <c r="B12" s="473" t="str">
        <f ca="1">Order!J6</f>
        <v>Multifamily Homes</v>
      </c>
      <c r="C12" s="483" t="str">
        <f ca="1">IF(ISERROR(VLOOKUP(B12,Data!$B$4:$N$23,2,FALSE)),"-",VLOOKUP(B12,Data!$B$4:$N$23,2,FALSE))</f>
        <v>Residential</v>
      </c>
      <c r="D12" s="484" t="str">
        <f ca="1">IF(ISERROR(VLOOKUP(B12,Data!$B$4:$N$23,3,FALSE)),"-",VLOOKUP(B12,Data!$B$4:$N$23,3,FALSE))</f>
        <v>Whole Home</v>
      </c>
      <c r="E12" s="481">
        <f ca="1">IF(ISERROR(VLOOKUP(B12,Data!$B$4:$N$23,10,FALSE)),"-",VLOOKUP(B12,Data!$B$4:$N$23,10,FALSE))</f>
        <v>2856920.9541101647</v>
      </c>
      <c r="F12" s="481">
        <f ca="1">IF(ISERROR(VLOOKUP(B12,Data!$B$29:$N$48,10,FALSE)),"-",VLOOKUP(B12,Data!$B$29:$N$48,10,FALSE))</f>
        <v>2616186.8275253</v>
      </c>
    </row>
    <row r="13" spans="2:12" x14ac:dyDescent="0.2">
      <c r="B13" s="473" t="str">
        <f ca="1">Order!J7</f>
        <v>Residential Direct Load Control</v>
      </c>
      <c r="C13" s="483" t="str">
        <f ca="1">IF(ISERROR(VLOOKUP(B13,Data!$B$4:$N$23,2,FALSE)),"-",VLOOKUP(B13,Data!$B$4:$N$23,2,FALSE))</f>
        <v>Residential</v>
      </c>
      <c r="D13" s="484" t="str">
        <f ca="1">IF(ISERROR(VLOOKUP(B13,Data!$B$4:$N$23,3,FALSE)),"-",VLOOKUP(B13,Data!$B$4:$N$23,3,FALSE))</f>
        <v>Demand Response</v>
      </c>
      <c r="E13" s="481">
        <f ca="1">IF(ISERROR(VLOOKUP(B13,Data!$B$4:$N$23,10,FALSE)),"-",VLOOKUP(B13,Data!$B$4:$N$23,10,FALSE))</f>
        <v>2666350.0000000005</v>
      </c>
      <c r="F13" s="481">
        <f ca="1">IF(ISERROR(VLOOKUP(B13,Data!$B$29:$N$48,10,FALSE)),"-",VLOOKUP(B13,Data!$B$29:$N$48,10,FALSE))</f>
        <v>2345939.6299310033</v>
      </c>
    </row>
    <row r="14" spans="2:12" x14ac:dyDescent="0.2">
      <c r="B14" s="473" t="str">
        <f ca="1">Order!J8</f>
        <v>Small Business Solutions</v>
      </c>
      <c r="C14" s="483" t="str">
        <f ca="1">IF(ISERROR(VLOOKUP(B14,Data!$B$4:$N$23,2,FALSE)),"-",VLOOKUP(B14,Data!$B$4:$N$23,2,FALSE))</f>
        <v>Small Business</v>
      </c>
      <c r="D14" s="484" t="str">
        <f ca="1">IF(ISERROR(VLOOKUP(B14,Data!$B$4:$N$23,3,FALSE)),"-",VLOOKUP(B14,Data!$B$4:$N$23,3,FALSE))</f>
        <v>Market Specific/Hard to Reach</v>
      </c>
      <c r="E14" s="481">
        <f ca="1">IF(ISERROR(VLOOKUP(B14,Data!$B$4:$N$23,10,FALSE)),"-",VLOOKUP(B14,Data!$B$4:$N$23,10,FALSE))</f>
        <v>4178985.9141110736</v>
      </c>
      <c r="F14" s="481">
        <f ca="1">IF(ISERROR(VLOOKUP(B14,Data!$B$29:$N$48,10,FALSE)),"-",VLOOKUP(B14,Data!$B$29:$N$48,10,FALSE))</f>
        <v>2152818.7915076138</v>
      </c>
    </row>
    <row r="15" spans="2:12" x14ac:dyDescent="0.2">
      <c r="B15" s="473" t="str">
        <f ca="1">Order!J9</f>
        <v xml:space="preserve">Smart Direct Load Control Pilot </v>
      </c>
      <c r="C15" s="483" t="str">
        <f ca="1">IF(ISERROR(VLOOKUP(B15,Data!$B$4:$N$23,2,FALSE)),"-",VLOOKUP(B15,Data!$B$4:$N$23,2,FALSE))</f>
        <v>Res/Small Business</v>
      </c>
      <c r="D15" s="484" t="str">
        <f ca="1">IF(ISERROR(VLOOKUP(B15,Data!$B$4:$N$23,3,FALSE)),"-",VLOOKUP(B15,Data!$B$4:$N$23,3,FALSE))</f>
        <v>Demand Response</v>
      </c>
      <c r="E15" s="481">
        <f ca="1">IF(ISERROR(VLOOKUP(B15,Data!$B$4:$N$23,10,FALSE)),"-",VLOOKUP(B15,Data!$B$4:$N$23,10,FALSE))</f>
        <v>5718976.8999999994</v>
      </c>
      <c r="F15" s="481">
        <f ca="1">IF(ISERROR(VLOOKUP(B15,Data!$B$29:$N$48,10,FALSE)),"-",VLOOKUP(B15,Data!$B$29:$N$48,10,FALSE))</f>
        <v>4902381.89020494</v>
      </c>
    </row>
    <row r="16" spans="2:12" x14ac:dyDescent="0.2">
      <c r="B16" s="473" t="str">
        <f ca="1">Order!J10</f>
        <v>Large Commercial &amp; Industrial Solutions</v>
      </c>
      <c r="C16" s="483" t="str">
        <f ca="1">IF(ISERROR(VLOOKUP(B16,Data!$B$4:$N$23,2,FALSE)),"-",VLOOKUP(B16,Data!$B$4:$N$23,2,FALSE))</f>
        <v>Commercial &amp; Industrial</v>
      </c>
      <c r="D16" s="484" t="str">
        <f ca="1">IF(ISERROR(VLOOKUP(B16,Data!$B$4:$N$23,3,FALSE)),"-",VLOOKUP(B16,Data!$B$4:$N$23,3,FALSE))</f>
        <v>Custom</v>
      </c>
      <c r="E16" s="481">
        <f ca="1">IF(ISERROR(VLOOKUP(B16,Data!$B$4:$N$23,10,FALSE)),"-",VLOOKUP(B16,Data!$B$4:$N$23,10,FALSE))</f>
        <v>19083445.352329567</v>
      </c>
      <c r="F16" s="481">
        <f ca="1">IF(ISERROR(VLOOKUP(B16,Data!$B$29:$N$48,10,FALSE)),"-",VLOOKUP(B16,Data!$B$29:$N$48,10,FALSE))</f>
        <v>12876548.849602131</v>
      </c>
    </row>
    <row r="17" spans="2:6" x14ac:dyDescent="0.2">
      <c r="B17" s="473" t="str">
        <f ca="1">Order!J11</f>
        <v xml:space="preserve">Public Institutions Solutions </v>
      </c>
      <c r="C17" s="483" t="str">
        <f ca="1">IF(ISERROR(VLOOKUP(B17,Data!$B$4:$N$23,2,FALSE)),"-",VLOOKUP(B17,Data!$B$4:$N$23,2,FALSE))</f>
        <v>Municipalities/Schools</v>
      </c>
      <c r="D17" s="484" t="str">
        <f ca="1">IF(ISERROR(VLOOKUP(B17,Data!$B$4:$N$23,3,FALSE)),"-",VLOOKUP(B17,Data!$B$4:$N$23,3,FALSE))</f>
        <v>Market Specific/Hard to Reach</v>
      </c>
      <c r="E17" s="481">
        <f ca="1">IF(ISERROR(VLOOKUP(B17,Data!$B$4:$N$23,10,FALSE)),"-",VLOOKUP(B17,Data!$B$4:$N$23,10,FALSE))</f>
        <v>2977577.1560955308</v>
      </c>
      <c r="F17" s="481">
        <f ca="1">IF(ISERROR(VLOOKUP(B17,Data!$B$29:$N$48,10,FALSE)),"-",VLOOKUP(B17,Data!$B$29:$N$48,10,FALSE))</f>
        <v>2534633.1074223933</v>
      </c>
    </row>
    <row r="18" spans="2:6" x14ac:dyDescent="0.2">
      <c r="B18" s="473" t="str">
        <f ca="1">Order!J12</f>
        <v>Agricultural Energy Solutions</v>
      </c>
      <c r="C18" s="483" t="str">
        <f ca="1">IF(ISERROR(VLOOKUP(B18,Data!$B$4:$N$23,2,FALSE)),"-",VLOOKUP(B18,Data!$B$4:$N$23,2,FALSE))</f>
        <v>Agriculture</v>
      </c>
      <c r="D18" s="484" t="str">
        <f ca="1">IF(ISERROR(VLOOKUP(B18,Data!$B$4:$N$23,3,FALSE)),"-",VLOOKUP(B18,Data!$B$4:$N$23,3,FALSE))</f>
        <v>Prescriptive/Standard Offer</v>
      </c>
      <c r="E18" s="481">
        <f ca="1">IF(ISERROR(VLOOKUP(B18,Data!$B$4:$N$23,10,FALSE)),"-",VLOOKUP(B18,Data!$B$4:$N$23,10,FALSE))</f>
        <v>2197591.0402293657</v>
      </c>
      <c r="F18" s="481">
        <f ca="1">IF(ISERROR(VLOOKUP(B18,Data!$B$29:$N$48,10,FALSE)),"-",VLOOKUP(B18,Data!$B$29:$N$48,10,FALSE))</f>
        <v>2019448.557168236</v>
      </c>
    </row>
    <row r="19" spans="2:6" x14ac:dyDescent="0.2">
      <c r="B19" s="473" t="str">
        <f ca="1">Order!J13</f>
        <v>Agricultural Irrigation Load Control</v>
      </c>
      <c r="C19" s="483" t="str">
        <f ca="1">IF(ISERROR(VLOOKUP(B19,Data!$B$4:$N$23,2,FALSE)),"-",VLOOKUP(B19,Data!$B$4:$N$23,2,FALSE))</f>
        <v>Agriculture</v>
      </c>
      <c r="D19" s="484" t="str">
        <f ca="1">IF(ISERROR(VLOOKUP(B19,Data!$B$4:$N$23,3,FALSE)),"-",VLOOKUP(B19,Data!$B$4:$N$23,3,FALSE))</f>
        <v>Demand Response</v>
      </c>
      <c r="E19" s="481">
        <f ca="1">IF(ISERROR(VLOOKUP(B19,Data!$B$4:$N$23,10,FALSE)),"-",VLOOKUP(B19,Data!$B$4:$N$23,10,FALSE))</f>
        <v>3797839.0106500001</v>
      </c>
      <c r="F19" s="481">
        <f ca="1">IF(ISERROR(VLOOKUP(B19,Data!$B$29:$N$48,10,FALSE)),"-",VLOOKUP(B19,Data!$B$29:$N$48,10,FALSE))</f>
        <v>3721323.8753131311</v>
      </c>
    </row>
    <row r="20" spans="2:6" x14ac:dyDescent="0.2">
      <c r="B20" s="473" t="str">
        <f ca="1">Order!J14</f>
        <v>Point of Purchase Solutions</v>
      </c>
      <c r="C20" s="483" t="str">
        <f ca="1">IF(ISERROR(VLOOKUP(B20,Data!$B$4:$N$23,2,FALSE)),"-",VLOOKUP(B20,Data!$B$4:$N$23,2,FALSE))</f>
        <v>All Classes</v>
      </c>
      <c r="D20" s="484" t="str">
        <f ca="1">IF(ISERROR(VLOOKUP(B20,Data!$B$4:$N$23,3,FALSE)),"-",VLOOKUP(B20,Data!$B$4:$N$23,3,FALSE))</f>
        <v>Consumer Product Rebate</v>
      </c>
      <c r="E20" s="481">
        <f ca="1">IF(ISERROR(VLOOKUP(B20,Data!$B$4:$N$23,10,FALSE)),"-",VLOOKUP(B20,Data!$B$4:$N$23,10,FALSE))</f>
        <v>8741247.6151663307</v>
      </c>
      <c r="F20" s="481">
        <f ca="1">IF(ISERROR(VLOOKUP(B20,Data!$B$29:$N$48,10,FALSE)),"-",VLOOKUP(B20,Data!$B$29:$N$48,10,FALSE))</f>
        <v>7476072.8865874726</v>
      </c>
    </row>
    <row r="21" spans="2:6" x14ac:dyDescent="0.2">
      <c r="B21" s="473" t="str">
        <f ca="1">Order!J15</f>
        <v>*Hide*</v>
      </c>
      <c r="C21" s="483" t="str">
        <f ca="1">IF(ISERROR(VLOOKUP(B21,Data!$B$4:$N$23,2,FALSE)),"-",VLOOKUP(B21,Data!$B$4:$N$23,2,FALSE))</f>
        <v>-</v>
      </c>
      <c r="D21" s="484" t="str">
        <f ca="1">IF(ISERROR(VLOOKUP(B21,Data!$B$4:$N$23,3,FALSE)),"-",VLOOKUP(B21,Data!$B$4:$N$23,3,FALSE))</f>
        <v>-</v>
      </c>
      <c r="E21" s="481" t="str">
        <f ca="1">IF(ISERROR(VLOOKUP(B21,Data!$B$4:$N$23,10,FALSE)),"-",VLOOKUP(B21,Data!$B$4:$N$23,10,FALSE))</f>
        <v>-</v>
      </c>
      <c r="F21" s="481" t="str">
        <f ca="1">IF(ISERROR(VLOOKUP(B21,Data!$B$29:$N$48,10,FALSE)),"-",VLOOKUP(B21,Data!$B$29:$N$48,10,FALSE))</f>
        <v>-</v>
      </c>
    </row>
    <row r="22" spans="2:6" x14ac:dyDescent="0.2">
      <c r="B22" s="473" t="str">
        <f ca="1">Order!J16</f>
        <v>*Hide*</v>
      </c>
      <c r="C22" s="483" t="str">
        <f ca="1">IF(ISERROR(VLOOKUP(B22,Data!$B$4:$N$23,2,FALSE)),"-",VLOOKUP(B22,Data!$B$4:$N$23,2,FALSE))</f>
        <v>-</v>
      </c>
      <c r="D22" s="484" t="str">
        <f ca="1">IF(ISERROR(VLOOKUP(B22,Data!$B$4:$N$23,3,FALSE)),"-",VLOOKUP(B22,Data!$B$4:$N$23,3,FALSE))</f>
        <v>-</v>
      </c>
      <c r="E22" s="481" t="str">
        <f ca="1">IF(ISERROR(VLOOKUP(B22,Data!$B$4:$N$23,10,FALSE)),"-",VLOOKUP(B22,Data!$B$4:$N$23,10,FALSE))</f>
        <v>-</v>
      </c>
      <c r="F22" s="481" t="str">
        <f ca="1">IF(ISERROR(VLOOKUP(B22,Data!$B$29:$N$48,10,FALSE)),"-",VLOOKUP(B22,Data!$B$29:$N$48,10,FALSE))</f>
        <v>-</v>
      </c>
    </row>
    <row r="23" spans="2:6" x14ac:dyDescent="0.2">
      <c r="B23" s="473" t="str">
        <f ca="1">Order!J17</f>
        <v>*Hide*</v>
      </c>
      <c r="C23" s="483" t="str">
        <f ca="1">IF(ISERROR(VLOOKUP(B23,Data!$B$4:$N$23,2,FALSE)),"-",VLOOKUP(B23,Data!$B$4:$N$23,2,FALSE))</f>
        <v>-</v>
      </c>
      <c r="D23" s="484" t="str">
        <f ca="1">IF(ISERROR(VLOOKUP(B23,Data!$B$4:$N$23,3,FALSE)),"-",VLOOKUP(B23,Data!$B$4:$N$23,3,FALSE))</f>
        <v>-</v>
      </c>
      <c r="E23" s="481" t="str">
        <f ca="1">IF(ISERROR(VLOOKUP(B23,Data!$B$4:$N$23,10,FALSE)),"-",VLOOKUP(B23,Data!$B$4:$N$23,10,FALSE))</f>
        <v>-</v>
      </c>
      <c r="F23" s="481" t="str">
        <f ca="1">IF(ISERROR(VLOOKUP(B23,Data!$B$29:$N$48,10,FALSE)),"-",VLOOKUP(B23,Data!$B$29:$N$48,10,FALSE))</f>
        <v>-</v>
      </c>
    </row>
    <row r="24" spans="2:6" x14ac:dyDescent="0.2">
      <c r="B24" s="473" t="str">
        <f ca="1">Order!J18</f>
        <v>*Hide*</v>
      </c>
      <c r="C24" s="483" t="str">
        <f ca="1">IF(ISERROR(VLOOKUP(B24,Data!$B$4:$N$23,2,FALSE)),"-",VLOOKUP(B24,Data!$B$4:$N$23,2,FALSE))</f>
        <v>-</v>
      </c>
      <c r="D24" s="484" t="str">
        <f ca="1">IF(ISERROR(VLOOKUP(B24,Data!$B$4:$N$23,3,FALSE)),"-",VLOOKUP(B24,Data!$B$4:$N$23,3,FALSE))</f>
        <v>-</v>
      </c>
      <c r="E24" s="481" t="str">
        <f ca="1">IF(ISERROR(VLOOKUP(B24,Data!$B$4:$N$23,10,FALSE)),"-",VLOOKUP(B24,Data!$B$4:$N$23,10,FALSE))</f>
        <v>-</v>
      </c>
      <c r="F24" s="481" t="str">
        <f ca="1">IF(ISERROR(VLOOKUP(B24,Data!$B$29:$N$48,10,FALSE)),"-",VLOOKUP(B24,Data!$B$29:$N$48,10,FALSE))</f>
        <v>-</v>
      </c>
    </row>
    <row r="25" spans="2:6" x14ac:dyDescent="0.2">
      <c r="B25" s="473" t="str">
        <f ca="1">Order!J19</f>
        <v>*Hide*</v>
      </c>
      <c r="C25" s="483" t="str">
        <f ca="1">IF(ISERROR(VLOOKUP(B25,Data!$B$4:$N$23,2,FALSE)),"-",VLOOKUP(B25,Data!$B$4:$N$23,2,FALSE))</f>
        <v>-</v>
      </c>
      <c r="D25" s="484" t="str">
        <f ca="1">IF(ISERROR(VLOOKUP(B25,Data!$B$4:$N$23,3,FALSE)),"-",VLOOKUP(B25,Data!$B$4:$N$23,3,FALSE))</f>
        <v>-</v>
      </c>
      <c r="E25" s="481" t="str">
        <f ca="1">IF(ISERROR(VLOOKUP(B25,Data!$B$4:$N$23,10,FALSE)),"-",VLOOKUP(B25,Data!$B$4:$N$23,10,FALSE))</f>
        <v>-</v>
      </c>
      <c r="F25" s="481" t="str">
        <f ca="1">IF(ISERROR(VLOOKUP(B25,Data!$B$29:$N$48,10,FALSE)),"-",VLOOKUP(B25,Data!$B$29:$N$48,10,FALSE))</f>
        <v>-</v>
      </c>
    </row>
    <row r="26" spans="2:6" x14ac:dyDescent="0.2">
      <c r="B26" s="473" t="str">
        <f ca="1">Order!J20</f>
        <v>*Hide*</v>
      </c>
      <c r="C26" s="483" t="str">
        <f ca="1">IF(ISERROR(VLOOKUP(B26,Data!$B$4:$N$23,2,FALSE)),"-",VLOOKUP(B26,Data!$B$4:$N$23,2,FALSE))</f>
        <v>-</v>
      </c>
      <c r="D26" s="484" t="str">
        <f ca="1">IF(ISERROR(VLOOKUP(B26,Data!$B$4:$N$23,3,FALSE)),"-",VLOOKUP(B26,Data!$B$4:$N$23,3,FALSE))</f>
        <v>-</v>
      </c>
      <c r="E26" s="481" t="str">
        <f ca="1">IF(ISERROR(VLOOKUP(B26,Data!$B$4:$N$23,10,FALSE)),"-",VLOOKUP(B26,Data!$B$4:$N$23,10,FALSE))</f>
        <v>-</v>
      </c>
      <c r="F26" s="481" t="str">
        <f ca="1">IF(ISERROR(VLOOKUP(B26,Data!$B$29:$N$48,10,FALSE)),"-",VLOOKUP(B26,Data!$B$29:$N$48,10,FALSE))</f>
        <v>-</v>
      </c>
    </row>
    <row r="27" spans="2:6" x14ac:dyDescent="0.2">
      <c r="B27" s="473" t="str">
        <f ca="1">Order!J21</f>
        <v>*Hide*</v>
      </c>
      <c r="C27" s="483" t="str">
        <f ca="1">IF(ISERROR(VLOOKUP(B27,Data!$B$4:$N$23,2,FALSE)),"-",VLOOKUP(B27,Data!$B$4:$N$23,2,FALSE))</f>
        <v>-</v>
      </c>
      <c r="D27" s="484" t="str">
        <f ca="1">IF(ISERROR(VLOOKUP(B27,Data!$B$4:$N$23,3,FALSE)),"-",VLOOKUP(B27,Data!$B$4:$N$23,3,FALSE))</f>
        <v>-</v>
      </c>
      <c r="E27" s="481" t="str">
        <f ca="1">IF(ISERROR(VLOOKUP(B27,Data!$B$4:$N$23,10,FALSE)),"-",VLOOKUP(B27,Data!$B$4:$N$23,10,FALSE))</f>
        <v>-</v>
      </c>
      <c r="F27" s="481" t="str">
        <f ca="1">IF(ISERROR(VLOOKUP(B27,Data!$B$29:$N$48,10,FALSE)),"-",VLOOKUP(B27,Data!$B$29:$N$48,10,FALSE))</f>
        <v>-</v>
      </c>
    </row>
    <row r="28" spans="2:6" x14ac:dyDescent="0.2">
      <c r="B28" s="473" t="str">
        <f ca="1">Order!J22</f>
        <v>*Hide*</v>
      </c>
      <c r="C28" s="483" t="str">
        <f ca="1">IF(ISERROR(VLOOKUP(B28,Data!$B$4:$N$23,2,FALSE)),"-",VLOOKUP(B28,Data!$B$4:$N$23,2,FALSE))</f>
        <v>-</v>
      </c>
      <c r="D28" s="484" t="str">
        <f ca="1">IF(ISERROR(VLOOKUP(B28,Data!$B$4:$N$23,3,FALSE)),"-",VLOOKUP(B28,Data!$B$4:$N$23,3,FALSE))</f>
        <v>-</v>
      </c>
      <c r="E28" s="481" t="str">
        <f ca="1">IF(ISERROR(VLOOKUP(B28,Data!$B$4:$N$23,10,FALSE)),"-",VLOOKUP(B28,Data!$B$4:$N$23,10,FALSE))</f>
        <v>-</v>
      </c>
      <c r="F28" s="481" t="str">
        <f ca="1">IF(ISERROR(VLOOKUP(B28,Data!$B$29:$N$48,10,FALSE)),"-",VLOOKUP(B28,Data!$B$29:$N$48,10,FALSE))</f>
        <v>-</v>
      </c>
    </row>
    <row r="29" spans="2:6" x14ac:dyDescent="0.2">
      <c r="B29" s="474" t="str">
        <f>Data!B24</f>
        <v>Regulatory</v>
      </c>
      <c r="C29" s="483" t="str">
        <f>Data!C24</f>
        <v>-</v>
      </c>
      <c r="D29" s="484" t="str">
        <f>Data!D24</f>
        <v>-</v>
      </c>
      <c r="E29" s="481">
        <f>Data!K24</f>
        <v>0</v>
      </c>
      <c r="F29" s="481">
        <f>Data!K49</f>
        <v>23019.69</v>
      </c>
    </row>
    <row r="32" spans="2:6" x14ac:dyDescent="0.2">
      <c r="B32" s="59" t="s">
        <v>815</v>
      </c>
    </row>
    <row r="33" spans="2:8" x14ac:dyDescent="0.2">
      <c r="B33" s="471" t="s">
        <v>792</v>
      </c>
      <c r="C33" s="479" t="s">
        <v>553</v>
      </c>
      <c r="D33" s="479" t="s">
        <v>554</v>
      </c>
    </row>
    <row r="34" spans="2:8" x14ac:dyDescent="0.2">
      <c r="B34" s="473" t="str">
        <f>Data!F3</f>
        <v>Planning / Design</v>
      </c>
      <c r="C34" s="481">
        <f>Data!F25</f>
        <v>100000.00000000003</v>
      </c>
      <c r="D34" s="481">
        <f>Data!F50</f>
        <v>0</v>
      </c>
    </row>
    <row r="35" spans="2:8" x14ac:dyDescent="0.2">
      <c r="B35" s="473" t="str">
        <f>Data!G3</f>
        <v>Marketing &amp; Delivery</v>
      </c>
      <c r="C35" s="481">
        <f>Data!G25</f>
        <v>22006759.76797957</v>
      </c>
      <c r="D35" s="481">
        <f>Data!G50</f>
        <v>22123047.739999998</v>
      </c>
    </row>
    <row r="36" spans="2:8" x14ac:dyDescent="0.2">
      <c r="B36" s="473" t="str">
        <f>Data!H3</f>
        <v>Incentives / Direct Install Costs</v>
      </c>
      <c r="C36" s="481">
        <f>Data!H25</f>
        <v>46713430.566847771</v>
      </c>
      <c r="D36" s="481">
        <f>Data!H50</f>
        <v>33579749.659999996</v>
      </c>
    </row>
    <row r="37" spans="2:8" x14ac:dyDescent="0.2">
      <c r="B37" s="473" t="str">
        <f>Data!I3</f>
        <v>EM&amp;V</v>
      </c>
      <c r="C37" s="481">
        <f>Data!I25</f>
        <v>2240000.0000000005</v>
      </c>
      <c r="D37" s="481">
        <f>Data!I50</f>
        <v>1575183.1500000011</v>
      </c>
    </row>
    <row r="38" spans="2:8" x14ac:dyDescent="0.2">
      <c r="B38" s="473" t="str">
        <f>Data!J3</f>
        <v>Administration</v>
      </c>
      <c r="C38" s="481">
        <f>Data!J25</f>
        <v>3240000.0000000009</v>
      </c>
      <c r="D38" s="481">
        <f>Data!J50</f>
        <v>1936332.4100000001</v>
      </c>
    </row>
    <row r="39" spans="2:8" x14ac:dyDescent="0.2">
      <c r="B39" s="473" t="str">
        <f>Budgets!H26</f>
        <v>Regulatory</v>
      </c>
      <c r="C39" s="481">
        <f>Data!K24</f>
        <v>0</v>
      </c>
      <c r="D39" s="481">
        <f>Data!K49</f>
        <v>23019.69</v>
      </c>
    </row>
    <row r="42" spans="2:8" x14ac:dyDescent="0.2">
      <c r="B42" s="59" t="s">
        <v>816</v>
      </c>
    </row>
    <row r="43" spans="2:8" x14ac:dyDescent="0.2">
      <c r="B43" s="471" t="s">
        <v>817</v>
      </c>
      <c r="C43" s="471" t="s">
        <v>576</v>
      </c>
      <c r="D43" s="471" t="s">
        <v>818</v>
      </c>
      <c r="E43" s="471" t="s">
        <v>819</v>
      </c>
      <c r="F43" s="471" t="s">
        <v>820</v>
      </c>
      <c r="G43" s="471" t="s">
        <v>555</v>
      </c>
      <c r="H43" s="471" t="s">
        <v>556</v>
      </c>
    </row>
    <row r="44" spans="2:8" x14ac:dyDescent="0.2">
      <c r="B44" s="480">
        <f>B45-1</f>
        <v>2021</v>
      </c>
      <c r="C44" s="481">
        <f>VLOOKUP($B44,'Prior Year Portfolio'!$C$10:$J$13,2,FALSE)</f>
        <v>1878947018</v>
      </c>
      <c r="D44" s="476">
        <f>VLOOKUP($B44,'Prior Year Portfolio'!$C$10:$J$13,3,FALSE)</f>
        <v>22281461</v>
      </c>
      <c r="E44" s="481">
        <f>VLOOKUP($B44,'Prior Year Portfolio'!$C$10:$J$13,5,FALSE)</f>
        <v>69584738.691990227</v>
      </c>
      <c r="F44" s="481">
        <f>VLOOKUP($B44,'Prior Year Portfolio'!$C$10:$J$13,6,FALSE)</f>
        <v>58872091.350000009</v>
      </c>
      <c r="G44" s="476">
        <f>VLOOKUP($B44,'Prior Year Portfolio'!$C$10:$J$13,7,FALSE)</f>
        <v>285765</v>
      </c>
      <c r="H44" s="476">
        <f>VLOOKUP($B44,'Prior Year Portfolio'!$C$10:$J$13,8,FALSE)</f>
        <v>311158</v>
      </c>
    </row>
    <row r="45" spans="2:8" x14ac:dyDescent="0.2">
      <c r="B45" s="480">
        <f>B46-1</f>
        <v>2022</v>
      </c>
      <c r="C45" s="481">
        <f>VLOOKUP($B45,'Prior Year Portfolio'!$C$10:$J$13,2,FALSE)</f>
        <v>2056564892</v>
      </c>
      <c r="D45" s="476">
        <f>VLOOKUP($B45,'Prior Year Portfolio'!$C$10:$J$13,3,FALSE)</f>
        <v>22326106</v>
      </c>
      <c r="E45" s="481">
        <f>VLOOKUP($B45,'Prior Year Portfolio'!$C$10:$J$13,5,FALSE)</f>
        <v>69354507.308657885</v>
      </c>
      <c r="F45" s="481">
        <f>VLOOKUP($B45,'Prior Year Portfolio'!$C$10:$J$13,6,FALSE)</f>
        <v>59151985.549999997</v>
      </c>
      <c r="G45" s="476">
        <f>VLOOKUP($B45,'Prior Year Portfolio'!$C$10:$J$13,7,FALSE)</f>
        <v>285149</v>
      </c>
      <c r="H45" s="476">
        <f>VLOOKUP($B45,'Prior Year Portfolio'!$C$10:$J$13,8,FALSE)</f>
        <v>292926</v>
      </c>
    </row>
    <row r="46" spans="2:8" x14ac:dyDescent="0.2">
      <c r="B46" s="480">
        <f>B47-1</f>
        <v>2023</v>
      </c>
      <c r="C46" s="481">
        <f>VLOOKUP($B46,'Prior Year Portfolio'!$C$10:$J$13,2,FALSE)</f>
        <v>2236944970</v>
      </c>
      <c r="D46" s="476">
        <f>VLOOKUP($B46,'Prior Year Portfolio'!$C$10:$J$13,3,FALSE)</f>
        <v>22518603</v>
      </c>
      <c r="E46" s="481">
        <f>VLOOKUP($B46,'Prior Year Portfolio'!$C$10:$J$13,5,FALSE)</f>
        <v>69354507.308657885</v>
      </c>
      <c r="F46" s="481">
        <f>VLOOKUP($B46,'Prior Year Portfolio'!$C$10:$J$13,6,FALSE)</f>
        <v>58224010.772999994</v>
      </c>
      <c r="G46" s="476">
        <f>VLOOKUP($B46,'Prior Year Portfolio'!$C$10:$J$13,7,FALSE)</f>
        <v>285149</v>
      </c>
      <c r="H46" s="476">
        <f>VLOOKUP($B46,'Prior Year Portfolio'!$C$10:$J$13,8,FALSE)</f>
        <v>283028</v>
      </c>
    </row>
    <row r="47" spans="2:8" x14ac:dyDescent="0.2">
      <c r="B47" s="480">
        <f>B48-1</f>
        <v>2024</v>
      </c>
      <c r="C47" s="481">
        <f>VLOOKUP($B47,'Prior Year Portfolio'!$C$10:$J$13,2,FALSE)</f>
        <v>2221980583</v>
      </c>
      <c r="D47" s="476">
        <f>VLOOKUP($B47,'Prior Year Portfolio'!$C$10:$J$13,3,FALSE)</f>
        <v>22518603</v>
      </c>
      <c r="E47" s="481">
        <f>VLOOKUP($B47,'Prior Year Portfolio'!$C$10:$J$13,5,FALSE)</f>
        <v>73679987</v>
      </c>
      <c r="F47" s="481">
        <f>VLOOKUP($B47,'Prior Year Portfolio'!$C$10:$J$13,6,FALSE)</f>
        <v>58231942.300000004</v>
      </c>
      <c r="G47" s="476">
        <f>VLOOKUP($B47,'Prior Year Portfolio'!$C$10:$J$13,7,FALSE)</f>
        <v>253490</v>
      </c>
      <c r="H47" s="476">
        <f>VLOOKUP($B47,'Prior Year Portfolio'!$C$10:$J$13,8,FALSE)</f>
        <v>251696</v>
      </c>
    </row>
    <row r="48" spans="2:8" x14ac:dyDescent="0.2">
      <c r="B48" s="480">
        <f>Prg_Year</f>
        <v>2025</v>
      </c>
      <c r="C48" s="481">
        <f>'Utility Information'!F8</f>
        <v>2415710672</v>
      </c>
      <c r="D48" s="476">
        <f>'Utility Information'!F11</f>
        <v>25862890</v>
      </c>
      <c r="E48" s="481">
        <f>Budgets!I27</f>
        <v>74300190.334827334</v>
      </c>
      <c r="F48" s="481">
        <f>'Actual Expenses'!J91</f>
        <v>59237332.649999991</v>
      </c>
      <c r="G48" s="244">
        <f>'Savings &amp; Participants'!E26/1000</f>
        <v>253409.43640753289</v>
      </c>
      <c r="H48" s="476">
        <f>'Evaluated Savings'!E26/1000</f>
        <v>255840.15398199405</v>
      </c>
    </row>
    <row r="49" spans="2:15" x14ac:dyDescent="0.2">
      <c r="C49" s="100"/>
      <c r="D49" s="100"/>
      <c r="G49">
        <v>285557</v>
      </c>
      <c r="H49" s="244">
        <v>294313</v>
      </c>
    </row>
    <row r="50" spans="2:15" x14ac:dyDescent="0.2">
      <c r="C50" s="100"/>
      <c r="D50" s="100"/>
      <c r="G50">
        <v>285557449.35536951</v>
      </c>
      <c r="H50">
        <v>294312516.56987101</v>
      </c>
    </row>
    <row r="51" spans="2:15" x14ac:dyDescent="0.2">
      <c r="C51" s="100"/>
      <c r="D51" s="100"/>
    </row>
    <row r="52" spans="2:15" x14ac:dyDescent="0.2">
      <c r="C52" s="100"/>
      <c r="D52" s="100"/>
    </row>
    <row r="53" spans="2:15" x14ac:dyDescent="0.2">
      <c r="C53" s="100"/>
      <c r="D53" s="100"/>
    </row>
    <row r="54" spans="2:15" x14ac:dyDescent="0.2">
      <c r="C54" s="100"/>
      <c r="D54" s="100"/>
    </row>
    <row r="55" spans="2:15" x14ac:dyDescent="0.2">
      <c r="C55" s="100"/>
      <c r="D55" s="100"/>
    </row>
    <row r="56" spans="2:15" x14ac:dyDescent="0.2">
      <c r="B56" s="59" t="s">
        <v>821</v>
      </c>
    </row>
    <row r="57" spans="2:15" x14ac:dyDescent="0.2">
      <c r="B57" s="471" t="s">
        <v>85</v>
      </c>
      <c r="C57" s="479" t="s">
        <v>86</v>
      </c>
      <c r="D57" s="479" t="s">
        <v>553</v>
      </c>
      <c r="E57" s="479" t="s">
        <v>554</v>
      </c>
      <c r="F57" s="479" t="s">
        <v>555</v>
      </c>
      <c r="G57" s="479" t="s">
        <v>556</v>
      </c>
      <c r="H57" s="479" t="s">
        <v>555</v>
      </c>
      <c r="I57" s="479" t="s">
        <v>554</v>
      </c>
      <c r="J57" s="479" t="s">
        <v>429</v>
      </c>
      <c r="K57" s="479" t="s">
        <v>190</v>
      </c>
      <c r="L57" s="479" t="s">
        <v>822</v>
      </c>
      <c r="N57" s="279" t="s">
        <v>806</v>
      </c>
    </row>
    <row r="58" spans="2:15" x14ac:dyDescent="0.2">
      <c r="B58" s="473" t="str">
        <f ca="1">Order!J3</f>
        <v>Home Energy Solutions</v>
      </c>
      <c r="C58" s="473" t="str">
        <f ca="1">IF(ISERROR(VLOOKUP(B58,Data!$B$4:$N$23,2,FALSE)),"-",VLOOKUP(B58,Data!$B$4:$N$23,2,FALSE))</f>
        <v>Residential</v>
      </c>
      <c r="D58" s="481">
        <f ca="1">IF(ISERROR(VLOOKUP(B58,Data!$B$4:$N$23,10,FALSE)),"-",VLOOKUP(B58,Data!$B$4:$N$23,10,FALSE))</f>
        <v>15248596.375572719</v>
      </c>
      <c r="E58" s="481">
        <f ca="1">IF(ISERROR(VLOOKUP(B58,Data!$B$29:$T$48,10,FALSE)),"-",VLOOKUP(B58,Data!$B$29:$T$48,10,FALSE))</f>
        <v>12494941.98650186</v>
      </c>
      <c r="F58" s="476">
        <f ca="1">IF(ISERROR(VLOOKUP(B58,Data!$B$4:$N$23,12,FALSE)),"-",VLOOKUP(B58,Data!$B$4:$N$23,12,FALSE))</f>
        <v>27272531.0301213</v>
      </c>
      <c r="G58" s="476">
        <f ca="1">IF(ISERROR(VLOOKUP(B58,Data!$B$29:$T$48,12,FALSE)),"-",VLOOKUP(B58,Data!$B$29:$T$48,12,FALSE))</f>
        <v>30406973.18046065</v>
      </c>
      <c r="H58" s="476">
        <f ca="1">IF(ISERROR(VLOOKUP(B58,Data!$B$4:$N$23,13,FALSE)),"-",VLOOKUP(B58,Data!$B$4:$N$23,13,FALSE))</f>
        <v>7281</v>
      </c>
      <c r="I58" s="476">
        <f ca="1">IF(ISERROR(VLOOKUP(B58,Data!$B$29:$T$48,13,FALSE)),"-",VLOOKUP(B58,Data!$B$29:$T$48,13,FALSE))</f>
        <v>7403</v>
      </c>
      <c r="J58" s="482">
        <f ca="1">IF(ISERROR(VLOOKUP(B58,Data!$B$29:$T$48,18,FALSE)),"-",VLOOKUP(B58,Data!$B$29:$T$48,18,FALSE))</f>
        <v>2.4324344781833203</v>
      </c>
      <c r="K58" s="481">
        <f ca="1">IF(ISERROR(VLOOKUP(B58,Data!$B$29:$T$48,15,FALSE)),"-",VLOOKUP(B58,Data!$B$29:$T$48,15,FALSE))</f>
        <v>12172.260864124122</v>
      </c>
      <c r="L58" s="485">
        <f ca="1">IF(ISERROR(VLOOKUP(B58,Data!$B$29:$T$48,16,FALSE)),"-",VLOOKUP(B58,Data!$B$29:$T$48,16,FALSE))</f>
        <v>29608.227003337008</v>
      </c>
      <c r="M58" s="100">
        <f ca="1">IF(E58="-",0,E58)</f>
        <v>12494941.98650186</v>
      </c>
      <c r="N58" s="109">
        <f ca="1">COUNT($M$58:$M$77)-(RANK(M58,$M$58:$M$77)+COUNTIF($M58:M$58,M58)-1)+1</f>
        <v>19</v>
      </c>
      <c r="O58" t="str">
        <f ca="1">OFFSET(B$58,MATCH(LARGE(N$58:N$77,ROW()-ROW(N$58)+1),N$58:N$77,0)-1,0)</f>
        <v>Large Commercial &amp; Industrial Solutions</v>
      </c>
    </row>
    <row r="59" spans="2:15" x14ac:dyDescent="0.2">
      <c r="B59" s="473" t="str">
        <f ca="1">Order!J4</f>
        <v xml:space="preserve">Low-Income Solutions </v>
      </c>
      <c r="C59" s="473" t="str">
        <f ca="1">IF(ISERROR(VLOOKUP(B59,Data!$B$4:$N$23,2,FALSE)),"-",VLOOKUP(B59,Data!$B$4:$N$23,2,FALSE))</f>
        <v>Residential</v>
      </c>
      <c r="D59" s="481">
        <f ca="1">IF(ISERROR(VLOOKUP(B59,Data!$B$4:$N$23,10,FALSE)),"-",VLOOKUP(B59,Data!$B$4:$N$23,10,FALSE))</f>
        <v>5412099.8553003902</v>
      </c>
      <c r="E59" s="481">
        <f ca="1">IF(ISERROR(VLOOKUP(B59,Data!$B$29:$T$48,10,FALSE)),"-",VLOOKUP(B59,Data!$B$29:$T$48,10,FALSE))</f>
        <v>4763927.8427500166</v>
      </c>
      <c r="F59" s="476">
        <f ca="1">IF(ISERROR(VLOOKUP(B59,Data!$B$4:$N$23,12,FALSE)),"-",VLOOKUP(B59,Data!$B$4:$N$23,12,FALSE))</f>
        <v>7872898.9500000002</v>
      </c>
      <c r="G59" s="476">
        <f ca="1">IF(ISERROR(VLOOKUP(B59,Data!$B$29:$T$48,12,FALSE)),"-",VLOOKUP(B59,Data!$B$29:$T$48,12,FALSE))</f>
        <v>8312577.7166410862</v>
      </c>
      <c r="H59" s="476">
        <f ca="1">IF(ISERROR(VLOOKUP(B59,Data!$B$4:$N$23,13,FALSE)),"-",VLOOKUP(B59,Data!$B$4:$N$23,13,FALSE))</f>
        <v>2192</v>
      </c>
      <c r="I59" s="476">
        <f ca="1">IF(ISERROR(VLOOKUP(B59,Data!$B$29:$T$48,13,FALSE)),"-",VLOOKUP(B59,Data!$B$29:$T$48,13,FALSE))</f>
        <v>2161</v>
      </c>
      <c r="J59" s="482">
        <f ca="1">IF(ISERROR(VLOOKUP(B59,Data!$B$29:$T$48,18,FALSE)),"-",VLOOKUP(B59,Data!$B$29:$T$48,18,FALSE))</f>
        <v>1.6364969337907003</v>
      </c>
      <c r="K59" s="481">
        <f ca="1">IF(ISERROR(VLOOKUP(B59,Data!$B$29:$T$48,15,FALSE)),"-",VLOOKUP(B59,Data!$B$29:$T$48,15,FALSE))</f>
        <v>4673.6531799999993</v>
      </c>
      <c r="L59" s="481">
        <f ca="1">IF(ISERROR(VLOOKUP(B59,Data!$B$29:$T$48,16,FALSE)),"-",VLOOKUP(B59,Data!$B$29:$T$48,16,FALSE))</f>
        <v>7648.4190986711546</v>
      </c>
      <c r="M59" s="100">
        <f t="shared" ref="M59:M77" ca="1" si="0">IF(E59="-",0,E59)</f>
        <v>4763927.8427500166</v>
      </c>
      <c r="N59" s="109">
        <f ca="1">COUNT($M$58:$M$77)-(RANK(M59,$M$58:$M$77)+COUNTIF($M$58:M59,M59)-1)+1</f>
        <v>16</v>
      </c>
      <c r="O59" t="str">
        <f t="shared" ref="O59:O77" ca="1" si="1">OFFSET(B$58,MATCH(LARGE(N$58:N$77,ROW()-ROW(N$58)+1),N$58:N$77,0)-1,0)</f>
        <v>Home Energy Solutions</v>
      </c>
    </row>
    <row r="60" spans="2:15" x14ac:dyDescent="0.2">
      <c r="B60" s="473" t="str">
        <f ca="1">Order!J5</f>
        <v>Manufactured Homes</v>
      </c>
      <c r="C60" s="473" t="str">
        <f ca="1">IF(ISERROR(VLOOKUP(B60,Data!$B$4:$N$23,2,FALSE)),"-",VLOOKUP(B60,Data!$B$4:$N$23,2,FALSE))</f>
        <v>Residential</v>
      </c>
      <c r="D60" s="481">
        <f ca="1">IF(ISERROR(VLOOKUP(B60,Data!$B$4:$N$23,10,FALSE)),"-",VLOOKUP(B60,Data!$B$4:$N$23,10,FALSE))</f>
        <v>1420560.1612621918</v>
      </c>
      <c r="E60" s="481">
        <f ca="1">IF(ISERROR(VLOOKUP(B60,Data!$B$29:$T$48,10,FALSE)),"-",VLOOKUP(B60,Data!$B$29:$T$48,10,FALSE))</f>
        <v>1310088.7154859044</v>
      </c>
      <c r="F60" s="476">
        <f ca="1">IF(ISERROR(VLOOKUP(B60,Data!$B$4:$N$23,12,FALSE)),"-",VLOOKUP(B60,Data!$B$4:$N$23,12,FALSE))</f>
        <v>5023384.1359999999</v>
      </c>
      <c r="G60" s="476">
        <f ca="1">IF(ISERROR(VLOOKUP(B60,Data!$B$29:$T$48,12,FALSE)),"-",VLOOKUP(B60,Data!$B$29:$T$48,12,FALSE))</f>
        <v>5070585.2644848609</v>
      </c>
      <c r="H60" s="476">
        <f ca="1">IF(ISERROR(VLOOKUP(B60,Data!$B$4:$N$23,13,FALSE)),"-",VLOOKUP(B60,Data!$B$4:$N$23,13,FALSE))</f>
        <v>602</v>
      </c>
      <c r="I60" s="476">
        <f ca="1">IF(ISERROR(VLOOKUP(B60,Data!$B$29:$T$48,13,FALSE)),"-",VLOOKUP(B60,Data!$B$29:$T$48,13,FALSE))</f>
        <v>647</v>
      </c>
      <c r="J60" s="482">
        <f ca="1">IF(ISERROR(VLOOKUP(B60,Data!$B$29:$T$48,18,FALSE)),"-",VLOOKUP(B60,Data!$B$29:$T$48,18,FALSE))</f>
        <v>2.5160358629539226</v>
      </c>
      <c r="K60" s="481">
        <f ca="1">IF(ISERROR(VLOOKUP(B60,Data!$B$29:$T$48,15,FALSE)),"-",VLOOKUP(B60,Data!$B$29:$T$48,15,FALSE))</f>
        <v>1222.24163</v>
      </c>
      <c r="L60" s="481">
        <f ca="1">IF(ISERROR(VLOOKUP(B60,Data!$B$29:$T$48,16,FALSE)),"-",VLOOKUP(B60,Data!$B$29:$T$48,16,FALSE))</f>
        <v>3075.2037742752591</v>
      </c>
      <c r="M60" s="100">
        <f t="shared" ca="1" si="0"/>
        <v>1310088.7154859044</v>
      </c>
      <c r="N60" s="109">
        <f ca="1">COUNT($M$58:$M$77)-(RANK(M60,$M$58:$M$77)+COUNTIF($M$58:M60,M60)-1)+1</f>
        <v>9</v>
      </c>
      <c r="O60" t="str">
        <f t="shared" ca="1" si="1"/>
        <v>Point of Purchase Solutions</v>
      </c>
    </row>
    <row r="61" spans="2:15" x14ac:dyDescent="0.2">
      <c r="B61" s="473" t="str">
        <f ca="1">Order!J6</f>
        <v>Multifamily Homes</v>
      </c>
      <c r="C61" s="473" t="str">
        <f ca="1">IF(ISERROR(VLOOKUP(B61,Data!$B$4:$N$23,2,FALSE)),"-",VLOOKUP(B61,Data!$B$4:$N$23,2,FALSE))</f>
        <v>Residential</v>
      </c>
      <c r="D61" s="481">
        <f ca="1">IF(ISERROR(VLOOKUP(B61,Data!$B$4:$N$23,10,FALSE)),"-",VLOOKUP(B61,Data!$B$4:$N$23,10,FALSE))</f>
        <v>2856920.9541101647</v>
      </c>
      <c r="E61" s="481">
        <f ca="1">IF(ISERROR(VLOOKUP(B61,Data!$B$29:$T$48,10,FALSE)),"-",VLOOKUP(B61,Data!$B$29:$T$48,10,FALSE))</f>
        <v>2616186.8275253</v>
      </c>
      <c r="F61" s="476">
        <f ca="1">IF(ISERROR(VLOOKUP(B61,Data!$B$4:$N$23,12,FALSE)),"-",VLOOKUP(B61,Data!$B$4:$N$23,12,FALSE))</f>
        <v>9784860.4155000001</v>
      </c>
      <c r="G61" s="476">
        <f ca="1">IF(ISERROR(VLOOKUP(B61,Data!$B$29:$T$48,12,FALSE)),"-",VLOOKUP(B61,Data!$B$29:$T$48,12,FALSE))</f>
        <v>10077059.989879465</v>
      </c>
      <c r="H61" s="476">
        <f ca="1">IF(ISERROR(VLOOKUP(B61,Data!$B$4:$N$23,13,FALSE)),"-",VLOOKUP(B61,Data!$B$4:$N$23,13,FALSE))</f>
        <v>2028</v>
      </c>
      <c r="I61" s="476">
        <f ca="1">IF(ISERROR(VLOOKUP(B61,Data!$B$29:$T$48,13,FALSE)),"-",VLOOKUP(B61,Data!$B$29:$T$48,13,FALSE))</f>
        <v>2265</v>
      </c>
      <c r="J61" s="482">
        <f ca="1">IF(ISERROR(VLOOKUP(B61,Data!$B$29:$T$48,18,FALSE)),"-",VLOOKUP(B61,Data!$B$29:$T$48,18,FALSE))</f>
        <v>2.5757494801134366</v>
      </c>
      <c r="K61" s="481">
        <f ca="1">IF(ISERROR(VLOOKUP(B61,Data!$B$29:$T$48,15,FALSE)),"-",VLOOKUP(B61,Data!$B$29:$T$48,15,FALSE))</f>
        <v>2472.9344300000002</v>
      </c>
      <c r="L61" s="481">
        <f ca="1">IF(ISERROR(VLOOKUP(B61,Data!$B$29:$T$48,16,FALSE)),"-",VLOOKUP(B61,Data!$B$29:$T$48,16,FALSE))</f>
        <v>6369.6595724271183</v>
      </c>
      <c r="M61" s="100">
        <f t="shared" ca="1" si="0"/>
        <v>2616186.8275253</v>
      </c>
      <c r="N61" s="109">
        <f ca="1">COUNT($M$58:$M$77)-(RANK(M61,$M$58:$M$77)+COUNTIF($M$58:M61,M61)-1)+1</f>
        <v>14</v>
      </c>
      <c r="O61" t="str">
        <f t="shared" ca="1" si="1"/>
        <v xml:space="preserve">Smart Direct Load Control Pilot </v>
      </c>
    </row>
    <row r="62" spans="2:15" x14ac:dyDescent="0.2">
      <c r="B62" s="473" t="str">
        <f ca="1">Order!J7</f>
        <v>Residential Direct Load Control</v>
      </c>
      <c r="C62" s="473" t="str">
        <f ca="1">IF(ISERROR(VLOOKUP(B62,Data!$B$4:$N$23,2,FALSE)),"-",VLOOKUP(B62,Data!$B$4:$N$23,2,FALSE))</f>
        <v>Residential</v>
      </c>
      <c r="D62" s="481">
        <f ca="1">IF(ISERROR(VLOOKUP(B62,Data!$B$4:$N$23,10,FALSE)),"-",VLOOKUP(B62,Data!$B$4:$N$23,10,FALSE))</f>
        <v>2666350.0000000005</v>
      </c>
      <c r="E62" s="481">
        <f ca="1">IF(ISERROR(VLOOKUP(B62,Data!$B$29:$T$48,10,FALSE)),"-",VLOOKUP(B62,Data!$B$29:$T$48,10,FALSE))</f>
        <v>2345939.6299310033</v>
      </c>
      <c r="F62" s="476">
        <f ca="1">IF(ISERROR(VLOOKUP(B62,Data!$B$4:$N$23,12,FALSE)),"-",VLOOKUP(B62,Data!$B$4:$N$23,12,FALSE))</f>
        <v>0</v>
      </c>
      <c r="G62" s="476">
        <f ca="1">IF(ISERROR(VLOOKUP(B62,Data!$B$29:$T$48,12,FALSE)),"-",VLOOKUP(B62,Data!$B$29:$T$48,12,FALSE))</f>
        <v>0</v>
      </c>
      <c r="H62" s="476">
        <f ca="1">IF(ISERROR(VLOOKUP(B62,Data!$B$4:$N$23,13,FALSE)),"-",VLOOKUP(B62,Data!$B$4:$N$23,13,FALSE))</f>
        <v>9587</v>
      </c>
      <c r="I62" s="476">
        <f ca="1">IF(ISERROR(VLOOKUP(B62,Data!$B$29:$T$48,13,FALSE)),"-",VLOOKUP(B62,Data!$B$29:$T$48,13,FALSE))</f>
        <v>11789</v>
      </c>
      <c r="J62" s="482">
        <f ca="1">IF(ISERROR(VLOOKUP(B62,Data!$B$29:$T$48,18,FALSE)),"-",VLOOKUP(B62,Data!$B$29:$T$48,18,FALSE))</f>
        <v>0</v>
      </c>
      <c r="K62" s="481">
        <f ca="1">IF(ISERROR(VLOOKUP(B62,Data!$B$29:$T$48,15,FALSE)),"-",VLOOKUP(B62,Data!$B$29:$T$48,15,FALSE))</f>
        <v>1866</v>
      </c>
      <c r="L62" s="481">
        <f ca="1">IF(ISERROR(VLOOKUP(B62,Data!$B$29:$T$48,16,FALSE)),"-",VLOOKUP(B62,Data!$B$29:$T$48,16,FALSE))</f>
        <v>0</v>
      </c>
      <c r="M62" s="100">
        <f t="shared" ca="1" si="0"/>
        <v>2345939.6299310033</v>
      </c>
      <c r="N62" s="109">
        <f ca="1">COUNT($M$58:$M$77)-(RANK(M62,$M$58:$M$77)+COUNTIF($M$58:M62,M62)-1)+1</f>
        <v>12</v>
      </c>
      <c r="O62" t="str">
        <f t="shared" ca="1" si="1"/>
        <v xml:space="preserve">Low-Income Solutions </v>
      </c>
    </row>
    <row r="63" spans="2:15" x14ac:dyDescent="0.2">
      <c r="B63" s="473" t="str">
        <f ca="1">Order!J8</f>
        <v>Small Business Solutions</v>
      </c>
      <c r="C63" s="473" t="str">
        <f ca="1">IF(ISERROR(VLOOKUP(B63,Data!$B$4:$N$23,2,FALSE)),"-",VLOOKUP(B63,Data!$B$4:$N$23,2,FALSE))</f>
        <v>Small Business</v>
      </c>
      <c r="D63" s="481">
        <f ca="1">IF(ISERROR(VLOOKUP(B63,Data!$B$4:$N$23,10,FALSE)),"-",VLOOKUP(B63,Data!$B$4:$N$23,10,FALSE))</f>
        <v>4178985.9141110736</v>
      </c>
      <c r="E63" s="481">
        <f ca="1">IF(ISERROR(VLOOKUP(B63,Data!$B$29:$T$48,10,FALSE)),"-",VLOOKUP(B63,Data!$B$29:$T$48,10,FALSE))</f>
        <v>2152818.7915076138</v>
      </c>
      <c r="F63" s="476">
        <f ca="1">IF(ISERROR(VLOOKUP(B63,Data!$B$4:$N$23,12,FALSE)),"-",VLOOKUP(B63,Data!$B$4:$N$23,12,FALSE))</f>
        <v>17147011.9466592</v>
      </c>
      <c r="G63" s="476">
        <f ca="1">IF(ISERROR(VLOOKUP(B63,Data!$B$29:$T$48,12,FALSE)),"-",VLOOKUP(B63,Data!$B$29:$T$48,12,FALSE))</f>
        <v>9777978.5595276505</v>
      </c>
      <c r="H63" s="476">
        <f ca="1">IF(ISERROR(VLOOKUP(B63,Data!$B$4:$N$23,13,FALSE)),"-",VLOOKUP(B63,Data!$B$4:$N$23,13,FALSE))</f>
        <v>751</v>
      </c>
      <c r="I63" s="476">
        <f ca="1">IF(ISERROR(VLOOKUP(B63,Data!$B$29:$T$48,13,FALSE)),"-",VLOOKUP(B63,Data!$B$29:$T$48,13,FALSE))</f>
        <v>786</v>
      </c>
      <c r="J63" s="482">
        <f ca="1">IF(ISERROR(VLOOKUP(B63,Data!$B$29:$T$48,18,FALSE)),"-",VLOOKUP(B63,Data!$B$29:$T$48,18,FALSE))</f>
        <v>2.5377215734426888</v>
      </c>
      <c r="K63" s="481">
        <f ca="1">IF(ISERROR(VLOOKUP(B63,Data!$B$29:$T$48,15,FALSE)),"-",VLOOKUP(B63,Data!$B$29:$T$48,15,FALSE))</f>
        <v>2017.33761999997</v>
      </c>
      <c r="L63" s="481">
        <f ca="1">IF(ISERROR(VLOOKUP(B63,Data!$B$29:$T$48,16,FALSE)),"-",VLOOKUP(B63,Data!$B$29:$T$48,16,FALSE))</f>
        <v>5119.4411991914531</v>
      </c>
      <c r="M63" s="100">
        <f t="shared" ca="1" si="0"/>
        <v>2152818.7915076138</v>
      </c>
      <c r="N63" s="109">
        <f ca="1">COUNT($M$58:$M$77)-(RANK(M63,$M$58:$M$77)+COUNTIF($M$58:M63,M63)-1)+1</f>
        <v>11</v>
      </c>
      <c r="O63" t="str">
        <f t="shared" ca="1" si="1"/>
        <v>Agricultural Irrigation Load Control</v>
      </c>
    </row>
    <row r="64" spans="2:15" x14ac:dyDescent="0.2">
      <c r="B64" s="473" t="str">
        <f ca="1">Order!J9</f>
        <v xml:space="preserve">Smart Direct Load Control Pilot </v>
      </c>
      <c r="C64" s="473" t="str">
        <f ca="1">IF(ISERROR(VLOOKUP(B64,Data!$B$4:$N$23,2,FALSE)),"-",VLOOKUP(B64,Data!$B$4:$N$23,2,FALSE))</f>
        <v>Res/Small Business</v>
      </c>
      <c r="D64" s="481">
        <f ca="1">IF(ISERROR(VLOOKUP(B64,Data!$B$4:$N$23,10,FALSE)),"-",VLOOKUP(B64,Data!$B$4:$N$23,10,FALSE))</f>
        <v>5718976.8999999994</v>
      </c>
      <c r="E64" s="481">
        <f ca="1">IF(ISERROR(VLOOKUP(B64,Data!$B$29:$T$48,10,FALSE)),"-",VLOOKUP(B64,Data!$B$29:$T$48,10,FALSE))</f>
        <v>4902381.89020494</v>
      </c>
      <c r="F64" s="476">
        <f ca="1">IF(ISERROR(VLOOKUP(B64,Data!$B$4:$N$23,12,FALSE)),"-",VLOOKUP(B64,Data!$B$4:$N$23,12,FALSE))</f>
        <v>4280579.2548000002</v>
      </c>
      <c r="G64" s="476">
        <f ca="1">IF(ISERROR(VLOOKUP(B64,Data!$B$29:$T$48,12,FALSE)),"-",VLOOKUP(B64,Data!$B$29:$T$48,12,FALSE))</f>
        <v>4521927</v>
      </c>
      <c r="H64" s="476">
        <f ca="1">IF(ISERROR(VLOOKUP(B64,Data!$B$4:$N$23,13,FALSE)),"-",VLOOKUP(B64,Data!$B$4:$N$23,13,FALSE))</f>
        <v>13378</v>
      </c>
      <c r="I64" s="476">
        <f ca="1">IF(ISERROR(VLOOKUP(B64,Data!$B$29:$T$48,13,FALSE)),"-",VLOOKUP(B64,Data!$B$29:$T$48,13,FALSE))</f>
        <v>1365</v>
      </c>
      <c r="J64" s="482">
        <f ca="1">IF(ISERROR(VLOOKUP(B64,Data!$B$29:$T$48,18,FALSE)),"-",VLOOKUP(B64,Data!$B$29:$T$48,18,FALSE))</f>
        <v>0.55584340748627892</v>
      </c>
      <c r="K64" s="481">
        <f ca="1">IF(ISERROR(VLOOKUP(B64,Data!$B$29:$T$48,15,FALSE)),"-",VLOOKUP(B64,Data!$B$29:$T$48,15,FALSE))</f>
        <v>3092.7593199999997</v>
      </c>
      <c r="L64" s="481">
        <f ca="1">IF(ISERROR(VLOOKUP(B64,Data!$B$29:$T$48,16,FALSE)),"-",VLOOKUP(B64,Data!$B$29:$T$48,16,FALSE))</f>
        <v>1719.0898789637467</v>
      </c>
      <c r="M64" s="100">
        <f t="shared" ca="1" si="0"/>
        <v>4902381.89020494</v>
      </c>
      <c r="N64" s="109">
        <f ca="1">COUNT($M$58:$M$77)-(RANK(M64,$M$58:$M$77)+COUNTIF($M$58:M64,M64)-1)+1</f>
        <v>17</v>
      </c>
      <c r="O64" t="str">
        <f t="shared" ca="1" si="1"/>
        <v>Multifamily Homes</v>
      </c>
    </row>
    <row r="65" spans="2:15" x14ac:dyDescent="0.2">
      <c r="B65" s="473" t="str">
        <f ca="1">Order!J10</f>
        <v>Large Commercial &amp; Industrial Solutions</v>
      </c>
      <c r="C65" s="473" t="str">
        <f ca="1">IF(ISERROR(VLOOKUP(B65,Data!$B$4:$N$23,2,FALSE)),"-",VLOOKUP(B65,Data!$B$4:$N$23,2,FALSE))</f>
        <v>Commercial &amp; Industrial</v>
      </c>
      <c r="D65" s="481">
        <f ca="1">IF(ISERROR(VLOOKUP(B65,Data!$B$4:$N$23,10,FALSE)),"-",VLOOKUP(B65,Data!$B$4:$N$23,10,FALSE))</f>
        <v>19083445.352329567</v>
      </c>
      <c r="E65" s="481">
        <f ca="1">IF(ISERROR(VLOOKUP(B65,Data!$B$29:$T$48,10,FALSE)),"-",VLOOKUP(B65,Data!$B$29:$T$48,10,FALSE))</f>
        <v>12876548.849602131</v>
      </c>
      <c r="F65" s="476">
        <f ca="1">IF(ISERROR(VLOOKUP(B65,Data!$B$4:$N$23,12,FALSE)),"-",VLOOKUP(B65,Data!$B$4:$N$23,12,FALSE))</f>
        <v>105503573.110254</v>
      </c>
      <c r="G65" s="476">
        <f ca="1">IF(ISERROR(VLOOKUP(B65,Data!$B$29:$T$48,12,FALSE)),"-",VLOOKUP(B65,Data!$B$29:$T$48,12,FALSE))</f>
        <v>106468813.42825335</v>
      </c>
      <c r="H65" s="476">
        <f ca="1">IF(ISERROR(VLOOKUP(B65,Data!$B$4:$N$23,13,FALSE)),"-",VLOOKUP(B65,Data!$B$4:$N$23,13,FALSE))</f>
        <v>487</v>
      </c>
      <c r="I65" s="476">
        <f ca="1">IF(ISERROR(VLOOKUP(B65,Data!$B$29:$T$48,13,FALSE)),"-",VLOOKUP(B65,Data!$B$29:$T$48,13,FALSE))</f>
        <v>350</v>
      </c>
      <c r="J65" s="482">
        <f ca="1">IF(ISERROR(VLOOKUP(B65,Data!$B$29:$T$48,18,FALSE)),"-",VLOOKUP(B65,Data!$B$29:$T$48,18,FALSE))</f>
        <v>2.2064511272278122</v>
      </c>
      <c r="K65" s="481">
        <f ca="1">IF(ISERROR(VLOOKUP(B65,Data!$B$29:$T$48,15,FALSE)),"-",VLOOKUP(B65,Data!$B$29:$T$48,15,FALSE))</f>
        <v>12051.635231107</v>
      </c>
      <c r="L65" s="481">
        <f ca="1">IF(ISERROR(VLOOKUP(B65,Data!$B$29:$T$48,16,FALSE)),"-",VLOOKUP(B65,Data!$B$29:$T$48,16,FALSE))</f>
        <v>26591.344140614456</v>
      </c>
      <c r="M65" s="100">
        <f t="shared" ca="1" si="0"/>
        <v>12876548.849602131</v>
      </c>
      <c r="N65" s="109">
        <f ca="1">COUNT($M$58:$M$77)-(RANK(M65,$M$58:$M$77)+COUNTIF($M$58:M65,M65)-1)+1</f>
        <v>20</v>
      </c>
      <c r="O65" t="str">
        <f t="shared" ca="1" si="1"/>
        <v xml:space="preserve">Public Institutions Solutions </v>
      </c>
    </row>
    <row r="66" spans="2:15" x14ac:dyDescent="0.2">
      <c r="B66" s="473" t="str">
        <f ca="1">Order!J11</f>
        <v xml:space="preserve">Public Institutions Solutions </v>
      </c>
      <c r="C66" s="473" t="str">
        <f ca="1">IF(ISERROR(VLOOKUP(B66,Data!$B$4:$N$23,2,FALSE)),"-",VLOOKUP(B66,Data!$B$4:$N$23,2,FALSE))</f>
        <v>Municipalities/Schools</v>
      </c>
      <c r="D66" s="481">
        <f ca="1">IF(ISERROR(VLOOKUP(B66,Data!$B$4:$N$23,10,FALSE)),"-",VLOOKUP(B66,Data!$B$4:$N$23,10,FALSE))</f>
        <v>2977577.1560955308</v>
      </c>
      <c r="E66" s="481">
        <f ca="1">IF(ISERROR(VLOOKUP(B66,Data!$B$29:$T$48,10,FALSE)),"-",VLOOKUP(B66,Data!$B$29:$T$48,10,FALSE))</f>
        <v>2534633.1074223933</v>
      </c>
      <c r="F66" s="476">
        <f ca="1">IF(ISERROR(VLOOKUP(B66,Data!$B$4:$N$23,12,FALSE)),"-",VLOOKUP(B66,Data!$B$4:$N$23,12,FALSE))</f>
        <v>14514891.427528501</v>
      </c>
      <c r="G66" s="476">
        <f ca="1">IF(ISERROR(VLOOKUP(B66,Data!$B$29:$T$48,12,FALSE)),"-",VLOOKUP(B66,Data!$B$29:$T$48,12,FALSE))</f>
        <v>16338233.136987923</v>
      </c>
      <c r="H66" s="476">
        <f ca="1">IF(ISERROR(VLOOKUP(B66,Data!$B$4:$N$23,13,FALSE)),"-",VLOOKUP(B66,Data!$B$4:$N$23,13,FALSE))</f>
        <v>207</v>
      </c>
      <c r="I66" s="476">
        <f ca="1">IF(ISERROR(VLOOKUP(B66,Data!$B$29:$T$48,13,FALSE)),"-",VLOOKUP(B66,Data!$B$29:$T$48,13,FALSE))</f>
        <v>250</v>
      </c>
      <c r="J66" s="482">
        <f ca="1">IF(ISERROR(VLOOKUP(B66,Data!$B$29:$T$48,18,FALSE)),"-",VLOOKUP(B66,Data!$B$29:$T$48,18,FALSE))</f>
        <v>1.9041629906970985</v>
      </c>
      <c r="K66" s="481">
        <f ca="1">IF(ISERROR(VLOOKUP(B66,Data!$B$29:$T$48,15,FALSE)),"-",VLOOKUP(B66,Data!$B$29:$T$48,15,FALSE))</f>
        <v>4068.304959999999</v>
      </c>
      <c r="L66" s="481">
        <f ca="1">IF(ISERROR(VLOOKUP(B66,Data!$B$29:$T$48,16,FALSE)),"-",VLOOKUP(B66,Data!$B$29:$T$48,16,FALSE))</f>
        <v>7746.715739701438</v>
      </c>
      <c r="M66" s="100">
        <f t="shared" ca="1" si="0"/>
        <v>2534633.1074223933</v>
      </c>
      <c r="N66" s="109">
        <f ca="1">COUNT($M$58:$M$77)-(RANK(M66,$M$58:$M$77)+COUNTIF($M$58:M66,M66)-1)+1</f>
        <v>13</v>
      </c>
      <c r="O66" t="str">
        <f t="shared" ca="1" si="1"/>
        <v>Residential Direct Load Control</v>
      </c>
    </row>
    <row r="67" spans="2:15" x14ac:dyDescent="0.2">
      <c r="B67" s="473" t="str">
        <f ca="1">Order!J12</f>
        <v>Agricultural Energy Solutions</v>
      </c>
      <c r="C67" s="473" t="str">
        <f ca="1">IF(ISERROR(VLOOKUP(B67,Data!$B$4:$N$23,2,FALSE)),"-",VLOOKUP(B67,Data!$B$4:$N$23,2,FALSE))</f>
        <v>Agriculture</v>
      </c>
      <c r="D67" s="481">
        <f ca="1">IF(ISERROR(VLOOKUP(B67,Data!$B$4:$N$23,10,FALSE)),"-",VLOOKUP(B67,Data!$B$4:$N$23,10,FALSE))</f>
        <v>2197591.0402293657</v>
      </c>
      <c r="E67" s="481">
        <f ca="1">IF(ISERROR(VLOOKUP(B67,Data!$B$29:$T$48,10,FALSE)),"-",VLOOKUP(B67,Data!$B$29:$T$48,10,FALSE))</f>
        <v>2019448.557168236</v>
      </c>
      <c r="F67" s="476">
        <f ca="1">IF(ISERROR(VLOOKUP(B67,Data!$B$4:$N$23,12,FALSE)),"-",VLOOKUP(B67,Data!$B$4:$N$23,12,FALSE))</f>
        <v>7060545.7997548003</v>
      </c>
      <c r="G67" s="476">
        <f ca="1">IF(ISERROR(VLOOKUP(B67,Data!$B$29:$T$48,12,FALSE)),"-",VLOOKUP(B67,Data!$B$29:$T$48,12,FALSE))</f>
        <v>7194115.5260958355</v>
      </c>
      <c r="H67" s="476">
        <f ca="1">IF(ISERROR(VLOOKUP(B67,Data!$B$4:$N$23,13,FALSE)),"-",VLOOKUP(B67,Data!$B$4:$N$23,13,FALSE))</f>
        <v>75</v>
      </c>
      <c r="I67" s="476">
        <f ca="1">IF(ISERROR(VLOOKUP(B67,Data!$B$29:$T$48,13,FALSE)),"-",VLOOKUP(B67,Data!$B$29:$T$48,13,FALSE))</f>
        <v>23</v>
      </c>
      <c r="J67" s="482">
        <f ca="1">IF(ISERROR(VLOOKUP(B67,Data!$B$29:$T$48,18,FALSE)),"-",VLOOKUP(B67,Data!$B$29:$T$48,18,FALSE))</f>
        <v>1.0285848110697435</v>
      </c>
      <c r="K67" s="481">
        <f ca="1">IF(ISERROR(VLOOKUP(B67,Data!$B$29:$T$48,15,FALSE)),"-",VLOOKUP(B67,Data!$B$29:$T$48,15,FALSE))</f>
        <v>2089.8801100000001</v>
      </c>
      <c r="L67" s="481">
        <f ca="1">IF(ISERROR(VLOOKUP(B67,Data!$B$29:$T$48,16,FALSE)),"-",VLOOKUP(B67,Data!$B$29:$T$48,16,FALSE))</f>
        <v>2149.6189381027648</v>
      </c>
      <c r="M67" s="100">
        <f t="shared" ca="1" si="0"/>
        <v>2019448.557168236</v>
      </c>
      <c r="N67" s="109">
        <f ca="1">COUNT($M$58:$M$77)-(RANK(M67,$M$58:$M$77)+COUNTIF($M$58:M67,M67)-1)+1</f>
        <v>10</v>
      </c>
      <c r="O67" t="str">
        <f t="shared" ca="1" si="1"/>
        <v>Small Business Solutions</v>
      </c>
    </row>
    <row r="68" spans="2:15" x14ac:dyDescent="0.2">
      <c r="B68" s="473" t="str">
        <f ca="1">Order!J13</f>
        <v>Agricultural Irrigation Load Control</v>
      </c>
      <c r="C68" s="473" t="str">
        <f ca="1">IF(ISERROR(VLOOKUP(B68,Data!$B$4:$N$23,2,FALSE)),"-",VLOOKUP(B68,Data!$B$4:$N$23,2,FALSE))</f>
        <v>Agriculture</v>
      </c>
      <c r="D68" s="481">
        <f ca="1">IF(ISERROR(VLOOKUP(B68,Data!$B$4:$N$23,10,FALSE)),"-",VLOOKUP(B68,Data!$B$4:$N$23,10,FALSE))</f>
        <v>3797839.0106500001</v>
      </c>
      <c r="E68" s="481">
        <f ca="1">IF(ISERROR(VLOOKUP(B68,Data!$B$29:$T$48,10,FALSE)),"-",VLOOKUP(B68,Data!$B$29:$T$48,10,FALSE))</f>
        <v>3721323.8753131311</v>
      </c>
      <c r="F68" s="476">
        <f ca="1">IF(ISERROR(VLOOKUP(B68,Data!$B$4:$N$23,12,FALSE)),"-",VLOOKUP(B68,Data!$B$4:$N$23,12,FALSE))</f>
        <v>0</v>
      </c>
      <c r="G68" s="476">
        <f ca="1">IF(ISERROR(VLOOKUP(B68,Data!$B$29:$T$48,12,FALSE)),"-",VLOOKUP(B68,Data!$B$29:$T$48,12,FALSE))</f>
        <v>0</v>
      </c>
      <c r="H68" s="476">
        <f ca="1">IF(ISERROR(VLOOKUP(B68,Data!$B$4:$N$23,13,FALSE)),"-",VLOOKUP(B68,Data!$B$4:$N$23,13,FALSE))</f>
        <v>505</v>
      </c>
      <c r="I68" s="476">
        <f ca="1">IF(ISERROR(VLOOKUP(B68,Data!$B$29:$T$48,13,FALSE)),"-",VLOOKUP(B68,Data!$B$29:$T$48,13,FALSE))</f>
        <v>916</v>
      </c>
      <c r="J68" s="482">
        <f ca="1">IF(ISERROR(VLOOKUP(B68,Data!$B$29:$T$48,18,FALSE)),"-",VLOOKUP(B68,Data!$B$29:$T$48,18,FALSE))</f>
        <v>0</v>
      </c>
      <c r="K68" s="481">
        <f ca="1">IF(ISERROR(VLOOKUP(B68,Data!$B$29:$T$48,15,FALSE)),"-",VLOOKUP(B68,Data!$B$29:$T$48,15,FALSE))</f>
        <v>3190.0152499999999</v>
      </c>
      <c r="L68" s="481">
        <f ca="1">IF(ISERROR(VLOOKUP(B68,Data!$B$29:$T$48,16,FALSE)),"-",VLOOKUP(B68,Data!$B$29:$T$48,16,FALSE))</f>
        <v>0</v>
      </c>
      <c r="M68" s="100">
        <f t="shared" ca="1" si="0"/>
        <v>3721323.8753131311</v>
      </c>
      <c r="N68" s="109">
        <f ca="1">COUNT($M$58:$M$77)-(RANK(M68,$M$58:$M$77)+COUNTIF($M$58:M68,M68)-1)+1</f>
        <v>15</v>
      </c>
      <c r="O68" t="str">
        <f t="shared" ca="1" si="1"/>
        <v>Agricultural Energy Solutions</v>
      </c>
    </row>
    <row r="69" spans="2:15" x14ac:dyDescent="0.2">
      <c r="B69" s="473" t="str">
        <f ca="1">Order!J14</f>
        <v>Point of Purchase Solutions</v>
      </c>
      <c r="C69" s="473" t="str">
        <f ca="1">IF(ISERROR(VLOOKUP(B69,Data!$B$4:$N$23,2,FALSE)),"-",VLOOKUP(B69,Data!$B$4:$N$23,2,FALSE))</f>
        <v>All Classes</v>
      </c>
      <c r="D69" s="481">
        <f ca="1">IF(ISERROR(VLOOKUP(B69,Data!$B$4:$N$23,10,FALSE)),"-",VLOOKUP(B69,Data!$B$4:$N$23,10,FALSE))</f>
        <v>8741247.6151663307</v>
      </c>
      <c r="E69" s="481">
        <f ca="1">IF(ISERROR(VLOOKUP(B69,Data!$B$29:$T$48,10,FALSE)),"-",VLOOKUP(B69,Data!$B$29:$T$48,10,FALSE))</f>
        <v>7476072.8865874726</v>
      </c>
      <c r="F69" s="476">
        <f ca="1">IF(ISERROR(VLOOKUP(B69,Data!$B$4:$N$23,12,FALSE)),"-",VLOOKUP(B69,Data!$B$4:$N$23,12,FALSE))</f>
        <v>54949160.336915098</v>
      </c>
      <c r="G69" s="476">
        <f ca="1">IF(ISERROR(VLOOKUP(B69,Data!$B$29:$T$48,12,FALSE)),"-",VLOOKUP(B69,Data!$B$29:$T$48,12,FALSE))</f>
        <v>57671890.179663248</v>
      </c>
      <c r="H69" s="476">
        <f ca="1">IF(ISERROR(VLOOKUP(B69,Data!$B$4:$N$23,13,FALSE)),"-",VLOOKUP(B69,Data!$B$4:$N$23,13,FALSE))</f>
        <v>251361</v>
      </c>
      <c r="I69" s="476">
        <f ca="1">IF(ISERROR(VLOOKUP(B69,Data!$B$29:$T$48,13,FALSE)),"-",VLOOKUP(B69,Data!$B$29:$T$48,13,FALSE))</f>
        <v>225890</v>
      </c>
      <c r="J69" s="482">
        <f ca="1">IF(ISERROR(VLOOKUP(B69,Data!$B$29:$T$48,18,FALSE)),"-",VLOOKUP(B69,Data!$B$29:$T$48,18,FALSE))</f>
        <v>3.3625501790899985</v>
      </c>
      <c r="K69" s="481">
        <f ca="1">IF(ISERROR(VLOOKUP(B69,Data!$B$29:$T$48,15,FALSE)),"-",VLOOKUP(B69,Data!$B$29:$T$48,15,FALSE))</f>
        <v>7249.6459697364753</v>
      </c>
      <c r="L69" s="481">
        <f ca="1">IF(ISERROR(VLOOKUP(B69,Data!$B$29:$T$48,16,FALSE)),"-",VLOOKUP(B69,Data!$B$29:$T$48,16,FALSE))</f>
        <v>24377.298353876471</v>
      </c>
      <c r="M69" s="100">
        <f t="shared" ca="1" si="0"/>
        <v>7476072.8865874726</v>
      </c>
      <c r="N69" s="109">
        <f ca="1">COUNT($M$58:$M$77)-(RANK(M69,$M$58:$M$77)+COUNTIF($M$58:M69,M69)-1)+1</f>
        <v>18</v>
      </c>
      <c r="O69" t="str">
        <f t="shared" ca="1" si="1"/>
        <v>Manufactured Homes</v>
      </c>
    </row>
    <row r="70" spans="2:15" x14ac:dyDescent="0.2">
      <c r="B70" s="473" t="str">
        <f ca="1">Order!J15</f>
        <v>*Hide*</v>
      </c>
      <c r="C70" s="473" t="str">
        <f ca="1">IF(ISERROR(VLOOKUP(B70,Data!$B$4:$N$23,2,FALSE)),"-",VLOOKUP(B70,Data!$B$4:$N$23,2,FALSE))</f>
        <v>-</v>
      </c>
      <c r="D70" s="481" t="str">
        <f ca="1">IF(ISERROR(VLOOKUP(B70,Data!$B$4:$N$23,10,FALSE)),"-",VLOOKUP(B70,Data!$B$4:$N$23,10,FALSE))</f>
        <v>-</v>
      </c>
      <c r="E70" s="481" t="str">
        <f ca="1">IF(ISERROR(VLOOKUP(B70,Data!$B$29:$T$48,10,FALSE)),"-",VLOOKUP(B70,Data!$B$29:$T$48,10,FALSE))</f>
        <v>-</v>
      </c>
      <c r="F70" s="476" t="str">
        <f ca="1">IF(ISERROR(VLOOKUP(B70,Data!$B$4:$N$23,12,FALSE)),"-",VLOOKUP(B70,Data!$B$4:$N$23,12,FALSE))</f>
        <v>-</v>
      </c>
      <c r="G70" s="476" t="str">
        <f ca="1">IF(ISERROR(VLOOKUP(B70,Data!$B$29:$T$48,12,FALSE)),"-",VLOOKUP(B70,Data!$B$29:$T$48,12,FALSE))</f>
        <v>-</v>
      </c>
      <c r="H70" s="476" t="str">
        <f ca="1">IF(ISERROR(VLOOKUP(B70,Data!$B$4:$N$23,13,FALSE)),"-",VLOOKUP(B70,Data!$B$4:$N$23,13,FALSE))</f>
        <v>-</v>
      </c>
      <c r="I70" s="476" t="str">
        <f ca="1">IF(ISERROR(VLOOKUP(B70,Data!$B$29:$T$48,13,FALSE)),"-",VLOOKUP(B70,Data!$B$29:$T$48,13,FALSE))</f>
        <v>-</v>
      </c>
      <c r="J70" s="482" t="str">
        <f ca="1">IF(ISERROR(VLOOKUP(B70,Data!$B$29:$T$48,18,FALSE)),"-",VLOOKUP(B70,Data!$B$29:$T$48,18,FALSE))</f>
        <v>-</v>
      </c>
      <c r="K70" s="481" t="str">
        <f ca="1">IF(ISERROR(VLOOKUP(B70,Data!$B$29:$T$48,15,FALSE)),"-",VLOOKUP(B70,Data!$B$29:$T$48,15,FALSE))</f>
        <v>-</v>
      </c>
      <c r="L70" s="481" t="str">
        <f ca="1">IF(ISERROR(VLOOKUP(B70,Data!$B$29:$T$48,16,FALSE)),"-",VLOOKUP(B70,Data!$B$29:$T$48,16,FALSE))</f>
        <v>-</v>
      </c>
      <c r="M70" s="100">
        <f t="shared" ca="1" si="0"/>
        <v>0</v>
      </c>
      <c r="N70" s="109">
        <f ca="1">COUNT($M$58:$M$77)-(RANK(M70,$M$58:$M$77)+COUNTIF($M$58:M70,M70)-1)+1</f>
        <v>8</v>
      </c>
      <c r="O70" t="str">
        <f t="shared" ca="1" si="1"/>
        <v>*Hide*</v>
      </c>
    </row>
    <row r="71" spans="2:15" x14ac:dyDescent="0.2">
      <c r="B71" s="473" t="str">
        <f ca="1">Order!J16</f>
        <v>*Hide*</v>
      </c>
      <c r="C71" s="473" t="str">
        <f ca="1">IF(ISERROR(VLOOKUP(B71,Data!$B$4:$N$23,2,FALSE)),"-",VLOOKUP(B71,Data!$B$4:$N$23,2,FALSE))</f>
        <v>-</v>
      </c>
      <c r="D71" s="481" t="str">
        <f ca="1">IF(ISERROR(VLOOKUP(B71,Data!$B$4:$N$23,10,FALSE)),"-",VLOOKUP(B71,Data!$B$4:$N$23,10,FALSE))</f>
        <v>-</v>
      </c>
      <c r="E71" s="481" t="str">
        <f ca="1">IF(ISERROR(VLOOKUP(B71,Data!$B$29:$T$48,10,FALSE)),"-",VLOOKUP(B71,Data!$B$29:$T$48,10,FALSE))</f>
        <v>-</v>
      </c>
      <c r="F71" s="476" t="str">
        <f ca="1">IF(ISERROR(VLOOKUP(B71,Data!$B$4:$N$23,12,FALSE)),"-",VLOOKUP(B71,Data!$B$4:$N$23,12,FALSE))</f>
        <v>-</v>
      </c>
      <c r="G71" s="476" t="str">
        <f ca="1">IF(ISERROR(VLOOKUP(B71,Data!$B$29:$T$48,12,FALSE)),"-",VLOOKUP(B71,Data!$B$29:$T$48,12,FALSE))</f>
        <v>-</v>
      </c>
      <c r="H71" s="476" t="str">
        <f ca="1">IF(ISERROR(VLOOKUP(B71,Data!$B$4:$N$23,13,FALSE)),"-",VLOOKUP(B71,Data!$B$4:$N$23,13,FALSE))</f>
        <v>-</v>
      </c>
      <c r="I71" s="476" t="str">
        <f ca="1">IF(ISERROR(VLOOKUP(B71,Data!$B$29:$T$48,13,FALSE)),"-",VLOOKUP(B71,Data!$B$29:$T$48,13,FALSE))</f>
        <v>-</v>
      </c>
      <c r="J71" s="482" t="str">
        <f ca="1">IF(ISERROR(VLOOKUP(B71,Data!$B$29:$T$48,18,FALSE)),"-",VLOOKUP(B71,Data!$B$29:$T$48,18,FALSE))</f>
        <v>-</v>
      </c>
      <c r="K71" s="481" t="str">
        <f ca="1">IF(ISERROR(VLOOKUP(B71,Data!$B$29:$T$48,15,FALSE)),"-",VLOOKUP(B71,Data!$B$29:$T$48,15,FALSE))</f>
        <v>-</v>
      </c>
      <c r="L71" s="481" t="str">
        <f ca="1">IF(ISERROR(VLOOKUP(B71,Data!$B$29:$T$48,16,FALSE)),"-",VLOOKUP(B71,Data!$B$29:$T$48,16,FALSE))</f>
        <v>-</v>
      </c>
      <c r="M71" s="100">
        <f t="shared" ca="1" si="0"/>
        <v>0</v>
      </c>
      <c r="N71" s="109">
        <f ca="1">COUNT($M$58:$M$77)-(RANK(M71,$M$58:$M$77)+COUNTIF($M$58:M71,M71)-1)+1</f>
        <v>7</v>
      </c>
      <c r="O71" t="str">
        <f t="shared" ca="1" si="1"/>
        <v>*Hide*</v>
      </c>
    </row>
    <row r="72" spans="2:15" x14ac:dyDescent="0.2">
      <c r="B72" s="473" t="str">
        <f ca="1">Order!J17</f>
        <v>*Hide*</v>
      </c>
      <c r="C72" s="473" t="str">
        <f ca="1">IF(ISERROR(VLOOKUP(B72,Data!$B$4:$N$23,2,FALSE)),"-",VLOOKUP(B72,Data!$B$4:$N$23,2,FALSE))</f>
        <v>-</v>
      </c>
      <c r="D72" s="481" t="str">
        <f ca="1">IF(ISERROR(VLOOKUP(B72,Data!$B$4:$N$23,10,FALSE)),"-",VLOOKUP(B72,Data!$B$4:$N$23,10,FALSE))</f>
        <v>-</v>
      </c>
      <c r="E72" s="481" t="str">
        <f ca="1">IF(ISERROR(VLOOKUP(B72,Data!$B$29:$T$48,10,FALSE)),"-",VLOOKUP(B72,Data!$B$29:$T$48,10,FALSE))</f>
        <v>-</v>
      </c>
      <c r="F72" s="476" t="str">
        <f ca="1">IF(ISERROR(VLOOKUP(B72,Data!$B$4:$N$23,12,FALSE)),"-",VLOOKUP(B72,Data!$B$4:$N$23,12,FALSE))</f>
        <v>-</v>
      </c>
      <c r="G72" s="476" t="str">
        <f ca="1">IF(ISERROR(VLOOKUP(B72,Data!$B$29:$T$48,12,FALSE)),"-",VLOOKUP(B72,Data!$B$29:$T$48,12,FALSE))</f>
        <v>-</v>
      </c>
      <c r="H72" s="476" t="str">
        <f ca="1">IF(ISERROR(VLOOKUP(B72,Data!$B$4:$N$23,13,FALSE)),"-",VLOOKUP(B72,Data!$B$4:$N$23,13,FALSE))</f>
        <v>-</v>
      </c>
      <c r="I72" s="476" t="str">
        <f ca="1">IF(ISERROR(VLOOKUP(B72,Data!$B$29:$T$48,13,FALSE)),"-",VLOOKUP(B72,Data!$B$29:$T$48,13,FALSE))</f>
        <v>-</v>
      </c>
      <c r="J72" s="482" t="str">
        <f ca="1">IF(ISERROR(VLOOKUP(B72,Data!$B$29:$T$48,18,FALSE)),"-",VLOOKUP(B72,Data!$B$29:$T$48,18,FALSE))</f>
        <v>-</v>
      </c>
      <c r="K72" s="481" t="str">
        <f ca="1">IF(ISERROR(VLOOKUP(B72,Data!$B$29:$T$48,15,FALSE)),"-",VLOOKUP(B72,Data!$B$29:$T$48,15,FALSE))</f>
        <v>-</v>
      </c>
      <c r="L72" s="481" t="str">
        <f ca="1">IF(ISERROR(VLOOKUP(B72,Data!$B$29:$T$48,16,FALSE)),"-",VLOOKUP(B72,Data!$B$29:$T$48,16,FALSE))</f>
        <v>-</v>
      </c>
      <c r="M72" s="100">
        <f t="shared" ca="1" si="0"/>
        <v>0</v>
      </c>
      <c r="N72" s="109">
        <f ca="1">COUNT($M$58:$M$77)-(RANK(M72,$M$58:$M$77)+COUNTIF($M$58:M72,M72)-1)+1</f>
        <v>6</v>
      </c>
      <c r="O72" t="str">
        <f t="shared" ca="1" si="1"/>
        <v>*Hide*</v>
      </c>
    </row>
    <row r="73" spans="2:15" x14ac:dyDescent="0.2">
      <c r="B73" s="473" t="str">
        <f ca="1">Order!J18</f>
        <v>*Hide*</v>
      </c>
      <c r="C73" s="473" t="str">
        <f ca="1">IF(ISERROR(VLOOKUP(B73,Data!$B$4:$N$23,2,FALSE)),"-",VLOOKUP(B73,Data!$B$4:$N$23,2,FALSE))</f>
        <v>-</v>
      </c>
      <c r="D73" s="481" t="str">
        <f ca="1">IF(ISERROR(VLOOKUP(B73,Data!$B$4:$N$23,10,FALSE)),"-",VLOOKUP(B73,Data!$B$4:$N$23,10,FALSE))</f>
        <v>-</v>
      </c>
      <c r="E73" s="481" t="str">
        <f ca="1">IF(ISERROR(VLOOKUP(B73,Data!$B$29:$T$48,10,FALSE)),"-",VLOOKUP(B73,Data!$B$29:$T$48,10,FALSE))</f>
        <v>-</v>
      </c>
      <c r="F73" s="476" t="str">
        <f ca="1">IF(ISERROR(VLOOKUP(B73,Data!$B$4:$N$23,12,FALSE)),"-",VLOOKUP(B73,Data!$B$4:$N$23,12,FALSE))</f>
        <v>-</v>
      </c>
      <c r="G73" s="476" t="str">
        <f ca="1">IF(ISERROR(VLOOKUP(B73,Data!$B$29:$T$48,12,FALSE)),"-",VLOOKUP(B73,Data!$B$29:$T$48,12,FALSE))</f>
        <v>-</v>
      </c>
      <c r="H73" s="476" t="str">
        <f ca="1">IF(ISERROR(VLOOKUP(B73,Data!$B$4:$N$23,13,FALSE)),"-",VLOOKUP(B73,Data!$B$4:$N$23,13,FALSE))</f>
        <v>-</v>
      </c>
      <c r="I73" s="476" t="str">
        <f ca="1">IF(ISERROR(VLOOKUP(B73,Data!$B$29:$T$48,13,FALSE)),"-",VLOOKUP(B73,Data!$B$29:$T$48,13,FALSE))</f>
        <v>-</v>
      </c>
      <c r="J73" s="482" t="str">
        <f ca="1">IF(ISERROR(VLOOKUP(B73,Data!$B$29:$T$48,18,FALSE)),"-",VLOOKUP(B73,Data!$B$29:$T$48,18,FALSE))</f>
        <v>-</v>
      </c>
      <c r="K73" s="481" t="str">
        <f ca="1">IF(ISERROR(VLOOKUP(B73,Data!$B$29:$T$48,15,FALSE)),"-",VLOOKUP(B73,Data!$B$29:$T$48,15,FALSE))</f>
        <v>-</v>
      </c>
      <c r="L73" s="481" t="str">
        <f ca="1">IF(ISERROR(VLOOKUP(B73,Data!$B$29:$T$48,16,FALSE)),"-",VLOOKUP(B73,Data!$B$29:$T$48,16,FALSE))</f>
        <v>-</v>
      </c>
      <c r="M73" s="100">
        <f t="shared" ca="1" si="0"/>
        <v>0</v>
      </c>
      <c r="N73" s="109">
        <f ca="1">COUNT($M$58:$M$77)-(RANK(M73,$M$58:$M$77)+COUNTIF($M$58:M73,M73)-1)+1</f>
        <v>5</v>
      </c>
      <c r="O73" t="str">
        <f t="shared" ca="1" si="1"/>
        <v>*Hide*</v>
      </c>
    </row>
    <row r="74" spans="2:15" x14ac:dyDescent="0.2">
      <c r="B74" s="473" t="str">
        <f ca="1">Order!J19</f>
        <v>*Hide*</v>
      </c>
      <c r="C74" s="473" t="str">
        <f ca="1">IF(ISERROR(VLOOKUP(B74,Data!$B$4:$N$23,2,FALSE)),"-",VLOOKUP(B74,Data!$B$4:$N$23,2,FALSE))</f>
        <v>-</v>
      </c>
      <c r="D74" s="481" t="str">
        <f ca="1">IF(ISERROR(VLOOKUP(B74,Data!$B$4:$N$23,10,FALSE)),"-",VLOOKUP(B74,Data!$B$4:$N$23,10,FALSE))</f>
        <v>-</v>
      </c>
      <c r="E74" s="481" t="str">
        <f ca="1">IF(ISERROR(VLOOKUP(B74,Data!$B$29:$T$48,10,FALSE)),"-",VLOOKUP(B74,Data!$B$29:$T$48,10,FALSE))</f>
        <v>-</v>
      </c>
      <c r="F74" s="476" t="str">
        <f ca="1">IF(ISERROR(VLOOKUP(B74,Data!$B$4:$N$23,12,FALSE)),"-",VLOOKUP(B74,Data!$B$4:$N$23,12,FALSE))</f>
        <v>-</v>
      </c>
      <c r="G74" s="476" t="str">
        <f ca="1">IF(ISERROR(VLOOKUP(B74,Data!$B$29:$T$48,12,FALSE)),"-",VLOOKUP(B74,Data!$B$29:$T$48,12,FALSE))</f>
        <v>-</v>
      </c>
      <c r="H74" s="476" t="str">
        <f ca="1">IF(ISERROR(VLOOKUP(B74,Data!$B$4:$N$23,13,FALSE)),"-",VLOOKUP(B74,Data!$B$4:$N$23,13,FALSE))</f>
        <v>-</v>
      </c>
      <c r="I74" s="476" t="str">
        <f ca="1">IF(ISERROR(VLOOKUP(B74,Data!$B$29:$T$48,13,FALSE)),"-",VLOOKUP(B74,Data!$B$29:$T$48,13,FALSE))</f>
        <v>-</v>
      </c>
      <c r="J74" s="482" t="str">
        <f ca="1">IF(ISERROR(VLOOKUP(B74,Data!$B$29:$T$48,18,FALSE)),"-",VLOOKUP(B74,Data!$B$29:$T$48,18,FALSE))</f>
        <v>-</v>
      </c>
      <c r="K74" s="481" t="str">
        <f ca="1">IF(ISERROR(VLOOKUP(B74,Data!$B$29:$T$48,15,FALSE)),"-",VLOOKUP(B74,Data!$B$29:$T$48,15,FALSE))</f>
        <v>-</v>
      </c>
      <c r="L74" s="481" t="str">
        <f ca="1">IF(ISERROR(VLOOKUP(B74,Data!$B$29:$T$48,16,FALSE)),"-",VLOOKUP(B74,Data!$B$29:$T$48,16,FALSE))</f>
        <v>-</v>
      </c>
      <c r="M74" s="100">
        <f t="shared" ca="1" si="0"/>
        <v>0</v>
      </c>
      <c r="N74" s="109">
        <f ca="1">COUNT($M$58:$M$77)-(RANK(M74,$M$58:$M$77)+COUNTIF($M$58:M74,M74)-1)+1</f>
        <v>4</v>
      </c>
      <c r="O74" t="str">
        <f t="shared" ca="1" si="1"/>
        <v>*Hide*</v>
      </c>
    </row>
    <row r="75" spans="2:15" x14ac:dyDescent="0.2">
      <c r="B75" s="473" t="str">
        <f ca="1">Order!J20</f>
        <v>*Hide*</v>
      </c>
      <c r="C75" s="473" t="str">
        <f ca="1">IF(ISERROR(VLOOKUP(B75,Data!$B$4:$N$23,2,FALSE)),"-",VLOOKUP(B75,Data!$B$4:$N$23,2,FALSE))</f>
        <v>-</v>
      </c>
      <c r="D75" s="481" t="str">
        <f ca="1">IF(ISERROR(VLOOKUP(B75,Data!$B$4:$N$23,10,FALSE)),"-",VLOOKUP(B75,Data!$B$4:$N$23,10,FALSE))</f>
        <v>-</v>
      </c>
      <c r="E75" s="481" t="str">
        <f ca="1">IF(ISERROR(VLOOKUP(B75,Data!$B$29:$T$48,10,FALSE)),"-",VLOOKUP(B75,Data!$B$29:$T$48,10,FALSE))</f>
        <v>-</v>
      </c>
      <c r="F75" s="476" t="str">
        <f ca="1">IF(ISERROR(VLOOKUP(B75,Data!$B$4:$N$23,12,FALSE)),"-",VLOOKUP(B75,Data!$B$4:$N$23,12,FALSE))</f>
        <v>-</v>
      </c>
      <c r="G75" s="476" t="str">
        <f ca="1">IF(ISERROR(VLOOKUP(B75,Data!$B$29:$T$48,12,FALSE)),"-",VLOOKUP(B75,Data!$B$29:$T$48,12,FALSE))</f>
        <v>-</v>
      </c>
      <c r="H75" s="476" t="str">
        <f ca="1">IF(ISERROR(VLOOKUP(B75,Data!$B$4:$N$23,13,FALSE)),"-",VLOOKUP(B75,Data!$B$4:$N$23,13,FALSE))</f>
        <v>-</v>
      </c>
      <c r="I75" s="476" t="str">
        <f ca="1">IF(ISERROR(VLOOKUP(B75,Data!$B$29:$T$48,13,FALSE)),"-",VLOOKUP(B75,Data!$B$29:$T$48,13,FALSE))</f>
        <v>-</v>
      </c>
      <c r="J75" s="482" t="str">
        <f ca="1">IF(ISERROR(VLOOKUP(B75,Data!$B$29:$T$48,18,FALSE)),"-",VLOOKUP(B75,Data!$B$29:$T$48,18,FALSE))</f>
        <v>-</v>
      </c>
      <c r="K75" s="481" t="str">
        <f ca="1">IF(ISERROR(VLOOKUP(B75,Data!$B$29:$T$48,15,FALSE)),"-",VLOOKUP(B75,Data!$B$29:$T$48,15,FALSE))</f>
        <v>-</v>
      </c>
      <c r="L75" s="481" t="str">
        <f ca="1">IF(ISERROR(VLOOKUP(B75,Data!$B$29:$T$48,16,FALSE)),"-",VLOOKUP(B75,Data!$B$29:$T$48,16,FALSE))</f>
        <v>-</v>
      </c>
      <c r="M75" s="100">
        <f t="shared" ca="1" si="0"/>
        <v>0</v>
      </c>
      <c r="N75" s="109">
        <f ca="1">COUNT($M$58:$M$77)-(RANK(M75,$M$58:$M$77)+COUNTIF($M$58:M75,M75)-1)+1</f>
        <v>3</v>
      </c>
      <c r="O75" t="str">
        <f t="shared" ca="1" si="1"/>
        <v>*Hide*</v>
      </c>
    </row>
    <row r="76" spans="2:15" x14ac:dyDescent="0.2">
      <c r="B76" s="473" t="str">
        <f ca="1">Order!J21</f>
        <v>*Hide*</v>
      </c>
      <c r="C76" s="473" t="str">
        <f ca="1">IF(ISERROR(VLOOKUP(B76,Data!$B$4:$N$23,2,FALSE)),"-",VLOOKUP(B76,Data!$B$4:$N$23,2,FALSE))</f>
        <v>-</v>
      </c>
      <c r="D76" s="481" t="str">
        <f ca="1">IF(ISERROR(VLOOKUP(B76,Data!$B$4:$N$23,10,FALSE)),"-",VLOOKUP(B76,Data!$B$4:$N$23,10,FALSE))</f>
        <v>-</v>
      </c>
      <c r="E76" s="481" t="str">
        <f ca="1">IF(ISERROR(VLOOKUP(B76,Data!$B$29:$T$48,10,FALSE)),"-",VLOOKUP(B76,Data!$B$29:$T$48,10,FALSE))</f>
        <v>-</v>
      </c>
      <c r="F76" s="476" t="str">
        <f ca="1">IF(ISERROR(VLOOKUP(B76,Data!$B$4:$N$23,12,FALSE)),"-",VLOOKUP(B76,Data!$B$4:$N$23,12,FALSE))</f>
        <v>-</v>
      </c>
      <c r="G76" s="476" t="str">
        <f ca="1">IF(ISERROR(VLOOKUP(B76,Data!$B$29:$T$48,12,FALSE)),"-",VLOOKUP(B76,Data!$B$29:$T$48,12,FALSE))</f>
        <v>-</v>
      </c>
      <c r="H76" s="476" t="str">
        <f ca="1">IF(ISERROR(VLOOKUP(B76,Data!$B$4:$N$23,13,FALSE)),"-",VLOOKUP(B76,Data!$B$4:$N$23,13,FALSE))</f>
        <v>-</v>
      </c>
      <c r="I76" s="476" t="str">
        <f ca="1">IF(ISERROR(VLOOKUP(B76,Data!$B$29:$T$48,13,FALSE)),"-",VLOOKUP(B76,Data!$B$29:$T$48,13,FALSE))</f>
        <v>-</v>
      </c>
      <c r="J76" s="482" t="str">
        <f ca="1">IF(ISERROR(VLOOKUP(B76,Data!$B$29:$T$48,18,FALSE)),"-",VLOOKUP(B76,Data!$B$29:$T$48,18,FALSE))</f>
        <v>-</v>
      </c>
      <c r="K76" s="481" t="str">
        <f ca="1">IF(ISERROR(VLOOKUP(B76,Data!$B$29:$T$48,15,FALSE)),"-",VLOOKUP(B76,Data!$B$29:$T$48,15,FALSE))</f>
        <v>-</v>
      </c>
      <c r="L76" s="481" t="str">
        <f ca="1">IF(ISERROR(VLOOKUP(B76,Data!$B$29:$T$48,16,FALSE)),"-",VLOOKUP(B76,Data!$B$29:$T$48,16,FALSE))</f>
        <v>-</v>
      </c>
      <c r="M76" s="100">
        <f t="shared" ca="1" si="0"/>
        <v>0</v>
      </c>
      <c r="N76" s="109">
        <f ca="1">COUNT($M$58:$M$77)-(RANK(M76,$M$58:$M$77)+COUNTIF($M$58:M76,M76)-1)+1</f>
        <v>2</v>
      </c>
      <c r="O76" t="str">
        <f t="shared" ca="1" si="1"/>
        <v>*Hide*</v>
      </c>
    </row>
    <row r="77" spans="2:15" x14ac:dyDescent="0.2">
      <c r="B77" s="473" t="str">
        <f ca="1">Order!J22</f>
        <v>*Hide*</v>
      </c>
      <c r="C77" s="473" t="str">
        <f ca="1">IF(ISERROR(VLOOKUP(B77,Data!$B$4:$N$23,2,FALSE)),"-",VLOOKUP(B77,Data!$B$4:$N$23,2,FALSE))</f>
        <v>-</v>
      </c>
      <c r="D77" s="481" t="str">
        <f ca="1">IF(ISERROR(VLOOKUP(B77,Data!$B$4:$N$23,10,FALSE)),"-",VLOOKUP(B77,Data!$B$4:$N$23,10,FALSE))</f>
        <v>-</v>
      </c>
      <c r="E77" s="481" t="str">
        <f ca="1">IF(ISERROR(VLOOKUP(B77,Data!$B$29:$T$48,10,FALSE)),"-",VLOOKUP(B77,Data!$B$29:$T$48,10,FALSE))</f>
        <v>-</v>
      </c>
      <c r="F77" s="476" t="str">
        <f ca="1">IF(ISERROR(VLOOKUP(B77,Data!$B$4:$N$23,12,FALSE)),"-",VLOOKUP(B77,Data!$B$4:$N$23,12,FALSE))</f>
        <v>-</v>
      </c>
      <c r="G77" s="476" t="str">
        <f ca="1">IF(ISERROR(VLOOKUP(B77,Data!$B$29:$T$48,12,FALSE)),"-",VLOOKUP(B77,Data!$B$29:$T$48,12,FALSE))</f>
        <v>-</v>
      </c>
      <c r="H77" s="476" t="str">
        <f ca="1">IF(ISERROR(VLOOKUP(B77,Data!$B$4:$N$23,13,FALSE)),"-",VLOOKUP(B77,Data!$B$4:$N$23,13,FALSE))</f>
        <v>-</v>
      </c>
      <c r="I77" s="476" t="str">
        <f ca="1">IF(ISERROR(VLOOKUP(B77,Data!$B$29:$T$48,13,FALSE)),"-",VLOOKUP(B77,Data!$B$29:$T$48,13,FALSE))</f>
        <v>-</v>
      </c>
      <c r="J77" s="482" t="str">
        <f ca="1">IF(ISERROR(VLOOKUP(B77,Data!$B$29:$T$48,18,FALSE)),"-",VLOOKUP(B77,Data!$B$29:$T$48,18,FALSE))</f>
        <v>-</v>
      </c>
      <c r="K77" s="481" t="str">
        <f ca="1">IF(ISERROR(VLOOKUP(B77,Data!$B$29:$T$48,15,FALSE)),"-",VLOOKUP(B77,Data!$B$29:$T$48,15,FALSE))</f>
        <v>-</v>
      </c>
      <c r="L77" s="481" t="str">
        <f ca="1">IF(ISERROR(VLOOKUP(B77,Data!$B$29:$T$48,16,FALSE)),"-",VLOOKUP(B77,Data!$B$29:$T$48,16,FALSE))</f>
        <v>-</v>
      </c>
      <c r="M77" s="100">
        <f t="shared" ca="1" si="0"/>
        <v>0</v>
      </c>
      <c r="N77" s="109">
        <f ca="1">COUNT($M$58:$M$77)-(RANK(M77,$M$58:$M$77)+COUNTIF($M$58:M77,M77)-1)+1</f>
        <v>1</v>
      </c>
      <c r="O77" t="str">
        <f t="shared" ca="1" si="1"/>
        <v>*Hide*</v>
      </c>
    </row>
    <row r="80" spans="2:15" x14ac:dyDescent="0.2">
      <c r="D80" s="59" t="s">
        <v>823</v>
      </c>
    </row>
    <row r="81" spans="2:15" x14ac:dyDescent="0.2">
      <c r="C81" s="279" t="s">
        <v>806</v>
      </c>
      <c r="D81" s="479" t="s">
        <v>553</v>
      </c>
      <c r="E81" s="479" t="s">
        <v>554</v>
      </c>
      <c r="F81" s="479" t="s">
        <v>555</v>
      </c>
      <c r="G81" s="479" t="s">
        <v>556</v>
      </c>
      <c r="H81" s="479" t="s">
        <v>555</v>
      </c>
      <c r="I81" s="479" t="s">
        <v>554</v>
      </c>
      <c r="J81" s="479" t="s">
        <v>190</v>
      </c>
      <c r="K81" s="479" t="s">
        <v>822</v>
      </c>
      <c r="L81" s="479" t="s">
        <v>824</v>
      </c>
      <c r="M81" s="479" t="s">
        <v>429</v>
      </c>
      <c r="O81" s="70" t="s">
        <v>779</v>
      </c>
    </row>
    <row r="82" spans="2:15" x14ac:dyDescent="0.2">
      <c r="B82" t="str">
        <f>List!B7</f>
        <v>Residential</v>
      </c>
      <c r="C82" s="109">
        <f ca="1">COUNT($D$82:$D$91)-(RANK(D82,$D$82:$D$91)+COUNTIF($D$82:D82,D82)-1)+1</f>
        <v>10</v>
      </c>
      <c r="D82" s="481">
        <f ca="1">SUMIF($C$58:$C$77,$B82,D$58:D$77)</f>
        <v>27604527.346245464</v>
      </c>
      <c r="E82" s="481">
        <f ca="1">SUMIF($C$58:$C$77,$B82,E$58:E$77)</f>
        <v>23531085.002194084</v>
      </c>
      <c r="F82" s="476">
        <f ca="1">SUMIF($C$58:$C$77,$B82,F$58:F$77)</f>
        <v>49953674.5316213</v>
      </c>
      <c r="G82" s="476">
        <f t="shared" ref="G82:I91" ca="1" si="2">SUMIF($C$58:$C$77,$B82,G$58:G$77)</f>
        <v>53867196.151466064</v>
      </c>
      <c r="H82" s="476">
        <f t="shared" ca="1" si="2"/>
        <v>21690</v>
      </c>
      <c r="I82" s="476">
        <f t="shared" ca="1" si="2"/>
        <v>24265</v>
      </c>
      <c r="J82" s="481">
        <f t="shared" ref="J82:K91" ca="1" si="3">SUMIF($C$58:$C$77,$B82,K$58:K$77)</f>
        <v>22407.090104124123</v>
      </c>
      <c r="K82" s="481">
        <f t="shared" ca="1" si="3"/>
        <v>46701.509448710538</v>
      </c>
      <c r="L82" s="481">
        <f ca="1">K82-J82</f>
        <v>24294.419344586415</v>
      </c>
      <c r="M82" s="482">
        <f ca="1">IF(ISERROR(K82/J82),"n/a",K82/J82)</f>
        <v>2.0842291092547942</v>
      </c>
      <c r="O82" t="str">
        <f ca="1">OFFSET(B$82,MATCH(LARGE(C$82:C$91,ROW()-ROW(C$82)+1),C$82:C$91,0)-1,0)</f>
        <v>Residential</v>
      </c>
    </row>
    <row r="83" spans="2:15" x14ac:dyDescent="0.2">
      <c r="B83" t="str">
        <f>List!B8</f>
        <v>Small Business</v>
      </c>
      <c r="C83" s="109">
        <f ca="1">COUNT($D$82:$D$91)-(RANK(D83,$D$82:$D$91)+COUNTIF($D$82:D83,D83)-1)+1</f>
        <v>5</v>
      </c>
      <c r="D83" s="481">
        <f t="shared" ref="D83:F91" ca="1" si="4">SUMIF($C$58:$C$77,$B83,D$58:D$77)</f>
        <v>4178985.9141110736</v>
      </c>
      <c r="E83" s="481">
        <f t="shared" ca="1" si="4"/>
        <v>2152818.7915076138</v>
      </c>
      <c r="F83" s="476">
        <f t="shared" ca="1" si="4"/>
        <v>17147011.9466592</v>
      </c>
      <c r="G83" s="476">
        <f t="shared" ca="1" si="2"/>
        <v>9777978.5595276505</v>
      </c>
      <c r="H83" s="476">
        <f t="shared" ca="1" si="2"/>
        <v>751</v>
      </c>
      <c r="I83" s="476">
        <f t="shared" ca="1" si="2"/>
        <v>786</v>
      </c>
      <c r="J83" s="481">
        <f t="shared" ca="1" si="3"/>
        <v>2017.33761999997</v>
      </c>
      <c r="K83" s="481">
        <f t="shared" ca="1" si="3"/>
        <v>5119.4411991914531</v>
      </c>
      <c r="L83" s="481">
        <f t="shared" ref="L83:L91" ca="1" si="5">K83-J83</f>
        <v>3102.1035791914828</v>
      </c>
      <c r="M83" s="482">
        <f t="shared" ref="M83:M91" ca="1" si="6">IF(ISERROR(K83/J83),"n/a",K83/J83)</f>
        <v>2.5377215734426888</v>
      </c>
      <c r="O83" t="str">
        <f t="shared" ref="O83:O91" ca="1" si="7">OFFSET(B$82,MATCH(LARGE(C$82:C$91,ROW()-ROW(C$82)+1),C$82:C$91,0)-1,0)</f>
        <v>Commercial &amp; Industrial</v>
      </c>
    </row>
    <row r="84" spans="2:15" x14ac:dyDescent="0.2">
      <c r="B84" t="str">
        <f>List!B9</f>
        <v>Commercial &amp; Industrial</v>
      </c>
      <c r="C84" s="109">
        <f ca="1">COUNT($D$82:$D$91)-(RANK(D84,$D$82:$D$91)+COUNTIF($D$82:D84,D84)-1)+1</f>
        <v>9</v>
      </c>
      <c r="D84" s="481">
        <f t="shared" ca="1" si="4"/>
        <v>19083445.352329567</v>
      </c>
      <c r="E84" s="481">
        <f t="shared" ca="1" si="4"/>
        <v>12876548.849602131</v>
      </c>
      <c r="F84" s="476">
        <f t="shared" ca="1" si="4"/>
        <v>105503573.110254</v>
      </c>
      <c r="G84" s="476">
        <f t="shared" ca="1" si="2"/>
        <v>106468813.42825335</v>
      </c>
      <c r="H84" s="476">
        <f t="shared" ca="1" si="2"/>
        <v>487</v>
      </c>
      <c r="I84" s="476">
        <f t="shared" ca="1" si="2"/>
        <v>350</v>
      </c>
      <c r="J84" s="481">
        <f t="shared" ca="1" si="3"/>
        <v>12051.635231107</v>
      </c>
      <c r="K84" s="481">
        <f t="shared" ca="1" si="3"/>
        <v>26591.344140614456</v>
      </c>
      <c r="L84" s="481">
        <f t="shared" ca="1" si="5"/>
        <v>14539.708909507455</v>
      </c>
      <c r="M84" s="482">
        <f t="shared" ca="1" si="6"/>
        <v>2.2064511272278122</v>
      </c>
      <c r="O84" t="str">
        <f t="shared" ca="1" si="7"/>
        <v>All Classes</v>
      </c>
    </row>
    <row r="85" spans="2:15" x14ac:dyDescent="0.2">
      <c r="B85" t="str">
        <f>List!B10</f>
        <v>Municipalities/Schools</v>
      </c>
      <c r="C85" s="109">
        <f ca="1">COUNT($D$82:$D$91)-(RANK(D85,$D$82:$D$91)+COUNTIF($D$82:D85,D85)-1)+1</f>
        <v>4</v>
      </c>
      <c r="D85" s="481">
        <f t="shared" ca="1" si="4"/>
        <v>2977577.1560955308</v>
      </c>
      <c r="E85" s="481">
        <f t="shared" ca="1" si="4"/>
        <v>2534633.1074223933</v>
      </c>
      <c r="F85" s="476">
        <f t="shared" ca="1" si="4"/>
        <v>14514891.427528501</v>
      </c>
      <c r="G85" s="476">
        <f t="shared" ca="1" si="2"/>
        <v>16338233.136987923</v>
      </c>
      <c r="H85" s="476">
        <f t="shared" ca="1" si="2"/>
        <v>207</v>
      </c>
      <c r="I85" s="476">
        <f t="shared" ca="1" si="2"/>
        <v>250</v>
      </c>
      <c r="J85" s="481">
        <f t="shared" ca="1" si="3"/>
        <v>4068.304959999999</v>
      </c>
      <c r="K85" s="481">
        <f t="shared" ca="1" si="3"/>
        <v>7746.715739701438</v>
      </c>
      <c r="L85" s="481">
        <f t="shared" ca="1" si="5"/>
        <v>3678.410779701439</v>
      </c>
      <c r="M85" s="482">
        <f t="shared" ca="1" si="6"/>
        <v>1.9041629906970985</v>
      </c>
      <c r="O85" t="str">
        <f t="shared" ca="1" si="7"/>
        <v>Agriculture</v>
      </c>
    </row>
    <row r="86" spans="2:15" x14ac:dyDescent="0.2">
      <c r="B86" t="str">
        <f>List!B11</f>
        <v>Agriculture</v>
      </c>
      <c r="C86" s="109">
        <f ca="1">COUNT($D$82:$D$91)-(RANK(D86,$D$82:$D$91)+COUNTIF($D$82:D86,D86)-1)+1</f>
        <v>7</v>
      </c>
      <c r="D86" s="481">
        <f t="shared" ca="1" si="4"/>
        <v>5995430.0508793658</v>
      </c>
      <c r="E86" s="481">
        <f t="shared" ca="1" si="4"/>
        <v>5740772.4324813671</v>
      </c>
      <c r="F86" s="476">
        <f t="shared" ca="1" si="4"/>
        <v>7060545.7997548003</v>
      </c>
      <c r="G86" s="476">
        <f t="shared" ca="1" si="2"/>
        <v>7194115.5260958355</v>
      </c>
      <c r="H86" s="476">
        <f t="shared" ca="1" si="2"/>
        <v>580</v>
      </c>
      <c r="I86" s="476">
        <f t="shared" ca="1" si="2"/>
        <v>939</v>
      </c>
      <c r="J86" s="481">
        <f t="shared" ca="1" si="3"/>
        <v>5279.8953600000004</v>
      </c>
      <c r="K86" s="481">
        <f t="shared" ca="1" si="3"/>
        <v>2149.6189381027648</v>
      </c>
      <c r="L86" s="481">
        <f t="shared" ca="1" si="5"/>
        <v>-3130.2764218972357</v>
      </c>
      <c r="M86" s="482">
        <f t="shared" ca="1" si="6"/>
        <v>0.40713286751629196</v>
      </c>
      <c r="O86" t="str">
        <f t="shared" ca="1" si="7"/>
        <v>Res/Small Business</v>
      </c>
    </row>
    <row r="87" spans="2:15" x14ac:dyDescent="0.2">
      <c r="B87" t="str">
        <f>List!B12</f>
        <v>Other</v>
      </c>
      <c r="C87" s="109">
        <f ca="1">COUNT($D$82:$D$91)-(RANK(D87,$D$82:$D$91)+COUNTIF($D$82:D87,D87)-1)+1</f>
        <v>3</v>
      </c>
      <c r="D87" s="481">
        <f t="shared" ca="1" si="4"/>
        <v>0</v>
      </c>
      <c r="E87" s="481">
        <f t="shared" ca="1" si="4"/>
        <v>0</v>
      </c>
      <c r="F87" s="476">
        <f t="shared" ca="1" si="4"/>
        <v>0</v>
      </c>
      <c r="G87" s="476">
        <f t="shared" ca="1" si="2"/>
        <v>0</v>
      </c>
      <c r="H87" s="476">
        <f t="shared" ca="1" si="2"/>
        <v>0</v>
      </c>
      <c r="I87" s="476">
        <f t="shared" ca="1" si="2"/>
        <v>0</v>
      </c>
      <c r="J87" s="481">
        <f t="shared" ca="1" si="3"/>
        <v>0</v>
      </c>
      <c r="K87" s="481">
        <f t="shared" ca="1" si="3"/>
        <v>0</v>
      </c>
      <c r="L87" s="481">
        <f t="shared" ca="1" si="5"/>
        <v>0</v>
      </c>
      <c r="M87" s="482" t="str">
        <f t="shared" ca="1" si="6"/>
        <v>n/a</v>
      </c>
      <c r="O87" t="str">
        <f t="shared" ca="1" si="7"/>
        <v>Small Business</v>
      </c>
    </row>
    <row r="88" spans="2:15" x14ac:dyDescent="0.2">
      <c r="B88" t="str">
        <f>List!B14</f>
        <v>Res/Small Business</v>
      </c>
      <c r="C88" s="109">
        <f ca="1">COUNT($D$82:$D$91)-(RANK(D88,$D$82:$D$91)+COUNTIF($D$82:D88,D88)-1)+1</f>
        <v>6</v>
      </c>
      <c r="D88" s="481">
        <f t="shared" ca="1" si="4"/>
        <v>5718976.8999999994</v>
      </c>
      <c r="E88" s="481">
        <f t="shared" ca="1" si="4"/>
        <v>4902381.89020494</v>
      </c>
      <c r="F88" s="476">
        <f t="shared" ca="1" si="4"/>
        <v>4280579.2548000002</v>
      </c>
      <c r="G88" s="476">
        <f t="shared" ca="1" si="2"/>
        <v>4521927</v>
      </c>
      <c r="H88" s="476">
        <f t="shared" ca="1" si="2"/>
        <v>13378</v>
      </c>
      <c r="I88" s="476">
        <f t="shared" ca="1" si="2"/>
        <v>1365</v>
      </c>
      <c r="J88" s="481">
        <f t="shared" ca="1" si="3"/>
        <v>3092.7593199999997</v>
      </c>
      <c r="K88" s="481">
        <f t="shared" ca="1" si="3"/>
        <v>1719.0898789637467</v>
      </c>
      <c r="L88" s="481">
        <f t="shared" ca="1" si="5"/>
        <v>-1373.6694410362529</v>
      </c>
      <c r="M88" s="482">
        <f t="shared" ca="1" si="6"/>
        <v>0.55584340748627892</v>
      </c>
      <c r="O88" t="str">
        <f t="shared" ca="1" si="7"/>
        <v>Municipalities/Schools</v>
      </c>
    </row>
    <row r="89" spans="2:15" x14ac:dyDescent="0.2">
      <c r="B89" t="str">
        <f>List!B15</f>
        <v>Res/C&amp;I</v>
      </c>
      <c r="C89" s="109">
        <f ca="1">COUNT($D$82:$D$91)-(RANK(D89,$D$82:$D$91)+COUNTIF($D$82:D89,D89)-1)+1</f>
        <v>2</v>
      </c>
      <c r="D89" s="481">
        <f t="shared" ca="1" si="4"/>
        <v>0</v>
      </c>
      <c r="E89" s="481">
        <f t="shared" ca="1" si="4"/>
        <v>0</v>
      </c>
      <c r="F89" s="476">
        <f t="shared" ca="1" si="4"/>
        <v>0</v>
      </c>
      <c r="G89" s="476">
        <f t="shared" ca="1" si="2"/>
        <v>0</v>
      </c>
      <c r="H89" s="476">
        <f t="shared" ca="1" si="2"/>
        <v>0</v>
      </c>
      <c r="I89" s="476">
        <f t="shared" ca="1" si="2"/>
        <v>0</v>
      </c>
      <c r="J89" s="481">
        <f t="shared" ca="1" si="3"/>
        <v>0</v>
      </c>
      <c r="K89" s="481">
        <f t="shared" ca="1" si="3"/>
        <v>0</v>
      </c>
      <c r="L89" s="481">
        <f t="shared" ca="1" si="5"/>
        <v>0</v>
      </c>
      <c r="M89" s="482" t="str">
        <f t="shared" ca="1" si="6"/>
        <v>n/a</v>
      </c>
      <c r="O89" t="str">
        <f t="shared" ca="1" si="7"/>
        <v>Other</v>
      </c>
    </row>
    <row r="90" spans="2:15" x14ac:dyDescent="0.2">
      <c r="B90" t="str">
        <f>List!B16</f>
        <v>Small Business/C&amp;I</v>
      </c>
      <c r="C90" s="109">
        <f ca="1">COUNT($D$82:$D$91)-(RANK(D90,$D$82:$D$91)+COUNTIF($D$82:D90,D90)-1)+1</f>
        <v>1</v>
      </c>
      <c r="D90" s="481">
        <f t="shared" ca="1" si="4"/>
        <v>0</v>
      </c>
      <c r="E90" s="481">
        <f t="shared" ca="1" si="4"/>
        <v>0</v>
      </c>
      <c r="F90" s="476">
        <f t="shared" ca="1" si="4"/>
        <v>0</v>
      </c>
      <c r="G90" s="476">
        <f t="shared" ca="1" si="2"/>
        <v>0</v>
      </c>
      <c r="H90" s="476">
        <f t="shared" ca="1" si="2"/>
        <v>0</v>
      </c>
      <c r="I90" s="476">
        <f t="shared" ca="1" si="2"/>
        <v>0</v>
      </c>
      <c r="J90" s="481">
        <f t="shared" ca="1" si="3"/>
        <v>0</v>
      </c>
      <c r="K90" s="481">
        <f t="shared" ca="1" si="3"/>
        <v>0</v>
      </c>
      <c r="L90" s="481">
        <f t="shared" ca="1" si="5"/>
        <v>0</v>
      </c>
      <c r="M90" s="482" t="str">
        <f t="shared" ca="1" si="6"/>
        <v>n/a</v>
      </c>
      <c r="O90" t="str">
        <f t="shared" ca="1" si="7"/>
        <v>Res/C&amp;I</v>
      </c>
    </row>
    <row r="91" spans="2:15" x14ac:dyDescent="0.2">
      <c r="B91" t="str">
        <f>List!B17</f>
        <v>All Classes</v>
      </c>
      <c r="C91" s="109">
        <f ca="1">COUNT($D$82:$D$91)-(RANK(D91,$D$82:$D$91)+COUNTIF($D$82:D91,D91)-1)+1</f>
        <v>8</v>
      </c>
      <c r="D91" s="481">
        <f t="shared" ca="1" si="4"/>
        <v>8741247.6151663307</v>
      </c>
      <c r="E91" s="481">
        <f t="shared" ca="1" si="4"/>
        <v>7476072.8865874726</v>
      </c>
      <c r="F91" s="476">
        <f t="shared" ca="1" si="4"/>
        <v>54949160.336915098</v>
      </c>
      <c r="G91" s="476">
        <f t="shared" ca="1" si="2"/>
        <v>57671890.179663248</v>
      </c>
      <c r="H91" s="476">
        <f t="shared" ca="1" si="2"/>
        <v>251361</v>
      </c>
      <c r="I91" s="476">
        <f t="shared" ca="1" si="2"/>
        <v>225890</v>
      </c>
      <c r="J91" s="481">
        <f t="shared" ca="1" si="3"/>
        <v>7249.6459697364753</v>
      </c>
      <c r="K91" s="481">
        <f t="shared" ca="1" si="3"/>
        <v>24377.298353876471</v>
      </c>
      <c r="L91" s="481">
        <f t="shared" ca="1" si="5"/>
        <v>17127.652384139998</v>
      </c>
      <c r="M91" s="482">
        <f t="shared" ca="1" si="6"/>
        <v>3.3625501790899985</v>
      </c>
      <c r="O91" t="str">
        <f t="shared" ca="1" si="7"/>
        <v>Small Business/C&amp;I</v>
      </c>
    </row>
    <row r="93" spans="2:15" x14ac:dyDescent="0.2">
      <c r="D93" s="479" t="s">
        <v>553</v>
      </c>
      <c r="E93" s="479" t="s">
        <v>554</v>
      </c>
      <c r="F93" s="479" t="s">
        <v>555</v>
      </c>
      <c r="G93" s="479" t="s">
        <v>556</v>
      </c>
      <c r="H93" s="109"/>
      <c r="I93" s="296" t="s">
        <v>825</v>
      </c>
    </row>
    <row r="94" spans="2:15" x14ac:dyDescent="0.2">
      <c r="B94" t="str">
        <f ca="1">O82</f>
        <v>Residential</v>
      </c>
      <c r="D94" s="481">
        <f ca="1">VLOOKUP($B94,$B$82:$E$91,3,FALSE)</f>
        <v>27604527.346245464</v>
      </c>
      <c r="E94" s="481">
        <f ca="1">VLOOKUP($B94,$B$82:$E$91,4,FALSE)</f>
        <v>23531085.002194084</v>
      </c>
      <c r="F94" s="476">
        <f ca="1">VLOOKUP($B94,$B$82:$G$91,5,FALSE)</f>
        <v>49953674.5316213</v>
      </c>
      <c r="G94" s="476">
        <f ca="1">VLOOKUP($B94,$B$82:$G$91,6,FALSE)</f>
        <v>53867196.151466064</v>
      </c>
      <c r="I94">
        <f ca="1">IF('Report 2'!$B$24='Report 2'!$D$24,Tables!E94,Tables!F94)</f>
        <v>49953674.5316213</v>
      </c>
    </row>
    <row r="95" spans="2:15" x14ac:dyDescent="0.2">
      <c r="B95" t="str">
        <f t="shared" ref="B95:B102" ca="1" si="8">O83</f>
        <v>Commercial &amp; Industrial</v>
      </c>
      <c r="D95" s="481">
        <f t="shared" ref="D95:D103" ca="1" si="9">VLOOKUP($B95,$B$82:$E$91,3,FALSE)</f>
        <v>19083445.352329567</v>
      </c>
      <c r="E95" s="481">
        <f t="shared" ref="E95:E103" ca="1" si="10">VLOOKUP($B95,$B$82:$E$91,4,FALSE)</f>
        <v>12876548.849602131</v>
      </c>
      <c r="F95" s="476">
        <f t="shared" ref="F95:F103" ca="1" si="11">VLOOKUP($B95,$B$82:$G$91,5,FALSE)</f>
        <v>105503573.110254</v>
      </c>
      <c r="G95" s="476">
        <f t="shared" ref="G95:G103" ca="1" si="12">VLOOKUP($B95,$B$82:$G$91,6,FALSE)</f>
        <v>106468813.42825335</v>
      </c>
      <c r="I95">
        <f ca="1">IF('Report 2'!$B$24='Report 2'!$D$24,Tables!E95,Tables!F95)</f>
        <v>105503573.110254</v>
      </c>
      <c r="K95" s="142"/>
      <c r="L95" s="124"/>
    </row>
    <row r="96" spans="2:15" x14ac:dyDescent="0.2">
      <c r="B96" t="str">
        <f t="shared" ca="1" si="8"/>
        <v>All Classes</v>
      </c>
      <c r="D96" s="481">
        <f t="shared" ca="1" si="9"/>
        <v>8741247.6151663307</v>
      </c>
      <c r="E96" s="481">
        <f t="shared" ca="1" si="10"/>
        <v>7476072.8865874726</v>
      </c>
      <c r="F96" s="476">
        <f t="shared" ca="1" si="11"/>
        <v>54949160.336915098</v>
      </c>
      <c r="G96" s="476">
        <f t="shared" ca="1" si="12"/>
        <v>57671890.179663248</v>
      </c>
      <c r="I96">
        <f ca="1">IF('Report 2'!$B$24='Report 2'!$D$24,Tables!E96,Tables!F96)</f>
        <v>54949160.336915098</v>
      </c>
    </row>
    <row r="97" spans="2:9" x14ac:dyDescent="0.2">
      <c r="B97" t="str">
        <f t="shared" ca="1" si="8"/>
        <v>Agriculture</v>
      </c>
      <c r="D97" s="481">
        <f t="shared" ca="1" si="9"/>
        <v>5995430.0508793658</v>
      </c>
      <c r="E97" s="481">
        <f t="shared" ca="1" si="10"/>
        <v>5740772.4324813671</v>
      </c>
      <c r="F97" s="476">
        <f t="shared" ca="1" si="11"/>
        <v>7060545.7997548003</v>
      </c>
      <c r="G97" s="476">
        <f t="shared" ca="1" si="12"/>
        <v>7194115.5260958355</v>
      </c>
      <c r="I97">
        <f ca="1">IF('Report 2'!$B$24='Report 2'!$D$24,Tables!E97,Tables!F97)</f>
        <v>7060545.7997548003</v>
      </c>
    </row>
    <row r="98" spans="2:9" x14ac:dyDescent="0.2">
      <c r="B98" t="str">
        <f t="shared" ca="1" si="8"/>
        <v>Res/Small Business</v>
      </c>
      <c r="D98" s="481">
        <f t="shared" ca="1" si="9"/>
        <v>5718976.8999999994</v>
      </c>
      <c r="E98" s="481">
        <f t="shared" ca="1" si="10"/>
        <v>4902381.89020494</v>
      </c>
      <c r="F98" s="476">
        <f t="shared" ca="1" si="11"/>
        <v>4280579.2548000002</v>
      </c>
      <c r="G98" s="476">
        <f t="shared" ca="1" si="12"/>
        <v>4521927</v>
      </c>
      <c r="I98">
        <f ca="1">IF('Report 2'!$B$24='Report 2'!$D$24,Tables!E98,Tables!F98)</f>
        <v>4280579.2548000002</v>
      </c>
    </row>
    <row r="99" spans="2:9" x14ac:dyDescent="0.2">
      <c r="B99" t="str">
        <f t="shared" ca="1" si="8"/>
        <v>Small Business</v>
      </c>
      <c r="D99" s="481">
        <f t="shared" ca="1" si="9"/>
        <v>4178985.9141110736</v>
      </c>
      <c r="E99" s="481">
        <f t="shared" ca="1" si="10"/>
        <v>2152818.7915076138</v>
      </c>
      <c r="F99" s="476">
        <f t="shared" ca="1" si="11"/>
        <v>17147011.9466592</v>
      </c>
      <c r="G99" s="476">
        <f t="shared" ca="1" si="12"/>
        <v>9777978.5595276505</v>
      </c>
      <c r="I99">
        <f ca="1">IF('Report 2'!$B$24='Report 2'!$D$24,Tables!E99,Tables!F99)</f>
        <v>17147011.9466592</v>
      </c>
    </row>
    <row r="100" spans="2:9" x14ac:dyDescent="0.2">
      <c r="B100" t="str">
        <f t="shared" ca="1" si="8"/>
        <v>Municipalities/Schools</v>
      </c>
      <c r="D100" s="481">
        <f t="shared" ca="1" si="9"/>
        <v>2977577.1560955308</v>
      </c>
      <c r="E100" s="481">
        <f t="shared" ca="1" si="10"/>
        <v>2534633.1074223933</v>
      </c>
      <c r="F100" s="476">
        <f t="shared" ca="1" si="11"/>
        <v>14514891.427528501</v>
      </c>
      <c r="G100" s="476">
        <f t="shared" ca="1" si="12"/>
        <v>16338233.136987923</v>
      </c>
      <c r="I100">
        <f ca="1">IF('Report 2'!$B$24='Report 2'!$D$24,Tables!E100,Tables!F100)</f>
        <v>14514891.427528501</v>
      </c>
    </row>
    <row r="101" spans="2:9" x14ac:dyDescent="0.2">
      <c r="B101" t="str">
        <f t="shared" ca="1" si="8"/>
        <v>Other</v>
      </c>
      <c r="D101" s="481">
        <f t="shared" ca="1" si="9"/>
        <v>0</v>
      </c>
      <c r="E101" s="481">
        <f t="shared" ca="1" si="10"/>
        <v>0</v>
      </c>
      <c r="F101" s="476">
        <f t="shared" ca="1" si="11"/>
        <v>0</v>
      </c>
      <c r="G101" s="476">
        <f t="shared" ca="1" si="12"/>
        <v>0</v>
      </c>
      <c r="I101">
        <f ca="1">IF('Report 2'!$B$24='Report 2'!$D$24,Tables!E101,Tables!F101)</f>
        <v>0</v>
      </c>
    </row>
    <row r="102" spans="2:9" x14ac:dyDescent="0.2">
      <c r="B102" t="str">
        <f t="shared" ca="1" si="8"/>
        <v>Res/C&amp;I</v>
      </c>
      <c r="D102" s="481">
        <f t="shared" ca="1" si="9"/>
        <v>0</v>
      </c>
      <c r="E102" s="481">
        <f t="shared" ca="1" si="10"/>
        <v>0</v>
      </c>
      <c r="F102" s="476">
        <f t="shared" ca="1" si="11"/>
        <v>0</v>
      </c>
      <c r="G102" s="476">
        <f t="shared" ca="1" si="12"/>
        <v>0</v>
      </c>
      <c r="I102">
        <f ca="1">IF('Report 2'!$B$24='Report 2'!$D$24,Tables!E102,Tables!F102)</f>
        <v>0</v>
      </c>
    </row>
    <row r="103" spans="2:9" x14ac:dyDescent="0.2">
      <c r="B103" t="str">
        <f ca="1">O91</f>
        <v>Small Business/C&amp;I</v>
      </c>
      <c r="D103" s="481">
        <f t="shared" ca="1" si="9"/>
        <v>0</v>
      </c>
      <c r="E103" s="481">
        <f t="shared" ca="1" si="10"/>
        <v>0</v>
      </c>
      <c r="F103" s="476">
        <f t="shared" ca="1" si="11"/>
        <v>0</v>
      </c>
      <c r="G103" s="476">
        <f t="shared" ca="1" si="12"/>
        <v>0</v>
      </c>
      <c r="I103">
        <f ca="1">IF('Report 2'!$B$24='Report 2'!$D$24,Tables!E103,Tables!F103)</f>
        <v>0</v>
      </c>
    </row>
    <row r="106" spans="2:9" x14ac:dyDescent="0.2">
      <c r="D106" s="479" t="s">
        <v>553</v>
      </c>
      <c r="E106" s="479" t="s">
        <v>554</v>
      </c>
      <c r="F106" s="479" t="s">
        <v>555</v>
      </c>
      <c r="G106" s="479" t="s">
        <v>556</v>
      </c>
    </row>
    <row r="107" spans="2:9" x14ac:dyDescent="0.2">
      <c r="B107" t="str">
        <f ca="1">O58</f>
        <v>Large Commercial &amp; Industrial Solutions</v>
      </c>
      <c r="D107" s="481">
        <f ca="1">VLOOKUP($B107,$B$58:$L$77,3,FALSE)</f>
        <v>19083445.352329567</v>
      </c>
      <c r="E107" s="481">
        <f ca="1">VLOOKUP($B107,$B$58:$L$77,4,FALSE)</f>
        <v>12876548.849602131</v>
      </c>
      <c r="F107" s="476">
        <f ca="1">VLOOKUP($B107,$B$58:$L$77,5,FALSE)</f>
        <v>105503573.110254</v>
      </c>
      <c r="G107" s="476">
        <f ca="1">VLOOKUP($B107,$B$58:$L$77,6,FALSE)</f>
        <v>106468813.42825335</v>
      </c>
    </row>
    <row r="108" spans="2:9" x14ac:dyDescent="0.2">
      <c r="B108" t="str">
        <f t="shared" ref="B108:B126" ca="1" si="13">O59</f>
        <v>Home Energy Solutions</v>
      </c>
      <c r="D108" s="481">
        <f t="shared" ref="D108:D126" ca="1" si="14">VLOOKUP($B108,$B$58:$L$77,3,FALSE)</f>
        <v>15248596.375572719</v>
      </c>
      <c r="E108" s="481">
        <f t="shared" ref="E108:E126" ca="1" si="15">VLOOKUP($B108,$B$58:$L$77,4,FALSE)</f>
        <v>12494941.98650186</v>
      </c>
      <c r="F108" s="476">
        <f t="shared" ref="F108:F126" ca="1" si="16">VLOOKUP($B108,$B$58:$L$77,5,FALSE)</f>
        <v>27272531.0301213</v>
      </c>
      <c r="G108" s="476">
        <f t="shared" ref="G108:G126" ca="1" si="17">VLOOKUP($B108,$B$58:$L$77,6,FALSE)</f>
        <v>30406973.18046065</v>
      </c>
    </row>
    <row r="109" spans="2:9" x14ac:dyDescent="0.2">
      <c r="B109" t="str">
        <f t="shared" ca="1" si="13"/>
        <v>Point of Purchase Solutions</v>
      </c>
      <c r="D109" s="481">
        <f t="shared" ca="1" si="14"/>
        <v>8741247.6151663307</v>
      </c>
      <c r="E109" s="481">
        <f t="shared" ca="1" si="15"/>
        <v>7476072.8865874726</v>
      </c>
      <c r="F109" s="476">
        <f t="shared" ca="1" si="16"/>
        <v>54949160.336915098</v>
      </c>
      <c r="G109" s="476">
        <f t="shared" ca="1" si="17"/>
        <v>57671890.179663248</v>
      </c>
    </row>
    <row r="110" spans="2:9" x14ac:dyDescent="0.2">
      <c r="B110" t="str">
        <f t="shared" ca="1" si="13"/>
        <v xml:space="preserve">Smart Direct Load Control Pilot </v>
      </c>
      <c r="D110" s="481">
        <f t="shared" ca="1" si="14"/>
        <v>5718976.8999999994</v>
      </c>
      <c r="E110" s="481">
        <f t="shared" ca="1" si="15"/>
        <v>4902381.89020494</v>
      </c>
      <c r="F110" s="476">
        <f t="shared" ca="1" si="16"/>
        <v>4280579.2548000002</v>
      </c>
      <c r="G110" s="476">
        <f t="shared" ca="1" si="17"/>
        <v>4521927</v>
      </c>
    </row>
    <row r="111" spans="2:9" x14ac:dyDescent="0.2">
      <c r="B111" t="str">
        <f t="shared" ca="1" si="13"/>
        <v xml:space="preserve">Low-Income Solutions </v>
      </c>
      <c r="D111" s="481">
        <f t="shared" ca="1" si="14"/>
        <v>5412099.8553003902</v>
      </c>
      <c r="E111" s="481">
        <f t="shared" ca="1" si="15"/>
        <v>4763927.8427500166</v>
      </c>
      <c r="F111" s="476">
        <f t="shared" ca="1" si="16"/>
        <v>7872898.9500000002</v>
      </c>
      <c r="G111" s="476">
        <f t="shared" ca="1" si="17"/>
        <v>8312577.7166410862</v>
      </c>
    </row>
    <row r="112" spans="2:9" x14ac:dyDescent="0.2">
      <c r="B112" t="str">
        <f t="shared" ca="1" si="13"/>
        <v>Agricultural Irrigation Load Control</v>
      </c>
      <c r="D112" s="481">
        <f t="shared" ca="1" si="14"/>
        <v>3797839.0106500001</v>
      </c>
      <c r="E112" s="481">
        <f t="shared" ca="1" si="15"/>
        <v>3721323.8753131311</v>
      </c>
      <c r="F112" s="476">
        <f t="shared" ca="1" si="16"/>
        <v>0</v>
      </c>
      <c r="G112" s="476">
        <f t="shared" ca="1" si="17"/>
        <v>0</v>
      </c>
    </row>
    <row r="113" spans="2:7" x14ac:dyDescent="0.2">
      <c r="B113" t="str">
        <f t="shared" ca="1" si="13"/>
        <v>Multifamily Homes</v>
      </c>
      <c r="D113" s="481">
        <f t="shared" ca="1" si="14"/>
        <v>2856920.9541101647</v>
      </c>
      <c r="E113" s="481">
        <f t="shared" ca="1" si="15"/>
        <v>2616186.8275253</v>
      </c>
      <c r="F113" s="476">
        <f t="shared" ca="1" si="16"/>
        <v>9784860.4155000001</v>
      </c>
      <c r="G113" s="476">
        <f t="shared" ca="1" si="17"/>
        <v>10077059.989879465</v>
      </c>
    </row>
    <row r="114" spans="2:7" x14ac:dyDescent="0.2">
      <c r="B114" t="str">
        <f t="shared" ca="1" si="13"/>
        <v xml:space="preserve">Public Institutions Solutions </v>
      </c>
      <c r="D114" s="481">
        <f t="shared" ca="1" si="14"/>
        <v>2977577.1560955308</v>
      </c>
      <c r="E114" s="481">
        <f t="shared" ca="1" si="15"/>
        <v>2534633.1074223933</v>
      </c>
      <c r="F114" s="476">
        <f t="shared" ca="1" si="16"/>
        <v>14514891.427528501</v>
      </c>
      <c r="G114" s="476">
        <f t="shared" ca="1" si="17"/>
        <v>16338233.136987923</v>
      </c>
    </row>
    <row r="115" spans="2:7" x14ac:dyDescent="0.2">
      <c r="B115" t="str">
        <f t="shared" ca="1" si="13"/>
        <v>Residential Direct Load Control</v>
      </c>
      <c r="D115" s="481">
        <f t="shared" ca="1" si="14"/>
        <v>2666350.0000000005</v>
      </c>
      <c r="E115" s="481">
        <f t="shared" ca="1" si="15"/>
        <v>2345939.6299310033</v>
      </c>
      <c r="F115" s="476">
        <f t="shared" ca="1" si="16"/>
        <v>0</v>
      </c>
      <c r="G115" s="476">
        <f t="shared" ca="1" si="17"/>
        <v>0</v>
      </c>
    </row>
    <row r="116" spans="2:7" x14ac:dyDescent="0.2">
      <c r="B116" t="str">
        <f t="shared" ca="1" si="13"/>
        <v>Small Business Solutions</v>
      </c>
      <c r="D116" s="481">
        <f t="shared" ca="1" si="14"/>
        <v>4178985.9141110736</v>
      </c>
      <c r="E116" s="481">
        <f t="shared" ca="1" si="15"/>
        <v>2152818.7915076138</v>
      </c>
      <c r="F116" s="476">
        <f t="shared" ca="1" si="16"/>
        <v>17147011.9466592</v>
      </c>
      <c r="G116" s="476">
        <f t="shared" ca="1" si="17"/>
        <v>9777978.5595276505</v>
      </c>
    </row>
    <row r="117" spans="2:7" x14ac:dyDescent="0.2">
      <c r="B117" t="str">
        <f t="shared" ca="1" si="13"/>
        <v>Agricultural Energy Solutions</v>
      </c>
      <c r="D117" s="481">
        <f t="shared" ca="1" si="14"/>
        <v>2197591.0402293657</v>
      </c>
      <c r="E117" s="481">
        <f t="shared" ca="1" si="15"/>
        <v>2019448.557168236</v>
      </c>
      <c r="F117" s="476">
        <f t="shared" ca="1" si="16"/>
        <v>7060545.7997548003</v>
      </c>
      <c r="G117" s="476">
        <f t="shared" ca="1" si="17"/>
        <v>7194115.5260958355</v>
      </c>
    </row>
    <row r="118" spans="2:7" x14ac:dyDescent="0.2">
      <c r="B118" t="str">
        <f t="shared" ca="1" si="13"/>
        <v>Manufactured Homes</v>
      </c>
      <c r="D118" s="481">
        <f t="shared" ca="1" si="14"/>
        <v>1420560.1612621918</v>
      </c>
      <c r="E118" s="481">
        <f t="shared" ca="1" si="15"/>
        <v>1310088.7154859044</v>
      </c>
      <c r="F118" s="476">
        <f t="shared" ca="1" si="16"/>
        <v>5023384.1359999999</v>
      </c>
      <c r="G118" s="476">
        <f t="shared" ca="1" si="17"/>
        <v>5070585.2644848609</v>
      </c>
    </row>
    <row r="119" spans="2:7" x14ac:dyDescent="0.2">
      <c r="B119" t="str">
        <f t="shared" ca="1" si="13"/>
        <v>*Hide*</v>
      </c>
      <c r="D119" s="481" t="str">
        <f t="shared" ca="1" si="14"/>
        <v>-</v>
      </c>
      <c r="E119" s="481" t="str">
        <f t="shared" ca="1" si="15"/>
        <v>-</v>
      </c>
      <c r="F119" s="476" t="str">
        <f t="shared" ca="1" si="16"/>
        <v>-</v>
      </c>
      <c r="G119" s="476" t="str">
        <f t="shared" ca="1" si="17"/>
        <v>-</v>
      </c>
    </row>
    <row r="120" spans="2:7" x14ac:dyDescent="0.2">
      <c r="B120" t="str">
        <f t="shared" ca="1" si="13"/>
        <v>*Hide*</v>
      </c>
      <c r="D120" s="481" t="str">
        <f t="shared" ca="1" si="14"/>
        <v>-</v>
      </c>
      <c r="E120" s="481" t="str">
        <f t="shared" ca="1" si="15"/>
        <v>-</v>
      </c>
      <c r="F120" s="476" t="str">
        <f t="shared" ca="1" si="16"/>
        <v>-</v>
      </c>
      <c r="G120" s="476" t="str">
        <f t="shared" ca="1" si="17"/>
        <v>-</v>
      </c>
    </row>
    <row r="121" spans="2:7" x14ac:dyDescent="0.2">
      <c r="B121" t="str">
        <f t="shared" ca="1" si="13"/>
        <v>*Hide*</v>
      </c>
      <c r="D121" s="481" t="str">
        <f t="shared" ca="1" si="14"/>
        <v>-</v>
      </c>
      <c r="E121" s="481" t="str">
        <f t="shared" ca="1" si="15"/>
        <v>-</v>
      </c>
      <c r="F121" s="476" t="str">
        <f t="shared" ca="1" si="16"/>
        <v>-</v>
      </c>
      <c r="G121" s="476" t="str">
        <f t="shared" ca="1" si="17"/>
        <v>-</v>
      </c>
    </row>
    <row r="122" spans="2:7" x14ac:dyDescent="0.2">
      <c r="B122" t="str">
        <f t="shared" ca="1" si="13"/>
        <v>*Hide*</v>
      </c>
      <c r="D122" s="481" t="str">
        <f t="shared" ca="1" si="14"/>
        <v>-</v>
      </c>
      <c r="E122" s="481" t="str">
        <f t="shared" ca="1" si="15"/>
        <v>-</v>
      </c>
      <c r="F122" s="476" t="str">
        <f t="shared" ca="1" si="16"/>
        <v>-</v>
      </c>
      <c r="G122" s="476" t="str">
        <f t="shared" ca="1" si="17"/>
        <v>-</v>
      </c>
    </row>
    <row r="123" spans="2:7" x14ac:dyDescent="0.2">
      <c r="B123" t="str">
        <f ca="1">O74</f>
        <v>*Hide*</v>
      </c>
      <c r="D123" s="481" t="str">
        <f t="shared" ca="1" si="14"/>
        <v>-</v>
      </c>
      <c r="E123" s="481" t="str">
        <f t="shared" ca="1" si="15"/>
        <v>-</v>
      </c>
      <c r="F123" s="476" t="str">
        <f t="shared" ca="1" si="16"/>
        <v>-</v>
      </c>
      <c r="G123" s="476" t="str">
        <f t="shared" ca="1" si="17"/>
        <v>-</v>
      </c>
    </row>
    <row r="124" spans="2:7" x14ac:dyDescent="0.2">
      <c r="B124" t="str">
        <f t="shared" ca="1" si="13"/>
        <v>*Hide*</v>
      </c>
      <c r="D124" s="481" t="str">
        <f t="shared" ca="1" si="14"/>
        <v>-</v>
      </c>
      <c r="E124" s="481" t="str">
        <f t="shared" ca="1" si="15"/>
        <v>-</v>
      </c>
      <c r="F124" s="476" t="str">
        <f t="shared" ca="1" si="16"/>
        <v>-</v>
      </c>
      <c r="G124" s="476" t="str">
        <f t="shared" ca="1" si="17"/>
        <v>-</v>
      </c>
    </row>
    <row r="125" spans="2:7" x14ac:dyDescent="0.2">
      <c r="B125" t="str">
        <f t="shared" ca="1" si="13"/>
        <v>*Hide*</v>
      </c>
      <c r="D125" s="481" t="str">
        <f t="shared" ca="1" si="14"/>
        <v>-</v>
      </c>
      <c r="E125" s="481" t="str">
        <f t="shared" ca="1" si="15"/>
        <v>-</v>
      </c>
      <c r="F125" s="476" t="str">
        <f t="shared" ca="1" si="16"/>
        <v>-</v>
      </c>
      <c r="G125" s="476" t="str">
        <f t="shared" ca="1" si="17"/>
        <v>-</v>
      </c>
    </row>
    <row r="126" spans="2:7" x14ac:dyDescent="0.2">
      <c r="B126" t="str">
        <f t="shared" ca="1" si="13"/>
        <v>*Hide*</v>
      </c>
      <c r="D126" s="481" t="str">
        <f t="shared" ca="1" si="14"/>
        <v>-</v>
      </c>
      <c r="E126" s="481" t="str">
        <f t="shared" ca="1" si="15"/>
        <v>-</v>
      </c>
      <c r="F126" s="476" t="str">
        <f t="shared" ca="1" si="16"/>
        <v>-</v>
      </c>
      <c r="G126" s="476" t="str">
        <f t="shared" ca="1" si="17"/>
        <v>-</v>
      </c>
    </row>
  </sheetData>
  <pageMargins left="0.7" right="0.7" top="0.75" bottom="0.75" header="0.3" footer="0.3"/>
  <pageSetup orientation="portrait" horizontalDpi="300"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M18"/>
  <sheetViews>
    <sheetView showGridLines="0" zoomScale="110" zoomScaleNormal="110" workbookViewId="0">
      <selection activeCell="C13" sqref="C13:D14"/>
    </sheetView>
  </sheetViews>
  <sheetFormatPr defaultColWidth="9.42578125" defaultRowHeight="12.75" x14ac:dyDescent="0.2"/>
  <cols>
    <col min="1" max="1" width="1" style="2" customWidth="1"/>
    <col min="2" max="3" width="12.5703125" style="2" customWidth="1"/>
    <col min="4" max="4" width="14.5703125" style="2" customWidth="1"/>
    <col min="5" max="5" width="12.42578125" style="2" customWidth="1"/>
    <col min="6" max="6" width="12.5703125" style="2" bestFit="1" customWidth="1"/>
    <col min="7" max="7" width="13.42578125" style="2" bestFit="1" customWidth="1"/>
    <col min="8" max="8" width="6.5703125" style="2" customWidth="1"/>
    <col min="9" max="9" width="6.42578125" style="2" customWidth="1"/>
    <col min="10" max="10" width="12.42578125" style="2" bestFit="1" customWidth="1"/>
    <col min="11" max="11" width="11.5703125" style="2" customWidth="1"/>
    <col min="12" max="12" width="9.42578125" style="2" bestFit="1" customWidth="1"/>
    <col min="13" max="13" width="1.42578125" style="2" customWidth="1"/>
    <col min="14" max="16384" width="9.42578125" style="2"/>
  </cols>
  <sheetData>
    <row r="1" spans="1:13" ht="5.0999999999999996" customHeight="1" thickBot="1" x14ac:dyDescent="0.25"/>
    <row r="2" spans="1:13" ht="38.25" customHeight="1" thickBot="1" x14ac:dyDescent="0.25">
      <c r="B2" s="660" t="s">
        <v>807</v>
      </c>
      <c r="C2" s="660"/>
      <c r="D2" s="660"/>
      <c r="E2" s="660"/>
      <c r="F2" s="660"/>
      <c r="G2" s="660"/>
      <c r="H2" s="660"/>
      <c r="I2" s="660"/>
      <c r="J2" s="660"/>
      <c r="K2" s="660"/>
      <c r="L2" s="660"/>
    </row>
    <row r="3" spans="1:13" ht="4.5" customHeight="1" thickBot="1" x14ac:dyDescent="0.25"/>
    <row r="4" spans="1:13" ht="24" thickBot="1" x14ac:dyDescent="0.4">
      <c r="B4" s="725" t="str">
        <f>Titles!F2&amp;" Portfolio Summary"</f>
        <v>2025 Portfolio Summary</v>
      </c>
      <c r="C4" s="726"/>
      <c r="D4" s="726"/>
      <c r="E4" s="726"/>
      <c r="F4" s="726"/>
      <c r="G4" s="726"/>
      <c r="H4" s="726"/>
      <c r="I4" s="726"/>
      <c r="J4" s="726"/>
      <c r="K4" s="726"/>
      <c r="L4" s="727"/>
    </row>
    <row r="5" spans="1:13" ht="4.5" customHeight="1" thickBot="1" x14ac:dyDescent="0.25">
      <c r="B5" s="78"/>
      <c r="L5" s="79"/>
    </row>
    <row r="6" spans="1:13" ht="14.25" customHeight="1" thickBot="1" x14ac:dyDescent="0.25">
      <c r="B6" s="728" t="s">
        <v>418</v>
      </c>
      <c r="C6" s="729"/>
      <c r="D6" s="728" t="s">
        <v>574</v>
      </c>
      <c r="E6" s="730"/>
      <c r="F6" s="729"/>
      <c r="G6" s="728" t="s">
        <v>826</v>
      </c>
      <c r="H6" s="730"/>
      <c r="I6" s="729"/>
      <c r="J6" s="728" t="s">
        <v>827</v>
      </c>
      <c r="K6" s="730"/>
      <c r="L6" s="729"/>
    </row>
    <row r="7" spans="1:13" ht="46.5" customHeight="1" x14ac:dyDescent="0.2">
      <c r="A7" s="279"/>
      <c r="B7" s="90" t="s">
        <v>589</v>
      </c>
      <c r="C7" s="91" t="s">
        <v>808</v>
      </c>
      <c r="D7" s="90" t="s">
        <v>828</v>
      </c>
      <c r="E7" s="87" t="s">
        <v>56</v>
      </c>
      <c r="F7" s="205" t="s">
        <v>829</v>
      </c>
      <c r="G7" s="297" t="s">
        <v>830</v>
      </c>
      <c r="H7" s="298" t="s">
        <v>831</v>
      </c>
      <c r="I7" s="299" t="s">
        <v>832</v>
      </c>
      <c r="J7" s="297" t="s">
        <v>833</v>
      </c>
      <c r="K7" s="298" t="s">
        <v>834</v>
      </c>
      <c r="L7" s="300" t="s">
        <v>835</v>
      </c>
      <c r="M7" s="279"/>
    </row>
    <row r="8" spans="1:13" ht="13.5" customHeight="1" x14ac:dyDescent="0.2">
      <c r="A8" s="279"/>
      <c r="B8" s="89" t="str">
        <f>Titles!F16</f>
        <v>MW</v>
      </c>
      <c r="C8" s="92" t="str">
        <f>Titles!F14</f>
        <v>MWh</v>
      </c>
      <c r="D8" s="93"/>
      <c r="E8" s="88"/>
      <c r="F8" s="206"/>
      <c r="G8" s="214" t="s">
        <v>836</v>
      </c>
      <c r="H8" s="207"/>
      <c r="I8" s="210"/>
      <c r="J8" s="212" t="s">
        <v>837</v>
      </c>
      <c r="K8" s="211" t="s">
        <v>837</v>
      </c>
      <c r="L8" s="213" t="s">
        <v>838</v>
      </c>
      <c r="M8" s="279"/>
    </row>
    <row r="9" spans="1:13" ht="17.25" customHeight="1" thickBot="1" x14ac:dyDescent="0.25">
      <c r="A9" s="279"/>
      <c r="B9" s="389">
        <f>Tables!B4</f>
        <v>75.289543484368266</v>
      </c>
      <c r="C9" s="390">
        <f>Tables!C4</f>
        <v>255840.15398199405</v>
      </c>
      <c r="D9" s="391">
        <f>Tables!D4</f>
        <v>59237332.649999991</v>
      </c>
      <c r="E9" s="392">
        <f>Tables!E4</f>
        <v>0</v>
      </c>
      <c r="F9" s="393">
        <f>Tables!F4</f>
        <v>5821532.94441933</v>
      </c>
      <c r="G9" s="394">
        <f>Tables!G4</f>
        <v>58215329.444193296</v>
      </c>
      <c r="H9" s="395">
        <f>Tables!H4</f>
        <v>2.0360500521026945</v>
      </c>
      <c r="I9" s="359">
        <f>Tables!I4</f>
        <v>1.8040649441747414</v>
      </c>
      <c r="J9" s="396">
        <f>Tables!J4</f>
        <v>1.2E-2</v>
      </c>
      <c r="K9" s="397">
        <f>Tables!K4</f>
        <v>1.564027882925011E-2</v>
      </c>
      <c r="L9" s="398">
        <f>Tables!L4</f>
        <v>1.3</v>
      </c>
      <c r="M9" s="279"/>
    </row>
    <row r="10" spans="1:13" x14ac:dyDescent="0.2">
      <c r="B10" s="279"/>
      <c r="C10" s="279"/>
      <c r="D10" s="279"/>
      <c r="E10" s="279"/>
      <c r="F10" s="279"/>
      <c r="G10" s="279"/>
      <c r="H10" s="279"/>
      <c r="I10" s="279"/>
      <c r="J10" s="279"/>
      <c r="K10" s="279"/>
      <c r="L10" s="279"/>
      <c r="M10" s="279"/>
    </row>
    <row r="11" spans="1:13" x14ac:dyDescent="0.2">
      <c r="B11" s="279"/>
      <c r="C11" s="279"/>
      <c r="D11" s="279"/>
      <c r="E11" s="279"/>
      <c r="F11" s="279"/>
      <c r="G11" s="279"/>
      <c r="H11" s="279"/>
      <c r="I11" s="279"/>
      <c r="J11" s="279"/>
      <c r="K11" s="279"/>
      <c r="L11" s="279"/>
      <c r="M11" s="279"/>
    </row>
    <row r="12" spans="1:13" x14ac:dyDescent="0.2">
      <c r="B12" s="279"/>
      <c r="C12" s="279"/>
      <c r="D12" s="279"/>
      <c r="E12" s="279"/>
      <c r="F12" s="279"/>
      <c r="G12" s="279"/>
      <c r="H12" s="279"/>
      <c r="I12" s="279"/>
      <c r="J12" s="279"/>
      <c r="K12" s="279"/>
      <c r="L12" s="279"/>
      <c r="M12" s="279"/>
    </row>
    <row r="13" spans="1:13" ht="12.75" customHeight="1" x14ac:dyDescent="0.2">
      <c r="B13" s="279"/>
      <c r="C13" s="724"/>
      <c r="D13" s="724"/>
      <c r="E13" s="279"/>
      <c r="F13" s="279"/>
      <c r="G13" s="279"/>
      <c r="H13" s="279"/>
      <c r="I13" s="279"/>
      <c r="J13" s="279"/>
      <c r="K13" s="279"/>
      <c r="L13" s="279"/>
      <c r="M13" s="279"/>
    </row>
    <row r="14" spans="1:13" x14ac:dyDescent="0.2">
      <c r="B14" s="279"/>
      <c r="C14" s="724"/>
      <c r="D14" s="724"/>
      <c r="E14" s="279"/>
      <c r="F14" s="279"/>
      <c r="G14" s="279"/>
      <c r="H14" s="279"/>
      <c r="I14" s="279"/>
      <c r="J14" s="279"/>
      <c r="K14" s="279"/>
      <c r="L14" s="279"/>
      <c r="M14" s="279"/>
    </row>
    <row r="15" spans="1:13" x14ac:dyDescent="0.2">
      <c r="B15" s="279"/>
      <c r="C15" s="279"/>
      <c r="D15" s="279"/>
      <c r="E15" s="279"/>
      <c r="F15" s="279"/>
      <c r="G15" s="279"/>
      <c r="H15" s="279"/>
      <c r="I15" s="279"/>
      <c r="J15" s="279"/>
      <c r="K15" s="279"/>
      <c r="L15" s="279"/>
      <c r="M15" s="279"/>
    </row>
    <row r="16" spans="1:13" x14ac:dyDescent="0.2">
      <c r="B16" s="279"/>
      <c r="C16" s="279"/>
      <c r="D16" s="279"/>
      <c r="E16" s="279"/>
      <c r="F16" s="279"/>
      <c r="G16" s="279"/>
      <c r="H16" s="279"/>
      <c r="I16" s="279"/>
      <c r="J16" s="279"/>
      <c r="K16" s="279"/>
      <c r="L16" s="279"/>
      <c r="M16" s="279"/>
    </row>
    <row r="17" spans="2:13" x14ac:dyDescent="0.2">
      <c r="B17" s="279"/>
      <c r="C17" s="279"/>
      <c r="D17" s="279"/>
      <c r="E17" s="279"/>
      <c r="F17" s="279"/>
      <c r="G17" s="279"/>
      <c r="H17" s="279"/>
      <c r="I17" s="279"/>
      <c r="J17" s="279"/>
      <c r="K17" s="279"/>
      <c r="L17" s="279"/>
      <c r="M17" s="279"/>
    </row>
    <row r="18" spans="2:13" x14ac:dyDescent="0.2">
      <c r="B18" s="279"/>
      <c r="C18" s="279"/>
      <c r="D18" s="279"/>
      <c r="E18" s="279"/>
      <c r="F18" s="279"/>
      <c r="G18" s="279"/>
      <c r="H18" s="279"/>
      <c r="I18" s="279"/>
      <c r="J18" s="279"/>
      <c r="K18" s="279"/>
      <c r="L18" s="279"/>
      <c r="M18" s="279"/>
    </row>
  </sheetData>
  <sheetProtection formatColumns="0" formatRows="0"/>
  <mergeCells count="7">
    <mergeCell ref="C13:D14"/>
    <mergeCell ref="B4:L4"/>
    <mergeCell ref="B6:C6"/>
    <mergeCell ref="D6:F6"/>
    <mergeCell ref="B2:L2"/>
    <mergeCell ref="J6:L6"/>
    <mergeCell ref="G6:I6"/>
  </mergeCells>
  <conditionalFormatting sqref="C13">
    <cfRule type="expression" dxfId="5" priority="1">
      <formula>Status=0</formula>
    </cfRule>
  </conditionalFormatting>
  <pageMargins left="0.5" right="0.5" top="0.75" bottom="0.75" header="0.3" footer="0.3"/>
  <pageSetup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L40"/>
  <sheetViews>
    <sheetView showGridLines="0" zoomScale="110" zoomScaleNormal="110" workbookViewId="0"/>
  </sheetViews>
  <sheetFormatPr defaultColWidth="9.42578125" defaultRowHeight="12.75" x14ac:dyDescent="0.2"/>
  <cols>
    <col min="1" max="1" width="1" style="2" customWidth="1"/>
    <col min="2" max="2" width="38.42578125" style="2" customWidth="1"/>
    <col min="3" max="3" width="22" style="2" customWidth="1"/>
    <col min="4" max="4" width="26.42578125" style="2" customWidth="1"/>
    <col min="5" max="5" width="0.5703125" style="2" customWidth="1"/>
    <col min="6" max="7" width="12.5703125" style="2" customWidth="1"/>
    <col min="8" max="8" width="0.5703125" style="2" customWidth="1"/>
    <col min="9" max="9" width="11" style="2" customWidth="1"/>
    <col min="10" max="10" width="1.42578125" style="2" customWidth="1"/>
    <col min="11" max="11" width="9.42578125" style="2"/>
    <col min="12" max="12" width="9.42578125" style="2" hidden="1" customWidth="1"/>
    <col min="13" max="16384" width="9.42578125" style="2"/>
  </cols>
  <sheetData>
    <row r="1" spans="1:12" ht="5.0999999999999996" customHeight="1" thickBot="1" x14ac:dyDescent="0.25"/>
    <row r="2" spans="1:12" ht="38.25" customHeight="1" thickBot="1" x14ac:dyDescent="0.25">
      <c r="B2" s="660" t="s">
        <v>814</v>
      </c>
      <c r="C2" s="660"/>
      <c r="D2" s="660"/>
      <c r="E2" s="660"/>
      <c r="F2" s="660"/>
      <c r="G2" s="660"/>
      <c r="H2" s="660"/>
      <c r="I2" s="660"/>
    </row>
    <row r="3" spans="1:12" ht="4.5" customHeight="1" thickBot="1" x14ac:dyDescent="0.25"/>
    <row r="4" spans="1:12" ht="24" thickBot="1" x14ac:dyDescent="0.4">
      <c r="B4" s="725" t="s">
        <v>8</v>
      </c>
      <c r="C4" s="726"/>
      <c r="D4" s="726"/>
      <c r="E4" s="726"/>
      <c r="F4" s="726"/>
      <c r="G4" s="726"/>
      <c r="H4" s="726"/>
      <c r="I4" s="727"/>
    </row>
    <row r="5" spans="1:12" ht="4.5" customHeight="1" thickBot="1" x14ac:dyDescent="0.25"/>
    <row r="6" spans="1:12" ht="13.5" thickBot="1" x14ac:dyDescent="0.25">
      <c r="A6" s="279"/>
      <c r="B6" s="301"/>
      <c r="C6" s="301"/>
      <c r="D6" s="301"/>
      <c r="E6" s="279"/>
      <c r="F6" s="731">
        <f>Titles!F2</f>
        <v>2025</v>
      </c>
      <c r="G6" s="732"/>
      <c r="H6" s="279"/>
      <c r="I6" s="733" t="s">
        <v>839</v>
      </c>
      <c r="J6" s="279"/>
    </row>
    <row r="7" spans="1:12" ht="11.25" customHeight="1" x14ac:dyDescent="0.2">
      <c r="A7" s="279"/>
      <c r="B7" s="302"/>
      <c r="C7" s="302"/>
      <c r="D7" s="302"/>
      <c r="E7" s="279"/>
      <c r="F7" s="303" t="s">
        <v>553</v>
      </c>
      <c r="G7" s="304" t="s">
        <v>554</v>
      </c>
      <c r="H7" s="279"/>
      <c r="I7" s="734"/>
      <c r="J7" s="279"/>
    </row>
    <row r="8" spans="1:12" ht="11.25" customHeight="1" thickBot="1" x14ac:dyDescent="0.25">
      <c r="A8" s="279"/>
      <c r="B8" s="60" t="s">
        <v>85</v>
      </c>
      <c r="C8" s="60" t="s">
        <v>86</v>
      </c>
      <c r="D8" s="60" t="s">
        <v>87</v>
      </c>
      <c r="E8" s="279"/>
      <c r="F8" s="61" t="s">
        <v>840</v>
      </c>
      <c r="G8" s="62" t="s">
        <v>840</v>
      </c>
      <c r="H8" s="279"/>
      <c r="I8" s="735"/>
      <c r="J8" s="279"/>
    </row>
    <row r="9" spans="1:12" ht="12.75" customHeight="1" x14ac:dyDescent="0.2">
      <c r="A9" s="279"/>
      <c r="B9" s="305" t="str">
        <f ca="1">Tables!B9</f>
        <v>Home Energy Solutions</v>
      </c>
      <c r="C9" s="306" t="str">
        <f ca="1">Tables!C9</f>
        <v>Residential</v>
      </c>
      <c r="D9" s="306" t="str">
        <f ca="1">Tables!D9</f>
        <v>Whole Home</v>
      </c>
      <c r="E9" s="279"/>
      <c r="F9" s="307">
        <f ca="1">Tables!E9</f>
        <v>15248596.375572719</v>
      </c>
      <c r="G9" s="308">
        <f ca="1">Tables!F9</f>
        <v>12494941.98650186</v>
      </c>
      <c r="H9" s="279"/>
      <c r="I9" s="309">
        <f ca="1">IF(ISERROR(G9/F9),"-",(G9/F9))</f>
        <v>0.81941587794388482</v>
      </c>
      <c r="J9" s="279"/>
      <c r="L9" s="2">
        <f ca="1">IF(B9="*Hide*",1)-IF(SUBTOTAL(103,B9)=1,0,1)</f>
        <v>0</v>
      </c>
    </row>
    <row r="10" spans="1:12" ht="12.75" customHeight="1" x14ac:dyDescent="0.2">
      <c r="A10" s="279"/>
      <c r="B10" s="310" t="str">
        <f ca="1">Tables!B10</f>
        <v xml:space="preserve">Low-Income Solutions </v>
      </c>
      <c r="C10" s="311" t="str">
        <f ca="1">Tables!C10</f>
        <v>Residential</v>
      </c>
      <c r="D10" s="311" t="str">
        <f ca="1">Tables!D10</f>
        <v>Market Specific/Hard to Reach</v>
      </c>
      <c r="E10" s="279"/>
      <c r="F10" s="399">
        <f ca="1">Tables!E10</f>
        <v>5412099.8553003902</v>
      </c>
      <c r="G10" s="400">
        <f ca="1">Tables!F10</f>
        <v>4763927.8427500166</v>
      </c>
      <c r="H10" s="279"/>
      <c r="I10" s="63">
        <f t="shared" ref="I10:I30" ca="1" si="0">IF(ISERROR(G10/F10),"-",(G10/F10))</f>
        <v>0.88023650156499234</v>
      </c>
      <c r="J10" s="279"/>
      <c r="L10" s="2">
        <f t="shared" ref="L10:L28" ca="1" si="1">IF(B10="*Hide*",1)-IF(SUBTOTAL(103,B10)=1,0,1)</f>
        <v>0</v>
      </c>
    </row>
    <row r="11" spans="1:12" ht="12.75" customHeight="1" x14ac:dyDescent="0.2">
      <c r="A11" s="279"/>
      <c r="B11" s="310" t="str">
        <f ca="1">Tables!B11</f>
        <v>Manufactured Homes</v>
      </c>
      <c r="C11" s="311" t="str">
        <f ca="1">Tables!C11</f>
        <v>Residential</v>
      </c>
      <c r="D11" s="311" t="str">
        <f ca="1">Tables!D11</f>
        <v>Whole Home</v>
      </c>
      <c r="E11" s="279"/>
      <c r="F11" s="399">
        <f ca="1">Tables!E11</f>
        <v>1420560.1612621918</v>
      </c>
      <c r="G11" s="400">
        <f ca="1">Tables!F11</f>
        <v>1310088.7154859044</v>
      </c>
      <c r="H11" s="279"/>
      <c r="I11" s="63">
        <f t="shared" ca="1" si="0"/>
        <v>0.92223388435859577</v>
      </c>
      <c r="J11" s="279"/>
      <c r="L11" s="2">
        <f t="shared" ca="1" si="1"/>
        <v>0</v>
      </c>
    </row>
    <row r="12" spans="1:12" ht="12.75" customHeight="1" x14ac:dyDescent="0.2">
      <c r="A12" s="279"/>
      <c r="B12" s="310" t="str">
        <f ca="1">Tables!B12</f>
        <v>Multifamily Homes</v>
      </c>
      <c r="C12" s="311" t="str">
        <f ca="1">Tables!C12</f>
        <v>Residential</v>
      </c>
      <c r="D12" s="311" t="str">
        <f ca="1">Tables!D12</f>
        <v>Whole Home</v>
      </c>
      <c r="E12" s="279"/>
      <c r="F12" s="399">
        <f ca="1">Tables!E12</f>
        <v>2856920.9541101647</v>
      </c>
      <c r="G12" s="400">
        <f ca="1">Tables!F12</f>
        <v>2616186.8275253</v>
      </c>
      <c r="H12" s="279"/>
      <c r="I12" s="63">
        <f t="shared" ca="1" si="0"/>
        <v>0.91573651128200528</v>
      </c>
      <c r="J12" s="279"/>
      <c r="L12" s="2">
        <f t="shared" ca="1" si="1"/>
        <v>0</v>
      </c>
    </row>
    <row r="13" spans="1:12" ht="12.75" customHeight="1" x14ac:dyDescent="0.2">
      <c r="A13" s="279"/>
      <c r="B13" s="310" t="str">
        <f ca="1">Tables!B13</f>
        <v>Residential Direct Load Control</v>
      </c>
      <c r="C13" s="311" t="str">
        <f ca="1">Tables!C13</f>
        <v>Residential</v>
      </c>
      <c r="D13" s="311" t="str">
        <f ca="1">Tables!D13</f>
        <v>Demand Response</v>
      </c>
      <c r="E13" s="279"/>
      <c r="F13" s="399">
        <f ca="1">Tables!E13</f>
        <v>2666350.0000000005</v>
      </c>
      <c r="G13" s="400">
        <f ca="1">Tables!F13</f>
        <v>2345939.6299310033</v>
      </c>
      <c r="H13" s="279"/>
      <c r="I13" s="63">
        <f t="shared" ca="1" si="0"/>
        <v>0.87983184125527514</v>
      </c>
      <c r="J13" s="279"/>
      <c r="L13" s="2">
        <f t="shared" ca="1" si="1"/>
        <v>0</v>
      </c>
    </row>
    <row r="14" spans="1:12" ht="12.75" customHeight="1" x14ac:dyDescent="0.2">
      <c r="A14" s="279"/>
      <c r="B14" s="310" t="str">
        <f ca="1">Tables!B14</f>
        <v>Small Business Solutions</v>
      </c>
      <c r="C14" s="311" t="str">
        <f ca="1">Tables!C14</f>
        <v>Small Business</v>
      </c>
      <c r="D14" s="311" t="str">
        <f ca="1">Tables!D14</f>
        <v>Market Specific/Hard to Reach</v>
      </c>
      <c r="E14" s="279"/>
      <c r="F14" s="399">
        <f ca="1">Tables!E14</f>
        <v>4178985.9141110736</v>
      </c>
      <c r="G14" s="400">
        <f ca="1">Tables!F14</f>
        <v>2152818.7915076138</v>
      </c>
      <c r="H14" s="279"/>
      <c r="I14" s="63">
        <f t="shared" ca="1" si="0"/>
        <v>0.51515339743985411</v>
      </c>
      <c r="J14" s="279"/>
      <c r="L14" s="2">
        <f t="shared" ca="1" si="1"/>
        <v>0</v>
      </c>
    </row>
    <row r="15" spans="1:12" ht="12.75" customHeight="1" x14ac:dyDescent="0.2">
      <c r="A15" s="279"/>
      <c r="B15" s="310" t="str">
        <f ca="1">Tables!B15</f>
        <v xml:space="preserve">Smart Direct Load Control Pilot </v>
      </c>
      <c r="C15" s="311" t="str">
        <f ca="1">Tables!C15</f>
        <v>Res/Small Business</v>
      </c>
      <c r="D15" s="311" t="str">
        <f ca="1">Tables!D15</f>
        <v>Demand Response</v>
      </c>
      <c r="E15" s="279"/>
      <c r="F15" s="399">
        <f ca="1">Tables!E15</f>
        <v>5718976.8999999994</v>
      </c>
      <c r="G15" s="400">
        <f ca="1">Tables!F15</f>
        <v>4902381.89020494</v>
      </c>
      <c r="H15" s="279"/>
      <c r="I15" s="63">
        <f t="shared" ca="1" si="0"/>
        <v>0.85721309526620759</v>
      </c>
      <c r="J15" s="279"/>
      <c r="L15" s="2">
        <f t="shared" ca="1" si="1"/>
        <v>0</v>
      </c>
    </row>
    <row r="16" spans="1:12" ht="12.75" customHeight="1" x14ac:dyDescent="0.2">
      <c r="A16" s="279"/>
      <c r="B16" s="310" t="str">
        <f ca="1">Tables!B16</f>
        <v>Large Commercial &amp; Industrial Solutions</v>
      </c>
      <c r="C16" s="311" t="str">
        <f ca="1">Tables!C16</f>
        <v>Commercial &amp; Industrial</v>
      </c>
      <c r="D16" s="311" t="str">
        <f ca="1">Tables!D16</f>
        <v>Custom</v>
      </c>
      <c r="E16" s="279"/>
      <c r="F16" s="399">
        <f ca="1">Tables!E16</f>
        <v>19083445.352329567</v>
      </c>
      <c r="G16" s="400">
        <f ca="1">Tables!F16</f>
        <v>12876548.849602131</v>
      </c>
      <c r="H16" s="279"/>
      <c r="I16" s="63">
        <f t="shared" ca="1" si="0"/>
        <v>0.67474969073287683</v>
      </c>
      <c r="J16" s="279"/>
      <c r="L16" s="2">
        <f t="shared" ca="1" si="1"/>
        <v>0</v>
      </c>
    </row>
    <row r="17" spans="1:12" ht="12.75" customHeight="1" x14ac:dyDescent="0.2">
      <c r="A17" s="279"/>
      <c r="B17" s="310" t="str">
        <f ca="1">Tables!B17</f>
        <v xml:space="preserve">Public Institutions Solutions </v>
      </c>
      <c r="C17" s="311" t="str">
        <f ca="1">Tables!C17</f>
        <v>Municipalities/Schools</v>
      </c>
      <c r="D17" s="311" t="str">
        <f ca="1">Tables!D17</f>
        <v>Market Specific/Hard to Reach</v>
      </c>
      <c r="E17" s="279"/>
      <c r="F17" s="399">
        <f ca="1">Tables!E17</f>
        <v>2977577.1560955308</v>
      </c>
      <c r="G17" s="400">
        <f ca="1">Tables!F17</f>
        <v>2534633.1074223933</v>
      </c>
      <c r="H17" s="279"/>
      <c r="I17" s="63">
        <f t="shared" ca="1" si="0"/>
        <v>0.85124011051523318</v>
      </c>
      <c r="J17" s="279"/>
      <c r="L17" s="2">
        <f t="shared" ca="1" si="1"/>
        <v>0</v>
      </c>
    </row>
    <row r="18" spans="1:12" ht="12.75" customHeight="1" x14ac:dyDescent="0.2">
      <c r="A18" s="279"/>
      <c r="B18" s="310" t="str">
        <f ca="1">Tables!B18</f>
        <v>Agricultural Energy Solutions</v>
      </c>
      <c r="C18" s="311" t="str">
        <f ca="1">Tables!C18</f>
        <v>Agriculture</v>
      </c>
      <c r="D18" s="311" t="str">
        <f ca="1">Tables!D18</f>
        <v>Prescriptive/Standard Offer</v>
      </c>
      <c r="E18" s="279"/>
      <c r="F18" s="399">
        <f ca="1">Tables!E18</f>
        <v>2197591.0402293657</v>
      </c>
      <c r="G18" s="400">
        <f ca="1">Tables!F18</f>
        <v>2019448.557168236</v>
      </c>
      <c r="H18" s="279"/>
      <c r="I18" s="63">
        <f t="shared" ca="1" si="0"/>
        <v>0.91893738197870667</v>
      </c>
      <c r="J18" s="279"/>
      <c r="L18" s="2">
        <f t="shared" ca="1" si="1"/>
        <v>0</v>
      </c>
    </row>
    <row r="19" spans="1:12" ht="12.75" customHeight="1" x14ac:dyDescent="0.2">
      <c r="A19" s="279"/>
      <c r="B19" s="310" t="str">
        <f ca="1">Tables!B19</f>
        <v>Agricultural Irrigation Load Control</v>
      </c>
      <c r="C19" s="311" t="str">
        <f ca="1">Tables!C19</f>
        <v>Agriculture</v>
      </c>
      <c r="D19" s="311" t="str">
        <f ca="1">Tables!D19</f>
        <v>Demand Response</v>
      </c>
      <c r="E19" s="279"/>
      <c r="F19" s="399">
        <f ca="1">Tables!E19</f>
        <v>3797839.0106500001</v>
      </c>
      <c r="G19" s="400">
        <f ca="1">Tables!F19</f>
        <v>3721323.8753131311</v>
      </c>
      <c r="H19" s="279"/>
      <c r="I19" s="63">
        <f t="shared" ca="1" si="0"/>
        <v>0.97985298083402084</v>
      </c>
      <c r="J19" s="279"/>
      <c r="L19" s="2">
        <f t="shared" ca="1" si="1"/>
        <v>0</v>
      </c>
    </row>
    <row r="20" spans="1:12" ht="12.75" customHeight="1" x14ac:dyDescent="0.2">
      <c r="A20" s="279"/>
      <c r="B20" s="310" t="str">
        <f ca="1">Tables!B20</f>
        <v>Point of Purchase Solutions</v>
      </c>
      <c r="C20" s="311" t="str">
        <f ca="1">Tables!C20</f>
        <v>All Classes</v>
      </c>
      <c r="D20" s="311" t="str">
        <f ca="1">Tables!D20</f>
        <v>Consumer Product Rebate</v>
      </c>
      <c r="E20" s="279"/>
      <c r="F20" s="399">
        <f ca="1">Tables!E20</f>
        <v>8741247.6151663307</v>
      </c>
      <c r="G20" s="400">
        <f ca="1">Tables!F20</f>
        <v>7476072.8865874726</v>
      </c>
      <c r="H20" s="279"/>
      <c r="I20" s="63">
        <f t="shared" ca="1" si="0"/>
        <v>0.85526382682676305</v>
      </c>
      <c r="J20" s="279"/>
      <c r="L20" s="2">
        <f t="shared" ca="1" si="1"/>
        <v>0</v>
      </c>
    </row>
    <row r="21" spans="1:12" ht="12.75" hidden="1" customHeight="1" x14ac:dyDescent="0.2">
      <c r="A21" s="279"/>
      <c r="B21" s="310" t="str">
        <f ca="1">Tables!B21</f>
        <v>*Hide*</v>
      </c>
      <c r="C21" s="311" t="str">
        <f ca="1">Tables!C21</f>
        <v>-</v>
      </c>
      <c r="D21" s="311" t="str">
        <f ca="1">Tables!D21</f>
        <v>-</v>
      </c>
      <c r="E21" s="279"/>
      <c r="F21" s="399" t="str">
        <f ca="1">Tables!E21</f>
        <v>-</v>
      </c>
      <c r="G21" s="400" t="str">
        <f ca="1">Tables!F21</f>
        <v>-</v>
      </c>
      <c r="H21" s="279"/>
      <c r="I21" s="63" t="str">
        <f t="shared" ca="1" si="0"/>
        <v>-</v>
      </c>
      <c r="J21" s="279"/>
      <c r="L21" s="2">
        <f t="shared" ca="1" si="1"/>
        <v>0</v>
      </c>
    </row>
    <row r="22" spans="1:12" ht="12.75" hidden="1" customHeight="1" x14ac:dyDescent="0.2">
      <c r="A22" s="279"/>
      <c r="B22" s="310" t="str">
        <f ca="1">Tables!B22</f>
        <v>*Hide*</v>
      </c>
      <c r="C22" s="311" t="str">
        <f ca="1">Tables!C22</f>
        <v>-</v>
      </c>
      <c r="D22" s="311" t="str">
        <f ca="1">Tables!D22</f>
        <v>-</v>
      </c>
      <c r="E22" s="279"/>
      <c r="F22" s="399" t="str">
        <f ca="1">Tables!E22</f>
        <v>-</v>
      </c>
      <c r="G22" s="400" t="str">
        <f ca="1">Tables!F22</f>
        <v>-</v>
      </c>
      <c r="H22" s="279"/>
      <c r="I22" s="63" t="str">
        <f t="shared" ca="1" si="0"/>
        <v>-</v>
      </c>
      <c r="J22" s="279"/>
      <c r="L22" s="2">
        <f t="shared" ca="1" si="1"/>
        <v>0</v>
      </c>
    </row>
    <row r="23" spans="1:12" ht="12.75" hidden="1" customHeight="1" x14ac:dyDescent="0.2">
      <c r="A23" s="279"/>
      <c r="B23" s="310" t="str">
        <f ca="1">Tables!B23</f>
        <v>*Hide*</v>
      </c>
      <c r="C23" s="311" t="str">
        <f ca="1">Tables!C23</f>
        <v>-</v>
      </c>
      <c r="D23" s="311" t="str">
        <f ca="1">Tables!D23</f>
        <v>-</v>
      </c>
      <c r="E23" s="279"/>
      <c r="F23" s="399" t="str">
        <f ca="1">Tables!E23</f>
        <v>-</v>
      </c>
      <c r="G23" s="400" t="str">
        <f ca="1">Tables!F23</f>
        <v>-</v>
      </c>
      <c r="H23" s="279"/>
      <c r="I23" s="63" t="str">
        <f t="shared" ca="1" si="0"/>
        <v>-</v>
      </c>
      <c r="J23" s="279"/>
      <c r="L23" s="2">
        <f t="shared" ca="1" si="1"/>
        <v>0</v>
      </c>
    </row>
    <row r="24" spans="1:12" ht="12.75" hidden="1" customHeight="1" x14ac:dyDescent="0.2">
      <c r="A24" s="279"/>
      <c r="B24" s="310" t="str">
        <f ca="1">Tables!B24</f>
        <v>*Hide*</v>
      </c>
      <c r="C24" s="311" t="str">
        <f ca="1">Tables!C24</f>
        <v>-</v>
      </c>
      <c r="D24" s="311" t="str">
        <f ca="1">Tables!D24</f>
        <v>-</v>
      </c>
      <c r="E24" s="279"/>
      <c r="F24" s="399" t="str">
        <f ca="1">Tables!E24</f>
        <v>-</v>
      </c>
      <c r="G24" s="400" t="str">
        <f ca="1">Tables!F24</f>
        <v>-</v>
      </c>
      <c r="H24" s="279"/>
      <c r="I24" s="63" t="str">
        <f t="shared" ca="1" si="0"/>
        <v>-</v>
      </c>
      <c r="J24" s="279"/>
      <c r="L24" s="2">
        <f t="shared" ca="1" si="1"/>
        <v>0</v>
      </c>
    </row>
    <row r="25" spans="1:12" ht="12.75" hidden="1" customHeight="1" x14ac:dyDescent="0.2">
      <c r="A25" s="279"/>
      <c r="B25" s="310" t="str">
        <f ca="1">Tables!B25</f>
        <v>*Hide*</v>
      </c>
      <c r="C25" s="311" t="str">
        <f ca="1">Tables!C25</f>
        <v>-</v>
      </c>
      <c r="D25" s="311" t="str">
        <f ca="1">Tables!D25</f>
        <v>-</v>
      </c>
      <c r="E25" s="279"/>
      <c r="F25" s="399" t="str">
        <f ca="1">Tables!E25</f>
        <v>-</v>
      </c>
      <c r="G25" s="400" t="str">
        <f ca="1">Tables!F25</f>
        <v>-</v>
      </c>
      <c r="H25" s="279"/>
      <c r="I25" s="63" t="str">
        <f t="shared" ca="1" si="0"/>
        <v>-</v>
      </c>
      <c r="J25" s="279"/>
      <c r="L25" s="2">
        <f t="shared" ca="1" si="1"/>
        <v>0</v>
      </c>
    </row>
    <row r="26" spans="1:12" ht="12.75" hidden="1" customHeight="1" x14ac:dyDescent="0.2">
      <c r="A26" s="279"/>
      <c r="B26" s="310" t="str">
        <f ca="1">Tables!B26</f>
        <v>*Hide*</v>
      </c>
      <c r="C26" s="311" t="str">
        <f ca="1">Tables!C26</f>
        <v>-</v>
      </c>
      <c r="D26" s="311" t="str">
        <f ca="1">Tables!D26</f>
        <v>-</v>
      </c>
      <c r="E26" s="279"/>
      <c r="F26" s="399" t="str">
        <f ca="1">Tables!E26</f>
        <v>-</v>
      </c>
      <c r="G26" s="400" t="str">
        <f ca="1">Tables!F26</f>
        <v>-</v>
      </c>
      <c r="H26" s="279"/>
      <c r="I26" s="63" t="str">
        <f t="shared" ca="1" si="0"/>
        <v>-</v>
      </c>
      <c r="J26" s="279"/>
      <c r="L26" s="2">
        <f t="shared" ca="1" si="1"/>
        <v>0</v>
      </c>
    </row>
    <row r="27" spans="1:12" ht="12.75" hidden="1" customHeight="1" x14ac:dyDescent="0.2">
      <c r="A27" s="279"/>
      <c r="B27" s="310" t="str">
        <f ca="1">Tables!B27</f>
        <v>*Hide*</v>
      </c>
      <c r="C27" s="311" t="str">
        <f ca="1">Tables!C27</f>
        <v>-</v>
      </c>
      <c r="D27" s="311" t="str">
        <f ca="1">Tables!D27</f>
        <v>-</v>
      </c>
      <c r="E27" s="279"/>
      <c r="F27" s="399" t="str">
        <f ca="1">Tables!E27</f>
        <v>-</v>
      </c>
      <c r="G27" s="400" t="str">
        <f ca="1">Tables!F27</f>
        <v>-</v>
      </c>
      <c r="H27" s="279"/>
      <c r="I27" s="63" t="str">
        <f t="shared" ca="1" si="0"/>
        <v>-</v>
      </c>
      <c r="J27" s="279"/>
      <c r="L27" s="2">
        <f t="shared" ca="1" si="1"/>
        <v>0</v>
      </c>
    </row>
    <row r="28" spans="1:12" ht="12.75" hidden="1" customHeight="1" x14ac:dyDescent="0.2">
      <c r="A28" s="279"/>
      <c r="B28" s="310" t="str">
        <f ca="1">Tables!B28</f>
        <v>*Hide*</v>
      </c>
      <c r="C28" s="311" t="str">
        <f ca="1">Tables!C28</f>
        <v>-</v>
      </c>
      <c r="D28" s="311" t="str">
        <f ca="1">Tables!D28</f>
        <v>-</v>
      </c>
      <c r="E28" s="279"/>
      <c r="F28" s="399" t="str">
        <f ca="1">Tables!E28</f>
        <v>-</v>
      </c>
      <c r="G28" s="400" t="str">
        <f ca="1">Tables!F28</f>
        <v>-</v>
      </c>
      <c r="H28" s="279"/>
      <c r="I28" s="63" t="str">
        <f t="shared" ca="1" si="0"/>
        <v>-</v>
      </c>
      <c r="J28" s="279"/>
      <c r="L28" s="2">
        <f t="shared" ca="1" si="1"/>
        <v>0</v>
      </c>
    </row>
    <row r="29" spans="1:12" ht="12.75" customHeight="1" thickBot="1" x14ac:dyDescent="0.25">
      <c r="A29" s="279"/>
      <c r="B29" s="312" t="str">
        <f>Tables!B29</f>
        <v>Regulatory</v>
      </c>
      <c r="C29" s="311" t="str">
        <f>Tables!C29</f>
        <v>-</v>
      </c>
      <c r="D29" s="311" t="str">
        <f>Tables!D29</f>
        <v>-</v>
      </c>
      <c r="E29" s="279"/>
      <c r="F29" s="399">
        <f>Tables!E29</f>
        <v>0</v>
      </c>
      <c r="G29" s="400">
        <f>Tables!F29</f>
        <v>23019.69</v>
      </c>
      <c r="H29" s="279"/>
      <c r="I29" s="63" t="str">
        <f t="shared" si="0"/>
        <v>-</v>
      </c>
      <c r="J29" s="279"/>
      <c r="L29" s="2">
        <f>IF(SUBTOTAL(103,B29)=1,0,-1)</f>
        <v>0</v>
      </c>
    </row>
    <row r="30" spans="1:12" ht="12.75" customHeight="1" thickBot="1" x14ac:dyDescent="0.25">
      <c r="A30" s="279"/>
      <c r="B30" s="313"/>
      <c r="C30" s="313"/>
      <c r="D30" s="64" t="s">
        <v>163</v>
      </c>
      <c r="E30" s="279"/>
      <c r="F30" s="314">
        <f ca="1">SUM(F9:F29)</f>
        <v>74300190.334827334</v>
      </c>
      <c r="G30" s="315">
        <f ca="1">SUM(G9:G29)</f>
        <v>59237332.650000006</v>
      </c>
      <c r="H30" s="279"/>
      <c r="I30" s="68">
        <f t="shared" ca="1" si="0"/>
        <v>0.79727026785600585</v>
      </c>
      <c r="J30" s="279"/>
      <c r="L30" s="2">
        <f ca="1">SUM(L9:L29)</f>
        <v>0</v>
      </c>
    </row>
    <row r="31" spans="1:12" x14ac:dyDescent="0.2">
      <c r="A31" s="279"/>
      <c r="B31" s="279"/>
      <c r="C31" s="279"/>
      <c r="D31" s="279"/>
      <c r="E31" s="279"/>
      <c r="F31" s="279"/>
      <c r="G31" s="279"/>
      <c r="H31" s="279"/>
      <c r="I31" s="279"/>
      <c r="J31" s="279"/>
    </row>
    <row r="32" spans="1:12" x14ac:dyDescent="0.2">
      <c r="B32" s="279"/>
      <c r="C32" s="279"/>
      <c r="D32" s="279"/>
      <c r="E32" s="279"/>
      <c r="F32" s="279"/>
      <c r="G32" s="279"/>
      <c r="H32" s="279"/>
      <c r="I32" s="279"/>
      <c r="J32" s="279"/>
    </row>
    <row r="33" spans="2:10" x14ac:dyDescent="0.2">
      <c r="B33" s="180" t="str">
        <f ca="1">IF(L30&gt;0,"Select all cells in the 'Program Name' column that contain *Hide* and press Ctrl+9 to hide rows.",IF(L30&lt;0,"Select all cells in Program Name column and press Shift+Ctrl+9 to unhide all rows.",""))</f>
        <v/>
      </c>
      <c r="C33" s="279"/>
      <c r="D33" s="279"/>
      <c r="E33" s="279"/>
      <c r="F33" s="279"/>
      <c r="G33" s="279"/>
      <c r="H33" s="279"/>
      <c r="I33" s="279"/>
      <c r="J33" s="279"/>
    </row>
    <row r="34" spans="2:10" x14ac:dyDescent="0.2">
      <c r="B34" s="180"/>
      <c r="C34" s="279"/>
      <c r="D34" s="279"/>
      <c r="E34" s="279"/>
      <c r="F34" s="279"/>
      <c r="G34" s="279"/>
      <c r="H34" s="279"/>
      <c r="I34" s="279"/>
      <c r="J34" s="279"/>
    </row>
    <row r="35" spans="2:10" x14ac:dyDescent="0.2">
      <c r="B35" s="279"/>
      <c r="C35" s="279"/>
      <c r="D35" s="279"/>
      <c r="E35" s="279"/>
      <c r="F35" s="279"/>
      <c r="G35" s="279"/>
      <c r="H35" s="279"/>
      <c r="I35" s="279"/>
      <c r="J35" s="279"/>
    </row>
    <row r="36" spans="2:10" x14ac:dyDescent="0.2">
      <c r="B36" s="279"/>
      <c r="C36" s="279"/>
      <c r="D36" s="279"/>
      <c r="E36" s="279"/>
      <c r="F36" s="279"/>
      <c r="G36" s="279"/>
      <c r="H36" s="279"/>
      <c r="I36" s="279"/>
      <c r="J36" s="279"/>
    </row>
    <row r="37" spans="2:10" x14ac:dyDescent="0.2">
      <c r="B37" s="279"/>
      <c r="C37" s="279"/>
      <c r="D37" s="279"/>
      <c r="E37" s="279"/>
      <c r="F37" s="279"/>
      <c r="G37" s="279"/>
      <c r="H37" s="279"/>
      <c r="I37" s="279"/>
      <c r="J37" s="279"/>
    </row>
    <row r="38" spans="2:10" x14ac:dyDescent="0.2">
      <c r="B38" s="279"/>
      <c r="C38" s="279"/>
      <c r="D38" s="279"/>
      <c r="E38" s="279"/>
      <c r="F38" s="279"/>
      <c r="G38" s="279"/>
      <c r="H38" s="279"/>
      <c r="I38" s="279"/>
      <c r="J38" s="279"/>
    </row>
    <row r="39" spans="2:10" x14ac:dyDescent="0.2">
      <c r="B39" s="279"/>
      <c r="C39" s="279"/>
      <c r="D39" s="279"/>
      <c r="E39" s="279"/>
      <c r="F39" s="279"/>
      <c r="G39" s="279"/>
      <c r="H39" s="279"/>
      <c r="I39" s="279"/>
      <c r="J39" s="279"/>
    </row>
    <row r="40" spans="2:10" x14ac:dyDescent="0.2">
      <c r="B40" s="279"/>
      <c r="C40" s="279"/>
      <c r="D40" s="279"/>
      <c r="E40" s="279"/>
      <c r="F40" s="279"/>
      <c r="G40" s="279"/>
      <c r="H40" s="279"/>
      <c r="I40" s="279"/>
      <c r="J40" s="279"/>
    </row>
  </sheetData>
  <sheetProtection password="C925" sheet="1" objects="1" scenarios="1" formatColumns="0" formatRows="0"/>
  <mergeCells count="4">
    <mergeCell ref="F6:G6"/>
    <mergeCell ref="I6:I8"/>
    <mergeCell ref="B4:I4"/>
    <mergeCell ref="B2:I2"/>
  </mergeCells>
  <conditionalFormatting sqref="B9:D28 F9:G28 I9:I28">
    <cfRule type="expression" dxfId="4" priority="3">
      <formula>$B9="*Hide*"</formula>
    </cfRule>
  </conditionalFormatting>
  <pageMargins left="0.5" right="0.5" top="0.75" bottom="0.75" header="0.3" footer="0.3"/>
  <pageSetup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H25"/>
  <sheetViews>
    <sheetView showGridLines="0" zoomScale="110" zoomScaleNormal="110" workbookViewId="0">
      <selection activeCell="N12" sqref="N12"/>
    </sheetView>
  </sheetViews>
  <sheetFormatPr defaultColWidth="9.42578125" defaultRowHeight="12.75" x14ac:dyDescent="0.2"/>
  <cols>
    <col min="1" max="1" width="1" style="2" customWidth="1"/>
    <col min="2" max="2" width="37.5703125" style="2" customWidth="1"/>
    <col min="3" max="3" width="1.42578125" style="2" customWidth="1"/>
    <col min="4" max="4" width="8.5703125" style="2" customWidth="1"/>
    <col min="5" max="6" width="12.5703125" style="2" customWidth="1"/>
    <col min="7" max="7" width="8.5703125" style="2" customWidth="1"/>
    <col min="8" max="8" width="1.42578125" style="2" customWidth="1"/>
    <col min="9" max="16384" width="9.42578125" style="2"/>
  </cols>
  <sheetData>
    <row r="1" spans="1:8" ht="5.0999999999999996" customHeight="1" thickBot="1" x14ac:dyDescent="0.25"/>
    <row r="2" spans="1:8" ht="38.25" customHeight="1" thickBot="1" x14ac:dyDescent="0.25">
      <c r="B2" s="660" t="s">
        <v>815</v>
      </c>
      <c r="C2" s="660"/>
      <c r="D2" s="660"/>
      <c r="E2" s="660"/>
      <c r="F2" s="660"/>
      <c r="G2" s="660"/>
    </row>
    <row r="3" spans="1:8" ht="4.5" customHeight="1" thickBot="1" x14ac:dyDescent="0.25"/>
    <row r="4" spans="1:8" ht="24" thickBot="1" x14ac:dyDescent="0.4">
      <c r="B4" s="725" t="s">
        <v>841</v>
      </c>
      <c r="C4" s="726"/>
      <c r="D4" s="726"/>
      <c r="E4" s="726"/>
      <c r="F4" s="726"/>
      <c r="G4" s="727"/>
    </row>
    <row r="5" spans="1:8" ht="4.5" customHeight="1" thickBot="1" x14ac:dyDescent="0.25">
      <c r="B5" s="78"/>
      <c r="G5" s="79"/>
    </row>
    <row r="6" spans="1:8" ht="18" customHeight="1" thickBot="1" x14ac:dyDescent="0.25">
      <c r="A6" s="279"/>
      <c r="B6" s="316"/>
      <c r="C6" s="70"/>
      <c r="D6" s="731" t="str">
        <f>Titles!F2&amp;" Total Expenditures"</f>
        <v>2025 Total Expenditures</v>
      </c>
      <c r="E6" s="736"/>
      <c r="F6" s="736"/>
      <c r="G6" s="732"/>
      <c r="H6" s="279"/>
    </row>
    <row r="7" spans="1:8" ht="12" customHeight="1" x14ac:dyDescent="0.2">
      <c r="A7" s="279"/>
      <c r="B7" s="302"/>
      <c r="C7" s="279"/>
      <c r="D7" s="317" t="s">
        <v>842</v>
      </c>
      <c r="E7" s="303" t="s">
        <v>553</v>
      </c>
      <c r="F7" s="304" t="s">
        <v>554</v>
      </c>
      <c r="G7" s="318" t="s">
        <v>842</v>
      </c>
      <c r="H7" s="279"/>
    </row>
    <row r="8" spans="1:8" ht="15.6" customHeight="1" thickBot="1" x14ac:dyDescent="0.25">
      <c r="A8" s="279"/>
      <c r="B8" s="60" t="s">
        <v>843</v>
      </c>
      <c r="C8" s="70"/>
      <c r="D8" s="73" t="s">
        <v>163</v>
      </c>
      <c r="E8" s="74" t="s">
        <v>840</v>
      </c>
      <c r="F8" s="72" t="s">
        <v>840</v>
      </c>
      <c r="G8" s="71" t="s">
        <v>163</v>
      </c>
      <c r="H8" s="279"/>
    </row>
    <row r="9" spans="1:8" ht="12.75" customHeight="1" x14ac:dyDescent="0.2">
      <c r="A9" s="279"/>
      <c r="B9" s="306" t="str">
        <f>Tables!B34</f>
        <v>Planning / Design</v>
      </c>
      <c r="C9" s="279"/>
      <c r="D9" s="309">
        <f>IF(ISERROR(E9/$E$15),"-",(E9/$E$15))</f>
        <v>1.3458915724086134E-3</v>
      </c>
      <c r="E9" s="319">
        <f>Tables!C34</f>
        <v>100000.00000000003</v>
      </c>
      <c r="F9" s="319">
        <f>Tables!D34</f>
        <v>0</v>
      </c>
      <c r="G9" s="320">
        <f>IF(ISERROR(F9/$F$15),"-",(F9/$F$15))</f>
        <v>0</v>
      </c>
      <c r="H9" s="279"/>
    </row>
    <row r="10" spans="1:8" ht="12.75" customHeight="1" x14ac:dyDescent="0.2">
      <c r="A10" s="279"/>
      <c r="B10" s="311" t="str">
        <f>Tables!B35</f>
        <v>Marketing &amp; Delivery</v>
      </c>
      <c r="C10" s="279"/>
      <c r="D10" s="401">
        <f t="shared" ref="D10:D15" si="0">IF(ISERROR(E10/$E$15),"-",(E10/$E$15))</f>
        <v>0.29618712507744627</v>
      </c>
      <c r="E10" s="402">
        <f>Tables!C35</f>
        <v>22006759.76797957</v>
      </c>
      <c r="F10" s="402">
        <f>Tables!D35</f>
        <v>22123047.739999998</v>
      </c>
      <c r="G10" s="486">
        <f t="shared" ref="G10:G15" si="1">IF(ISERROR(F10/$F$15),"-",(F10/$F$15))</f>
        <v>0.37346461682723997</v>
      </c>
      <c r="H10" s="279"/>
    </row>
    <row r="11" spans="1:8" ht="12.75" customHeight="1" x14ac:dyDescent="0.2">
      <c r="A11" s="279"/>
      <c r="B11" s="311" t="str">
        <f>Tables!B36</f>
        <v>Incentives / Direct Install Costs</v>
      </c>
      <c r="C11" s="279"/>
      <c r="D11" s="401">
        <f t="shared" si="0"/>
        <v>0.62871212518215325</v>
      </c>
      <c r="E11" s="402">
        <f>Tables!C36</f>
        <v>46713430.566847771</v>
      </c>
      <c r="F11" s="402">
        <f>Tables!D36</f>
        <v>33579749.659999996</v>
      </c>
      <c r="G11" s="486">
        <f t="shared" si="1"/>
        <v>0.56686802321778751</v>
      </c>
      <c r="H11" s="279"/>
    </row>
    <row r="12" spans="1:8" ht="12.75" customHeight="1" x14ac:dyDescent="0.2">
      <c r="A12" s="279"/>
      <c r="B12" s="311" t="str">
        <f>Tables!B37</f>
        <v>EM&amp;V</v>
      </c>
      <c r="C12" s="279"/>
      <c r="D12" s="401">
        <f t="shared" si="0"/>
        <v>3.0147971221952941E-2</v>
      </c>
      <c r="E12" s="402">
        <f>Tables!C37</f>
        <v>2240000.0000000005</v>
      </c>
      <c r="F12" s="402">
        <f>Tables!D37</f>
        <v>1575183.1500000011</v>
      </c>
      <c r="G12" s="486">
        <f t="shared" si="1"/>
        <v>2.6591054653099768E-2</v>
      </c>
      <c r="H12" s="279"/>
    </row>
    <row r="13" spans="1:8" ht="12.75" customHeight="1" x14ac:dyDescent="0.2">
      <c r="A13" s="279"/>
      <c r="B13" s="311" t="str">
        <f>Tables!B38</f>
        <v>Administration</v>
      </c>
      <c r="C13" s="279"/>
      <c r="D13" s="401">
        <f t="shared" si="0"/>
        <v>4.3606886946039078E-2</v>
      </c>
      <c r="E13" s="402">
        <f>Tables!C38</f>
        <v>3240000.0000000009</v>
      </c>
      <c r="F13" s="402">
        <f>Tables!D38</f>
        <v>1936332.4100000001</v>
      </c>
      <c r="G13" s="486">
        <f t="shared" si="1"/>
        <v>3.2687704246251212E-2</v>
      </c>
      <c r="H13" s="279"/>
    </row>
    <row r="14" spans="1:8" ht="12.75" customHeight="1" thickBot="1" x14ac:dyDescent="0.25">
      <c r="A14" s="279"/>
      <c r="B14" s="311" t="str">
        <f>Tables!B39</f>
        <v>Regulatory</v>
      </c>
      <c r="C14" s="279"/>
      <c r="D14" s="403">
        <f t="shared" si="0"/>
        <v>0</v>
      </c>
      <c r="E14" s="404">
        <f>Tables!C39</f>
        <v>0</v>
      </c>
      <c r="F14" s="404">
        <f>Tables!D39</f>
        <v>23019.69</v>
      </c>
      <c r="G14" s="405">
        <f t="shared" si="1"/>
        <v>3.8860105562163596E-4</v>
      </c>
      <c r="H14" s="279"/>
    </row>
    <row r="15" spans="1:8" ht="12.75" customHeight="1" thickBot="1" x14ac:dyDescent="0.25">
      <c r="A15" s="279"/>
      <c r="B15" s="313"/>
      <c r="C15" s="360"/>
      <c r="D15" s="75">
        <f t="shared" si="0"/>
        <v>1</v>
      </c>
      <c r="E15" s="76">
        <f>SUM(E9:E14)</f>
        <v>74300190.334827334</v>
      </c>
      <c r="F15" s="76">
        <f>SUM(F9:F14)</f>
        <v>59237332.649999991</v>
      </c>
      <c r="G15" s="77">
        <f t="shared" si="1"/>
        <v>1</v>
      </c>
      <c r="H15" s="279"/>
    </row>
    <row r="16" spans="1:8" x14ac:dyDescent="0.2">
      <c r="A16" s="279"/>
      <c r="B16" s="279"/>
      <c r="C16" s="279"/>
      <c r="D16" s="279"/>
      <c r="E16" s="279"/>
      <c r="F16" s="279"/>
      <c r="G16" s="279"/>
      <c r="H16" s="279"/>
    </row>
    <row r="17" spans="2:8" x14ac:dyDescent="0.2">
      <c r="B17" s="279"/>
      <c r="C17" s="279"/>
      <c r="D17" s="279"/>
      <c r="E17" s="279"/>
      <c r="F17" s="279"/>
      <c r="G17" s="279"/>
      <c r="H17" s="279"/>
    </row>
    <row r="18" spans="2:8" x14ac:dyDescent="0.2">
      <c r="B18" s="279"/>
      <c r="C18" s="279"/>
      <c r="D18" s="279"/>
      <c r="E18" s="279"/>
      <c r="F18" s="279"/>
      <c r="G18" s="279"/>
      <c r="H18" s="279"/>
    </row>
    <row r="19" spans="2:8" x14ac:dyDescent="0.2">
      <c r="B19" s="279"/>
      <c r="C19" s="279"/>
      <c r="D19" s="279"/>
      <c r="E19" s="279"/>
      <c r="F19" s="279"/>
      <c r="G19" s="279"/>
      <c r="H19" s="279"/>
    </row>
    <row r="20" spans="2:8" x14ac:dyDescent="0.2">
      <c r="B20" s="279"/>
      <c r="C20" s="279"/>
      <c r="D20" s="279"/>
      <c r="E20" s="279"/>
      <c r="F20" s="279"/>
      <c r="G20" s="279"/>
      <c r="H20" s="279"/>
    </row>
    <row r="21" spans="2:8" x14ac:dyDescent="0.2">
      <c r="B21" s="279"/>
      <c r="C21" s="279"/>
      <c r="D21" s="279"/>
      <c r="E21" s="279"/>
      <c r="F21" s="279"/>
      <c r="G21" s="279"/>
      <c r="H21" s="279"/>
    </row>
    <row r="22" spans="2:8" x14ac:dyDescent="0.2">
      <c r="B22" s="279"/>
      <c r="C22" s="279"/>
      <c r="D22" s="279"/>
      <c r="E22" s="279"/>
      <c r="F22" s="279"/>
      <c r="G22" s="279"/>
      <c r="H22" s="279"/>
    </row>
    <row r="23" spans="2:8" x14ac:dyDescent="0.2">
      <c r="B23" s="279"/>
      <c r="C23" s="279"/>
      <c r="D23" s="279"/>
      <c r="E23" s="279"/>
      <c r="F23" s="279"/>
      <c r="G23" s="279"/>
      <c r="H23" s="279"/>
    </row>
    <row r="24" spans="2:8" x14ac:dyDescent="0.2">
      <c r="B24" s="279"/>
      <c r="C24" s="279"/>
      <c r="D24" s="279"/>
      <c r="E24" s="279"/>
      <c r="F24" s="279"/>
      <c r="G24" s="279"/>
      <c r="H24" s="279"/>
    </row>
    <row r="25" spans="2:8" x14ac:dyDescent="0.2">
      <c r="B25" s="279"/>
      <c r="C25" s="279"/>
      <c r="D25" s="279"/>
      <c r="E25" s="279"/>
      <c r="F25" s="279"/>
      <c r="G25" s="279"/>
      <c r="H25" s="279"/>
    </row>
  </sheetData>
  <sheetProtection algorithmName="SHA-512" hashValue="+Qj5ORy8MLV2uFAfWgLa7WyOAuqP6iVUEsTdFKu54gtHFplCuFIoz1amUKS8JwRGRKi7ehvbpw4zuglDeWovoQ==" saltValue="9cwvHCqdZuI2a/6fE7SEuQ==" spinCount="100000" sheet="1" objects="1" scenarios="1" formatColumns="0" formatRows="0"/>
  <mergeCells count="3">
    <mergeCell ref="B4:G4"/>
    <mergeCell ref="D6:G6"/>
    <mergeCell ref="B2:G2"/>
  </mergeCells>
  <pageMargins left="0.5" right="0.5" top="0.75" bottom="0.7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L112"/>
  <sheetViews>
    <sheetView showGridLines="0" zoomScale="110" zoomScaleNormal="110" workbookViewId="0">
      <selection activeCell="A5" sqref="A5"/>
    </sheetView>
  </sheetViews>
  <sheetFormatPr defaultColWidth="9.42578125" defaultRowHeight="12.75" x14ac:dyDescent="0.2"/>
  <cols>
    <col min="1" max="1" width="1" style="2" customWidth="1"/>
    <col min="2" max="2" width="3.5703125" style="2" customWidth="1"/>
    <col min="3" max="3" width="0.42578125" style="2" customWidth="1"/>
    <col min="4" max="4" width="33.5703125" style="2" customWidth="1"/>
    <col min="5" max="5" width="21.5703125" style="2" customWidth="1"/>
    <col min="6" max="6" width="24.5703125" style="2" customWidth="1"/>
    <col min="7" max="7" width="29.5703125" style="2" customWidth="1"/>
    <col min="8" max="8" width="7.42578125" style="2" customWidth="1"/>
    <col min="9" max="9" width="9.5703125" style="2" customWidth="1"/>
    <col min="10" max="10" width="1" style="2" customWidth="1"/>
    <col min="11" max="11" width="16" style="2" customWidth="1"/>
    <col min="12" max="12" width="0" style="2" hidden="1" customWidth="1"/>
    <col min="13" max="16384" width="9.42578125" style="2"/>
  </cols>
  <sheetData>
    <row r="1" spans="2:12" ht="28.5" customHeight="1" x14ac:dyDescent="0.2"/>
    <row r="2" spans="2:12" ht="96.75" customHeight="1" x14ac:dyDescent="0.2">
      <c r="B2" s="461"/>
      <c r="C2" s="462"/>
      <c r="D2" s="462"/>
      <c r="E2" s="462"/>
      <c r="F2" s="462"/>
      <c r="G2" s="462"/>
      <c r="H2" s="462"/>
      <c r="I2" s="463"/>
    </row>
    <row r="3" spans="2:12" ht="12.75" customHeight="1" x14ac:dyDescent="0.2">
      <c r="B3" s="589"/>
      <c r="C3" s="590"/>
      <c r="D3" s="194" t="str">
        <f>IF(L25&gt;0,"Incomplete - All yellow shaded cells must be completed.","")</f>
        <v/>
      </c>
      <c r="E3" s="590"/>
      <c r="F3" s="590"/>
      <c r="G3" s="590"/>
      <c r="H3" s="590"/>
      <c r="I3" s="591"/>
    </row>
    <row r="4" spans="2:12" ht="21" customHeight="1" x14ac:dyDescent="0.25">
      <c r="B4" s="3"/>
      <c r="D4" s="8" t="s">
        <v>85</v>
      </c>
      <c r="E4" s="8" t="s">
        <v>86</v>
      </c>
      <c r="F4" s="8" t="s">
        <v>87</v>
      </c>
      <c r="G4" s="8" t="s">
        <v>88</v>
      </c>
      <c r="I4" s="4"/>
    </row>
    <row r="5" spans="2:12" ht="15" customHeight="1" x14ac:dyDescent="0.2">
      <c r="B5" s="126">
        <v>1</v>
      </c>
      <c r="C5" s="533" t="str">
        <f t="shared" ref="C5:C16" si="0">IF(ISBLANK(D5),"Empty",D5)</f>
        <v>Home Energy Solutions</v>
      </c>
      <c r="D5" s="626" t="s">
        <v>89</v>
      </c>
      <c r="E5" s="95" t="s">
        <v>90</v>
      </c>
      <c r="F5" s="95" t="s">
        <v>91</v>
      </c>
      <c r="G5" s="95" t="s">
        <v>92</v>
      </c>
      <c r="I5" s="4"/>
      <c r="L5" s="179">
        <f t="shared" ref="L5:L16" si="1">IF(C5="Empty",0,IF(OR(ISBLANK(E5),ISBLANK(F5),ISBLANK(G5)),1,0))</f>
        <v>0</v>
      </c>
    </row>
    <row r="6" spans="2:12" ht="15" customHeight="1" x14ac:dyDescent="0.2">
      <c r="B6" s="126">
        <v>2</v>
      </c>
      <c r="C6" s="533" t="str">
        <f t="shared" si="0"/>
        <v>Multifamily Homes</v>
      </c>
      <c r="D6" s="626" t="s">
        <v>93</v>
      </c>
      <c r="E6" s="95" t="s">
        <v>90</v>
      </c>
      <c r="F6" s="95" t="s">
        <v>91</v>
      </c>
      <c r="G6" s="95" t="s">
        <v>92</v>
      </c>
      <c r="I6" s="4"/>
      <c r="L6" s="179">
        <f t="shared" si="1"/>
        <v>0</v>
      </c>
    </row>
    <row r="7" spans="2:12" ht="15" customHeight="1" x14ac:dyDescent="0.2">
      <c r="B7" s="126">
        <v>3</v>
      </c>
      <c r="C7" s="533" t="str">
        <f t="shared" si="0"/>
        <v>Manufactured Homes</v>
      </c>
      <c r="D7" s="626" t="s">
        <v>94</v>
      </c>
      <c r="E7" s="95" t="s">
        <v>90</v>
      </c>
      <c r="F7" s="95" t="s">
        <v>91</v>
      </c>
      <c r="G7" s="95" t="s">
        <v>92</v>
      </c>
      <c r="I7" s="4"/>
      <c r="L7" s="179">
        <f t="shared" si="1"/>
        <v>0</v>
      </c>
    </row>
    <row r="8" spans="2:12" ht="15" customHeight="1" x14ac:dyDescent="0.2">
      <c r="B8" s="126">
        <v>4</v>
      </c>
      <c r="C8" s="533" t="str">
        <f t="shared" si="0"/>
        <v xml:space="preserve">Low-Income Solutions </v>
      </c>
      <c r="D8" s="626" t="s">
        <v>95</v>
      </c>
      <c r="E8" s="95" t="s">
        <v>90</v>
      </c>
      <c r="F8" s="95" t="s">
        <v>96</v>
      </c>
      <c r="G8" s="95" t="s">
        <v>92</v>
      </c>
      <c r="I8" s="4"/>
      <c r="L8" s="179">
        <f t="shared" si="1"/>
        <v>0</v>
      </c>
    </row>
    <row r="9" spans="2:12" ht="15" customHeight="1" x14ac:dyDescent="0.2">
      <c r="B9" s="126">
        <v>5</v>
      </c>
      <c r="C9" s="533" t="str">
        <f t="shared" si="0"/>
        <v>Point of Purchase Solutions</v>
      </c>
      <c r="D9" s="626" t="s">
        <v>97</v>
      </c>
      <c r="E9" s="95" t="s">
        <v>98</v>
      </c>
      <c r="F9" s="95" t="s">
        <v>99</v>
      </c>
      <c r="G9" s="95" t="s">
        <v>100</v>
      </c>
      <c r="I9" s="4"/>
      <c r="L9" s="179">
        <f t="shared" si="1"/>
        <v>0</v>
      </c>
    </row>
    <row r="10" spans="2:12" ht="15" customHeight="1" x14ac:dyDescent="0.2">
      <c r="B10" s="126">
        <v>6</v>
      </c>
      <c r="C10" s="533" t="str">
        <f t="shared" si="0"/>
        <v>Large Commercial &amp; Industrial Solutions</v>
      </c>
      <c r="D10" s="626" t="s">
        <v>101</v>
      </c>
      <c r="E10" s="95" t="s">
        <v>102</v>
      </c>
      <c r="F10" s="95" t="s">
        <v>103</v>
      </c>
      <c r="G10" s="95" t="s">
        <v>92</v>
      </c>
      <c r="I10" s="4"/>
      <c r="L10" s="179">
        <f t="shared" si="1"/>
        <v>0</v>
      </c>
    </row>
    <row r="11" spans="2:12" ht="15" customHeight="1" x14ac:dyDescent="0.2">
      <c r="B11" s="126">
        <v>7</v>
      </c>
      <c r="C11" s="533" t="str">
        <f t="shared" si="0"/>
        <v>Small Business Solutions</v>
      </c>
      <c r="D11" s="626" t="s">
        <v>104</v>
      </c>
      <c r="E11" s="95" t="s">
        <v>105</v>
      </c>
      <c r="F11" s="95" t="s">
        <v>96</v>
      </c>
      <c r="G11" s="95" t="s">
        <v>92</v>
      </c>
      <c r="I11" s="4"/>
      <c r="L11" s="179">
        <f t="shared" si="1"/>
        <v>0</v>
      </c>
    </row>
    <row r="12" spans="2:12" ht="15" customHeight="1" x14ac:dyDescent="0.2">
      <c r="B12" s="126">
        <v>8</v>
      </c>
      <c r="C12" s="533" t="str">
        <f t="shared" si="0"/>
        <v xml:space="preserve">Public Institutions Solutions </v>
      </c>
      <c r="D12" s="626" t="s">
        <v>106</v>
      </c>
      <c r="E12" s="95" t="s">
        <v>107</v>
      </c>
      <c r="F12" s="95" t="s">
        <v>96</v>
      </c>
      <c r="G12" s="95" t="s">
        <v>92</v>
      </c>
      <c r="I12" s="4"/>
      <c r="L12" s="179">
        <f t="shared" si="1"/>
        <v>0</v>
      </c>
    </row>
    <row r="13" spans="2:12" ht="15" customHeight="1" x14ac:dyDescent="0.2">
      <c r="B13" s="126">
        <v>9</v>
      </c>
      <c r="C13" s="533" t="str">
        <f t="shared" si="0"/>
        <v>Agricultural Energy Solutions</v>
      </c>
      <c r="D13" s="626" t="s">
        <v>108</v>
      </c>
      <c r="E13" s="95" t="s">
        <v>109</v>
      </c>
      <c r="F13" s="95" t="s">
        <v>110</v>
      </c>
      <c r="G13" s="95" t="s">
        <v>111</v>
      </c>
      <c r="I13" s="4"/>
      <c r="L13" s="179">
        <f t="shared" si="1"/>
        <v>0</v>
      </c>
    </row>
    <row r="14" spans="2:12" ht="15" customHeight="1" x14ac:dyDescent="0.2">
      <c r="B14" s="126">
        <v>10</v>
      </c>
      <c r="C14" s="533" t="str">
        <f t="shared" si="0"/>
        <v>Residential Direct Load Control</v>
      </c>
      <c r="D14" s="626" t="s">
        <v>112</v>
      </c>
      <c r="E14" s="95" t="s">
        <v>90</v>
      </c>
      <c r="F14" s="95" t="s">
        <v>113</v>
      </c>
      <c r="G14" s="95" t="s">
        <v>111</v>
      </c>
      <c r="I14" s="4"/>
      <c r="L14" s="179">
        <f t="shared" si="1"/>
        <v>0</v>
      </c>
    </row>
    <row r="15" spans="2:12" ht="15" customHeight="1" x14ac:dyDescent="0.2">
      <c r="B15" s="126">
        <v>11</v>
      </c>
      <c r="C15" s="533" t="str">
        <f t="shared" si="0"/>
        <v xml:space="preserve">Smart Direct Load Control Pilot </v>
      </c>
      <c r="D15" s="626" t="s">
        <v>114</v>
      </c>
      <c r="E15" s="95" t="s">
        <v>115</v>
      </c>
      <c r="F15" s="95" t="s">
        <v>113</v>
      </c>
      <c r="G15" s="95" t="s">
        <v>92</v>
      </c>
      <c r="I15" s="4"/>
      <c r="L15" s="179">
        <f t="shared" si="1"/>
        <v>0</v>
      </c>
    </row>
    <row r="16" spans="2:12" ht="15" customHeight="1" x14ac:dyDescent="0.2">
      <c r="B16" s="126">
        <v>12</v>
      </c>
      <c r="C16" s="533" t="str">
        <f t="shared" si="0"/>
        <v>Agricultural Irrigation Load Control</v>
      </c>
      <c r="D16" s="626" t="s">
        <v>116</v>
      </c>
      <c r="E16" s="95" t="s">
        <v>109</v>
      </c>
      <c r="F16" s="95" t="s">
        <v>113</v>
      </c>
      <c r="G16" s="95" t="s">
        <v>111</v>
      </c>
      <c r="I16" s="4"/>
      <c r="L16" s="179">
        <f t="shared" si="1"/>
        <v>0</v>
      </c>
    </row>
    <row r="17" spans="2:12" ht="15" hidden="1" customHeight="1" x14ac:dyDescent="0.2">
      <c r="B17" s="126">
        <v>13</v>
      </c>
      <c r="C17" s="533" t="str">
        <f t="shared" ref="C17:C24" si="2">IF(ISBLANK(D17),"Empty",D17)</f>
        <v>Empty</v>
      </c>
      <c r="D17" s="626"/>
      <c r="E17" s="95"/>
      <c r="F17" s="95"/>
      <c r="G17" s="95"/>
      <c r="I17" s="4"/>
      <c r="L17" s="179">
        <f t="shared" ref="L17:L24" si="3">IF(C17="Empty",0,IF(OR(ISBLANK(E17),ISBLANK(F17),ISBLANK(G17)),1,0))</f>
        <v>0</v>
      </c>
    </row>
    <row r="18" spans="2:12" ht="15" hidden="1" customHeight="1" x14ac:dyDescent="0.2">
      <c r="B18" s="126">
        <v>14</v>
      </c>
      <c r="C18" s="533" t="str">
        <f t="shared" si="2"/>
        <v>Empty</v>
      </c>
      <c r="D18" s="626"/>
      <c r="E18" s="95"/>
      <c r="F18" s="95"/>
      <c r="G18" s="95"/>
      <c r="I18" s="4"/>
      <c r="L18" s="179">
        <f t="shared" si="3"/>
        <v>0</v>
      </c>
    </row>
    <row r="19" spans="2:12" ht="15" hidden="1" customHeight="1" x14ac:dyDescent="0.2">
      <c r="B19" s="126">
        <v>15</v>
      </c>
      <c r="C19" s="533" t="str">
        <f t="shared" si="2"/>
        <v>Empty</v>
      </c>
      <c r="D19" s="626"/>
      <c r="E19" s="95"/>
      <c r="F19" s="95"/>
      <c r="G19" s="95"/>
      <c r="I19" s="4"/>
      <c r="L19" s="179">
        <f t="shared" si="3"/>
        <v>0</v>
      </c>
    </row>
    <row r="20" spans="2:12" ht="15" hidden="1" customHeight="1" x14ac:dyDescent="0.2">
      <c r="B20" s="126">
        <v>16</v>
      </c>
      <c r="C20" s="533" t="str">
        <f t="shared" si="2"/>
        <v>Empty</v>
      </c>
      <c r="D20" s="626"/>
      <c r="E20" s="95"/>
      <c r="F20" s="95"/>
      <c r="G20" s="95"/>
      <c r="I20" s="4"/>
      <c r="L20" s="179">
        <f t="shared" si="3"/>
        <v>0</v>
      </c>
    </row>
    <row r="21" spans="2:12" ht="15" hidden="1" customHeight="1" x14ac:dyDescent="0.2">
      <c r="B21" s="126">
        <v>17</v>
      </c>
      <c r="C21" s="533" t="str">
        <f t="shared" si="2"/>
        <v>Empty</v>
      </c>
      <c r="D21" s="626"/>
      <c r="E21" s="95"/>
      <c r="F21" s="95"/>
      <c r="G21" s="95"/>
      <c r="I21" s="4"/>
      <c r="L21" s="179">
        <f t="shared" si="3"/>
        <v>0</v>
      </c>
    </row>
    <row r="22" spans="2:12" ht="15" hidden="1" customHeight="1" x14ac:dyDescent="0.2">
      <c r="B22" s="126">
        <v>18</v>
      </c>
      <c r="C22" s="533" t="str">
        <f t="shared" si="2"/>
        <v>Empty</v>
      </c>
      <c r="D22" s="626"/>
      <c r="E22" s="95"/>
      <c r="F22" s="95"/>
      <c r="G22" s="95"/>
      <c r="I22" s="4"/>
      <c r="L22" s="179">
        <f t="shared" si="3"/>
        <v>0</v>
      </c>
    </row>
    <row r="23" spans="2:12" ht="15" hidden="1" customHeight="1" x14ac:dyDescent="0.2">
      <c r="B23" s="126">
        <v>19</v>
      </c>
      <c r="C23" s="533" t="str">
        <f t="shared" si="2"/>
        <v>Empty</v>
      </c>
      <c r="D23" s="626"/>
      <c r="E23" s="95"/>
      <c r="F23" s="95"/>
      <c r="G23" s="95"/>
      <c r="I23" s="4"/>
      <c r="L23" s="179">
        <f t="shared" si="3"/>
        <v>0</v>
      </c>
    </row>
    <row r="24" spans="2:12" ht="15" hidden="1" customHeight="1" x14ac:dyDescent="0.2">
      <c r="B24" s="126">
        <v>20</v>
      </c>
      <c r="C24" s="533" t="str">
        <f t="shared" si="2"/>
        <v>Empty</v>
      </c>
      <c r="D24" s="626"/>
      <c r="E24" s="95"/>
      <c r="F24" s="95"/>
      <c r="G24" s="95"/>
      <c r="I24" s="4"/>
      <c r="L24" s="179">
        <f t="shared" si="3"/>
        <v>0</v>
      </c>
    </row>
    <row r="25" spans="2:12" ht="15" customHeight="1" x14ac:dyDescent="0.2">
      <c r="B25" s="5"/>
      <c r="C25" s="353"/>
      <c r="D25" s="353"/>
      <c r="E25" s="353"/>
      <c r="F25" s="353"/>
      <c r="G25" s="353"/>
      <c r="H25" s="353"/>
      <c r="I25" s="6"/>
      <c r="L25" s="201">
        <f>SUM(L5:L24)</f>
        <v>0</v>
      </c>
    </row>
    <row r="26" spans="2:12" ht="15" customHeight="1" x14ac:dyDescent="0.2"/>
    <row r="27" spans="2:12" ht="15" customHeight="1" x14ac:dyDescent="0.2"/>
    <row r="28" spans="2:12" ht="15" customHeight="1" x14ac:dyDescent="0.2"/>
    <row r="29" spans="2:12" ht="15" customHeight="1" x14ac:dyDescent="0.2"/>
    <row r="30" spans="2:12" ht="15" customHeight="1" x14ac:dyDescent="0.2"/>
    <row r="31" spans="2:12" ht="15" customHeight="1" x14ac:dyDescent="0.2"/>
    <row r="32" spans="2:1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sheetData>
  <sheetProtection formatRows="0"/>
  <conditionalFormatting sqref="E5:G24">
    <cfRule type="expression" dxfId="84" priority="1">
      <formula>$B5&gt;Programs</formula>
    </cfRule>
  </conditionalFormatting>
  <dataValidations count="4">
    <dataValidation type="textLength" allowBlank="1" showInputMessage="1" showErrorMessage="1" error="Shorten length of program name to 25 characters or less." sqref="D5:D24" xr:uid="{00000000-0002-0000-0300-000000000000}">
      <formula1>0</formula1>
      <formula2>25</formula2>
    </dataValidation>
    <dataValidation type="list" allowBlank="1" showInputMessage="1" showErrorMessage="1" sqref="E5:E24" xr:uid="{00000000-0002-0000-0300-000001000000}">
      <formula1>IF($C5="Empty",Prg_Empty,Sector_Type)</formula1>
    </dataValidation>
    <dataValidation type="list" allowBlank="1" showInputMessage="1" showErrorMessage="1" sqref="F5:F24" xr:uid="{00000000-0002-0000-0300-000002000000}">
      <formula1>IF($C5="Empty",Prg_Empty,Prg_Type)</formula1>
    </dataValidation>
    <dataValidation type="list" allowBlank="1" showInputMessage="1" showErrorMessage="1" sqref="G5:G24" xr:uid="{00000000-0002-0000-0300-000003000000}">
      <formula1>IF($C5="Empty",Prg_Empty,D_Channel)</formula1>
    </dataValidation>
  </dataValidations>
  <pageMargins left="0.25" right="0.25" top="0.25" bottom="0.25" header="0.3" footer="0.3"/>
  <pageSetup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O23"/>
  <sheetViews>
    <sheetView showGridLines="0" zoomScale="110" zoomScaleNormal="110" workbookViewId="0"/>
  </sheetViews>
  <sheetFormatPr defaultColWidth="9.42578125" defaultRowHeight="12.75" x14ac:dyDescent="0.2"/>
  <cols>
    <col min="1" max="1" width="1" style="2" customWidth="1"/>
    <col min="2" max="2" width="9.5703125" style="2" customWidth="1"/>
    <col min="3" max="3" width="1" style="2" customWidth="1"/>
    <col min="4" max="4" width="12.42578125" style="2" customWidth="1"/>
    <col min="5" max="5" width="11" style="2" customWidth="1"/>
    <col min="6" max="6" width="8.42578125" style="2" customWidth="1"/>
    <col min="7" max="7" width="11" style="2" customWidth="1"/>
    <col min="8" max="8" width="8.42578125" style="2" customWidth="1"/>
    <col min="9" max="9" width="1" style="2" customWidth="1"/>
    <col min="10" max="10" width="12.42578125" style="2" customWidth="1"/>
    <col min="11" max="11" width="11" style="2" customWidth="1"/>
    <col min="12" max="12" width="8.5703125" style="2" customWidth="1"/>
    <col min="13" max="13" width="11" style="2" customWidth="1"/>
    <col min="14" max="14" width="9.42578125" style="2" customWidth="1"/>
    <col min="15" max="15" width="1.42578125" style="2" customWidth="1"/>
    <col min="16" max="16384" width="9.42578125" style="2"/>
  </cols>
  <sheetData>
    <row r="1" spans="1:15" ht="5.0999999999999996" customHeight="1" thickBot="1" x14ac:dyDescent="0.25"/>
    <row r="2" spans="1:15" ht="38.25" customHeight="1" thickBot="1" x14ac:dyDescent="0.25">
      <c r="B2" s="660" t="s">
        <v>816</v>
      </c>
      <c r="C2" s="660"/>
      <c r="D2" s="660"/>
      <c r="E2" s="660"/>
      <c r="F2" s="660"/>
      <c r="G2" s="660"/>
      <c r="H2" s="660"/>
      <c r="I2" s="660"/>
      <c r="J2" s="660"/>
      <c r="K2" s="660"/>
      <c r="L2" s="660"/>
      <c r="M2" s="660"/>
      <c r="N2" s="660"/>
    </row>
    <row r="3" spans="1:15" ht="4.5" customHeight="1" thickBot="1" x14ac:dyDescent="0.25"/>
    <row r="4" spans="1:15" ht="24" thickBot="1" x14ac:dyDescent="0.4">
      <c r="B4" s="725" t="s">
        <v>10</v>
      </c>
      <c r="C4" s="726"/>
      <c r="D4" s="726"/>
      <c r="E4" s="726"/>
      <c r="F4" s="726"/>
      <c r="G4" s="726"/>
      <c r="H4" s="726"/>
      <c r="I4" s="726"/>
      <c r="J4" s="726"/>
      <c r="K4" s="726"/>
      <c r="L4" s="726"/>
      <c r="M4" s="726"/>
      <c r="N4" s="727"/>
    </row>
    <row r="5" spans="1:15" ht="4.5" customHeight="1" thickBot="1" x14ac:dyDescent="0.25">
      <c r="B5" s="78"/>
      <c r="N5" s="79"/>
    </row>
    <row r="6" spans="1:15" ht="13.5" customHeight="1" thickBot="1" x14ac:dyDescent="0.25">
      <c r="A6" s="279"/>
      <c r="B6" s="740" t="s">
        <v>74</v>
      </c>
      <c r="C6" s="70"/>
      <c r="D6" s="737" t="s">
        <v>844</v>
      </c>
      <c r="E6" s="738"/>
      <c r="F6" s="738"/>
      <c r="G6" s="738"/>
      <c r="H6" s="739"/>
      <c r="I6" s="279"/>
      <c r="J6" s="737" t="s">
        <v>808</v>
      </c>
      <c r="K6" s="738"/>
      <c r="L6" s="738"/>
      <c r="M6" s="738"/>
      <c r="N6" s="739"/>
      <c r="O6" s="279"/>
    </row>
    <row r="7" spans="1:15" ht="11.25" customHeight="1" x14ac:dyDescent="0.2">
      <c r="A7" s="279"/>
      <c r="B7" s="741"/>
      <c r="C7" s="279"/>
      <c r="D7" s="742" t="s">
        <v>845</v>
      </c>
      <c r="E7" s="744" t="s">
        <v>553</v>
      </c>
      <c r="F7" s="745"/>
      <c r="G7" s="746" t="s">
        <v>554</v>
      </c>
      <c r="H7" s="745"/>
      <c r="I7" s="279"/>
      <c r="J7" s="742" t="s">
        <v>846</v>
      </c>
      <c r="K7" s="744" t="s">
        <v>555</v>
      </c>
      <c r="L7" s="745"/>
      <c r="M7" s="746" t="s">
        <v>556</v>
      </c>
      <c r="N7" s="745"/>
      <c r="O7" s="279"/>
    </row>
    <row r="8" spans="1:15" ht="54.75" customHeight="1" x14ac:dyDescent="0.2">
      <c r="A8" s="279"/>
      <c r="B8" s="741"/>
      <c r="C8" s="70"/>
      <c r="D8" s="743"/>
      <c r="E8" s="487" t="s">
        <v>847</v>
      </c>
      <c r="F8" s="608" t="s">
        <v>848</v>
      </c>
      <c r="G8" s="609" t="s">
        <v>849</v>
      </c>
      <c r="H8" s="608" t="s">
        <v>848</v>
      </c>
      <c r="I8" s="279"/>
      <c r="J8" s="743"/>
      <c r="K8" s="487" t="s">
        <v>850</v>
      </c>
      <c r="L8" s="608" t="s">
        <v>851</v>
      </c>
      <c r="M8" s="609" t="s">
        <v>852</v>
      </c>
      <c r="N8" s="608" t="s">
        <v>851</v>
      </c>
      <c r="O8" s="279"/>
    </row>
    <row r="9" spans="1:15" ht="12.75" customHeight="1" x14ac:dyDescent="0.2">
      <c r="A9" s="279"/>
      <c r="B9" s="741"/>
      <c r="C9" s="279"/>
      <c r="D9" s="83" t="s">
        <v>430</v>
      </c>
      <c r="E9" s="84" t="s">
        <v>430</v>
      </c>
      <c r="F9" s="85" t="s">
        <v>853</v>
      </c>
      <c r="G9" s="86" t="s">
        <v>430</v>
      </c>
      <c r="H9" s="85" t="s">
        <v>854</v>
      </c>
      <c r="I9" s="321"/>
      <c r="J9" s="83" t="str">
        <f>"("&amp;Energy_1&amp;")"</f>
        <v>(kWh)</v>
      </c>
      <c r="K9" s="84" t="str">
        <f>J9</f>
        <v>(kWh)</v>
      </c>
      <c r="L9" s="85" t="s">
        <v>855</v>
      </c>
      <c r="M9" s="86" t="str">
        <f>J9</f>
        <v>(kWh)</v>
      </c>
      <c r="N9" s="85" t="s">
        <v>856</v>
      </c>
      <c r="O9" s="279"/>
    </row>
    <row r="10" spans="1:15" ht="12.75" customHeight="1" x14ac:dyDescent="0.2">
      <c r="A10" s="279"/>
      <c r="B10" s="406">
        <f>Tables!B44</f>
        <v>2021</v>
      </c>
      <c r="C10" s="279"/>
      <c r="D10" s="407">
        <f>Tables!C44/1000</f>
        <v>1878947.0179999999</v>
      </c>
      <c r="E10" s="408">
        <f>Tables!E44/1000</f>
        <v>69584.73869199022</v>
      </c>
      <c r="F10" s="409">
        <f>E10/D10</f>
        <v>3.7033901448726335E-2</v>
      </c>
      <c r="G10" s="488">
        <f>Tables!F44/1000</f>
        <v>58872.09135000001</v>
      </c>
      <c r="H10" s="409">
        <f>G10/D10</f>
        <v>3.1332491435902748E-2</v>
      </c>
      <c r="I10" s="279"/>
      <c r="J10" s="410">
        <f>Tables!D44</f>
        <v>22281461</v>
      </c>
      <c r="K10" s="411">
        <f>Tables!G44</f>
        <v>285765</v>
      </c>
      <c r="L10" s="412">
        <f>K10/J10</f>
        <v>1.2825236190750688E-2</v>
      </c>
      <c r="M10" s="489">
        <f>Tables!H44</f>
        <v>311158</v>
      </c>
      <c r="N10" s="412">
        <f>M10/J10</f>
        <v>1.3964883182480717E-2</v>
      </c>
      <c r="O10" s="279"/>
    </row>
    <row r="11" spans="1:15" ht="12.75" customHeight="1" x14ac:dyDescent="0.2">
      <c r="A11" s="279"/>
      <c r="B11" s="406">
        <f>Tables!B45</f>
        <v>2022</v>
      </c>
      <c r="C11" s="279"/>
      <c r="D11" s="407">
        <f>Tables!C45/1000</f>
        <v>2056564.892</v>
      </c>
      <c r="E11" s="408">
        <f>Tables!E45/1000</f>
        <v>69354.507308657878</v>
      </c>
      <c r="F11" s="409">
        <f>E11/D11</f>
        <v>3.3723471395648956E-2</v>
      </c>
      <c r="G11" s="488">
        <f>Tables!F45/1000</f>
        <v>59151.985549999998</v>
      </c>
      <c r="H11" s="409">
        <f>G11/D11</f>
        <v>2.8762518401485967E-2</v>
      </c>
      <c r="I11" s="279"/>
      <c r="J11" s="410">
        <f>Tables!D45</f>
        <v>22326106</v>
      </c>
      <c r="K11" s="411">
        <f>Tables!G45</f>
        <v>285149</v>
      </c>
      <c r="L11" s="412">
        <f>K11/J11</f>
        <v>1.2771998842968854E-2</v>
      </c>
      <c r="M11" s="489">
        <f>Tables!H45</f>
        <v>292926</v>
      </c>
      <c r="N11" s="412">
        <f>M11/J11</f>
        <v>1.312033544945097E-2</v>
      </c>
      <c r="O11" s="279"/>
    </row>
    <row r="12" spans="1:15" ht="12.75" customHeight="1" x14ac:dyDescent="0.2">
      <c r="A12" s="279"/>
      <c r="B12" s="406">
        <f>Tables!B46</f>
        <v>2023</v>
      </c>
      <c r="C12" s="279"/>
      <c r="D12" s="407">
        <f>Tables!C46/1000</f>
        <v>2236944.9700000002</v>
      </c>
      <c r="E12" s="408">
        <f>Tables!E46/1000</f>
        <v>69354.507308657878</v>
      </c>
      <c r="F12" s="409">
        <f>E12/D12</f>
        <v>3.100411867023169E-2</v>
      </c>
      <c r="G12" s="488">
        <f>Tables!F46/1000</f>
        <v>58224.010772999995</v>
      </c>
      <c r="H12" s="409">
        <f>G12/D12</f>
        <v>2.602836080183054E-2</v>
      </c>
      <c r="I12" s="279"/>
      <c r="J12" s="410">
        <f>Tables!D46</f>
        <v>22518603</v>
      </c>
      <c r="K12" s="411">
        <f>Tables!G46</f>
        <v>285149</v>
      </c>
      <c r="L12" s="412">
        <f>K12/J12</f>
        <v>1.2662819269916522E-2</v>
      </c>
      <c r="M12" s="489">
        <f>Tables!H46</f>
        <v>283028</v>
      </c>
      <c r="N12" s="412">
        <f>M12/J12</f>
        <v>1.2568630478542564E-2</v>
      </c>
      <c r="O12" s="279"/>
    </row>
    <row r="13" spans="1:15" ht="12.75" customHeight="1" x14ac:dyDescent="0.2">
      <c r="A13" s="279"/>
      <c r="B13" s="406">
        <f>Tables!B47</f>
        <v>2024</v>
      </c>
      <c r="C13" s="279"/>
      <c r="D13" s="407">
        <f>Tables!C47/1000</f>
        <v>2221980.5830000001</v>
      </c>
      <c r="E13" s="408">
        <f>Tables!E47/1000</f>
        <v>73679.986999999994</v>
      </c>
      <c r="F13" s="409">
        <f>E13/D13</f>
        <v>3.3159599846962297E-2</v>
      </c>
      <c r="G13" s="488">
        <f>Tables!F47/1000</f>
        <v>58231.942300000002</v>
      </c>
      <c r="H13" s="409">
        <f>G13/D13</f>
        <v>2.6207223746923265E-2</v>
      </c>
      <c r="I13" s="279"/>
      <c r="J13" s="410">
        <f>Tables!D47</f>
        <v>22518603</v>
      </c>
      <c r="K13" s="411">
        <f>Tables!G47</f>
        <v>253490</v>
      </c>
      <c r="L13" s="412">
        <f>K13/J13</f>
        <v>1.1256915004896175E-2</v>
      </c>
      <c r="M13" s="489">
        <f>Tables!H47</f>
        <v>251696</v>
      </c>
      <c r="N13" s="412">
        <f>M13/J13</f>
        <v>1.1177247540622302E-2</v>
      </c>
      <c r="O13" s="279"/>
    </row>
    <row r="14" spans="1:15" ht="13.5" thickBot="1" x14ac:dyDescent="0.25">
      <c r="A14" s="279"/>
      <c r="B14" s="406">
        <f>Tables!B48</f>
        <v>2025</v>
      </c>
      <c r="C14" s="360"/>
      <c r="D14" s="413">
        <f>Tables!C48/1000</f>
        <v>2415710.6719999998</v>
      </c>
      <c r="E14" s="414">
        <f>Tables!E48/1000</f>
        <v>74300.190334827334</v>
      </c>
      <c r="F14" s="415">
        <f>E14/D14</f>
        <v>3.0757073351550496E-2</v>
      </c>
      <c r="G14" s="416">
        <f>Tables!F48/1000</f>
        <v>59237.332649999989</v>
      </c>
      <c r="H14" s="415">
        <f>G14/D14</f>
        <v>2.4521700109457478E-2</v>
      </c>
      <c r="I14" s="360"/>
      <c r="J14" s="417">
        <f>Tables!D48</f>
        <v>25862890</v>
      </c>
      <c r="K14" s="411">
        <f>Tables!G48</f>
        <v>253409.43640753289</v>
      </c>
      <c r="L14" s="418">
        <f>K14/J14</f>
        <v>9.7981871479766135E-3</v>
      </c>
      <c r="M14" s="489">
        <f>Tables!H48</f>
        <v>255840.15398199405</v>
      </c>
      <c r="N14" s="418">
        <f>M14/J14</f>
        <v>9.8921719104861847E-3</v>
      </c>
      <c r="O14" s="279"/>
    </row>
    <row r="15" spans="1:15" x14ac:dyDescent="0.2">
      <c r="B15" s="279"/>
      <c r="C15" s="279"/>
      <c r="D15" s="279"/>
      <c r="E15" s="279"/>
      <c r="F15" s="279"/>
      <c r="G15" s="279"/>
      <c r="H15" s="279"/>
      <c r="I15" s="279"/>
      <c r="J15" s="279"/>
      <c r="K15" s="279"/>
      <c r="L15" s="279"/>
      <c r="M15" s="279"/>
      <c r="N15" s="279"/>
      <c r="O15" s="279"/>
    </row>
    <row r="16" spans="1:15" x14ac:dyDescent="0.2">
      <c r="B16" s="279"/>
      <c r="C16" s="279"/>
      <c r="D16" s="279"/>
      <c r="E16" s="279"/>
      <c r="F16" s="279"/>
      <c r="G16" s="279"/>
      <c r="H16" s="279"/>
      <c r="I16" s="279"/>
      <c r="J16" s="279"/>
      <c r="K16" s="279"/>
      <c r="L16" s="279"/>
      <c r="M16" s="279"/>
      <c r="N16" s="279"/>
      <c r="O16" s="279"/>
    </row>
    <row r="17" spans="2:15" x14ac:dyDescent="0.2">
      <c r="B17" s="279"/>
      <c r="C17" s="279"/>
      <c r="D17" s="279"/>
      <c r="E17" s="279"/>
      <c r="F17" s="279"/>
      <c r="G17" s="279"/>
      <c r="H17" s="279"/>
      <c r="I17" s="279"/>
      <c r="J17" s="279"/>
      <c r="K17" s="279"/>
      <c r="L17" s="279"/>
      <c r="M17" s="279"/>
      <c r="N17" s="279"/>
      <c r="O17" s="279"/>
    </row>
    <row r="18" spans="2:15" x14ac:dyDescent="0.2">
      <c r="B18" s="279"/>
      <c r="C18" s="279"/>
      <c r="D18" s="279"/>
      <c r="E18" s="279"/>
      <c r="F18" s="279"/>
      <c r="G18" s="279"/>
      <c r="H18" s="279"/>
      <c r="I18" s="279"/>
      <c r="J18" s="279"/>
      <c r="K18" s="279"/>
      <c r="L18" s="279"/>
      <c r="M18" s="279"/>
      <c r="N18" s="279"/>
      <c r="O18" s="279"/>
    </row>
    <row r="19" spans="2:15" x14ac:dyDescent="0.2">
      <c r="B19" s="279"/>
      <c r="C19" s="279"/>
      <c r="D19" s="279"/>
      <c r="E19" s="279"/>
      <c r="F19" s="279"/>
      <c r="G19" s="279"/>
      <c r="H19" s="279"/>
      <c r="I19" s="279"/>
      <c r="J19" s="279"/>
      <c r="K19" s="279"/>
      <c r="L19" s="279"/>
      <c r="M19" s="279"/>
      <c r="N19" s="279"/>
      <c r="O19" s="279"/>
    </row>
    <row r="20" spans="2:15" x14ac:dyDescent="0.2">
      <c r="B20" s="279"/>
      <c r="C20" s="279"/>
      <c r="D20" s="279"/>
      <c r="E20" s="279"/>
      <c r="F20" s="279"/>
      <c r="G20" s="279"/>
      <c r="H20" s="279"/>
      <c r="I20" s="279"/>
      <c r="J20" s="279"/>
      <c r="K20" s="279"/>
      <c r="L20" s="279"/>
      <c r="M20" s="279"/>
      <c r="N20" s="279"/>
      <c r="O20" s="279"/>
    </row>
    <row r="21" spans="2:15" x14ac:dyDescent="0.2">
      <c r="B21" s="279"/>
      <c r="C21" s="279"/>
      <c r="D21" s="279"/>
      <c r="E21" s="279"/>
      <c r="F21" s="279"/>
      <c r="G21" s="279"/>
      <c r="H21" s="279"/>
      <c r="I21" s="279"/>
      <c r="J21" s="279"/>
      <c r="K21" s="279"/>
      <c r="L21" s="279"/>
      <c r="M21" s="279"/>
      <c r="N21" s="279"/>
      <c r="O21" s="279"/>
    </row>
    <row r="22" spans="2:15" x14ac:dyDescent="0.2">
      <c r="B22" s="279"/>
      <c r="C22" s="279"/>
      <c r="D22" s="279"/>
      <c r="E22" s="279"/>
      <c r="F22" s="279"/>
      <c r="G22" s="279"/>
      <c r="H22" s="279"/>
      <c r="I22" s="279"/>
      <c r="J22" s="279"/>
      <c r="K22" s="279"/>
      <c r="L22" s="279"/>
      <c r="M22" s="279"/>
      <c r="N22" s="279"/>
      <c r="O22" s="279"/>
    </row>
    <row r="23" spans="2:15" x14ac:dyDescent="0.2">
      <c r="B23" s="279"/>
      <c r="C23" s="279"/>
      <c r="D23" s="279"/>
      <c r="E23" s="279"/>
      <c r="F23" s="279"/>
      <c r="G23" s="279"/>
      <c r="H23" s="279"/>
      <c r="I23" s="279"/>
      <c r="J23" s="279"/>
      <c r="K23" s="279"/>
      <c r="L23" s="279"/>
      <c r="M23" s="279"/>
      <c r="N23" s="279"/>
      <c r="O23" s="279"/>
    </row>
  </sheetData>
  <sheetProtection formatColumns="0" formatRows="0"/>
  <mergeCells count="11">
    <mergeCell ref="B2:N2"/>
    <mergeCell ref="D6:H6"/>
    <mergeCell ref="J6:N6"/>
    <mergeCell ref="B4:N4"/>
    <mergeCell ref="B6:B9"/>
    <mergeCell ref="D7:D8"/>
    <mergeCell ref="E7:F7"/>
    <mergeCell ref="G7:H7"/>
    <mergeCell ref="J7:J8"/>
    <mergeCell ref="K7:L7"/>
    <mergeCell ref="M7:N7"/>
  </mergeCells>
  <pageMargins left="0.5" right="0.5" top="0.75" bottom="0.75" header="0.3" footer="0.3"/>
  <pageSetup orientation="landscape"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O12"/>
  <sheetViews>
    <sheetView showGridLines="0" zoomScaleNormal="100" workbookViewId="0">
      <selection activeCell="B4" sqref="B4:D4"/>
    </sheetView>
  </sheetViews>
  <sheetFormatPr defaultColWidth="9.42578125" defaultRowHeight="12.75" x14ac:dyDescent="0.2"/>
  <cols>
    <col min="1" max="1" width="1" style="2" customWidth="1"/>
    <col min="2" max="2" width="17.5703125" style="2" customWidth="1"/>
    <col min="3" max="4" width="12" style="2" bestFit="1" customWidth="1"/>
    <col min="5" max="5" width="5.5703125" style="2" customWidth="1"/>
    <col min="6" max="6" width="11.42578125" style="2" customWidth="1"/>
    <col min="7" max="7" width="11" style="2" customWidth="1"/>
    <col min="8" max="8" width="8" style="2" customWidth="1"/>
    <col min="9" max="10" width="11.5703125" style="2" customWidth="1"/>
    <col min="11" max="11" width="7.42578125" style="2" customWidth="1"/>
    <col min="12" max="13" width="10.42578125" style="2" bestFit="1" customWidth="1"/>
    <col min="14" max="14" width="5.5703125" style="2" customWidth="1"/>
    <col min="15" max="15" width="1.42578125" style="2" customWidth="1"/>
    <col min="16" max="16384" width="9.42578125" style="2"/>
  </cols>
  <sheetData>
    <row r="1" spans="1:15" ht="5.0999999999999996" customHeight="1" thickBot="1" x14ac:dyDescent="0.25"/>
    <row r="2" spans="1:15" ht="38.25" customHeight="1" thickBot="1" x14ac:dyDescent="0.25">
      <c r="B2" s="660" t="s">
        <v>857</v>
      </c>
      <c r="C2" s="660"/>
      <c r="D2" s="660"/>
      <c r="E2" s="660"/>
      <c r="F2" s="660"/>
      <c r="G2" s="660"/>
      <c r="H2" s="660"/>
      <c r="I2" s="660"/>
      <c r="J2" s="660"/>
      <c r="K2" s="660"/>
      <c r="L2" s="660"/>
      <c r="M2" s="660"/>
      <c r="N2" s="660"/>
    </row>
    <row r="3" spans="1:15" ht="4.5" customHeight="1" thickBot="1" x14ac:dyDescent="0.25"/>
    <row r="4" spans="1:15" ht="20.25" customHeight="1" thickBot="1" x14ac:dyDescent="0.25">
      <c r="B4" s="747" t="s">
        <v>116</v>
      </c>
      <c r="C4" s="748"/>
      <c r="D4" s="749"/>
      <c r="E4" s="101" t="s">
        <v>858</v>
      </c>
    </row>
    <row r="5" spans="1:15" ht="15.75" customHeight="1" thickBot="1" x14ac:dyDescent="0.25"/>
    <row r="6" spans="1:15" ht="24" thickBot="1" x14ac:dyDescent="0.4">
      <c r="B6" s="725" t="str">
        <f>B4</f>
        <v>Agricultural Irrigation Load Control</v>
      </c>
      <c r="C6" s="726"/>
      <c r="D6" s="726"/>
      <c r="E6" s="726"/>
      <c r="F6" s="726"/>
      <c r="G6" s="726"/>
      <c r="H6" s="726"/>
      <c r="I6" s="726"/>
      <c r="J6" s="726"/>
      <c r="K6" s="726"/>
      <c r="L6" s="726"/>
      <c r="M6" s="726"/>
      <c r="N6" s="727"/>
    </row>
    <row r="7" spans="1:15" ht="4.5" customHeight="1" x14ac:dyDescent="0.2">
      <c r="B7" s="322"/>
    </row>
    <row r="8" spans="1:15" ht="14.25" customHeight="1" x14ac:dyDescent="0.2">
      <c r="B8" s="490"/>
      <c r="C8" s="750" t="s">
        <v>859</v>
      </c>
      <c r="D8" s="751"/>
      <c r="E8" s="752"/>
      <c r="F8" s="750" t="str">
        <f>"Energy Savings ("&amp;Titles!F13&amp;")"</f>
        <v>Energy Savings (kWh)</v>
      </c>
      <c r="G8" s="751"/>
      <c r="H8" s="752"/>
      <c r="I8" s="750" t="str">
        <f>"Demand Savings ("&amp;Titles!F15&amp;")"</f>
        <v>Demand Savings (kW)</v>
      </c>
      <c r="J8" s="751"/>
      <c r="K8" s="752"/>
      <c r="L8" s="750" t="s">
        <v>180</v>
      </c>
      <c r="M8" s="751"/>
      <c r="N8" s="752"/>
    </row>
    <row r="9" spans="1:15" ht="17.25" customHeight="1" x14ac:dyDescent="0.2">
      <c r="A9" s="279"/>
      <c r="B9" s="491" t="s">
        <v>629</v>
      </c>
      <c r="C9" s="491" t="s">
        <v>553</v>
      </c>
      <c r="D9" s="491" t="s">
        <v>554</v>
      </c>
      <c r="E9" s="491" t="s">
        <v>860</v>
      </c>
      <c r="F9" s="491" t="s">
        <v>555</v>
      </c>
      <c r="G9" s="491" t="s">
        <v>556</v>
      </c>
      <c r="H9" s="491" t="s">
        <v>860</v>
      </c>
      <c r="I9" s="491" t="s">
        <v>555</v>
      </c>
      <c r="J9" s="491" t="s">
        <v>556</v>
      </c>
      <c r="K9" s="491" t="s">
        <v>860</v>
      </c>
      <c r="L9" s="491" t="s">
        <v>555</v>
      </c>
      <c r="M9" s="491" t="s">
        <v>554</v>
      </c>
      <c r="N9" s="491" t="s">
        <v>860</v>
      </c>
      <c r="O9" s="279"/>
    </row>
    <row r="10" spans="1:15" ht="20.100000000000001" customHeight="1" x14ac:dyDescent="0.2">
      <c r="B10" s="492" t="str">
        <f>"Program Year "&amp;Titles!F2-2</f>
        <v>Program Year 2023</v>
      </c>
      <c r="C10" s="492">
        <f>VLOOKUP($B$4,Data!$B$55:$R$74,2,FALSE)</f>
        <v>3918060.3574844673</v>
      </c>
      <c r="D10" s="492">
        <f>VLOOKUP($B$4,Data!$B$55:$R$74,3,FALSE)</f>
        <v>3869623.1611385327</v>
      </c>
      <c r="E10" s="493">
        <f>IF(ISERROR(D10/C10),"-",D10/C10)</f>
        <v>0.98763745528998614</v>
      </c>
      <c r="F10" s="494">
        <f>VLOOKUP($B$4,Data!$B$55:$R$74,6,FALSE)</f>
        <v>0</v>
      </c>
      <c r="G10" s="494">
        <f>VLOOKUP($B$4,Data!$B$55:$R$74,7,FALSE)</f>
        <v>0</v>
      </c>
      <c r="H10" s="493" t="str">
        <f>IF(ISERROR(G10/F10),"-",G10/F10)</f>
        <v>-</v>
      </c>
      <c r="I10" s="494">
        <f>VLOOKUP($B$4,Data!$B$55:$R$74,10,FALSE)</f>
        <v>49922.265229999997</v>
      </c>
      <c r="J10" s="494">
        <f>VLOOKUP($B$4,Data!$B$55:$R$74,11,FALSE)</f>
        <v>17710.8</v>
      </c>
      <c r="K10" s="493">
        <f>IF(ISERROR(J10/I10),"-",J10/I10)</f>
        <v>0.35476755548658423</v>
      </c>
      <c r="L10" s="494">
        <f>VLOOKUP($B$4,Data!$B$55:$R$74,14,FALSE)</f>
        <v>1871</v>
      </c>
      <c r="M10" s="494">
        <f>VLOOKUP($B$4,Data!$B$55:$R$74,15,FALSE)</f>
        <v>1605</v>
      </c>
      <c r="N10" s="493">
        <f>IF(ISERROR(M10/L10),"-",M10/L10)</f>
        <v>0.85783003741314801</v>
      </c>
      <c r="O10" s="279"/>
    </row>
    <row r="11" spans="1:15" ht="20.100000000000001" customHeight="1" x14ac:dyDescent="0.2">
      <c r="B11" s="492" t="str">
        <f>"Program Year "&amp;Titles!F2-1</f>
        <v>Program Year 2024</v>
      </c>
      <c r="C11" s="492">
        <f>VLOOKUP($B$4,Data!$B$55:$R$74,4,FALSE)</f>
        <v>3764178.5300000007</v>
      </c>
      <c r="D11" s="492">
        <f>VLOOKUP($B$4,Data!$B$55:$R$74,5,FALSE)</f>
        <v>3669706.2477223007</v>
      </c>
      <c r="E11" s="493">
        <f>IF(ISERROR(D11/C11),"-",D11/C11)</f>
        <v>0.974902284382962</v>
      </c>
      <c r="F11" s="494">
        <f>VLOOKUP($B$4,Data!$B$55:$R$74,8,FALSE)</f>
        <v>0</v>
      </c>
      <c r="G11" s="494">
        <f>VLOOKUP($B$4,Data!$B$55:$R$74,9,FALSE)</f>
        <v>0</v>
      </c>
      <c r="H11" s="493" t="str">
        <f>IF(ISERROR(G11/F11),"-",G11/F11)</f>
        <v>-</v>
      </c>
      <c r="I11" s="494">
        <f>VLOOKUP($B$4,Data!$B$55:$R$74,12,FALSE)</f>
        <v>22800</v>
      </c>
      <c r="J11" s="494">
        <f>VLOOKUP($B$4,Data!$B$55:$R$74,13,FALSE)</f>
        <v>18328.400000000001</v>
      </c>
      <c r="K11" s="493">
        <f>IF(ISERROR(J11/I11),"-",J11/I11)</f>
        <v>0.80387719298245619</v>
      </c>
      <c r="L11" s="494">
        <f>VLOOKUP($B$4,Data!$B$55:$R$74,16,FALSE)</f>
        <v>483</v>
      </c>
      <c r="M11" s="494">
        <f>VLOOKUP($B$4,Data!$B$55:$R$74,17,FALSE)</f>
        <v>1605</v>
      </c>
      <c r="N11" s="493">
        <f>IF(ISERROR(M11/L11),"-",M11/L11)</f>
        <v>3.3229813664596275</v>
      </c>
      <c r="O11" s="279"/>
    </row>
    <row r="12" spans="1:15" ht="20.100000000000001" customHeight="1" x14ac:dyDescent="0.2">
      <c r="B12" s="495" t="str">
        <f>"Program Year "&amp;Titles!F2</f>
        <v>Program Year 2025</v>
      </c>
      <c r="C12" s="495">
        <f>VLOOKUP($B$4,Data!$B$4:$N$23,10,FALSE)</f>
        <v>3797839.0106500001</v>
      </c>
      <c r="D12" s="495">
        <f>VLOOKUP($B$4,Data!$B$29:$N$48,10,FALSE)</f>
        <v>3721323.8753131311</v>
      </c>
      <c r="E12" s="496">
        <f>IF(ISERROR(D12/C12),"-",D12/C12)</f>
        <v>0.97985298083402084</v>
      </c>
      <c r="F12" s="497">
        <f>VLOOKUP($B$4,Data!$B$4:$N$23,12,FALSE)</f>
        <v>0</v>
      </c>
      <c r="G12" s="497">
        <f>VLOOKUP($B$4,Data!$B$29:$N$48,12,FALSE)</f>
        <v>0</v>
      </c>
      <c r="H12" s="496" t="str">
        <f>IF(ISERROR(G12/F12),"-",G12/F12)</f>
        <v>-</v>
      </c>
      <c r="I12" s="497">
        <f>VLOOKUP($B$4,Data!$B$4:$N$23,11,FALSE)</f>
        <v>25200</v>
      </c>
      <c r="J12" s="497">
        <f>VLOOKUP($B$4,Data!$B$29:$N$48,11,FALSE)</f>
        <v>17847.3</v>
      </c>
      <c r="K12" s="496">
        <f>IF(ISERROR(J12/I12),"-",J12/I12)</f>
        <v>0.7082261904761904</v>
      </c>
      <c r="L12" s="497">
        <f>VLOOKUP($B$4,Data!$B$4:$N$23,13,FALSE)</f>
        <v>505</v>
      </c>
      <c r="M12" s="497">
        <f>VLOOKUP($B$4,Data!$B$29:$N$48,13,FALSE)</f>
        <v>916</v>
      </c>
      <c r="N12" s="496">
        <f>IF(ISERROR(M12/L12),"-",M12/L12)</f>
        <v>1.8138613861386139</v>
      </c>
      <c r="O12" s="279"/>
    </row>
  </sheetData>
  <mergeCells count="7">
    <mergeCell ref="B2:N2"/>
    <mergeCell ref="B4:D4"/>
    <mergeCell ref="B6:N6"/>
    <mergeCell ref="C8:E8"/>
    <mergeCell ref="F8:H8"/>
    <mergeCell ref="L8:N8"/>
    <mergeCell ref="I8:K8"/>
  </mergeCells>
  <dataValidations count="1">
    <dataValidation type="list" allowBlank="1" showInputMessage="1" showErrorMessage="1" sqref="B4" xr:uid="{00000000-0002-0000-2800-000000000000}">
      <formula1>Prg_Names</formula1>
    </dataValidation>
  </dataValidations>
  <pageMargins left="0.3" right="0.3" top="0.75" bottom="0.75" header="0.3" footer="0.3"/>
  <pageSetup orientation="landscape"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Q30"/>
  <sheetViews>
    <sheetView showGridLines="0" zoomScaleNormal="100" workbookViewId="0">
      <pane ySplit="2" topLeftCell="A3" activePane="bottomLeft" state="frozen"/>
      <selection pane="bottomLeft"/>
    </sheetView>
  </sheetViews>
  <sheetFormatPr defaultColWidth="9.42578125" defaultRowHeight="12.75" x14ac:dyDescent="0.2"/>
  <cols>
    <col min="1" max="1" width="1" style="2" customWidth="1"/>
    <col min="2" max="2" width="36" style="2" customWidth="1"/>
    <col min="3" max="3" width="21.42578125" style="2" customWidth="1"/>
    <col min="4" max="4" width="12.5703125" style="2" customWidth="1"/>
    <col min="5" max="5" width="13.5703125" style="2" bestFit="1" customWidth="1"/>
    <col min="6" max="6" width="5.5703125" style="2" bestFit="1" customWidth="1"/>
    <col min="7" max="8" width="12.5703125" style="2" customWidth="1"/>
    <col min="9" max="9" width="7.5703125" style="2" bestFit="1" customWidth="1"/>
    <col min="10" max="11" width="9.5703125" style="2" customWidth="1"/>
    <col min="12" max="12" width="5.5703125" style="2" bestFit="1" customWidth="1"/>
    <col min="13" max="13" width="7.5703125" style="2" customWidth="1"/>
    <col min="14" max="14" width="1.42578125" style="2" customWidth="1"/>
    <col min="15" max="16" width="9.42578125" style="2"/>
    <col min="17" max="17" width="4.42578125" style="2" hidden="1" customWidth="1"/>
    <col min="18" max="16384" width="9.42578125" style="2"/>
  </cols>
  <sheetData>
    <row r="1" spans="1:17" ht="5.0999999999999996" customHeight="1" thickBot="1" x14ac:dyDescent="0.25"/>
    <row r="2" spans="1:17" ht="38.25" customHeight="1" thickBot="1" x14ac:dyDescent="0.25">
      <c r="B2" s="660" t="s">
        <v>821</v>
      </c>
      <c r="C2" s="660"/>
      <c r="D2" s="660"/>
      <c r="E2" s="660"/>
      <c r="F2" s="660"/>
      <c r="G2" s="660"/>
      <c r="H2" s="660"/>
      <c r="I2" s="660"/>
      <c r="J2" s="660"/>
      <c r="K2" s="660"/>
      <c r="L2" s="660"/>
      <c r="M2" s="660"/>
    </row>
    <row r="3" spans="1:17" ht="4.5" customHeight="1" x14ac:dyDescent="0.2"/>
    <row r="4" spans="1:17" ht="23.25" x14ac:dyDescent="0.35">
      <c r="B4" s="753" t="str">
        <f>Titles!F2&amp;" Portfolio Results Detail"</f>
        <v>2025 Portfolio Results Detail</v>
      </c>
      <c r="C4" s="753"/>
      <c r="D4" s="753"/>
      <c r="E4" s="753"/>
      <c r="F4" s="753"/>
      <c r="G4" s="753"/>
      <c r="H4" s="753"/>
      <c r="I4" s="753"/>
      <c r="J4" s="753"/>
      <c r="K4" s="753"/>
      <c r="L4" s="753"/>
      <c r="M4" s="753"/>
    </row>
    <row r="5" spans="1:17" ht="4.5" customHeight="1" thickBot="1" x14ac:dyDescent="0.25"/>
    <row r="6" spans="1:17" ht="14.25" customHeight="1" thickBot="1" x14ac:dyDescent="0.25">
      <c r="D6" s="756" t="s">
        <v>574</v>
      </c>
      <c r="E6" s="757"/>
      <c r="F6" s="758"/>
      <c r="G6" s="756" t="str">
        <f>"Savings ("&amp;Titles!F13&amp;")"</f>
        <v>Savings (kWh)</v>
      </c>
      <c r="H6" s="757"/>
      <c r="I6" s="758"/>
      <c r="J6" s="756" t="s">
        <v>180</v>
      </c>
      <c r="K6" s="757"/>
      <c r="L6" s="758"/>
      <c r="M6" s="754" t="s">
        <v>800</v>
      </c>
    </row>
    <row r="7" spans="1:17" ht="17.25" customHeight="1" thickBot="1" x14ac:dyDescent="0.25">
      <c r="A7" s="279"/>
      <c r="B7" s="103" t="s">
        <v>85</v>
      </c>
      <c r="C7" s="103" t="s">
        <v>86</v>
      </c>
      <c r="D7" s="419" t="s">
        <v>553</v>
      </c>
      <c r="E7" s="420" t="s">
        <v>554</v>
      </c>
      <c r="F7" s="421" t="s">
        <v>860</v>
      </c>
      <c r="G7" s="422" t="s">
        <v>555</v>
      </c>
      <c r="H7" s="420" t="s">
        <v>556</v>
      </c>
      <c r="I7" s="421" t="s">
        <v>860</v>
      </c>
      <c r="J7" s="422" t="s">
        <v>555</v>
      </c>
      <c r="K7" s="420" t="s">
        <v>554</v>
      </c>
      <c r="L7" s="421" t="s">
        <v>860</v>
      </c>
      <c r="M7" s="755"/>
      <c r="N7" s="279"/>
    </row>
    <row r="8" spans="1:17" x14ac:dyDescent="0.2">
      <c r="B8" s="102" t="str">
        <f ca="1">Tables!B58</f>
        <v>Home Energy Solutions</v>
      </c>
      <c r="C8" s="323" t="str">
        <f ca="1">Tables!C58</f>
        <v>Residential</v>
      </c>
      <c r="D8" s="324">
        <f ca="1">Tables!D58</f>
        <v>15248596.375572719</v>
      </c>
      <c r="E8" s="325">
        <f ca="1">Tables!E58</f>
        <v>12494941.98650186</v>
      </c>
      <c r="F8" s="326">
        <f ca="1">IF(ISERROR(E8/D8),"-",E8/D8)</f>
        <v>0.81941587794388482</v>
      </c>
      <c r="G8" s="327">
        <f ca="1">Tables!F58</f>
        <v>27272531.0301213</v>
      </c>
      <c r="H8" s="328">
        <f ca="1">Tables!G58</f>
        <v>30406973.18046065</v>
      </c>
      <c r="I8" s="326">
        <f t="shared" ref="I8:I29" ca="1" si="0">IF(ISERROR(H8/G8),"-",H8/G8)</f>
        <v>1.1149303725010891</v>
      </c>
      <c r="J8" s="327">
        <f ca="1">Tables!H58</f>
        <v>7281</v>
      </c>
      <c r="K8" s="328">
        <f ca="1">Tables!I58</f>
        <v>7403</v>
      </c>
      <c r="L8" s="326">
        <f t="shared" ref="L8:L29" ca="1" si="1">IF(ISERROR(K8/J8),"-",K8/J8)</f>
        <v>1.0167559401181157</v>
      </c>
      <c r="M8" s="105">
        <f ca="1">Tables!J58</f>
        <v>2.4324344781833203</v>
      </c>
      <c r="N8" s="279"/>
      <c r="Q8" s="2">
        <f ca="1">IF(B8="*Hide*",1)-IF(SUBTOTAL(103,B8)=1,0,1)</f>
        <v>0</v>
      </c>
    </row>
    <row r="9" spans="1:17" x14ac:dyDescent="0.2">
      <c r="B9" s="423" t="str">
        <f ca="1">Tables!B59</f>
        <v xml:space="preserve">Low-Income Solutions </v>
      </c>
      <c r="C9" s="102" t="str">
        <f ca="1">Tables!C59</f>
        <v>Residential</v>
      </c>
      <c r="D9" s="498">
        <f ca="1">Tables!D59</f>
        <v>5412099.8553003902</v>
      </c>
      <c r="E9" s="499">
        <f ca="1">Tables!E59</f>
        <v>4763927.8427500166</v>
      </c>
      <c r="F9" s="424">
        <f ca="1">IF(ISERROR(E9/D9),"-",E9/D9)</f>
        <v>0.88023650156499234</v>
      </c>
      <c r="G9" s="425">
        <f ca="1">Tables!F59</f>
        <v>7872898.9500000002</v>
      </c>
      <c r="H9" s="494">
        <f ca="1">Tables!G59</f>
        <v>8312577.7166410862</v>
      </c>
      <c r="I9" s="424">
        <f t="shared" ca="1" si="0"/>
        <v>1.055847124348152</v>
      </c>
      <c r="J9" s="425">
        <f ca="1">Tables!H59</f>
        <v>2192</v>
      </c>
      <c r="K9" s="494">
        <f ca="1">Tables!I59</f>
        <v>2161</v>
      </c>
      <c r="L9" s="424">
        <f t="shared" ca="1" si="1"/>
        <v>0.98585766423357668</v>
      </c>
      <c r="M9" s="500">
        <f ca="1">Tables!J59</f>
        <v>1.6364969337907003</v>
      </c>
      <c r="N9" s="279"/>
      <c r="Q9" s="2">
        <f t="shared" ref="Q9:Q27" ca="1" si="2">IF(B9="*Hide*",1)-IF(SUBTOTAL(103,B9)=1,0,1)</f>
        <v>0</v>
      </c>
    </row>
    <row r="10" spans="1:17" x14ac:dyDescent="0.2">
      <c r="B10" s="423" t="str">
        <f ca="1">Tables!B60</f>
        <v>Manufactured Homes</v>
      </c>
      <c r="C10" s="102" t="str">
        <f ca="1">Tables!C60</f>
        <v>Residential</v>
      </c>
      <c r="D10" s="498">
        <f ca="1">Tables!D60</f>
        <v>1420560.1612621918</v>
      </c>
      <c r="E10" s="499">
        <f ca="1">Tables!E60</f>
        <v>1310088.7154859044</v>
      </c>
      <c r="F10" s="424">
        <f ca="1">IF(ISERROR(E10/D10),"-",E10/D10)</f>
        <v>0.92223388435859577</v>
      </c>
      <c r="G10" s="425">
        <f ca="1">Tables!F60</f>
        <v>5023384.1359999999</v>
      </c>
      <c r="H10" s="494">
        <f ca="1">Tables!G60</f>
        <v>5070585.2644848609</v>
      </c>
      <c r="I10" s="424">
        <f t="shared" ca="1" si="0"/>
        <v>1.0093962809148109</v>
      </c>
      <c r="J10" s="425">
        <f ca="1">Tables!H60</f>
        <v>602</v>
      </c>
      <c r="K10" s="494">
        <f ca="1">Tables!I60</f>
        <v>647</v>
      </c>
      <c r="L10" s="424">
        <f t="shared" ca="1" si="1"/>
        <v>1.0747508305647842</v>
      </c>
      <c r="M10" s="500">
        <f ca="1">Tables!J60</f>
        <v>2.5160358629539226</v>
      </c>
      <c r="N10" s="279"/>
      <c r="Q10" s="2">
        <f t="shared" ca="1" si="2"/>
        <v>0</v>
      </c>
    </row>
    <row r="11" spans="1:17" x14ac:dyDescent="0.2">
      <c r="B11" s="423" t="str">
        <f ca="1">Tables!B61</f>
        <v>Multifamily Homes</v>
      </c>
      <c r="C11" s="102" t="str">
        <f ca="1">Tables!C61</f>
        <v>Residential</v>
      </c>
      <c r="D11" s="498">
        <f ca="1">Tables!D61</f>
        <v>2856920.9541101647</v>
      </c>
      <c r="E11" s="499">
        <f ca="1">Tables!E61</f>
        <v>2616186.8275253</v>
      </c>
      <c r="F11" s="424">
        <f t="shared" ref="F11:F29" ca="1" si="3">IF(ISERROR(E11/D11),"-",E11/D11)</f>
        <v>0.91573651128200528</v>
      </c>
      <c r="G11" s="425">
        <f ca="1">Tables!F61</f>
        <v>9784860.4155000001</v>
      </c>
      <c r="H11" s="494">
        <f ca="1">Tables!G61</f>
        <v>10077059.989879465</v>
      </c>
      <c r="I11" s="424">
        <f t="shared" ca="1" si="0"/>
        <v>1.0298624162197141</v>
      </c>
      <c r="J11" s="425">
        <f ca="1">Tables!H61</f>
        <v>2028</v>
      </c>
      <c r="K11" s="494">
        <f ca="1">Tables!I61</f>
        <v>2265</v>
      </c>
      <c r="L11" s="424">
        <f t="shared" ca="1" si="1"/>
        <v>1.1168639053254439</v>
      </c>
      <c r="M11" s="500">
        <f ca="1">Tables!J61</f>
        <v>2.5757494801134366</v>
      </c>
      <c r="N11" s="279"/>
      <c r="Q11" s="2">
        <f t="shared" ca="1" si="2"/>
        <v>0</v>
      </c>
    </row>
    <row r="12" spans="1:17" x14ac:dyDescent="0.2">
      <c r="B12" s="423" t="str">
        <f ca="1">Tables!B62</f>
        <v>Residential Direct Load Control</v>
      </c>
      <c r="C12" s="102" t="str">
        <f ca="1">Tables!C62</f>
        <v>Residential</v>
      </c>
      <c r="D12" s="498">
        <f ca="1">Tables!D62</f>
        <v>2666350.0000000005</v>
      </c>
      <c r="E12" s="499">
        <f ca="1">Tables!E62</f>
        <v>2345939.6299310033</v>
      </c>
      <c r="F12" s="424">
        <f t="shared" ca="1" si="3"/>
        <v>0.87983184125527514</v>
      </c>
      <c r="G12" s="425">
        <f ca="1">Tables!F62</f>
        <v>0</v>
      </c>
      <c r="H12" s="494">
        <f ca="1">Tables!G62</f>
        <v>0</v>
      </c>
      <c r="I12" s="424" t="str">
        <f t="shared" ca="1" si="0"/>
        <v>-</v>
      </c>
      <c r="J12" s="425">
        <f ca="1">Tables!H62</f>
        <v>9587</v>
      </c>
      <c r="K12" s="494">
        <f ca="1">Tables!I62</f>
        <v>11789</v>
      </c>
      <c r="L12" s="424">
        <f t="shared" ca="1" si="1"/>
        <v>1.2296860331699175</v>
      </c>
      <c r="M12" s="500">
        <f ca="1">Tables!J62</f>
        <v>0</v>
      </c>
      <c r="N12" s="279"/>
      <c r="Q12" s="2">
        <f t="shared" ca="1" si="2"/>
        <v>0</v>
      </c>
    </row>
    <row r="13" spans="1:17" x14ac:dyDescent="0.2">
      <c r="B13" s="423" t="str">
        <f ca="1">Tables!B63</f>
        <v>Small Business Solutions</v>
      </c>
      <c r="C13" s="102" t="str">
        <f ca="1">Tables!C63</f>
        <v>Small Business</v>
      </c>
      <c r="D13" s="498">
        <f ca="1">Tables!D63</f>
        <v>4178985.9141110736</v>
      </c>
      <c r="E13" s="499">
        <f ca="1">Tables!E63</f>
        <v>2152818.7915076138</v>
      </c>
      <c r="F13" s="424">
        <f t="shared" ca="1" si="3"/>
        <v>0.51515339743985411</v>
      </c>
      <c r="G13" s="425">
        <f ca="1">Tables!F63</f>
        <v>17147011.9466592</v>
      </c>
      <c r="H13" s="494">
        <f ca="1">Tables!G63</f>
        <v>9777978.5595276505</v>
      </c>
      <c r="I13" s="424">
        <f t="shared" ca="1" si="0"/>
        <v>0.57024387630596607</v>
      </c>
      <c r="J13" s="425">
        <f ca="1">Tables!H63</f>
        <v>751</v>
      </c>
      <c r="K13" s="494">
        <f ca="1">Tables!I63</f>
        <v>786</v>
      </c>
      <c r="L13" s="424">
        <f t="shared" ca="1" si="1"/>
        <v>1.0466045272969373</v>
      </c>
      <c r="M13" s="500">
        <f ca="1">Tables!J63</f>
        <v>2.5377215734426888</v>
      </c>
      <c r="N13" s="279"/>
      <c r="Q13" s="2">
        <f t="shared" ca="1" si="2"/>
        <v>0</v>
      </c>
    </row>
    <row r="14" spans="1:17" x14ac:dyDescent="0.2">
      <c r="B14" s="423" t="str">
        <f ca="1">Tables!B64</f>
        <v xml:space="preserve">Smart Direct Load Control Pilot </v>
      </c>
      <c r="C14" s="102" t="str">
        <f ca="1">Tables!C64</f>
        <v>Res/Small Business</v>
      </c>
      <c r="D14" s="498">
        <f ca="1">Tables!D64</f>
        <v>5718976.8999999994</v>
      </c>
      <c r="E14" s="499">
        <f ca="1">Tables!E64</f>
        <v>4902381.89020494</v>
      </c>
      <c r="F14" s="424">
        <f t="shared" ca="1" si="3"/>
        <v>0.85721309526620759</v>
      </c>
      <c r="G14" s="425">
        <f ca="1">Tables!F64</f>
        <v>4280579.2548000002</v>
      </c>
      <c r="H14" s="494">
        <f ca="1">Tables!G64</f>
        <v>4521927</v>
      </c>
      <c r="I14" s="424">
        <f t="shared" ca="1" si="0"/>
        <v>1.0563820293548742</v>
      </c>
      <c r="J14" s="425">
        <f ca="1">Tables!H64</f>
        <v>13378</v>
      </c>
      <c r="K14" s="494">
        <f ca="1">Tables!I64</f>
        <v>1365</v>
      </c>
      <c r="L14" s="424">
        <f t="shared" ca="1" si="1"/>
        <v>0.1020331888174615</v>
      </c>
      <c r="M14" s="500">
        <f ca="1">Tables!J64</f>
        <v>0.55584340748627892</v>
      </c>
      <c r="N14" s="279"/>
      <c r="Q14" s="2">
        <f t="shared" ca="1" si="2"/>
        <v>0</v>
      </c>
    </row>
    <row r="15" spans="1:17" x14ac:dyDescent="0.2">
      <c r="B15" s="423" t="str">
        <f ca="1">Tables!B65</f>
        <v>Large Commercial &amp; Industrial Solutions</v>
      </c>
      <c r="C15" s="102" t="str">
        <f ca="1">Tables!C65</f>
        <v>Commercial &amp; Industrial</v>
      </c>
      <c r="D15" s="498">
        <f ca="1">Tables!D65</f>
        <v>19083445.352329567</v>
      </c>
      <c r="E15" s="499">
        <f ca="1">Tables!E65</f>
        <v>12876548.849602131</v>
      </c>
      <c r="F15" s="424">
        <f t="shared" ca="1" si="3"/>
        <v>0.67474969073287683</v>
      </c>
      <c r="G15" s="425">
        <f ca="1">Tables!F65</f>
        <v>105503573.110254</v>
      </c>
      <c r="H15" s="494">
        <f ca="1">Tables!G65</f>
        <v>106468813.42825335</v>
      </c>
      <c r="I15" s="424">
        <f t="shared" ca="1" si="0"/>
        <v>1.0091488874693433</v>
      </c>
      <c r="J15" s="425">
        <f ca="1">Tables!H65</f>
        <v>487</v>
      </c>
      <c r="K15" s="494">
        <f ca="1">Tables!I65</f>
        <v>350</v>
      </c>
      <c r="L15" s="424">
        <f t="shared" ca="1" si="1"/>
        <v>0.71868583162217659</v>
      </c>
      <c r="M15" s="500">
        <f ca="1">Tables!J65</f>
        <v>2.2064511272278122</v>
      </c>
      <c r="N15" s="279"/>
      <c r="Q15" s="2">
        <f t="shared" ca="1" si="2"/>
        <v>0</v>
      </c>
    </row>
    <row r="16" spans="1:17" x14ac:dyDescent="0.2">
      <c r="B16" s="423" t="str">
        <f ca="1">Tables!B66</f>
        <v xml:space="preserve">Public Institutions Solutions </v>
      </c>
      <c r="C16" s="102" t="str">
        <f ca="1">Tables!C66</f>
        <v>Municipalities/Schools</v>
      </c>
      <c r="D16" s="498">
        <f ca="1">Tables!D66</f>
        <v>2977577.1560955308</v>
      </c>
      <c r="E16" s="499">
        <f ca="1">Tables!E66</f>
        <v>2534633.1074223933</v>
      </c>
      <c r="F16" s="424">
        <f t="shared" ca="1" si="3"/>
        <v>0.85124011051523318</v>
      </c>
      <c r="G16" s="425">
        <f ca="1">Tables!F66</f>
        <v>14514891.427528501</v>
      </c>
      <c r="H16" s="494">
        <f ca="1">Tables!G66</f>
        <v>16338233.136987923</v>
      </c>
      <c r="I16" s="424">
        <f t="shared" ca="1" si="0"/>
        <v>1.12561869432942</v>
      </c>
      <c r="J16" s="425">
        <f ca="1">Tables!H66</f>
        <v>207</v>
      </c>
      <c r="K16" s="494">
        <f ca="1">Tables!I66</f>
        <v>250</v>
      </c>
      <c r="L16" s="424">
        <f t="shared" ca="1" si="1"/>
        <v>1.2077294685990339</v>
      </c>
      <c r="M16" s="500">
        <f ca="1">Tables!J66</f>
        <v>1.9041629906970985</v>
      </c>
      <c r="N16" s="279"/>
      <c r="Q16" s="2">
        <f t="shared" ca="1" si="2"/>
        <v>0</v>
      </c>
    </row>
    <row r="17" spans="2:17" x14ac:dyDescent="0.2">
      <c r="B17" s="423" t="str">
        <f ca="1">Tables!B67</f>
        <v>Agricultural Energy Solutions</v>
      </c>
      <c r="C17" s="102" t="str">
        <f ca="1">Tables!C67</f>
        <v>Agriculture</v>
      </c>
      <c r="D17" s="498">
        <f ca="1">Tables!D67</f>
        <v>2197591.0402293657</v>
      </c>
      <c r="E17" s="499">
        <f ca="1">Tables!E67</f>
        <v>2019448.557168236</v>
      </c>
      <c r="F17" s="424">
        <f t="shared" ca="1" si="3"/>
        <v>0.91893738197870667</v>
      </c>
      <c r="G17" s="425">
        <f ca="1">Tables!F67</f>
        <v>7060545.7997548003</v>
      </c>
      <c r="H17" s="494">
        <f ca="1">Tables!G67</f>
        <v>7194115.5260958355</v>
      </c>
      <c r="I17" s="424">
        <f t="shared" ca="1" si="0"/>
        <v>1.0189177621857044</v>
      </c>
      <c r="J17" s="425">
        <f ca="1">Tables!H67</f>
        <v>75</v>
      </c>
      <c r="K17" s="494">
        <f ca="1">Tables!I67</f>
        <v>23</v>
      </c>
      <c r="L17" s="424">
        <f t="shared" ca="1" si="1"/>
        <v>0.30666666666666664</v>
      </c>
      <c r="M17" s="500">
        <f ca="1">Tables!J67</f>
        <v>1.0285848110697435</v>
      </c>
      <c r="Q17" s="2">
        <f t="shared" ca="1" si="2"/>
        <v>0</v>
      </c>
    </row>
    <row r="18" spans="2:17" x14ac:dyDescent="0.2">
      <c r="B18" s="423" t="str">
        <f ca="1">Tables!B68</f>
        <v>Agricultural Irrigation Load Control</v>
      </c>
      <c r="C18" s="102" t="str">
        <f ca="1">Tables!C68</f>
        <v>Agriculture</v>
      </c>
      <c r="D18" s="498">
        <f ca="1">Tables!D68</f>
        <v>3797839.0106500001</v>
      </c>
      <c r="E18" s="499">
        <f ca="1">Tables!E68</f>
        <v>3721323.8753131311</v>
      </c>
      <c r="F18" s="424">
        <f t="shared" ca="1" si="3"/>
        <v>0.97985298083402084</v>
      </c>
      <c r="G18" s="425">
        <f ca="1">Tables!F68</f>
        <v>0</v>
      </c>
      <c r="H18" s="494">
        <f ca="1">Tables!G68</f>
        <v>0</v>
      </c>
      <c r="I18" s="424" t="str">
        <f t="shared" ca="1" si="0"/>
        <v>-</v>
      </c>
      <c r="J18" s="425">
        <f ca="1">Tables!H68</f>
        <v>505</v>
      </c>
      <c r="K18" s="494">
        <f ca="1">Tables!I68</f>
        <v>916</v>
      </c>
      <c r="L18" s="424">
        <f t="shared" ca="1" si="1"/>
        <v>1.8138613861386139</v>
      </c>
      <c r="M18" s="500">
        <f ca="1">Tables!J68</f>
        <v>0</v>
      </c>
      <c r="Q18" s="2">
        <f t="shared" ca="1" si="2"/>
        <v>0</v>
      </c>
    </row>
    <row r="19" spans="2:17" x14ac:dyDescent="0.2">
      <c r="B19" s="423" t="str">
        <f ca="1">Tables!B69</f>
        <v>Point of Purchase Solutions</v>
      </c>
      <c r="C19" s="102" t="str">
        <f ca="1">Tables!C69</f>
        <v>All Classes</v>
      </c>
      <c r="D19" s="498">
        <f ca="1">Tables!D69</f>
        <v>8741247.6151663307</v>
      </c>
      <c r="E19" s="499">
        <f ca="1">Tables!E69</f>
        <v>7476072.8865874726</v>
      </c>
      <c r="F19" s="424">
        <f t="shared" ca="1" si="3"/>
        <v>0.85526382682676305</v>
      </c>
      <c r="G19" s="425">
        <f ca="1">Tables!F69</f>
        <v>54949160.336915098</v>
      </c>
      <c r="H19" s="494">
        <f ca="1">Tables!G69</f>
        <v>57671890.179663248</v>
      </c>
      <c r="I19" s="424">
        <f t="shared" ca="1" si="0"/>
        <v>1.0495499808560134</v>
      </c>
      <c r="J19" s="425">
        <f ca="1">Tables!H69</f>
        <v>251361</v>
      </c>
      <c r="K19" s="494">
        <f ca="1">Tables!I69</f>
        <v>225890</v>
      </c>
      <c r="L19" s="424">
        <f t="shared" ca="1" si="1"/>
        <v>0.8986676532954595</v>
      </c>
      <c r="M19" s="500">
        <f ca="1">Tables!J69</f>
        <v>3.3625501790899985</v>
      </c>
      <c r="Q19" s="2">
        <f t="shared" ca="1" si="2"/>
        <v>0</v>
      </c>
    </row>
    <row r="20" spans="2:17" x14ac:dyDescent="0.2">
      <c r="B20" s="423" t="str">
        <f ca="1">Tables!B70</f>
        <v>*Hide*</v>
      </c>
      <c r="C20" s="102" t="str">
        <f ca="1">Tables!C70</f>
        <v>-</v>
      </c>
      <c r="D20" s="498" t="str">
        <f ca="1">Tables!D70</f>
        <v>-</v>
      </c>
      <c r="E20" s="499" t="str">
        <f ca="1">Tables!E70</f>
        <v>-</v>
      </c>
      <c r="F20" s="424" t="str">
        <f t="shared" ca="1" si="3"/>
        <v>-</v>
      </c>
      <c r="G20" s="425" t="str">
        <f ca="1">Tables!F70</f>
        <v>-</v>
      </c>
      <c r="H20" s="494" t="str">
        <f ca="1">Tables!G70</f>
        <v>-</v>
      </c>
      <c r="I20" s="424" t="str">
        <f t="shared" ca="1" si="0"/>
        <v>-</v>
      </c>
      <c r="J20" s="425" t="str">
        <f ca="1">Tables!H70</f>
        <v>-</v>
      </c>
      <c r="K20" s="494" t="str">
        <f ca="1">Tables!I70</f>
        <v>-</v>
      </c>
      <c r="L20" s="424" t="str">
        <f t="shared" ca="1" si="1"/>
        <v>-</v>
      </c>
      <c r="M20" s="500" t="str">
        <f ca="1">Tables!J70</f>
        <v>-</v>
      </c>
      <c r="Q20" s="2">
        <f t="shared" ca="1" si="2"/>
        <v>1</v>
      </c>
    </row>
    <row r="21" spans="2:17" hidden="1" x14ac:dyDescent="0.2">
      <c r="B21" s="423" t="str">
        <f ca="1">Tables!B71</f>
        <v>*Hide*</v>
      </c>
      <c r="C21" s="102" t="str">
        <f ca="1">Tables!C71</f>
        <v>-</v>
      </c>
      <c r="D21" s="498" t="str">
        <f ca="1">Tables!D71</f>
        <v>-</v>
      </c>
      <c r="E21" s="499" t="str">
        <f ca="1">Tables!E71</f>
        <v>-</v>
      </c>
      <c r="F21" s="424" t="str">
        <f t="shared" ca="1" si="3"/>
        <v>-</v>
      </c>
      <c r="G21" s="425" t="str">
        <f ca="1">Tables!F71</f>
        <v>-</v>
      </c>
      <c r="H21" s="494" t="str">
        <f ca="1">Tables!G71</f>
        <v>-</v>
      </c>
      <c r="I21" s="424" t="str">
        <f t="shared" ca="1" si="0"/>
        <v>-</v>
      </c>
      <c r="J21" s="425" t="str">
        <f ca="1">Tables!H71</f>
        <v>-</v>
      </c>
      <c r="K21" s="494" t="str">
        <f ca="1">Tables!I71</f>
        <v>-</v>
      </c>
      <c r="L21" s="424" t="str">
        <f t="shared" ca="1" si="1"/>
        <v>-</v>
      </c>
      <c r="M21" s="500" t="str">
        <f ca="1">Tables!J71</f>
        <v>-</v>
      </c>
      <c r="Q21" s="2">
        <f t="shared" ca="1" si="2"/>
        <v>0</v>
      </c>
    </row>
    <row r="22" spans="2:17" hidden="1" x14ac:dyDescent="0.2">
      <c r="B22" s="423" t="str">
        <f ca="1">Tables!B72</f>
        <v>*Hide*</v>
      </c>
      <c r="C22" s="102" t="str">
        <f ca="1">Tables!C72</f>
        <v>-</v>
      </c>
      <c r="D22" s="498" t="str">
        <f ca="1">Tables!D72</f>
        <v>-</v>
      </c>
      <c r="E22" s="499" t="str">
        <f ca="1">Tables!E72</f>
        <v>-</v>
      </c>
      <c r="F22" s="424" t="str">
        <f t="shared" ca="1" si="3"/>
        <v>-</v>
      </c>
      <c r="G22" s="425" t="str">
        <f ca="1">Tables!F72</f>
        <v>-</v>
      </c>
      <c r="H22" s="494" t="str">
        <f ca="1">Tables!G72</f>
        <v>-</v>
      </c>
      <c r="I22" s="424" t="str">
        <f t="shared" ca="1" si="0"/>
        <v>-</v>
      </c>
      <c r="J22" s="425" t="str">
        <f ca="1">Tables!H72</f>
        <v>-</v>
      </c>
      <c r="K22" s="494" t="str">
        <f ca="1">Tables!I72</f>
        <v>-</v>
      </c>
      <c r="L22" s="424" t="str">
        <f t="shared" ca="1" si="1"/>
        <v>-</v>
      </c>
      <c r="M22" s="500" t="str">
        <f ca="1">Tables!J72</f>
        <v>-</v>
      </c>
      <c r="Q22" s="2">
        <f t="shared" ca="1" si="2"/>
        <v>0</v>
      </c>
    </row>
    <row r="23" spans="2:17" hidden="1" x14ac:dyDescent="0.2">
      <c r="B23" s="423" t="str">
        <f ca="1">Tables!B73</f>
        <v>*Hide*</v>
      </c>
      <c r="C23" s="102" t="str">
        <f ca="1">Tables!C73</f>
        <v>-</v>
      </c>
      <c r="D23" s="498" t="str">
        <f ca="1">Tables!D73</f>
        <v>-</v>
      </c>
      <c r="E23" s="499" t="str">
        <f ca="1">Tables!E73</f>
        <v>-</v>
      </c>
      <c r="F23" s="424" t="str">
        <f t="shared" ca="1" si="3"/>
        <v>-</v>
      </c>
      <c r="G23" s="425" t="str">
        <f ca="1">Tables!F73</f>
        <v>-</v>
      </c>
      <c r="H23" s="494" t="str">
        <f ca="1">Tables!G73</f>
        <v>-</v>
      </c>
      <c r="I23" s="424" t="str">
        <f t="shared" ca="1" si="0"/>
        <v>-</v>
      </c>
      <c r="J23" s="425" t="str">
        <f ca="1">Tables!H73</f>
        <v>-</v>
      </c>
      <c r="K23" s="494" t="str">
        <f ca="1">Tables!I73</f>
        <v>-</v>
      </c>
      <c r="L23" s="424" t="str">
        <f t="shared" ca="1" si="1"/>
        <v>-</v>
      </c>
      <c r="M23" s="500" t="str">
        <f ca="1">Tables!J73</f>
        <v>-</v>
      </c>
      <c r="Q23" s="2">
        <f t="shared" ca="1" si="2"/>
        <v>0</v>
      </c>
    </row>
    <row r="24" spans="2:17" hidden="1" x14ac:dyDescent="0.2">
      <c r="B24" s="423" t="str">
        <f ca="1">Tables!B74</f>
        <v>*Hide*</v>
      </c>
      <c r="C24" s="102" t="str">
        <f ca="1">Tables!C74</f>
        <v>-</v>
      </c>
      <c r="D24" s="498" t="str">
        <f ca="1">Tables!D74</f>
        <v>-</v>
      </c>
      <c r="E24" s="499" t="str">
        <f ca="1">Tables!E74</f>
        <v>-</v>
      </c>
      <c r="F24" s="424" t="str">
        <f t="shared" ca="1" si="3"/>
        <v>-</v>
      </c>
      <c r="G24" s="425" t="str">
        <f ca="1">Tables!F74</f>
        <v>-</v>
      </c>
      <c r="H24" s="494" t="str">
        <f ca="1">Tables!G74</f>
        <v>-</v>
      </c>
      <c r="I24" s="424" t="str">
        <f t="shared" ca="1" si="0"/>
        <v>-</v>
      </c>
      <c r="J24" s="425" t="str">
        <f ca="1">Tables!H74</f>
        <v>-</v>
      </c>
      <c r="K24" s="494" t="str">
        <f ca="1">Tables!I74</f>
        <v>-</v>
      </c>
      <c r="L24" s="424" t="str">
        <f t="shared" ca="1" si="1"/>
        <v>-</v>
      </c>
      <c r="M24" s="500" t="str">
        <f ca="1">Tables!J74</f>
        <v>-</v>
      </c>
      <c r="Q24" s="2">
        <f t="shared" ca="1" si="2"/>
        <v>0</v>
      </c>
    </row>
    <row r="25" spans="2:17" hidden="1" x14ac:dyDescent="0.2">
      <c r="B25" s="423" t="str">
        <f ca="1">Tables!B75</f>
        <v>*Hide*</v>
      </c>
      <c r="C25" s="102" t="str">
        <f ca="1">Tables!C75</f>
        <v>-</v>
      </c>
      <c r="D25" s="498" t="str">
        <f ca="1">Tables!D75</f>
        <v>-</v>
      </c>
      <c r="E25" s="499" t="str">
        <f ca="1">Tables!E75</f>
        <v>-</v>
      </c>
      <c r="F25" s="424" t="str">
        <f t="shared" ca="1" si="3"/>
        <v>-</v>
      </c>
      <c r="G25" s="425" t="str">
        <f ca="1">Tables!F75</f>
        <v>-</v>
      </c>
      <c r="H25" s="494" t="str">
        <f ca="1">Tables!G75</f>
        <v>-</v>
      </c>
      <c r="I25" s="424" t="str">
        <f t="shared" ca="1" si="0"/>
        <v>-</v>
      </c>
      <c r="J25" s="425" t="str">
        <f ca="1">Tables!H75</f>
        <v>-</v>
      </c>
      <c r="K25" s="494" t="str">
        <f ca="1">Tables!I75</f>
        <v>-</v>
      </c>
      <c r="L25" s="424" t="str">
        <f t="shared" ca="1" si="1"/>
        <v>-</v>
      </c>
      <c r="M25" s="500" t="str">
        <f ca="1">Tables!J75</f>
        <v>-</v>
      </c>
      <c r="Q25" s="2">
        <f t="shared" ca="1" si="2"/>
        <v>0</v>
      </c>
    </row>
    <row r="26" spans="2:17" hidden="1" x14ac:dyDescent="0.2">
      <c r="B26" s="423" t="str">
        <f ca="1">Tables!B76</f>
        <v>*Hide*</v>
      </c>
      <c r="C26" s="102" t="str">
        <f ca="1">Tables!C76</f>
        <v>-</v>
      </c>
      <c r="D26" s="498" t="str">
        <f ca="1">Tables!D76</f>
        <v>-</v>
      </c>
      <c r="E26" s="499" t="str">
        <f ca="1">Tables!E76</f>
        <v>-</v>
      </c>
      <c r="F26" s="424" t="str">
        <f t="shared" ca="1" si="3"/>
        <v>-</v>
      </c>
      <c r="G26" s="425" t="str">
        <f ca="1">Tables!F76</f>
        <v>-</v>
      </c>
      <c r="H26" s="494" t="str">
        <f ca="1">Tables!G76</f>
        <v>-</v>
      </c>
      <c r="I26" s="424" t="str">
        <f t="shared" ca="1" si="0"/>
        <v>-</v>
      </c>
      <c r="J26" s="425" t="str">
        <f ca="1">Tables!H76</f>
        <v>-</v>
      </c>
      <c r="K26" s="494" t="str">
        <f ca="1">Tables!I76</f>
        <v>-</v>
      </c>
      <c r="L26" s="424" t="str">
        <f t="shared" ca="1" si="1"/>
        <v>-</v>
      </c>
      <c r="M26" s="500" t="str">
        <f ca="1">Tables!J76</f>
        <v>-</v>
      </c>
      <c r="Q26" s="2">
        <f t="shared" ca="1" si="2"/>
        <v>0</v>
      </c>
    </row>
    <row r="27" spans="2:17" hidden="1" x14ac:dyDescent="0.2">
      <c r="B27" s="423" t="str">
        <f ca="1">Tables!B77</f>
        <v>*Hide*</v>
      </c>
      <c r="C27" s="423" t="str">
        <f ca="1">Tables!C77</f>
        <v>-</v>
      </c>
      <c r="D27" s="610" t="str">
        <f ca="1">Tables!D77</f>
        <v>-</v>
      </c>
      <c r="E27" s="611" t="str">
        <f ca="1">Tables!E77</f>
        <v>-</v>
      </c>
      <c r="F27" s="612" t="str">
        <f t="shared" ca="1" si="3"/>
        <v>-</v>
      </c>
      <c r="G27" s="501" t="str">
        <f ca="1">Tables!F77</f>
        <v>-</v>
      </c>
      <c r="H27" s="613" t="str">
        <f ca="1">Tables!G77</f>
        <v>-</v>
      </c>
      <c r="I27" s="612" t="str">
        <f t="shared" ca="1" si="0"/>
        <v>-</v>
      </c>
      <c r="J27" s="501" t="str">
        <f ca="1">Tables!H77</f>
        <v>-</v>
      </c>
      <c r="K27" s="613" t="str">
        <f ca="1">Tables!I77</f>
        <v>-</v>
      </c>
      <c r="L27" s="612" t="str">
        <f t="shared" ca="1" si="1"/>
        <v>-</v>
      </c>
      <c r="M27" s="502" t="str">
        <f ca="1">Tables!J77</f>
        <v>-</v>
      </c>
      <c r="Q27" s="2">
        <f t="shared" ca="1" si="2"/>
        <v>0</v>
      </c>
    </row>
    <row r="28" spans="2:17" ht="13.5" thickBot="1" x14ac:dyDescent="0.25">
      <c r="B28" s="426" t="str">
        <f>Budgets!H26</f>
        <v>Regulatory</v>
      </c>
      <c r="C28" s="427"/>
      <c r="D28" s="610">
        <f>Budgets!I26</f>
        <v>0</v>
      </c>
      <c r="E28" s="611">
        <f>'Actual Expenses'!I91</f>
        <v>23019.69</v>
      </c>
      <c r="F28" s="612"/>
      <c r="G28" s="501"/>
      <c r="H28" s="613"/>
      <c r="I28" s="612"/>
      <c r="J28" s="501"/>
      <c r="K28" s="613"/>
      <c r="L28" s="612"/>
      <c r="M28" s="502"/>
      <c r="Q28" s="2">
        <f>IF(SUBTOTAL(103,B28)=1,0,-1)</f>
        <v>0</v>
      </c>
    </row>
    <row r="29" spans="2:17" ht="15.75" thickBot="1" x14ac:dyDescent="0.3">
      <c r="C29" s="107" t="s">
        <v>861</v>
      </c>
      <c r="D29" s="329">
        <f ca="1">SUM(D8:D28)</f>
        <v>74300190.334827334</v>
      </c>
      <c r="E29" s="330">
        <f ca="1">SUM(E8:E28)</f>
        <v>59237332.650000006</v>
      </c>
      <c r="F29" s="331">
        <f t="shared" ca="1" si="3"/>
        <v>0.79727026785600585</v>
      </c>
      <c r="G29" s="332">
        <f ca="1">SUM(G8:G27)</f>
        <v>253409436.4075329</v>
      </c>
      <c r="H29" s="333">
        <f ca="1">SUM(H8:H27)</f>
        <v>255840153.98199406</v>
      </c>
      <c r="I29" s="331">
        <f t="shared" ca="1" si="0"/>
        <v>1.0095920562743057</v>
      </c>
      <c r="J29" s="332">
        <f ca="1">SUM(J8:J27)</f>
        <v>288454</v>
      </c>
      <c r="K29" s="333">
        <f ca="1">SUM(K8:K27)</f>
        <v>253845</v>
      </c>
      <c r="L29" s="331">
        <f t="shared" ca="1" si="1"/>
        <v>0.88001899782980997</v>
      </c>
      <c r="M29" s="106">
        <f>'Cost-Benefits'!J27</f>
        <v>2.0360500521026945</v>
      </c>
      <c r="Q29" s="2">
        <f ca="1">SUM(Q8:Q28)</f>
        <v>1</v>
      </c>
    </row>
    <row r="30" spans="2:17" ht="15.75" customHeight="1" x14ac:dyDescent="0.2">
      <c r="B30" s="180" t="str">
        <f ca="1">IF(Q29&gt;0,"Select all cells in the 'Program Name' column that contain *Hide* and press Ctrl+9 to hide rows.",IF(Q29&lt;0,"Select all cells in Program Name column and press Shift+Ctrl+9 to unhide all rows.",""))</f>
        <v>Select all cells in the 'Program Name' column that contain *Hide* and press Ctrl+9 to hide rows.</v>
      </c>
    </row>
  </sheetData>
  <sheetProtection password="C925" sheet="1" objects="1" scenarios="1" formatColumns="0" formatRows="0"/>
  <mergeCells count="6">
    <mergeCell ref="B2:M2"/>
    <mergeCell ref="B4:M4"/>
    <mergeCell ref="M6:M7"/>
    <mergeCell ref="D6:F6"/>
    <mergeCell ref="J6:L6"/>
    <mergeCell ref="G6:I6"/>
  </mergeCells>
  <conditionalFormatting sqref="B8:M27">
    <cfRule type="expression" dxfId="3" priority="1">
      <formula>$B8="*Hide*"</formula>
    </cfRule>
  </conditionalFormatting>
  <pageMargins left="0.25" right="0.25" top="0.75" bottom="0.75" header="0.3" footer="0.3"/>
  <pageSetup scale="87"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M25"/>
  <sheetViews>
    <sheetView showGridLines="0" zoomScaleNormal="100" workbookViewId="0">
      <pane ySplit="2" topLeftCell="A3" activePane="bottomLeft" state="frozen"/>
      <selection pane="bottomLeft"/>
    </sheetView>
  </sheetViews>
  <sheetFormatPr defaultColWidth="9.42578125" defaultRowHeight="12.75" x14ac:dyDescent="0.2"/>
  <cols>
    <col min="1" max="1" width="1" style="2" customWidth="1"/>
    <col min="2" max="2" width="36" style="2" customWidth="1"/>
    <col min="3" max="4" width="12.42578125" style="2" bestFit="1" customWidth="1"/>
    <col min="5" max="5" width="5.5703125" style="2" bestFit="1" customWidth="1"/>
    <col min="6" max="6" width="12" style="2" bestFit="1" customWidth="1"/>
    <col min="7" max="7" width="11.5703125" style="2" bestFit="1" customWidth="1"/>
    <col min="8" max="8" width="5.5703125" style="2" bestFit="1" customWidth="1"/>
    <col min="9" max="10" width="10.42578125" style="2" bestFit="1" customWidth="1"/>
    <col min="11" max="11" width="5.5703125" style="2" bestFit="1" customWidth="1"/>
    <col min="12" max="12" width="7.5703125" style="2" customWidth="1"/>
    <col min="13" max="13" width="1.42578125" style="2" customWidth="1"/>
    <col min="14" max="16384" width="9.42578125" style="2"/>
  </cols>
  <sheetData>
    <row r="1" spans="1:13" ht="5.0999999999999996" customHeight="1" thickBot="1" x14ac:dyDescent="0.25"/>
    <row r="2" spans="1:13" ht="38.25" customHeight="1" thickBot="1" x14ac:dyDescent="0.25">
      <c r="B2" s="660" t="s">
        <v>823</v>
      </c>
      <c r="C2" s="660"/>
      <c r="D2" s="660"/>
      <c r="E2" s="660"/>
      <c r="F2" s="660"/>
      <c r="G2" s="660"/>
      <c r="H2" s="660"/>
      <c r="I2" s="660"/>
      <c r="J2" s="660"/>
      <c r="K2" s="660"/>
      <c r="L2" s="660"/>
    </row>
    <row r="3" spans="1:13" ht="4.5" customHeight="1" x14ac:dyDescent="0.2"/>
    <row r="4" spans="1:13" ht="23.25" x14ac:dyDescent="0.35">
      <c r="B4" s="753" t="str">
        <f>Titles!F2&amp;" Portfolio Results Detail by Target Sector"</f>
        <v>2025 Portfolio Results Detail by Target Sector</v>
      </c>
      <c r="C4" s="753"/>
      <c r="D4" s="753"/>
      <c r="E4" s="753"/>
      <c r="F4" s="753"/>
      <c r="G4" s="753"/>
      <c r="H4" s="753"/>
      <c r="I4" s="753"/>
      <c r="J4" s="753"/>
      <c r="K4" s="753"/>
      <c r="L4" s="753"/>
    </row>
    <row r="5" spans="1:13" ht="4.5" customHeight="1" thickBot="1" x14ac:dyDescent="0.25"/>
    <row r="6" spans="1:13" ht="14.25" customHeight="1" thickBot="1" x14ac:dyDescent="0.25">
      <c r="C6" s="756" t="s">
        <v>574</v>
      </c>
      <c r="D6" s="757"/>
      <c r="E6" s="758"/>
      <c r="F6" s="756" t="str">
        <f>"Savings ("&amp;Titles!F13&amp;")"</f>
        <v>Savings (kWh)</v>
      </c>
      <c r="G6" s="757"/>
      <c r="H6" s="758"/>
      <c r="I6" s="756" t="s">
        <v>180</v>
      </c>
      <c r="J6" s="757"/>
      <c r="K6" s="758"/>
      <c r="L6" s="754" t="s">
        <v>800</v>
      </c>
    </row>
    <row r="7" spans="1:13" ht="17.25" customHeight="1" thickBot="1" x14ac:dyDescent="0.25">
      <c r="A7" s="279"/>
      <c r="B7" s="334" t="s">
        <v>86</v>
      </c>
      <c r="C7" s="503" t="s">
        <v>553</v>
      </c>
      <c r="D7" s="614" t="s">
        <v>554</v>
      </c>
      <c r="E7" s="615" t="s">
        <v>860</v>
      </c>
      <c r="F7" s="503" t="s">
        <v>555</v>
      </c>
      <c r="G7" s="614" t="s">
        <v>556</v>
      </c>
      <c r="H7" s="615" t="s">
        <v>860</v>
      </c>
      <c r="I7" s="503" t="s">
        <v>555</v>
      </c>
      <c r="J7" s="614" t="s">
        <v>554</v>
      </c>
      <c r="K7" s="615" t="s">
        <v>860</v>
      </c>
      <c r="L7" s="759"/>
      <c r="M7" s="279"/>
    </row>
    <row r="8" spans="1:13" x14ac:dyDescent="0.2">
      <c r="B8" s="104" t="str">
        <f>Tables!B82</f>
        <v>Residential</v>
      </c>
      <c r="C8" s="428">
        <f ca="1">Tables!D82</f>
        <v>27604527.346245464</v>
      </c>
      <c r="D8" s="499">
        <f ca="1">Tables!E82</f>
        <v>23531085.002194084</v>
      </c>
      <c r="E8" s="424">
        <f ca="1">IF(ISERROR(D8/C8),"-",D8/C8)</f>
        <v>0.85243571487539294</v>
      </c>
      <c r="F8" s="425">
        <f ca="1">Tables!F82</f>
        <v>49953674.5316213</v>
      </c>
      <c r="G8" s="494">
        <f ca="1">Tables!G82</f>
        <v>53867196.151466064</v>
      </c>
      <c r="H8" s="424">
        <f t="shared" ref="H8:H21" ca="1" si="0">IF(ISERROR(G8/F8),"-",G8/F8)</f>
        <v>1.0783430179368978</v>
      </c>
      <c r="I8" s="425">
        <f ca="1">Tables!H82</f>
        <v>21690</v>
      </c>
      <c r="J8" s="494">
        <f ca="1">Tables!I82</f>
        <v>24265</v>
      </c>
      <c r="K8" s="424">
        <f t="shared" ref="K8:K21" ca="1" si="1">IF(ISERROR(J8/I8),"-",J8/I8)</f>
        <v>1.1187183033656063</v>
      </c>
      <c r="L8" s="429">
        <f ca="1">Tables!M82</f>
        <v>2.0842291092547942</v>
      </c>
      <c r="M8" s="279"/>
    </row>
    <row r="9" spans="1:13" x14ac:dyDescent="0.2">
      <c r="B9" s="104" t="str">
        <f>Tables!B83</f>
        <v>Small Business</v>
      </c>
      <c r="C9" s="428">
        <f ca="1">Tables!D83</f>
        <v>4178985.9141110736</v>
      </c>
      <c r="D9" s="499">
        <f ca="1">Tables!E83</f>
        <v>2152818.7915076138</v>
      </c>
      <c r="E9" s="424">
        <f ca="1">IF(ISERROR(D9/C9),"-",D9/C9)</f>
        <v>0.51515339743985411</v>
      </c>
      <c r="F9" s="425">
        <f ca="1">Tables!F83</f>
        <v>17147011.9466592</v>
      </c>
      <c r="G9" s="494">
        <f ca="1">Tables!G83</f>
        <v>9777978.5595276505</v>
      </c>
      <c r="H9" s="424">
        <f t="shared" ca="1" si="0"/>
        <v>0.57024387630596607</v>
      </c>
      <c r="I9" s="425">
        <f ca="1">Tables!H83</f>
        <v>751</v>
      </c>
      <c r="J9" s="494">
        <f ca="1">Tables!I83</f>
        <v>786</v>
      </c>
      <c r="K9" s="424">
        <f t="shared" ca="1" si="1"/>
        <v>1.0466045272969373</v>
      </c>
      <c r="L9" s="429">
        <f ca="1">Tables!M83</f>
        <v>2.5377215734426888</v>
      </c>
      <c r="M9" s="279"/>
    </row>
    <row r="10" spans="1:13" x14ac:dyDescent="0.2">
      <c r="B10" s="104" t="str">
        <f>Tables!B84</f>
        <v>Commercial &amp; Industrial</v>
      </c>
      <c r="C10" s="428">
        <f ca="1">Tables!D84</f>
        <v>19083445.352329567</v>
      </c>
      <c r="D10" s="499">
        <f ca="1">Tables!E84</f>
        <v>12876548.849602131</v>
      </c>
      <c r="E10" s="424">
        <f ca="1">IF(ISERROR(D10/C10),"-",D10/C10)</f>
        <v>0.67474969073287683</v>
      </c>
      <c r="F10" s="425">
        <f ca="1">Tables!F84</f>
        <v>105503573.110254</v>
      </c>
      <c r="G10" s="494">
        <f ca="1">Tables!G84</f>
        <v>106468813.42825335</v>
      </c>
      <c r="H10" s="424">
        <f t="shared" ca="1" si="0"/>
        <v>1.0091488874693433</v>
      </c>
      <c r="I10" s="425">
        <f ca="1">Tables!H84</f>
        <v>487</v>
      </c>
      <c r="J10" s="494">
        <f ca="1">Tables!I84</f>
        <v>350</v>
      </c>
      <c r="K10" s="424">
        <f t="shared" ca="1" si="1"/>
        <v>0.71868583162217659</v>
      </c>
      <c r="L10" s="429">
        <f ca="1">Tables!M84</f>
        <v>2.2064511272278122</v>
      </c>
      <c r="M10" s="279"/>
    </row>
    <row r="11" spans="1:13" x14ac:dyDescent="0.2">
      <c r="B11" s="104" t="str">
        <f>Tables!B85</f>
        <v>Municipalities/Schools</v>
      </c>
      <c r="C11" s="428">
        <f ca="1">Tables!D85</f>
        <v>2977577.1560955308</v>
      </c>
      <c r="D11" s="499">
        <f ca="1">Tables!E85</f>
        <v>2534633.1074223933</v>
      </c>
      <c r="E11" s="424">
        <f t="shared" ref="E11:E21" ca="1" si="2">IF(ISERROR(D11/C11),"-",D11/C11)</f>
        <v>0.85124011051523318</v>
      </c>
      <c r="F11" s="425">
        <f ca="1">Tables!F85</f>
        <v>14514891.427528501</v>
      </c>
      <c r="G11" s="494">
        <f ca="1">Tables!G85</f>
        <v>16338233.136987923</v>
      </c>
      <c r="H11" s="424">
        <f t="shared" ca="1" si="0"/>
        <v>1.12561869432942</v>
      </c>
      <c r="I11" s="425">
        <f ca="1">Tables!H85</f>
        <v>207</v>
      </c>
      <c r="J11" s="494">
        <f ca="1">Tables!I85</f>
        <v>250</v>
      </c>
      <c r="K11" s="424">
        <f t="shared" ca="1" si="1"/>
        <v>1.2077294685990339</v>
      </c>
      <c r="L11" s="429">
        <f ca="1">Tables!M85</f>
        <v>1.9041629906970985</v>
      </c>
      <c r="M11" s="279"/>
    </row>
    <row r="12" spans="1:13" x14ac:dyDescent="0.2">
      <c r="B12" s="104" t="str">
        <f>Tables!B86</f>
        <v>Agriculture</v>
      </c>
      <c r="C12" s="428">
        <f ca="1">Tables!D86</f>
        <v>5995430.0508793658</v>
      </c>
      <c r="D12" s="499">
        <f ca="1">Tables!E86</f>
        <v>5740772.4324813671</v>
      </c>
      <c r="E12" s="424">
        <f t="shared" ca="1" si="2"/>
        <v>0.95752471194945432</v>
      </c>
      <c r="F12" s="425">
        <f ca="1">Tables!F86</f>
        <v>7060545.7997548003</v>
      </c>
      <c r="G12" s="494">
        <f ca="1">Tables!G86</f>
        <v>7194115.5260958355</v>
      </c>
      <c r="H12" s="424">
        <f t="shared" ca="1" si="0"/>
        <v>1.0189177621857044</v>
      </c>
      <c r="I12" s="425">
        <f ca="1">Tables!H86</f>
        <v>580</v>
      </c>
      <c r="J12" s="494">
        <f ca="1">Tables!I86</f>
        <v>939</v>
      </c>
      <c r="K12" s="424">
        <f t="shared" ca="1" si="1"/>
        <v>1.6189655172413793</v>
      </c>
      <c r="L12" s="429">
        <f ca="1">Tables!M86</f>
        <v>0.40713286751629196</v>
      </c>
      <c r="M12" s="279"/>
    </row>
    <row r="13" spans="1:13" x14ac:dyDescent="0.2">
      <c r="B13" s="104" t="str">
        <f>Tables!B87</f>
        <v>Other</v>
      </c>
      <c r="C13" s="428">
        <f ca="1">Tables!D87</f>
        <v>0</v>
      </c>
      <c r="D13" s="499">
        <f ca="1">Tables!E87</f>
        <v>0</v>
      </c>
      <c r="E13" s="424" t="str">
        <f t="shared" ca="1" si="2"/>
        <v>-</v>
      </c>
      <c r="F13" s="425">
        <f ca="1">Tables!F87</f>
        <v>0</v>
      </c>
      <c r="G13" s="494">
        <f ca="1">Tables!G87</f>
        <v>0</v>
      </c>
      <c r="H13" s="424" t="str">
        <f t="shared" ca="1" si="0"/>
        <v>-</v>
      </c>
      <c r="I13" s="425">
        <f ca="1">Tables!H87</f>
        <v>0</v>
      </c>
      <c r="J13" s="494">
        <f ca="1">Tables!I87</f>
        <v>0</v>
      </c>
      <c r="K13" s="424" t="str">
        <f t="shared" ca="1" si="1"/>
        <v>-</v>
      </c>
      <c r="L13" s="429" t="str">
        <f ca="1">Tables!M87</f>
        <v>n/a</v>
      </c>
      <c r="M13" s="279"/>
    </row>
    <row r="14" spans="1:13" x14ac:dyDescent="0.2">
      <c r="B14" s="430"/>
      <c r="C14" s="428"/>
      <c r="D14" s="499"/>
      <c r="E14" s="424"/>
      <c r="F14" s="425"/>
      <c r="G14" s="494"/>
      <c r="H14" s="424"/>
      <c r="I14" s="425"/>
      <c r="J14" s="494"/>
      <c r="K14" s="424"/>
      <c r="L14" s="429"/>
      <c r="M14" s="279"/>
    </row>
    <row r="15" spans="1:13" x14ac:dyDescent="0.2">
      <c r="B15" s="430" t="str">
        <f>Tables!B88</f>
        <v>Res/Small Business</v>
      </c>
      <c r="C15" s="428">
        <f ca="1">Tables!D88</f>
        <v>5718976.8999999994</v>
      </c>
      <c r="D15" s="499">
        <f ca="1">Tables!E88</f>
        <v>4902381.89020494</v>
      </c>
      <c r="E15" s="424">
        <f t="shared" ca="1" si="2"/>
        <v>0.85721309526620759</v>
      </c>
      <c r="F15" s="425">
        <f ca="1">Tables!F88</f>
        <v>4280579.2548000002</v>
      </c>
      <c r="G15" s="494">
        <f ca="1">Tables!G88</f>
        <v>4521927</v>
      </c>
      <c r="H15" s="424">
        <f t="shared" ca="1" si="0"/>
        <v>1.0563820293548742</v>
      </c>
      <c r="I15" s="425">
        <f ca="1">Tables!H88</f>
        <v>13378</v>
      </c>
      <c r="J15" s="494">
        <f ca="1">Tables!I88</f>
        <v>1365</v>
      </c>
      <c r="K15" s="424">
        <f t="shared" ca="1" si="1"/>
        <v>0.1020331888174615</v>
      </c>
      <c r="L15" s="429">
        <f ca="1">Tables!M88</f>
        <v>0.55584340748627892</v>
      </c>
      <c r="M15" s="279"/>
    </row>
    <row r="16" spans="1:13" x14ac:dyDescent="0.2">
      <c r="B16" s="430" t="str">
        <f>Tables!B89</f>
        <v>Res/C&amp;I</v>
      </c>
      <c r="C16" s="428">
        <f ca="1">Tables!D89</f>
        <v>0</v>
      </c>
      <c r="D16" s="499">
        <f ca="1">Tables!E89</f>
        <v>0</v>
      </c>
      <c r="E16" s="424" t="str">
        <f t="shared" ca="1" si="2"/>
        <v>-</v>
      </c>
      <c r="F16" s="425">
        <f ca="1">Tables!F89</f>
        <v>0</v>
      </c>
      <c r="G16" s="494">
        <f ca="1">Tables!G89</f>
        <v>0</v>
      </c>
      <c r="H16" s="424" t="str">
        <f t="shared" ca="1" si="0"/>
        <v>-</v>
      </c>
      <c r="I16" s="425">
        <f ca="1">Tables!H89</f>
        <v>0</v>
      </c>
      <c r="J16" s="494">
        <f ca="1">Tables!I89</f>
        <v>0</v>
      </c>
      <c r="K16" s="424" t="str">
        <f t="shared" ca="1" si="1"/>
        <v>-</v>
      </c>
      <c r="L16" s="429" t="str">
        <f ca="1">Tables!M89</f>
        <v>n/a</v>
      </c>
      <c r="M16" s="279"/>
    </row>
    <row r="17" spans="2:12" x14ac:dyDescent="0.2">
      <c r="B17" s="430" t="str">
        <f>Tables!B90</f>
        <v>Small Business/C&amp;I</v>
      </c>
      <c r="C17" s="428">
        <f ca="1">Tables!D90</f>
        <v>0</v>
      </c>
      <c r="D17" s="499">
        <f ca="1">Tables!E90</f>
        <v>0</v>
      </c>
      <c r="E17" s="424" t="str">
        <f t="shared" ca="1" si="2"/>
        <v>-</v>
      </c>
      <c r="F17" s="425">
        <f ca="1">Tables!F90</f>
        <v>0</v>
      </c>
      <c r="G17" s="494">
        <f ca="1">Tables!G90</f>
        <v>0</v>
      </c>
      <c r="H17" s="424" t="str">
        <f t="shared" ca="1" si="0"/>
        <v>-</v>
      </c>
      <c r="I17" s="425">
        <f ca="1">Tables!H90</f>
        <v>0</v>
      </c>
      <c r="J17" s="494">
        <f ca="1">Tables!I90</f>
        <v>0</v>
      </c>
      <c r="K17" s="424" t="str">
        <f t="shared" ca="1" si="1"/>
        <v>-</v>
      </c>
      <c r="L17" s="429" t="str">
        <f ca="1">Tables!M90</f>
        <v>n/a</v>
      </c>
    </row>
    <row r="18" spans="2:12" x14ac:dyDescent="0.2">
      <c r="B18" s="430"/>
      <c r="C18" s="428"/>
      <c r="D18" s="499"/>
      <c r="E18" s="424"/>
      <c r="F18" s="425"/>
      <c r="G18" s="494"/>
      <c r="H18" s="424"/>
      <c r="I18" s="425"/>
      <c r="J18" s="494"/>
      <c r="K18" s="424"/>
      <c r="L18" s="429"/>
    </row>
    <row r="19" spans="2:12" x14ac:dyDescent="0.2">
      <c r="B19" s="430" t="str">
        <f>Tables!B91</f>
        <v>All Classes</v>
      </c>
      <c r="C19" s="428">
        <f ca="1">Tables!D91</f>
        <v>8741247.6151663307</v>
      </c>
      <c r="D19" s="499">
        <f ca="1">Tables!E91</f>
        <v>7476072.8865874726</v>
      </c>
      <c r="E19" s="424">
        <f t="shared" ca="1" si="2"/>
        <v>0.85526382682676305</v>
      </c>
      <c r="F19" s="425">
        <f ca="1">Tables!F91</f>
        <v>54949160.336915098</v>
      </c>
      <c r="G19" s="494">
        <f ca="1">Tables!G91</f>
        <v>57671890.179663248</v>
      </c>
      <c r="H19" s="424">
        <f t="shared" ca="1" si="0"/>
        <v>1.0495499808560134</v>
      </c>
      <c r="I19" s="425">
        <f ca="1">Tables!H91</f>
        <v>251361</v>
      </c>
      <c r="J19" s="494">
        <f ca="1">Tables!I91</f>
        <v>225890</v>
      </c>
      <c r="K19" s="424">
        <f t="shared" ca="1" si="1"/>
        <v>0.8986676532954595</v>
      </c>
      <c r="L19" s="429">
        <f ca="1">Tables!M91</f>
        <v>3.3625501790899985</v>
      </c>
    </row>
    <row r="20" spans="2:12" ht="13.5" thickBot="1" x14ac:dyDescent="0.25">
      <c r="B20" s="431"/>
      <c r="C20" s="504" t="str">
        <f ca="1">Tables!D77</f>
        <v>-</v>
      </c>
      <c r="D20" s="611" t="str">
        <f ca="1">Tables!E77</f>
        <v>-</v>
      </c>
      <c r="E20" s="612" t="str">
        <f t="shared" ca="1" si="2"/>
        <v>-</v>
      </c>
      <c r="F20" s="501" t="str">
        <f ca="1">Tables!F77</f>
        <v>-</v>
      </c>
      <c r="G20" s="613" t="str">
        <f ca="1">Tables!G77</f>
        <v>-</v>
      </c>
      <c r="H20" s="612" t="str">
        <f t="shared" ca="1" si="0"/>
        <v>-</v>
      </c>
      <c r="I20" s="501" t="str">
        <f ca="1">Tables!H77</f>
        <v>-</v>
      </c>
      <c r="J20" s="613" t="str">
        <f ca="1">Tables!I77</f>
        <v>-</v>
      </c>
      <c r="K20" s="612" t="str">
        <f t="shared" ca="1" si="1"/>
        <v>-</v>
      </c>
      <c r="L20" s="505" t="str">
        <f ca="1">Tables!J77</f>
        <v>-</v>
      </c>
    </row>
    <row r="21" spans="2:12" ht="15.75" thickBot="1" x14ac:dyDescent="0.3">
      <c r="B21" s="107" t="s">
        <v>862</v>
      </c>
      <c r="C21" s="329">
        <f ca="1">SUM(C8:C20)</f>
        <v>74300190.334827334</v>
      </c>
      <c r="D21" s="330">
        <f ca="1">SUM(D8:D20)</f>
        <v>59214312.959999993</v>
      </c>
      <c r="E21" s="331">
        <f t="shared" ca="1" si="2"/>
        <v>0.79696044778830111</v>
      </c>
      <c r="F21" s="332">
        <f ca="1">SUM(F8:F20)</f>
        <v>253409436.4075329</v>
      </c>
      <c r="G21" s="333">
        <f ca="1">SUM(G8:G20)</f>
        <v>255840153.98199406</v>
      </c>
      <c r="H21" s="331">
        <f t="shared" ca="1" si="0"/>
        <v>1.0095920562743057</v>
      </c>
      <c r="I21" s="332">
        <f ca="1">SUM(I8:I20)</f>
        <v>288454</v>
      </c>
      <c r="J21" s="333">
        <f ca="1">SUM(J8:J20)</f>
        <v>253845</v>
      </c>
      <c r="K21" s="331">
        <f t="shared" ca="1" si="1"/>
        <v>0.88001899782980997</v>
      </c>
      <c r="L21" s="106">
        <f>'Cost-Benefits'!J27</f>
        <v>2.0360500521026945</v>
      </c>
    </row>
    <row r="23" spans="2:12" x14ac:dyDescent="0.2">
      <c r="B23" s="2" t="s">
        <v>863</v>
      </c>
    </row>
    <row r="24" spans="2:12" x14ac:dyDescent="0.2">
      <c r="B24" s="95" t="s">
        <v>864</v>
      </c>
      <c r="D24" s="2" t="s">
        <v>865</v>
      </c>
    </row>
    <row r="25" spans="2:12" x14ac:dyDescent="0.2">
      <c r="D25" s="2" t="str">
        <f>F6</f>
        <v>Savings (kWh)</v>
      </c>
    </row>
  </sheetData>
  <sheetProtection password="C925" sheet="1" objects="1" scenarios="1" formatColumns="0" formatRows="0"/>
  <mergeCells count="6">
    <mergeCell ref="B2:L2"/>
    <mergeCell ref="B4:L4"/>
    <mergeCell ref="C6:E6"/>
    <mergeCell ref="F6:H6"/>
    <mergeCell ref="I6:K6"/>
    <mergeCell ref="L6:L7"/>
  </mergeCells>
  <dataValidations count="1">
    <dataValidation type="list" allowBlank="1" showInputMessage="1" showErrorMessage="1" sqref="B24" xr:uid="{00000000-0002-0000-2A00-000000000000}">
      <formula1>G_List</formula1>
    </dataValidation>
  </dataValidations>
  <pageMargins left="0.25" right="0.25" top="0.75" bottom="0.75" header="0.3" footer="0.3"/>
  <pageSetup orientation="landscape"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1:O23"/>
  <sheetViews>
    <sheetView showGridLines="0" zoomScale="110" zoomScaleNormal="110" workbookViewId="0">
      <selection activeCell="N29" sqref="N29"/>
    </sheetView>
  </sheetViews>
  <sheetFormatPr defaultRowHeight="12.75" x14ac:dyDescent="0.2"/>
  <cols>
    <col min="1" max="1" width="1.42578125" customWidth="1"/>
    <col min="2" max="2" width="1.5703125" customWidth="1"/>
    <col min="3" max="7" width="10.5703125" customWidth="1"/>
    <col min="8" max="8" width="12.5703125" customWidth="1"/>
    <col min="9" max="14" width="10.5703125" customWidth="1"/>
    <col min="15" max="15" width="2.5703125" customWidth="1"/>
  </cols>
  <sheetData>
    <row r="1" spans="2:15" ht="5.0999999999999996" customHeight="1" thickBot="1" x14ac:dyDescent="0.25"/>
    <row r="2" spans="2:15" ht="38.25" customHeight="1" x14ac:dyDescent="0.2">
      <c r="B2" s="766" t="s">
        <v>866</v>
      </c>
      <c r="C2" s="767"/>
      <c r="D2" s="767"/>
      <c r="E2" s="767"/>
      <c r="F2" s="767"/>
      <c r="G2" s="767"/>
      <c r="H2" s="767"/>
      <c r="I2" s="767"/>
      <c r="J2" s="767"/>
      <c r="K2" s="767"/>
      <c r="L2" s="767"/>
      <c r="M2" s="767"/>
      <c r="N2" s="767"/>
      <c r="O2" s="768"/>
    </row>
    <row r="3" spans="2:15" ht="23.25" x14ac:dyDescent="0.35">
      <c r="B3" s="769" t="s">
        <v>867</v>
      </c>
      <c r="C3" s="770"/>
      <c r="D3" s="770"/>
      <c r="E3" s="770"/>
      <c r="F3" s="770"/>
      <c r="G3" s="770"/>
      <c r="H3" s="770"/>
      <c r="I3" s="770"/>
      <c r="J3" s="770"/>
      <c r="K3" s="770"/>
      <c r="L3" s="770"/>
      <c r="M3" s="770"/>
      <c r="N3" s="770"/>
      <c r="O3" s="771"/>
    </row>
    <row r="4" spans="2:15" x14ac:dyDescent="0.2">
      <c r="B4" s="7"/>
      <c r="O4" s="15"/>
    </row>
    <row r="5" spans="2:15" ht="13.5" thickBot="1" x14ac:dyDescent="0.25">
      <c r="B5" s="7"/>
      <c r="O5" s="15"/>
    </row>
    <row r="6" spans="2:15" x14ac:dyDescent="0.2">
      <c r="B6" s="7"/>
      <c r="C6" s="335" t="s">
        <v>868</v>
      </c>
      <c r="D6" s="336" t="s">
        <v>869</v>
      </c>
      <c r="E6" s="337"/>
      <c r="F6" s="335" t="s">
        <v>870</v>
      </c>
      <c r="G6" s="335" t="s">
        <v>871</v>
      </c>
      <c r="H6" s="338"/>
      <c r="I6" s="336" t="s">
        <v>872</v>
      </c>
      <c r="J6" s="337"/>
      <c r="K6" s="336" t="s">
        <v>873</v>
      </c>
      <c r="L6" s="337"/>
      <c r="M6" s="339" t="s">
        <v>874</v>
      </c>
      <c r="N6" s="337"/>
      <c r="O6" s="15"/>
    </row>
    <row r="7" spans="2:15" ht="55.5" customHeight="1" x14ac:dyDescent="0.2">
      <c r="B7" s="7"/>
      <c r="C7" s="506" t="s">
        <v>74</v>
      </c>
      <c r="D7" s="507" t="s">
        <v>875</v>
      </c>
      <c r="E7" s="608" t="s">
        <v>876</v>
      </c>
      <c r="F7" s="508" t="s">
        <v>877</v>
      </c>
      <c r="G7" s="508" t="s">
        <v>878</v>
      </c>
      <c r="H7" s="37" t="s">
        <v>879</v>
      </c>
      <c r="I7" s="509" t="s">
        <v>880</v>
      </c>
      <c r="J7" s="616" t="s">
        <v>881</v>
      </c>
      <c r="K7" s="507" t="s">
        <v>882</v>
      </c>
      <c r="L7" s="616" t="s">
        <v>881</v>
      </c>
      <c r="M7" s="617" t="s">
        <v>883</v>
      </c>
      <c r="N7" s="616" t="s">
        <v>881</v>
      </c>
      <c r="O7" s="15"/>
    </row>
    <row r="8" spans="2:15" ht="13.5" thickBot="1" x14ac:dyDescent="0.25">
      <c r="B8" s="7"/>
      <c r="C8" s="34"/>
      <c r="D8" s="32"/>
      <c r="E8" s="35"/>
      <c r="F8" s="34"/>
      <c r="G8" s="34"/>
      <c r="H8" s="38" t="s">
        <v>430</v>
      </c>
      <c r="I8" s="39" t="s">
        <v>430</v>
      </c>
      <c r="J8" s="33" t="s">
        <v>884</v>
      </c>
      <c r="K8" s="39" t="s">
        <v>430</v>
      </c>
      <c r="L8" s="33" t="s">
        <v>885</v>
      </c>
      <c r="M8" s="36" t="s">
        <v>430</v>
      </c>
      <c r="N8" s="33" t="s">
        <v>886</v>
      </c>
      <c r="O8" s="15"/>
    </row>
    <row r="9" spans="2:15" ht="13.5" thickBot="1" x14ac:dyDescent="0.25">
      <c r="B9" s="7"/>
      <c r="C9" s="432">
        <f>Prg_Year</f>
        <v>2025</v>
      </c>
      <c r="D9" s="433">
        <f>'Utility Information'!D13</f>
        <v>5</v>
      </c>
      <c r="E9" s="618">
        <f>IF(ISERROR(D9/(H9/1000)),"-",(D9/(H9/1000)))</f>
        <v>8.4406231278882554E-2</v>
      </c>
      <c r="F9" s="434">
        <f>Training!D6</f>
        <v>123</v>
      </c>
      <c r="G9" s="434">
        <f>Training!F6</f>
        <v>3069.49</v>
      </c>
      <c r="H9" s="435">
        <f>'Table 3'!F15/1000</f>
        <v>59237.332649999989</v>
      </c>
      <c r="I9" s="436">
        <f>'Table 3'!F9/1000</f>
        <v>0</v>
      </c>
      <c r="J9" s="619">
        <f>IF(ISERROR(I9/$H9),"-",(I9/$H9))</f>
        <v>0</v>
      </c>
      <c r="K9" s="620">
        <f>H9-I9-M9</f>
        <v>57662.149499999985</v>
      </c>
      <c r="L9" s="619">
        <f>IF(ISERROR(K9/$H9),"-",(K9/$H9))</f>
        <v>0.97340894534690015</v>
      </c>
      <c r="M9" s="437">
        <f>'Table 3'!F12/1000</f>
        <v>1575.183150000001</v>
      </c>
      <c r="N9" s="619">
        <f>IF(ISERROR(M9/$H9),"-",(M9/$H9))</f>
        <v>2.6591054653099768E-2</v>
      </c>
      <c r="O9" s="15"/>
    </row>
    <row r="10" spans="2:15" x14ac:dyDescent="0.2">
      <c r="B10" s="7"/>
      <c r="C10" s="2"/>
      <c r="D10" s="2"/>
      <c r="E10" s="2"/>
      <c r="F10" s="2"/>
      <c r="G10" s="2"/>
      <c r="H10" s="2"/>
      <c r="I10" s="2"/>
      <c r="J10" s="2"/>
      <c r="K10" s="2"/>
      <c r="L10" s="2"/>
      <c r="M10" s="2"/>
      <c r="N10" s="2"/>
      <c r="O10" s="15"/>
    </row>
    <row r="11" spans="2:15" ht="13.5" thickBot="1" x14ac:dyDescent="0.25">
      <c r="B11" s="7"/>
      <c r="C11" s="2"/>
      <c r="D11" s="2"/>
      <c r="E11" s="2"/>
      <c r="F11" s="2"/>
      <c r="G11" s="2"/>
      <c r="H11" s="2"/>
      <c r="I11" s="2"/>
      <c r="J11" s="2"/>
      <c r="K11" s="2"/>
      <c r="L11" s="2"/>
      <c r="M11" s="2"/>
      <c r="N11" s="2"/>
      <c r="O11" s="15"/>
    </row>
    <row r="12" spans="2:15" ht="15.75" thickBot="1" x14ac:dyDescent="0.3">
      <c r="B12" s="7"/>
      <c r="C12" s="2"/>
      <c r="D12" s="760" t="s">
        <v>887</v>
      </c>
      <c r="E12" s="761"/>
      <c r="F12" s="761"/>
      <c r="G12" s="761"/>
      <c r="H12" s="761"/>
      <c r="I12" s="761"/>
      <c r="J12" s="761"/>
      <c r="K12" s="761"/>
      <c r="L12" s="761"/>
      <c r="M12" s="762"/>
      <c r="N12" s="2"/>
      <c r="O12" s="15"/>
    </row>
    <row r="13" spans="2:15" ht="13.5" thickBot="1" x14ac:dyDescent="0.25">
      <c r="B13" s="7"/>
      <c r="C13" s="2"/>
      <c r="D13" s="54" t="s">
        <v>868</v>
      </c>
      <c r="E13" s="763" t="s">
        <v>888</v>
      </c>
      <c r="F13" s="764"/>
      <c r="G13" s="764"/>
      <c r="H13" s="764"/>
      <c r="I13" s="764"/>
      <c r="J13" s="764"/>
      <c r="K13" s="765"/>
      <c r="L13" s="763" t="s">
        <v>889</v>
      </c>
      <c r="M13" s="765"/>
      <c r="N13" s="2"/>
      <c r="O13" s="15"/>
    </row>
    <row r="14" spans="2:15" x14ac:dyDescent="0.2">
      <c r="B14" s="7"/>
      <c r="C14" s="2"/>
      <c r="D14" s="55">
        <v>1</v>
      </c>
      <c r="E14" s="56" t="s">
        <v>890</v>
      </c>
      <c r="F14" s="353"/>
      <c r="G14" s="353"/>
      <c r="H14" s="353"/>
      <c r="I14" s="353"/>
      <c r="J14" s="353"/>
      <c r="K14" s="57"/>
      <c r="L14" s="56" t="s">
        <v>891</v>
      </c>
      <c r="M14" s="57"/>
      <c r="N14" s="2"/>
      <c r="O14" s="15"/>
    </row>
    <row r="15" spans="2:15" x14ac:dyDescent="0.2">
      <c r="B15" s="7"/>
      <c r="C15" s="2"/>
      <c r="D15" s="438">
        <v>2</v>
      </c>
      <c r="E15" s="439" t="s">
        <v>892</v>
      </c>
      <c r="F15" s="462"/>
      <c r="G15" s="462"/>
      <c r="H15" s="462"/>
      <c r="I15" s="462"/>
      <c r="J15" s="462"/>
      <c r="K15" s="510"/>
      <c r="L15" s="439" t="s">
        <v>891</v>
      </c>
      <c r="M15" s="510"/>
      <c r="N15" s="2"/>
      <c r="O15" s="15"/>
    </row>
    <row r="16" spans="2:15" x14ac:dyDescent="0.2">
      <c r="B16" s="7"/>
      <c r="C16" s="2"/>
      <c r="D16" s="438">
        <v>3</v>
      </c>
      <c r="E16" s="439" t="s">
        <v>893</v>
      </c>
      <c r="F16" s="462"/>
      <c r="G16" s="462"/>
      <c r="H16" s="462"/>
      <c r="I16" s="462"/>
      <c r="J16" s="462"/>
      <c r="K16" s="510"/>
      <c r="L16" s="439" t="s">
        <v>891</v>
      </c>
      <c r="M16" s="510"/>
      <c r="N16" s="2"/>
      <c r="O16" s="15"/>
    </row>
    <row r="17" spans="2:15" x14ac:dyDescent="0.2">
      <c r="B17" s="7"/>
      <c r="C17" s="2"/>
      <c r="D17" s="438">
        <v>4</v>
      </c>
      <c r="E17" s="439" t="s">
        <v>894</v>
      </c>
      <c r="F17" s="462"/>
      <c r="G17" s="462"/>
      <c r="H17" s="462"/>
      <c r="I17" s="462"/>
      <c r="J17" s="462"/>
      <c r="K17" s="510"/>
      <c r="L17" s="439" t="s">
        <v>895</v>
      </c>
      <c r="M17" s="510"/>
      <c r="N17" s="2"/>
      <c r="O17" s="15"/>
    </row>
    <row r="18" spans="2:15" x14ac:dyDescent="0.2">
      <c r="B18" s="7"/>
      <c r="C18" s="2"/>
      <c r="D18" s="438">
        <v>5</v>
      </c>
      <c r="E18" s="439" t="s">
        <v>896</v>
      </c>
      <c r="F18" s="462"/>
      <c r="G18" s="462"/>
      <c r="H18" s="462"/>
      <c r="I18" s="462"/>
      <c r="J18" s="462"/>
      <c r="K18" s="510"/>
      <c r="L18" s="439" t="s">
        <v>897</v>
      </c>
      <c r="M18" s="510"/>
      <c r="N18" s="2"/>
      <c r="O18" s="15"/>
    </row>
    <row r="19" spans="2:15" x14ac:dyDescent="0.2">
      <c r="B19" s="7"/>
      <c r="C19" s="2"/>
      <c r="D19" s="438">
        <v>6</v>
      </c>
      <c r="E19" s="439" t="s">
        <v>898</v>
      </c>
      <c r="F19" s="462"/>
      <c r="G19" s="462"/>
      <c r="H19" s="462"/>
      <c r="I19" s="462"/>
      <c r="J19" s="462"/>
      <c r="K19" s="510"/>
      <c r="L19" s="439" t="s">
        <v>895</v>
      </c>
      <c r="M19" s="510"/>
      <c r="N19" s="2"/>
      <c r="O19" s="15"/>
    </row>
    <row r="20" spans="2:15" x14ac:dyDescent="0.2">
      <c r="B20" s="7"/>
      <c r="C20" s="2"/>
      <c r="D20" s="438">
        <v>7</v>
      </c>
      <c r="E20" s="439" t="s">
        <v>899</v>
      </c>
      <c r="F20" s="462"/>
      <c r="G20" s="462"/>
      <c r="H20" s="462"/>
      <c r="I20" s="462"/>
      <c r="J20" s="462"/>
      <c r="K20" s="510"/>
      <c r="L20" s="439" t="s">
        <v>900</v>
      </c>
      <c r="M20" s="510"/>
      <c r="N20" s="2"/>
      <c r="O20" s="15"/>
    </row>
    <row r="21" spans="2:15" ht="13.5" thickBot="1" x14ac:dyDescent="0.25">
      <c r="B21" s="7"/>
      <c r="C21" s="2"/>
      <c r="D21" s="440">
        <v>8</v>
      </c>
      <c r="E21" s="441" t="s">
        <v>901</v>
      </c>
      <c r="F21" s="442"/>
      <c r="G21" s="442"/>
      <c r="H21" s="442"/>
      <c r="I21" s="442"/>
      <c r="J21" s="442"/>
      <c r="K21" s="443"/>
      <c r="L21" s="441" t="s">
        <v>900</v>
      </c>
      <c r="M21" s="443"/>
      <c r="N21" s="2"/>
      <c r="O21" s="15"/>
    </row>
    <row r="22" spans="2:15" x14ac:dyDescent="0.2">
      <c r="B22" s="7"/>
      <c r="O22" s="15"/>
    </row>
    <row r="23" spans="2:15" x14ac:dyDescent="0.2">
      <c r="B23" s="161"/>
      <c r="C23" s="358"/>
      <c r="D23" s="358"/>
      <c r="E23" s="358"/>
      <c r="F23" s="358"/>
      <c r="G23" s="358"/>
      <c r="H23" s="358"/>
      <c r="I23" s="358"/>
      <c r="J23" s="358"/>
      <c r="K23" s="358"/>
      <c r="L23" s="358"/>
      <c r="M23" s="358"/>
      <c r="N23" s="358"/>
      <c r="O23" s="162"/>
    </row>
  </sheetData>
  <sheetProtection password="C925" sheet="1" objects="1" scenarios="1"/>
  <mergeCells count="5">
    <mergeCell ref="D12:M12"/>
    <mergeCell ref="E13:K13"/>
    <mergeCell ref="L13:M13"/>
    <mergeCell ref="B2:O2"/>
    <mergeCell ref="B3:O3"/>
  </mergeCells>
  <pageMargins left="0.7" right="0.7" top="0.75" bottom="0.75" header="0.3" footer="0.3"/>
  <pageSetup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W27"/>
  <sheetViews>
    <sheetView showGridLines="0" zoomScale="75" zoomScaleNormal="75" workbookViewId="0">
      <pane xSplit="5" ySplit="2" topLeftCell="F3" activePane="bottomRight" state="frozen"/>
      <selection pane="topRight" activeCell="F1" sqref="F1"/>
      <selection pane="bottomLeft" activeCell="A2" sqref="A2"/>
      <selection pane="bottomRight" activeCell="C10" sqref="C10"/>
    </sheetView>
  </sheetViews>
  <sheetFormatPr defaultColWidth="9.42578125" defaultRowHeight="12.75" x14ac:dyDescent="0.2"/>
  <cols>
    <col min="1" max="1" width="1" style="2" customWidth="1"/>
    <col min="2" max="2" width="36" style="2" customWidth="1"/>
    <col min="3" max="3" width="20.42578125" style="2" bestFit="1" customWidth="1"/>
    <col min="4" max="4" width="26.42578125" style="2" bestFit="1" customWidth="1"/>
    <col min="5" max="5" width="28.42578125" style="2" bestFit="1" customWidth="1"/>
    <col min="6" max="6" width="11.5703125" style="2" customWidth="1"/>
    <col min="7" max="7" width="12" style="2" bestFit="1" customWidth="1"/>
    <col min="8" max="11" width="13.5703125" style="2" customWidth="1"/>
    <col min="12" max="13" width="10.42578125" style="2" bestFit="1" customWidth="1"/>
    <col min="14" max="14" width="18" style="2" bestFit="1" customWidth="1"/>
    <col min="15" max="15" width="18" style="2" customWidth="1"/>
    <col min="16" max="16" width="15.5703125" style="2" bestFit="1" customWidth="1"/>
    <col min="17" max="18" width="15.5703125" style="2" customWidth="1"/>
    <col min="19" max="19" width="15.5703125" style="2" bestFit="1" customWidth="1"/>
    <col min="20" max="20" width="1.42578125" style="2" customWidth="1"/>
    <col min="21" max="16384" width="9.42578125" style="2"/>
  </cols>
  <sheetData>
    <row r="1" spans="1:23" ht="5.0999999999999996" customHeight="1" thickBot="1" x14ac:dyDescent="0.25"/>
    <row r="2" spans="1:23" ht="38.25" customHeight="1" thickBot="1" x14ac:dyDescent="0.25">
      <c r="B2" s="660" t="s">
        <v>15</v>
      </c>
      <c r="C2" s="660"/>
      <c r="D2" s="660"/>
      <c r="E2" s="660"/>
      <c r="F2" s="660"/>
      <c r="G2" s="660"/>
      <c r="H2" s="660"/>
      <c r="I2" s="660"/>
      <c r="J2" s="660"/>
      <c r="K2" s="660"/>
      <c r="L2" s="660"/>
      <c r="M2" s="660"/>
      <c r="N2" s="660"/>
      <c r="O2" s="660"/>
      <c r="P2" s="660"/>
      <c r="Q2" s="660"/>
      <c r="R2" s="660"/>
      <c r="S2" s="660"/>
    </row>
    <row r="3" spans="1:23" ht="4.5" customHeight="1" x14ac:dyDescent="0.2"/>
    <row r="4" spans="1:23" ht="23.25" x14ac:dyDescent="0.35">
      <c r="B4" s="753" t="str">
        <f>Titles!F2&amp;" Portfolio Data"</f>
        <v>2025 Portfolio Data</v>
      </c>
      <c r="C4" s="753"/>
      <c r="D4" s="753"/>
      <c r="E4" s="753"/>
      <c r="F4" s="753"/>
      <c r="G4" s="753"/>
      <c r="H4" s="753"/>
      <c r="I4" s="753"/>
      <c r="J4" s="753"/>
      <c r="K4" s="753"/>
      <c r="L4" s="753"/>
      <c r="M4" s="753"/>
      <c r="N4" s="753"/>
      <c r="O4" s="753"/>
      <c r="P4" s="753"/>
      <c r="Q4" s="753"/>
      <c r="R4" s="753"/>
      <c r="S4" s="753"/>
    </row>
    <row r="5" spans="1:23" ht="4.5" customHeight="1" x14ac:dyDescent="0.2"/>
    <row r="6" spans="1:23" ht="15.75" customHeight="1" x14ac:dyDescent="0.2">
      <c r="F6" s="772" t="s">
        <v>902</v>
      </c>
      <c r="G6" s="772"/>
      <c r="H6" s="772" t="str">
        <f>"Energy Savings ("&amp;Titles!F13&amp;")"</f>
        <v>Energy Savings (kWh)</v>
      </c>
      <c r="I6" s="772"/>
      <c r="J6" s="772" t="str">
        <f>"Demand Savings ("&amp;Titles!F15&amp;")"</f>
        <v>Demand Savings (kW)</v>
      </c>
      <c r="K6" s="772"/>
      <c r="L6" s="772" t="s">
        <v>180</v>
      </c>
      <c r="M6" s="772"/>
      <c r="N6" s="772" t="s">
        <v>426</v>
      </c>
      <c r="O6" s="772"/>
      <c r="P6" s="772"/>
      <c r="Q6" s="772"/>
      <c r="R6" s="772"/>
      <c r="S6" s="772"/>
      <c r="W6" s="110"/>
    </row>
    <row r="7" spans="1:23" ht="24.75" customHeight="1" x14ac:dyDescent="0.2">
      <c r="A7" s="279"/>
      <c r="B7" s="472" t="s">
        <v>85</v>
      </c>
      <c r="C7" s="472" t="s">
        <v>86</v>
      </c>
      <c r="D7" s="472" t="s">
        <v>87</v>
      </c>
      <c r="E7" s="472" t="s">
        <v>88</v>
      </c>
      <c r="F7" s="472" t="s">
        <v>553</v>
      </c>
      <c r="G7" s="472" t="s">
        <v>554</v>
      </c>
      <c r="H7" s="472" t="s">
        <v>555</v>
      </c>
      <c r="I7" s="472" t="s">
        <v>556</v>
      </c>
      <c r="J7" s="472" t="s">
        <v>555</v>
      </c>
      <c r="K7" s="472" t="s">
        <v>556</v>
      </c>
      <c r="L7" s="472" t="s">
        <v>555</v>
      </c>
      <c r="M7" s="472" t="s">
        <v>554</v>
      </c>
      <c r="N7" s="472" t="str">
        <f>"Lifetime Savings ("&amp;Titles!F14&amp;")"</f>
        <v>Lifetime Savings (MWh)</v>
      </c>
      <c r="O7" s="472" t="s">
        <v>903</v>
      </c>
      <c r="P7" s="472" t="s">
        <v>424</v>
      </c>
      <c r="Q7" s="472" t="s">
        <v>611</v>
      </c>
      <c r="R7" s="472" t="s">
        <v>429</v>
      </c>
      <c r="S7" s="472" t="s">
        <v>904</v>
      </c>
      <c r="T7" s="279"/>
      <c r="U7" s="112"/>
      <c r="V7" s="112"/>
      <c r="W7" s="112"/>
    </row>
    <row r="8" spans="1:23" x14ac:dyDescent="0.2">
      <c r="B8" s="511" t="str">
        <f>Data!B4</f>
        <v>Home Energy Solutions</v>
      </c>
      <c r="C8" s="511" t="str">
        <f>Data!C4</f>
        <v>Residential</v>
      </c>
      <c r="D8" s="511" t="str">
        <f>Data!D4</f>
        <v>Whole Home</v>
      </c>
      <c r="E8" s="511" t="str">
        <f>Data!E4</f>
        <v>Trade Ally</v>
      </c>
      <c r="F8" s="499">
        <f>Data!K4</f>
        <v>15248596.375572719</v>
      </c>
      <c r="G8" s="499">
        <f>Data!K29</f>
        <v>12494941.98650186</v>
      </c>
      <c r="H8" s="494">
        <f>Data!M4</f>
        <v>27272531.0301213</v>
      </c>
      <c r="I8" s="494">
        <f>Data!M29</f>
        <v>30406973.18046065</v>
      </c>
      <c r="J8" s="494">
        <f>Data!L4</f>
        <v>9072.1565942814195</v>
      </c>
      <c r="K8" s="494">
        <f>Data!L29</f>
        <v>9970.9398610737026</v>
      </c>
      <c r="L8" s="494">
        <f>Data!N4</f>
        <v>7281</v>
      </c>
      <c r="M8" s="494">
        <f>Data!N29</f>
        <v>7403</v>
      </c>
      <c r="N8" s="494">
        <f>Data!O29</f>
        <v>573255.54702994099</v>
      </c>
      <c r="O8" s="499">
        <f>Data!P29</f>
        <v>12172.260864124122</v>
      </c>
      <c r="P8" s="499">
        <f>Data!Q29</f>
        <v>29608.227003337008</v>
      </c>
      <c r="Q8" s="499">
        <f>Data!R29</f>
        <v>17435.966139212884</v>
      </c>
      <c r="R8" s="512">
        <f>Data!S29</f>
        <v>2.4324344781833203</v>
      </c>
      <c r="S8" s="513">
        <f>Data!T29</f>
        <v>3.7413895131770201E-2</v>
      </c>
      <c r="T8" s="279"/>
      <c r="U8" s="113"/>
      <c r="V8" s="111"/>
    </row>
    <row r="9" spans="1:23" x14ac:dyDescent="0.2">
      <c r="B9" s="511" t="str">
        <f>Data!B5</f>
        <v>Multifamily Homes</v>
      </c>
      <c r="C9" s="511" t="str">
        <f>Data!C5</f>
        <v>Residential</v>
      </c>
      <c r="D9" s="511" t="str">
        <f>Data!D5</f>
        <v>Whole Home</v>
      </c>
      <c r="E9" s="511" t="str">
        <f>Data!E5</f>
        <v>Trade Ally</v>
      </c>
      <c r="F9" s="499">
        <f>Data!K5</f>
        <v>2856920.9541101647</v>
      </c>
      <c r="G9" s="499">
        <f>Data!K30</f>
        <v>2616186.8275253</v>
      </c>
      <c r="H9" s="494">
        <f>Data!M5</f>
        <v>9784860.4155000001</v>
      </c>
      <c r="I9" s="494">
        <f>Data!M30</f>
        <v>10077059.989879465</v>
      </c>
      <c r="J9" s="494">
        <f>Data!L5</f>
        <v>1472.4884999999999</v>
      </c>
      <c r="K9" s="494">
        <f>Data!L30</f>
        <v>1607.1534009760283</v>
      </c>
      <c r="L9" s="494">
        <f>Data!N5</f>
        <v>2028</v>
      </c>
      <c r="M9" s="494">
        <f>Data!N30</f>
        <v>2265</v>
      </c>
      <c r="N9" s="494">
        <f>Data!O30</f>
        <v>184418.42326136731</v>
      </c>
      <c r="O9" s="499">
        <f>Data!P30</f>
        <v>2472.9344300000002</v>
      </c>
      <c r="P9" s="499">
        <f>Data!Q30</f>
        <v>6369.6595724271183</v>
      </c>
      <c r="Q9" s="499">
        <f>Data!R30</f>
        <v>3896.725142427118</v>
      </c>
      <c r="R9" s="512">
        <f>Data!S30</f>
        <v>2.5757494801134366</v>
      </c>
      <c r="S9" s="513">
        <f>Data!T30</f>
        <v>2.3297892256493903E-2</v>
      </c>
      <c r="T9" s="279"/>
      <c r="U9" s="113"/>
      <c r="V9" s="111"/>
    </row>
    <row r="10" spans="1:23" x14ac:dyDescent="0.2">
      <c r="B10" s="511" t="str">
        <f>Data!B6</f>
        <v>Manufactured Homes</v>
      </c>
      <c r="C10" s="511" t="str">
        <f>Data!C6</f>
        <v>Residential</v>
      </c>
      <c r="D10" s="511" t="str">
        <f>Data!D6</f>
        <v>Whole Home</v>
      </c>
      <c r="E10" s="511" t="str">
        <f>Data!E6</f>
        <v>Trade Ally</v>
      </c>
      <c r="F10" s="499">
        <f>Data!K6</f>
        <v>1420560.1612621918</v>
      </c>
      <c r="G10" s="499">
        <f>Data!K31</f>
        <v>1310088.7154859044</v>
      </c>
      <c r="H10" s="494">
        <f>Data!M6</f>
        <v>5023384.1359999999</v>
      </c>
      <c r="I10" s="494">
        <f>Data!M31</f>
        <v>5070585.2644848609</v>
      </c>
      <c r="J10" s="494">
        <f>Data!L6</f>
        <v>804.73099999999999</v>
      </c>
      <c r="K10" s="494">
        <f>Data!L31</f>
        <v>719.19207163148815</v>
      </c>
      <c r="L10" s="494">
        <f>Data!N6</f>
        <v>602</v>
      </c>
      <c r="M10" s="494">
        <f>Data!N31</f>
        <v>647</v>
      </c>
      <c r="N10" s="494">
        <f>Data!O31</f>
        <v>93177.584346410862</v>
      </c>
      <c r="O10" s="499">
        <f>Data!P31</f>
        <v>1222.24163</v>
      </c>
      <c r="P10" s="499">
        <f>Data!Q31</f>
        <v>3075.2037742752591</v>
      </c>
      <c r="Q10" s="499">
        <f>Data!R31</f>
        <v>1852.9621442752591</v>
      </c>
      <c r="R10" s="512">
        <f>Data!S31</f>
        <v>2.5160358629539226</v>
      </c>
      <c r="S10" s="513">
        <f>Data!T31</f>
        <v>2.2834347354622746E-2</v>
      </c>
      <c r="T10" s="279"/>
      <c r="U10" s="113"/>
      <c r="V10" s="111"/>
    </row>
    <row r="11" spans="1:23" x14ac:dyDescent="0.2">
      <c r="B11" s="511" t="str">
        <f>Data!B7</f>
        <v xml:space="preserve">Low-Income Solutions </v>
      </c>
      <c r="C11" s="511" t="str">
        <f>Data!C7</f>
        <v>Residential</v>
      </c>
      <c r="D11" s="511" t="str">
        <f>Data!D7</f>
        <v>Market Specific/Hard to Reach</v>
      </c>
      <c r="E11" s="511" t="str">
        <f>Data!E7</f>
        <v>Trade Ally</v>
      </c>
      <c r="F11" s="499">
        <f>Data!K7</f>
        <v>5412099.8553003902</v>
      </c>
      <c r="G11" s="499">
        <f>Data!K32</f>
        <v>4763927.8427500166</v>
      </c>
      <c r="H11" s="494">
        <f>Data!M7</f>
        <v>7872898.9500000002</v>
      </c>
      <c r="I11" s="494">
        <f>Data!M32</f>
        <v>8312577.7166410862</v>
      </c>
      <c r="J11" s="494">
        <f>Data!L7</f>
        <v>1903.9466666666699</v>
      </c>
      <c r="K11" s="494">
        <f>Data!L32</f>
        <v>2377.2343506521393</v>
      </c>
      <c r="L11" s="494">
        <f>Data!N7</f>
        <v>2192</v>
      </c>
      <c r="M11" s="494">
        <f>Data!N32</f>
        <v>2161</v>
      </c>
      <c r="N11" s="494">
        <f>Data!O32</f>
        <v>156303.19848541205</v>
      </c>
      <c r="O11" s="499">
        <f>Data!P32</f>
        <v>4673.6531799999993</v>
      </c>
      <c r="P11" s="499">
        <f>Data!Q32</f>
        <v>7648.4190986711546</v>
      </c>
      <c r="Q11" s="499">
        <f>Data!R32</f>
        <v>2974.7659186711553</v>
      </c>
      <c r="R11" s="512">
        <f>Data!S32</f>
        <v>1.6364969337907003</v>
      </c>
      <c r="S11" s="513">
        <f>Data!T32</f>
        <v>5.2620197012119972E-2</v>
      </c>
      <c r="T11" s="279"/>
      <c r="U11" s="113"/>
      <c r="V11" s="111"/>
    </row>
    <row r="12" spans="1:23" x14ac:dyDescent="0.2">
      <c r="B12" s="511" t="str">
        <f>Data!B8</f>
        <v>Point of Purchase Solutions</v>
      </c>
      <c r="C12" s="511" t="str">
        <f>Data!C8</f>
        <v>All Classes</v>
      </c>
      <c r="D12" s="511" t="str">
        <f>Data!D8</f>
        <v>Consumer Product Rebate</v>
      </c>
      <c r="E12" s="511" t="str">
        <f>Data!E8</f>
        <v>Retail Outlets</v>
      </c>
      <c r="F12" s="499">
        <f>Data!K8</f>
        <v>8741247.6151663307</v>
      </c>
      <c r="G12" s="499">
        <f>Data!K33</f>
        <v>7476072.8865874726</v>
      </c>
      <c r="H12" s="494">
        <f>Data!M8</f>
        <v>54949160.336915098</v>
      </c>
      <c r="I12" s="494">
        <f>Data!M33</f>
        <v>57671890.179663248</v>
      </c>
      <c r="J12" s="494">
        <f>Data!L8</f>
        <v>6476.5710836772196</v>
      </c>
      <c r="K12" s="494">
        <f>Data!L33</f>
        <v>5820.0255478381659</v>
      </c>
      <c r="L12" s="494">
        <f>Data!N8</f>
        <v>251361</v>
      </c>
      <c r="M12" s="494">
        <f>Data!N33</f>
        <v>225890</v>
      </c>
      <c r="N12" s="494">
        <f>Data!O33</f>
        <v>717751.98194082058</v>
      </c>
      <c r="O12" s="499">
        <f>Data!P33</f>
        <v>7249.6459697364753</v>
      </c>
      <c r="P12" s="499">
        <f>Data!Q33</f>
        <v>24377.298353876471</v>
      </c>
      <c r="Q12" s="499">
        <f>Data!R33</f>
        <v>17127.652384139998</v>
      </c>
      <c r="R12" s="512">
        <f>Data!S33</f>
        <v>3.3625501790899985</v>
      </c>
      <c r="S12" s="513">
        <f>Data!T33</f>
        <v>1.503063113101881E-2</v>
      </c>
      <c r="T12" s="279"/>
      <c r="U12" s="113"/>
      <c r="V12" s="111"/>
    </row>
    <row r="13" spans="1:23" x14ac:dyDescent="0.2">
      <c r="B13" s="511" t="str">
        <f>Data!B9</f>
        <v>Large Commercial &amp; Industrial Solutions</v>
      </c>
      <c r="C13" s="511" t="str">
        <f>Data!C9</f>
        <v>Commercial &amp; Industrial</v>
      </c>
      <c r="D13" s="511" t="str">
        <f>Data!D9</f>
        <v>Custom</v>
      </c>
      <c r="E13" s="511" t="str">
        <f>Data!E9</f>
        <v>Trade Ally</v>
      </c>
      <c r="F13" s="499">
        <f>Data!K9</f>
        <v>19083445.352329567</v>
      </c>
      <c r="G13" s="499">
        <f>Data!K34</f>
        <v>12876548.849602131</v>
      </c>
      <c r="H13" s="494">
        <f>Data!M9</f>
        <v>105503573.110254</v>
      </c>
      <c r="I13" s="494">
        <f>Data!M34</f>
        <v>106468813.42825335</v>
      </c>
      <c r="J13" s="494">
        <f>Data!L9</f>
        <v>14936.931122461399</v>
      </c>
      <c r="K13" s="494">
        <f>Data!L34</f>
        <v>13133.008398738688</v>
      </c>
      <c r="L13" s="494">
        <f>Data!N9</f>
        <v>487</v>
      </c>
      <c r="M13" s="494">
        <f>Data!N34</f>
        <v>350</v>
      </c>
      <c r="N13" s="494">
        <f>Data!O34</f>
        <v>774785.77671116265</v>
      </c>
      <c r="O13" s="499">
        <f>Data!P34</f>
        <v>12051.635231107</v>
      </c>
      <c r="P13" s="499">
        <f>Data!Q34</f>
        <v>26591.344140614456</v>
      </c>
      <c r="Q13" s="499">
        <f>Data!R34</f>
        <v>14539.708909507455</v>
      </c>
      <c r="R13" s="512">
        <f>Data!S34</f>
        <v>2.2064511272278122</v>
      </c>
      <c r="S13" s="513">
        <f>Data!T34</f>
        <v>2.0006567610869608E-2</v>
      </c>
      <c r="T13" s="279"/>
      <c r="U13" s="113"/>
      <c r="V13" s="111"/>
    </row>
    <row r="14" spans="1:23" x14ac:dyDescent="0.2">
      <c r="B14" s="511" t="str">
        <f>Data!B10</f>
        <v>Small Business Solutions</v>
      </c>
      <c r="C14" s="511" t="str">
        <f>Data!C10</f>
        <v>Small Business</v>
      </c>
      <c r="D14" s="511" t="str">
        <f>Data!D10</f>
        <v>Market Specific/Hard to Reach</v>
      </c>
      <c r="E14" s="511" t="str">
        <f>Data!E10</f>
        <v>Trade Ally</v>
      </c>
      <c r="F14" s="499">
        <f>Data!K10</f>
        <v>4178985.9141110736</v>
      </c>
      <c r="G14" s="499">
        <f>Data!K35</f>
        <v>2152818.7915076138</v>
      </c>
      <c r="H14" s="494">
        <f>Data!M10</f>
        <v>17147011.9466592</v>
      </c>
      <c r="I14" s="494">
        <f>Data!M35</f>
        <v>9777978.5595276505</v>
      </c>
      <c r="J14" s="494">
        <f>Data!L10</f>
        <v>2874.39805920341</v>
      </c>
      <c r="K14" s="494">
        <f>Data!L35</f>
        <v>1569.0608079820718</v>
      </c>
      <c r="L14" s="494">
        <f>Data!N10</f>
        <v>751</v>
      </c>
      <c r="M14" s="494">
        <f>Data!N35</f>
        <v>786</v>
      </c>
      <c r="N14" s="494">
        <f>Data!O35</f>
        <v>118152.79649513905</v>
      </c>
      <c r="O14" s="499">
        <f>Data!P35</f>
        <v>2017.33761999997</v>
      </c>
      <c r="P14" s="499">
        <f>Data!Q35</f>
        <v>5119.4411991914531</v>
      </c>
      <c r="Q14" s="499">
        <f>Data!R35</f>
        <v>3102.1035791914828</v>
      </c>
      <c r="R14" s="512">
        <f>Data!S35</f>
        <v>2.5377215734426888</v>
      </c>
      <c r="S14" s="513">
        <f>Data!T35</f>
        <v>2.515689704260542E-2</v>
      </c>
      <c r="T14" s="279"/>
      <c r="U14" s="113"/>
      <c r="V14" s="111"/>
    </row>
    <row r="15" spans="1:23" x14ac:dyDescent="0.2">
      <c r="B15" s="511" t="str">
        <f>Data!B11</f>
        <v xml:space="preserve">Public Institutions Solutions </v>
      </c>
      <c r="C15" s="511" t="str">
        <f>Data!C11</f>
        <v>Municipalities/Schools</v>
      </c>
      <c r="D15" s="511" t="str">
        <f>Data!D11</f>
        <v>Market Specific/Hard to Reach</v>
      </c>
      <c r="E15" s="511" t="str">
        <f>Data!E11</f>
        <v>Trade Ally</v>
      </c>
      <c r="F15" s="499">
        <f>Data!K11</f>
        <v>2977577.1560955308</v>
      </c>
      <c r="G15" s="499">
        <f>Data!K36</f>
        <v>2534633.1074223933</v>
      </c>
      <c r="H15" s="494">
        <f>Data!M11</f>
        <v>14514891.427528501</v>
      </c>
      <c r="I15" s="494">
        <f>Data!M36</f>
        <v>16338233.136987923</v>
      </c>
      <c r="J15" s="494">
        <f>Data!L11</f>
        <v>2850.4554095571102</v>
      </c>
      <c r="K15" s="494">
        <f>Data!L36</f>
        <v>2675.8490454759699</v>
      </c>
      <c r="L15" s="494">
        <f>Data!N11</f>
        <v>207</v>
      </c>
      <c r="M15" s="494">
        <f>Data!N36</f>
        <v>250</v>
      </c>
      <c r="N15" s="494">
        <f>Data!O36</f>
        <v>198832.24784770506</v>
      </c>
      <c r="O15" s="499">
        <f>Data!P36</f>
        <v>4068.304959999999</v>
      </c>
      <c r="P15" s="499">
        <f>Data!Q36</f>
        <v>7746.715739701438</v>
      </c>
      <c r="Q15" s="499">
        <f>Data!R36</f>
        <v>3678.410779701439</v>
      </c>
      <c r="R15" s="512">
        <f>Data!S36</f>
        <v>1.9041629906970985</v>
      </c>
      <c r="S15" s="513">
        <f>Data!T36</f>
        <v>3.0218849241961297E-2</v>
      </c>
      <c r="T15" s="279"/>
      <c r="U15" s="113"/>
      <c r="V15" s="111"/>
    </row>
    <row r="16" spans="1:23" x14ac:dyDescent="0.2">
      <c r="B16" s="511" t="str">
        <f>Data!B12</f>
        <v>Agricultural Energy Solutions</v>
      </c>
      <c r="C16" s="511" t="str">
        <f>Data!C12</f>
        <v>Agriculture</v>
      </c>
      <c r="D16" s="511" t="str">
        <f>Data!D12</f>
        <v>Prescriptive/Standard Offer</v>
      </c>
      <c r="E16" s="511" t="str">
        <f>Data!E12</f>
        <v>Implementing Contractor</v>
      </c>
      <c r="F16" s="499">
        <f>Data!K12</f>
        <v>2197591.0402293657</v>
      </c>
      <c r="G16" s="499">
        <f>Data!K37</f>
        <v>2019448.557168236</v>
      </c>
      <c r="H16" s="494">
        <f>Data!M12</f>
        <v>7060545.7997548003</v>
      </c>
      <c r="I16" s="494">
        <f>Data!M37</f>
        <v>7194115.5260958355</v>
      </c>
      <c r="J16" s="494">
        <f>Data!L12</f>
        <v>1104.10181093031</v>
      </c>
      <c r="K16" s="494">
        <f>Data!L37</f>
        <v>340.34000000000003</v>
      </c>
      <c r="L16" s="494">
        <f>Data!N12</f>
        <v>75</v>
      </c>
      <c r="M16" s="494">
        <f>Data!N37</f>
        <v>23</v>
      </c>
      <c r="N16" s="494">
        <f>Data!O37</f>
        <v>70678.700022146892</v>
      </c>
      <c r="O16" s="499">
        <f>Data!P37</f>
        <v>2089.8801100000001</v>
      </c>
      <c r="P16" s="499">
        <f>Data!Q37</f>
        <v>2149.6189381027648</v>
      </c>
      <c r="Q16" s="499">
        <f>Data!R37</f>
        <v>59.738828102764728</v>
      </c>
      <c r="R16" s="512">
        <f>Data!S37</f>
        <v>1.0285848110697435</v>
      </c>
      <c r="S16" s="513">
        <f>Data!T37</f>
        <v>4.0909343638066982E-2</v>
      </c>
      <c r="T16" s="279"/>
      <c r="U16" s="113"/>
      <c r="V16" s="111"/>
    </row>
    <row r="17" spans="2:22" x14ac:dyDescent="0.2">
      <c r="B17" s="511" t="str">
        <f>Data!B13</f>
        <v>Residential Direct Load Control</v>
      </c>
      <c r="C17" s="511" t="str">
        <f>Data!C13</f>
        <v>Residential</v>
      </c>
      <c r="D17" s="511" t="str">
        <f>Data!D13</f>
        <v>Demand Response</v>
      </c>
      <c r="E17" s="511" t="str">
        <f>Data!E13</f>
        <v>Implementing Contractor</v>
      </c>
      <c r="F17" s="499">
        <f>Data!K13</f>
        <v>2666350.0000000005</v>
      </c>
      <c r="G17" s="499">
        <f>Data!K38</f>
        <v>2345939.6299310033</v>
      </c>
      <c r="H17" s="494">
        <f>Data!M13</f>
        <v>0</v>
      </c>
      <c r="I17" s="494">
        <f>Data!M38</f>
        <v>0</v>
      </c>
      <c r="J17" s="494">
        <f>Data!L13</f>
        <v>9888.19249498711</v>
      </c>
      <c r="K17" s="494">
        <f>Data!L38</f>
        <v>13675</v>
      </c>
      <c r="L17" s="494">
        <f>Data!N13</f>
        <v>9587</v>
      </c>
      <c r="M17" s="494">
        <f>Data!N38</f>
        <v>11789</v>
      </c>
      <c r="N17" s="494">
        <f>Data!O38</f>
        <v>0</v>
      </c>
      <c r="O17" s="499">
        <f>Data!P38</f>
        <v>1866</v>
      </c>
      <c r="P17" s="499">
        <f>Data!Q38</f>
        <v>0</v>
      </c>
      <c r="Q17" s="499">
        <f>Data!R38</f>
        <v>-1866</v>
      </c>
      <c r="R17" s="512">
        <f>Data!S38</f>
        <v>0</v>
      </c>
      <c r="S17" s="513" t="str">
        <f>Data!T38</f>
        <v>n/a</v>
      </c>
      <c r="U17" s="113"/>
      <c r="V17" s="111"/>
    </row>
    <row r="18" spans="2:22" x14ac:dyDescent="0.2">
      <c r="B18" s="511" t="str">
        <f>Data!B14</f>
        <v xml:space="preserve">Smart Direct Load Control Pilot </v>
      </c>
      <c r="C18" s="511" t="str">
        <f>Data!C14</f>
        <v>Res/Small Business</v>
      </c>
      <c r="D18" s="511" t="str">
        <f>Data!D14</f>
        <v>Demand Response</v>
      </c>
      <c r="E18" s="511" t="str">
        <f>Data!E14</f>
        <v>Trade Ally</v>
      </c>
      <c r="F18" s="499">
        <f>Data!K14</f>
        <v>5718976.8999999994</v>
      </c>
      <c r="G18" s="499">
        <f>Data!K39</f>
        <v>4902381.89020494</v>
      </c>
      <c r="H18" s="494">
        <f>Data!M14</f>
        <v>4280579.2548000002</v>
      </c>
      <c r="I18" s="494">
        <f>Data!M39</f>
        <v>4521927</v>
      </c>
      <c r="J18" s="494">
        <f>Data!L14</f>
        <v>16851.286059999999</v>
      </c>
      <c r="K18" s="494">
        <f>Data!L39</f>
        <v>5554.4400000000005</v>
      </c>
      <c r="L18" s="494">
        <f>Data!N14</f>
        <v>13378</v>
      </c>
      <c r="M18" s="494">
        <f>Data!N39</f>
        <v>1365</v>
      </c>
      <c r="N18" s="494">
        <f>Data!O39</f>
        <v>55452.844493684846</v>
      </c>
      <c r="O18" s="499">
        <f>Data!P39</f>
        <v>3092.7593199999997</v>
      </c>
      <c r="P18" s="499">
        <f>Data!Q39</f>
        <v>1719.0898789637467</v>
      </c>
      <c r="Q18" s="499">
        <f>Data!R39</f>
        <v>-1373.6694410362529</v>
      </c>
      <c r="R18" s="512">
        <f>Data!S39</f>
        <v>0.55584340748627892</v>
      </c>
      <c r="S18" s="513">
        <f>Data!T39</f>
        <v>8.2582219057555459E-2</v>
      </c>
      <c r="U18" s="113"/>
      <c r="V18" s="111"/>
    </row>
    <row r="19" spans="2:22" x14ac:dyDescent="0.2">
      <c r="B19" s="511" t="str">
        <f>Data!B15</f>
        <v>Agricultural Irrigation Load Control</v>
      </c>
      <c r="C19" s="511" t="str">
        <f>Data!C15</f>
        <v>Agriculture</v>
      </c>
      <c r="D19" s="511" t="str">
        <f>Data!D15</f>
        <v>Demand Response</v>
      </c>
      <c r="E19" s="511" t="str">
        <f>Data!E15</f>
        <v>Implementing Contractor</v>
      </c>
      <c r="F19" s="499">
        <f>Data!K15</f>
        <v>3797839.0106500001</v>
      </c>
      <c r="G19" s="499">
        <f>Data!K40</f>
        <v>3721323.8753131311</v>
      </c>
      <c r="H19" s="494">
        <f>Data!M15</f>
        <v>0</v>
      </c>
      <c r="I19" s="494">
        <f>Data!M40</f>
        <v>0</v>
      </c>
      <c r="J19" s="494">
        <f>Data!L15</f>
        <v>25200</v>
      </c>
      <c r="K19" s="494">
        <f>Data!L40</f>
        <v>17847.3</v>
      </c>
      <c r="L19" s="494">
        <f>Data!N15</f>
        <v>505</v>
      </c>
      <c r="M19" s="494">
        <f>Data!N40</f>
        <v>916</v>
      </c>
      <c r="N19" s="494">
        <f>Data!O40</f>
        <v>0</v>
      </c>
      <c r="O19" s="499">
        <f>Data!P40</f>
        <v>3190.0152499999999</v>
      </c>
      <c r="P19" s="499">
        <f>Data!Q40</f>
        <v>0</v>
      </c>
      <c r="Q19" s="499">
        <f>Data!R40</f>
        <v>-3190.0152499999999</v>
      </c>
      <c r="R19" s="512">
        <f>Data!S40</f>
        <v>0</v>
      </c>
      <c r="S19" s="513" t="str">
        <f>Data!T40</f>
        <v>n/a</v>
      </c>
      <c r="U19" s="113"/>
      <c r="V19" s="111"/>
    </row>
    <row r="20" spans="2:22" x14ac:dyDescent="0.2">
      <c r="B20" s="511" t="str">
        <f>Data!B16</f>
        <v>Empty</v>
      </c>
      <c r="C20" s="511" t="str">
        <f>Data!C16</f>
        <v/>
      </c>
      <c r="D20" s="511" t="str">
        <f>Data!D16</f>
        <v/>
      </c>
      <c r="E20" s="511" t="str">
        <f>Data!E16</f>
        <v/>
      </c>
      <c r="F20" s="499">
        <f>Data!K16</f>
        <v>0</v>
      </c>
      <c r="G20" s="499">
        <f>Data!K41</f>
        <v>0</v>
      </c>
      <c r="H20" s="494">
        <f>Data!M16</f>
        <v>0</v>
      </c>
      <c r="I20" s="494">
        <f>Data!M41</f>
        <v>0</v>
      </c>
      <c r="J20" s="494">
        <f>Data!L16</f>
        <v>0</v>
      </c>
      <c r="K20" s="494">
        <f>Data!L41</f>
        <v>0</v>
      </c>
      <c r="L20" s="494">
        <f>Data!N16</f>
        <v>0</v>
      </c>
      <c r="M20" s="494">
        <f>Data!N41</f>
        <v>0</v>
      </c>
      <c r="N20" s="494">
        <f>Data!O41</f>
        <v>0</v>
      </c>
      <c r="O20" s="499">
        <f>Data!P41</f>
        <v>0</v>
      </c>
      <c r="P20" s="499">
        <f>Data!Q41</f>
        <v>0</v>
      </c>
      <c r="Q20" s="499">
        <f>Data!R41</f>
        <v>0</v>
      </c>
      <c r="R20" s="512" t="str">
        <f>Data!S41</f>
        <v>n/a</v>
      </c>
      <c r="S20" s="513" t="str">
        <f>Data!T41</f>
        <v>n/a</v>
      </c>
      <c r="U20" s="113"/>
      <c r="V20" s="111"/>
    </row>
    <row r="21" spans="2:22" x14ac:dyDescent="0.2">
      <c r="B21" s="511" t="str">
        <f>Data!B17</f>
        <v>Empty</v>
      </c>
      <c r="C21" s="511" t="str">
        <f>Data!C17</f>
        <v/>
      </c>
      <c r="D21" s="511" t="str">
        <f>Data!D17</f>
        <v/>
      </c>
      <c r="E21" s="511" t="str">
        <f>Data!E17</f>
        <v/>
      </c>
      <c r="F21" s="499">
        <f>Data!K17</f>
        <v>0</v>
      </c>
      <c r="G21" s="499">
        <f>Data!K42</f>
        <v>0</v>
      </c>
      <c r="H21" s="494">
        <f>Data!M17</f>
        <v>0</v>
      </c>
      <c r="I21" s="494">
        <f>Data!M42</f>
        <v>0</v>
      </c>
      <c r="J21" s="494">
        <f>Data!L17</f>
        <v>0</v>
      </c>
      <c r="K21" s="494">
        <f>Data!L42</f>
        <v>0</v>
      </c>
      <c r="L21" s="494">
        <f>Data!N17</f>
        <v>0</v>
      </c>
      <c r="M21" s="494">
        <f>Data!N42</f>
        <v>0</v>
      </c>
      <c r="N21" s="494">
        <f>Data!O42</f>
        <v>0</v>
      </c>
      <c r="O21" s="499">
        <f>Data!P42</f>
        <v>0</v>
      </c>
      <c r="P21" s="499">
        <f>Data!Q42</f>
        <v>0</v>
      </c>
      <c r="Q21" s="499">
        <f>Data!R42</f>
        <v>0</v>
      </c>
      <c r="R21" s="512" t="str">
        <f>Data!S42</f>
        <v>n/a</v>
      </c>
      <c r="S21" s="513" t="str">
        <f>Data!T42</f>
        <v>n/a</v>
      </c>
      <c r="U21" s="113"/>
      <c r="V21" s="111"/>
    </row>
    <row r="22" spans="2:22" x14ac:dyDescent="0.2">
      <c r="B22" s="511" t="str">
        <f>Data!B18</f>
        <v>Empty</v>
      </c>
      <c r="C22" s="511" t="str">
        <f>Data!C18</f>
        <v/>
      </c>
      <c r="D22" s="511" t="str">
        <f>Data!D18</f>
        <v/>
      </c>
      <c r="E22" s="511" t="str">
        <f>Data!E18</f>
        <v/>
      </c>
      <c r="F22" s="499">
        <f>Data!K18</f>
        <v>0</v>
      </c>
      <c r="G22" s="499">
        <f>Data!K43</f>
        <v>0</v>
      </c>
      <c r="H22" s="494">
        <f>Data!M18</f>
        <v>0</v>
      </c>
      <c r="I22" s="494">
        <f>Data!M43</f>
        <v>0</v>
      </c>
      <c r="J22" s="494">
        <f>Data!L18</f>
        <v>0</v>
      </c>
      <c r="K22" s="494">
        <f>Data!L43</f>
        <v>0</v>
      </c>
      <c r="L22" s="494">
        <f>Data!N18</f>
        <v>0</v>
      </c>
      <c r="M22" s="494">
        <f>Data!N43</f>
        <v>0</v>
      </c>
      <c r="N22" s="494">
        <f>Data!O43</f>
        <v>0</v>
      </c>
      <c r="O22" s="499">
        <f>Data!P43</f>
        <v>0</v>
      </c>
      <c r="P22" s="499">
        <f>Data!Q43</f>
        <v>0</v>
      </c>
      <c r="Q22" s="499">
        <f>Data!R43</f>
        <v>0</v>
      </c>
      <c r="R22" s="512" t="str">
        <f>Data!S43</f>
        <v>n/a</v>
      </c>
      <c r="S22" s="513" t="str">
        <f>Data!T43</f>
        <v>n/a</v>
      </c>
      <c r="U22" s="113"/>
      <c r="V22" s="111"/>
    </row>
    <row r="23" spans="2:22" x14ac:dyDescent="0.2">
      <c r="B23" s="511" t="str">
        <f>Data!B19</f>
        <v>Empty</v>
      </c>
      <c r="C23" s="511" t="str">
        <f>Data!C19</f>
        <v/>
      </c>
      <c r="D23" s="511" t="str">
        <f>Data!D19</f>
        <v/>
      </c>
      <c r="E23" s="511" t="str">
        <f>Data!E19</f>
        <v/>
      </c>
      <c r="F23" s="499">
        <f>Data!K19</f>
        <v>0</v>
      </c>
      <c r="G23" s="499">
        <f>Data!K44</f>
        <v>0</v>
      </c>
      <c r="H23" s="494">
        <f>Data!M19</f>
        <v>0</v>
      </c>
      <c r="I23" s="494">
        <f>Data!M44</f>
        <v>0</v>
      </c>
      <c r="J23" s="494">
        <f>Data!L19</f>
        <v>0</v>
      </c>
      <c r="K23" s="494">
        <f>Data!L44</f>
        <v>0</v>
      </c>
      <c r="L23" s="494">
        <f>Data!N19</f>
        <v>0</v>
      </c>
      <c r="M23" s="494">
        <f>Data!N44</f>
        <v>0</v>
      </c>
      <c r="N23" s="494">
        <f>Data!O44</f>
        <v>0</v>
      </c>
      <c r="O23" s="499">
        <f>Data!P44</f>
        <v>0</v>
      </c>
      <c r="P23" s="499">
        <f>Data!Q44</f>
        <v>0</v>
      </c>
      <c r="Q23" s="499">
        <f>Data!R44</f>
        <v>0</v>
      </c>
      <c r="R23" s="512" t="str">
        <f>Data!S44</f>
        <v>n/a</v>
      </c>
      <c r="S23" s="513" t="str">
        <f>Data!T44</f>
        <v>n/a</v>
      </c>
      <c r="U23" s="113"/>
      <c r="V23" s="111"/>
    </row>
    <row r="24" spans="2:22" x14ac:dyDescent="0.2">
      <c r="B24" s="511" t="str">
        <f>Data!B20</f>
        <v>Empty</v>
      </c>
      <c r="C24" s="511" t="str">
        <f>Data!C20</f>
        <v/>
      </c>
      <c r="D24" s="511" t="str">
        <f>Data!D20</f>
        <v/>
      </c>
      <c r="E24" s="511" t="str">
        <f>Data!E20</f>
        <v/>
      </c>
      <c r="F24" s="499">
        <f>Data!K20</f>
        <v>0</v>
      </c>
      <c r="G24" s="499">
        <f>Data!K45</f>
        <v>0</v>
      </c>
      <c r="H24" s="494">
        <f>Data!M20</f>
        <v>0</v>
      </c>
      <c r="I24" s="494">
        <f>Data!M45</f>
        <v>0</v>
      </c>
      <c r="J24" s="494">
        <f>Data!L20</f>
        <v>0</v>
      </c>
      <c r="K24" s="494">
        <f>Data!L45</f>
        <v>0</v>
      </c>
      <c r="L24" s="494">
        <f>Data!N20</f>
        <v>0</v>
      </c>
      <c r="M24" s="494">
        <f>Data!N45</f>
        <v>0</v>
      </c>
      <c r="N24" s="494">
        <f>Data!O45</f>
        <v>0</v>
      </c>
      <c r="O24" s="499">
        <f>Data!P45</f>
        <v>0</v>
      </c>
      <c r="P24" s="499">
        <f>Data!Q45</f>
        <v>0</v>
      </c>
      <c r="Q24" s="499">
        <f>Data!R45</f>
        <v>0</v>
      </c>
      <c r="R24" s="512" t="str">
        <f>Data!S45</f>
        <v>n/a</v>
      </c>
      <c r="S24" s="513" t="str">
        <f>Data!T45</f>
        <v>n/a</v>
      </c>
      <c r="U24" s="113"/>
      <c r="V24" s="111"/>
    </row>
    <row r="25" spans="2:22" x14ac:dyDescent="0.2">
      <c r="B25" s="511" t="str">
        <f>Data!B21</f>
        <v>Empty</v>
      </c>
      <c r="C25" s="511" t="str">
        <f>Data!C21</f>
        <v/>
      </c>
      <c r="D25" s="511" t="str">
        <f>Data!D21</f>
        <v/>
      </c>
      <c r="E25" s="511" t="str">
        <f>Data!E21</f>
        <v/>
      </c>
      <c r="F25" s="499">
        <f>Data!K21</f>
        <v>0</v>
      </c>
      <c r="G25" s="499">
        <f>Data!K46</f>
        <v>0</v>
      </c>
      <c r="H25" s="494">
        <f>Data!M21</f>
        <v>0</v>
      </c>
      <c r="I25" s="494">
        <f>Data!M46</f>
        <v>0</v>
      </c>
      <c r="J25" s="494">
        <f>Data!L21</f>
        <v>0</v>
      </c>
      <c r="K25" s="494">
        <f>Data!L46</f>
        <v>0</v>
      </c>
      <c r="L25" s="494">
        <f>Data!N21</f>
        <v>0</v>
      </c>
      <c r="M25" s="494">
        <f>Data!N46</f>
        <v>0</v>
      </c>
      <c r="N25" s="494">
        <f>Data!O46</f>
        <v>0</v>
      </c>
      <c r="O25" s="499">
        <f>Data!P46</f>
        <v>0</v>
      </c>
      <c r="P25" s="499">
        <f>Data!Q46</f>
        <v>0</v>
      </c>
      <c r="Q25" s="499">
        <f>Data!R46</f>
        <v>0</v>
      </c>
      <c r="R25" s="512" t="str">
        <f>Data!S46</f>
        <v>n/a</v>
      </c>
      <c r="S25" s="513" t="str">
        <f>Data!T46</f>
        <v>n/a</v>
      </c>
      <c r="U25" s="113"/>
      <c r="V25" s="111"/>
    </row>
    <row r="26" spans="2:22" x14ac:dyDescent="0.2">
      <c r="B26" s="511" t="str">
        <f>Data!B22</f>
        <v>Empty</v>
      </c>
      <c r="C26" s="511" t="str">
        <f>Data!C22</f>
        <v/>
      </c>
      <c r="D26" s="511" t="str">
        <f>Data!D22</f>
        <v/>
      </c>
      <c r="E26" s="511" t="str">
        <f>Data!E22</f>
        <v/>
      </c>
      <c r="F26" s="499">
        <f>Data!K22</f>
        <v>0</v>
      </c>
      <c r="G26" s="499">
        <f>Data!K47</f>
        <v>0</v>
      </c>
      <c r="H26" s="494">
        <f>Data!M22</f>
        <v>0</v>
      </c>
      <c r="I26" s="494">
        <f>Data!M47</f>
        <v>0</v>
      </c>
      <c r="J26" s="494">
        <f>Data!L22</f>
        <v>0</v>
      </c>
      <c r="K26" s="494">
        <f>Data!L47</f>
        <v>0</v>
      </c>
      <c r="L26" s="494">
        <f>Data!N22</f>
        <v>0</v>
      </c>
      <c r="M26" s="494">
        <f>Data!N47</f>
        <v>0</v>
      </c>
      <c r="N26" s="494">
        <f>Data!O47</f>
        <v>0</v>
      </c>
      <c r="O26" s="499">
        <f>Data!P47</f>
        <v>0</v>
      </c>
      <c r="P26" s="499">
        <f>Data!Q47</f>
        <v>0</v>
      </c>
      <c r="Q26" s="499">
        <f>Data!R47</f>
        <v>0</v>
      </c>
      <c r="R26" s="512" t="str">
        <f>Data!S47</f>
        <v>n/a</v>
      </c>
      <c r="S26" s="513" t="str">
        <f>Data!T47</f>
        <v>n/a</v>
      </c>
      <c r="U26" s="113"/>
      <c r="V26" s="111"/>
    </row>
    <row r="27" spans="2:22" x14ac:dyDescent="0.2">
      <c r="B27" s="511" t="str">
        <f>Data!B23</f>
        <v>Empty</v>
      </c>
      <c r="C27" s="511" t="str">
        <f>Data!C23</f>
        <v/>
      </c>
      <c r="D27" s="511" t="str">
        <f>Data!D23</f>
        <v/>
      </c>
      <c r="E27" s="511" t="str">
        <f>Data!E23</f>
        <v/>
      </c>
      <c r="F27" s="499">
        <f>Data!K23</f>
        <v>0</v>
      </c>
      <c r="G27" s="499">
        <f>Data!K48</f>
        <v>0</v>
      </c>
      <c r="H27" s="494">
        <f>Data!M23</f>
        <v>0</v>
      </c>
      <c r="I27" s="494">
        <f>Data!M48</f>
        <v>0</v>
      </c>
      <c r="J27" s="494">
        <f>Data!L23</f>
        <v>0</v>
      </c>
      <c r="K27" s="494">
        <f>Data!L48</f>
        <v>0</v>
      </c>
      <c r="L27" s="494">
        <f>Data!N23</f>
        <v>0</v>
      </c>
      <c r="M27" s="494">
        <f>Data!N48</f>
        <v>0</v>
      </c>
      <c r="N27" s="494">
        <f>Data!O48</f>
        <v>0</v>
      </c>
      <c r="O27" s="499">
        <f>Data!P48</f>
        <v>0</v>
      </c>
      <c r="P27" s="499">
        <f>Data!Q48</f>
        <v>0</v>
      </c>
      <c r="Q27" s="499">
        <f>Data!R48</f>
        <v>0</v>
      </c>
      <c r="R27" s="512" t="str">
        <f>Data!S48</f>
        <v>n/a</v>
      </c>
      <c r="S27" s="513" t="str">
        <f>Data!T48</f>
        <v>n/a</v>
      </c>
      <c r="U27" s="113"/>
      <c r="V27" s="111"/>
    </row>
  </sheetData>
  <sheetProtection password="C925" sheet="1" objects="1" scenarios="1" formatColumns="0" formatRows="0"/>
  <mergeCells count="7">
    <mergeCell ref="B2:S2"/>
    <mergeCell ref="B4:S4"/>
    <mergeCell ref="F6:G6"/>
    <mergeCell ref="H6:I6"/>
    <mergeCell ref="L6:M6"/>
    <mergeCell ref="J6:K6"/>
    <mergeCell ref="N6:S6"/>
  </mergeCells>
  <pageMargins left="0.5" right="0.5" top="0.75" bottom="0.75" header="0.3" footer="0.3"/>
  <pageSetup scale="95" orientation="landscape" r:id="rId1"/>
  <colBreaks count="2" manualBreakCount="2">
    <brk id="5" max="1048575" man="1"/>
    <brk id="13" min="1" max="26" man="1"/>
  </col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B1:U44"/>
  <sheetViews>
    <sheetView showGridLines="0" showRowColHeaders="0" zoomScale="110" zoomScaleNormal="110" workbookViewId="0">
      <pane ySplit="2" topLeftCell="A3" activePane="bottomLeft" state="frozen"/>
      <selection pane="bottomLeft"/>
    </sheetView>
  </sheetViews>
  <sheetFormatPr defaultColWidth="9.42578125" defaultRowHeight="12.75" x14ac:dyDescent="0.2"/>
  <cols>
    <col min="1" max="1" width="1" style="2" customWidth="1"/>
    <col min="2" max="2" width="4" style="2" customWidth="1"/>
    <col min="3" max="3" width="36.42578125" style="2" bestFit="1" customWidth="1"/>
    <col min="4" max="4" width="21.5703125" style="2" customWidth="1"/>
    <col min="5" max="5" width="1.5703125" style="2" customWidth="1"/>
    <col min="6" max="9" width="13.5703125" style="2" customWidth="1"/>
    <col min="10" max="10" width="1.5703125" style="2" customWidth="1"/>
    <col min="11" max="14" width="10.5703125" style="2" customWidth="1"/>
    <col min="15" max="15" width="1.5703125" style="2" customWidth="1"/>
    <col min="16" max="19" width="10.5703125" style="2" customWidth="1"/>
    <col min="20" max="21" width="3.42578125" style="2" customWidth="1"/>
    <col min="22" max="22" width="1" style="2" customWidth="1"/>
    <col min="23" max="16384" width="9.42578125" style="2"/>
  </cols>
  <sheetData>
    <row r="1" spans="2:21" ht="5.0999999999999996" customHeight="1" thickBot="1" x14ac:dyDescent="0.25"/>
    <row r="2" spans="2:21" ht="38.25" customHeight="1" x14ac:dyDescent="0.2">
      <c r="B2" s="703" t="s">
        <v>905</v>
      </c>
      <c r="C2" s="703"/>
      <c r="D2" s="703"/>
      <c r="E2" s="703"/>
      <c r="F2" s="703"/>
      <c r="G2" s="703"/>
      <c r="H2" s="703"/>
      <c r="I2" s="703"/>
      <c r="J2" s="703"/>
      <c r="K2" s="703"/>
      <c r="L2" s="703"/>
      <c r="M2" s="703"/>
      <c r="N2" s="703"/>
      <c r="O2" s="703"/>
      <c r="P2" s="703"/>
      <c r="Q2" s="703"/>
      <c r="R2" s="703"/>
      <c r="S2" s="703"/>
      <c r="T2" s="703"/>
      <c r="U2" s="703"/>
    </row>
    <row r="3" spans="2:21" x14ac:dyDescent="0.2">
      <c r="B3" s="589"/>
      <c r="C3" s="590"/>
      <c r="D3" s="590"/>
      <c r="E3" s="590"/>
      <c r="F3" s="590"/>
      <c r="G3" s="590"/>
      <c r="H3" s="590"/>
      <c r="I3" s="590"/>
      <c r="J3" s="590"/>
      <c r="K3" s="590"/>
      <c r="L3" s="590"/>
      <c r="M3" s="590"/>
      <c r="N3" s="590"/>
      <c r="O3" s="590"/>
      <c r="P3" s="590"/>
      <c r="Q3" s="590"/>
      <c r="R3" s="590"/>
      <c r="S3" s="590"/>
      <c r="T3" s="590"/>
      <c r="U3" s="591"/>
    </row>
    <row r="4" spans="2:21" x14ac:dyDescent="0.2">
      <c r="B4" s="3"/>
      <c r="U4" s="4"/>
    </row>
    <row r="5" spans="2:21" ht="16.5" thickBot="1" x14ac:dyDescent="0.3">
      <c r="B5" s="3"/>
      <c r="F5" s="714" t="s">
        <v>906</v>
      </c>
      <c r="G5" s="714"/>
      <c r="H5" s="714"/>
      <c r="I5" s="714"/>
      <c r="K5" s="714" t="str">
        <f>"Annual Net Energy Savings ("&amp;Energy_1&amp;")"</f>
        <v>Annual Net Energy Savings (kWh)</v>
      </c>
      <c r="L5" s="714"/>
      <c r="M5" s="714"/>
      <c r="N5" s="714"/>
      <c r="P5" s="714" t="str">
        <f>"Annual Net Demand Savings ("&amp;Demand_1&amp;")"</f>
        <v>Annual Net Demand Savings (kW)</v>
      </c>
      <c r="Q5" s="714"/>
      <c r="R5" s="714"/>
      <c r="S5" s="714"/>
      <c r="U5" s="4"/>
    </row>
    <row r="6" spans="2:21" x14ac:dyDescent="0.2">
      <c r="B6" s="3"/>
      <c r="F6" s="712">
        <f>Titles!F2-1</f>
        <v>2024</v>
      </c>
      <c r="G6" s="713"/>
      <c r="H6" s="712">
        <f>F6+1</f>
        <v>2025</v>
      </c>
      <c r="I6" s="713"/>
      <c r="K6" s="712">
        <f>F6</f>
        <v>2024</v>
      </c>
      <c r="L6" s="713"/>
      <c r="M6" s="712">
        <f>H6</f>
        <v>2025</v>
      </c>
      <c r="N6" s="713"/>
      <c r="P6" s="712">
        <f>K6</f>
        <v>2024</v>
      </c>
      <c r="Q6" s="713"/>
      <c r="R6" s="712">
        <f>M6</f>
        <v>2025</v>
      </c>
      <c r="S6" s="713"/>
      <c r="U6" s="4"/>
    </row>
    <row r="7" spans="2:21" ht="12.75" customHeight="1" thickBot="1" x14ac:dyDescent="0.3">
      <c r="B7" s="7"/>
      <c r="C7" s="8" t="s">
        <v>85</v>
      </c>
      <c r="D7" s="8" t="s">
        <v>86</v>
      </c>
      <c r="E7" s="8"/>
      <c r="F7" s="467" t="s">
        <v>553</v>
      </c>
      <c r="G7" s="606" t="s">
        <v>554</v>
      </c>
      <c r="H7" s="467" t="s">
        <v>553</v>
      </c>
      <c r="I7" s="606" t="s">
        <v>554</v>
      </c>
      <c r="J7" s="8"/>
      <c r="K7" s="467" t="s">
        <v>555</v>
      </c>
      <c r="L7" s="606" t="s">
        <v>556</v>
      </c>
      <c r="M7" s="467" t="s">
        <v>555</v>
      </c>
      <c r="N7" s="606" t="s">
        <v>556</v>
      </c>
      <c r="O7" s="8"/>
      <c r="P7" s="467" t="s">
        <v>555</v>
      </c>
      <c r="Q7" s="606" t="s">
        <v>556</v>
      </c>
      <c r="R7" s="467" t="s">
        <v>555</v>
      </c>
      <c r="S7" s="606" t="s">
        <v>556</v>
      </c>
      <c r="T7" s="8"/>
      <c r="U7" s="4"/>
    </row>
    <row r="8" spans="2:21" ht="12.75" customHeight="1" x14ac:dyDescent="0.25">
      <c r="B8" s="126">
        <v>1</v>
      </c>
      <c r="C8" s="127" t="str">
        <f>'Program Descriptions'!C5</f>
        <v>Home Energy Solutions</v>
      </c>
      <c r="D8" s="127" t="str">
        <f>IF(ISBLANK('Program Descriptions'!E5),"",'Program Descriptions'!E5)</f>
        <v>Residential</v>
      </c>
      <c r="E8" s="127"/>
      <c r="F8" s="340">
        <f>'Prior Year Progam'!H9</f>
        <v>15266393.991132263</v>
      </c>
      <c r="G8" s="341">
        <f>'Prior Year Progam'!I9</f>
        <v>11705868.135685854</v>
      </c>
      <c r="H8" s="340">
        <f>Data!K4</f>
        <v>15248596.375572719</v>
      </c>
      <c r="I8" s="342">
        <f>Data!K29</f>
        <v>12494941.98650186</v>
      </c>
      <c r="J8" s="8"/>
      <c r="K8" s="343">
        <f>'Prior Year Progam'!M9</f>
        <v>27263296.821846999</v>
      </c>
      <c r="L8" s="344">
        <f>'Prior Year Progam'!N9</f>
        <v>29270923.309294891</v>
      </c>
      <c r="M8" s="343">
        <f>Data!M4</f>
        <v>27272531.0301213</v>
      </c>
      <c r="N8" s="345">
        <f>Data!M29</f>
        <v>30406973.18046065</v>
      </c>
      <c r="O8" s="8"/>
      <c r="P8" s="343">
        <f>'Prior Year Progam'!R9</f>
        <v>9071.2239754251295</v>
      </c>
      <c r="Q8" s="344">
        <f>'Prior Year Progam'!S9</f>
        <v>9880.5911226851385</v>
      </c>
      <c r="R8" s="343">
        <f>Data!L4</f>
        <v>9072.1565942814195</v>
      </c>
      <c r="S8" s="345">
        <f>Data!L29</f>
        <v>9970.9398610737026</v>
      </c>
      <c r="T8" s="8"/>
      <c r="U8" s="4"/>
    </row>
    <row r="9" spans="2:21" ht="12.75" customHeight="1" x14ac:dyDescent="0.25">
      <c r="B9" s="126">
        <v>2</v>
      </c>
      <c r="C9" s="127" t="str">
        <f>'Program Descriptions'!C6</f>
        <v>Multifamily Homes</v>
      </c>
      <c r="D9" s="127" t="str">
        <f>IF(ISBLANK('Program Descriptions'!E6),"",'Program Descriptions'!E6)</f>
        <v>Residential</v>
      </c>
      <c r="E9" s="127"/>
      <c r="F9" s="444">
        <f>'Prior Year Progam'!H10</f>
        <v>2808661.4451723397</v>
      </c>
      <c r="G9" s="514">
        <f>'Prior Year Progam'!I10</f>
        <v>2282537.1411306723</v>
      </c>
      <c r="H9" s="444">
        <f>Data!K5</f>
        <v>2856920.9541101647</v>
      </c>
      <c r="I9" s="445">
        <f>Data!K30</f>
        <v>2616186.8275253</v>
      </c>
      <c r="J9" s="8"/>
      <c r="K9" s="446">
        <f>'Prior Year Progam'!M10</f>
        <v>9603665.4155000001</v>
      </c>
      <c r="L9" s="515">
        <f>'Prior Year Progam'!N10</f>
        <v>10030475.639955349</v>
      </c>
      <c r="M9" s="446">
        <f>Data!M5</f>
        <v>9784860.4155000001</v>
      </c>
      <c r="N9" s="447">
        <f>Data!M30</f>
        <v>10077059.989879465</v>
      </c>
      <c r="O9" s="8"/>
      <c r="P9" s="446">
        <f>'Prior Year Progam'!R10</f>
        <v>1452.2384999999999</v>
      </c>
      <c r="Q9" s="515">
        <f>'Prior Year Progam'!S10</f>
        <v>1359.652997227334</v>
      </c>
      <c r="R9" s="446">
        <f>Data!L5</f>
        <v>1472.4884999999999</v>
      </c>
      <c r="S9" s="447">
        <f>Data!L30</f>
        <v>1607.1534009760283</v>
      </c>
      <c r="T9" s="8"/>
      <c r="U9" s="4"/>
    </row>
    <row r="10" spans="2:21" ht="12.75" customHeight="1" x14ac:dyDescent="0.25">
      <c r="B10" s="126">
        <v>3</v>
      </c>
      <c r="C10" s="127" t="str">
        <f>'Program Descriptions'!C7</f>
        <v>Manufactured Homes</v>
      </c>
      <c r="D10" s="127" t="str">
        <f>IF(ISBLANK('Program Descriptions'!E7),"",'Program Descriptions'!E7)</f>
        <v>Residential</v>
      </c>
      <c r="E10" s="127"/>
      <c r="F10" s="444">
        <f>'Prior Year Progam'!H11</f>
        <v>1426035.8156363645</v>
      </c>
      <c r="G10" s="514">
        <f>'Prior Year Progam'!I11</f>
        <v>1144708.8822132822</v>
      </c>
      <c r="H10" s="444">
        <f>Data!K6</f>
        <v>1420560.1612621918</v>
      </c>
      <c r="I10" s="445">
        <f>Data!K31</f>
        <v>1310088.7154859044</v>
      </c>
      <c r="J10" s="8"/>
      <c r="K10" s="446">
        <f>'Prior Year Progam'!M11</f>
        <v>5023384.1359999999</v>
      </c>
      <c r="L10" s="515">
        <f>'Prior Year Progam'!N11</f>
        <v>4525460.0974663859</v>
      </c>
      <c r="M10" s="446">
        <f>Data!M6</f>
        <v>5023384.1359999999</v>
      </c>
      <c r="N10" s="447">
        <f>Data!M31</f>
        <v>5070585.2644848609</v>
      </c>
      <c r="O10" s="8"/>
      <c r="P10" s="446">
        <f>'Prior Year Progam'!R11</f>
        <v>804.73099999999999</v>
      </c>
      <c r="Q10" s="515">
        <f>'Prior Year Progam'!S11</f>
        <v>639.89767549602641</v>
      </c>
      <c r="R10" s="446">
        <f>Data!L6</f>
        <v>804.73099999999999</v>
      </c>
      <c r="S10" s="447">
        <f>Data!L31</f>
        <v>719.19207163148815</v>
      </c>
      <c r="T10" s="8"/>
      <c r="U10" s="4"/>
    </row>
    <row r="11" spans="2:21" ht="12.75" customHeight="1" x14ac:dyDescent="0.25">
      <c r="B11" s="126">
        <v>4</v>
      </c>
      <c r="C11" s="127" t="str">
        <f>'Program Descriptions'!C8</f>
        <v xml:space="preserve">Low-Income Solutions </v>
      </c>
      <c r="D11" s="127" t="str">
        <f>IF(ISBLANK('Program Descriptions'!E8),"",'Program Descriptions'!E8)</f>
        <v>Residential</v>
      </c>
      <c r="E11" s="127"/>
      <c r="F11" s="444">
        <f>'Prior Year Progam'!H12</f>
        <v>5384249.3367566662</v>
      </c>
      <c r="G11" s="514">
        <f>'Prior Year Progam'!I12</f>
        <v>3691224.931654931</v>
      </c>
      <c r="H11" s="444">
        <f>Data!K7</f>
        <v>5412099.8553003902</v>
      </c>
      <c r="I11" s="445">
        <f>Data!K32</f>
        <v>4763927.8427500166</v>
      </c>
      <c r="J11" s="8"/>
      <c r="K11" s="446">
        <f>'Prior Year Progam'!M12</f>
        <v>7872898.9500000002</v>
      </c>
      <c r="L11" s="515">
        <f>'Prior Year Progam'!N12</f>
        <v>7675406.3224241361</v>
      </c>
      <c r="M11" s="446">
        <f>Data!M7</f>
        <v>7872898.9500000002</v>
      </c>
      <c r="N11" s="447">
        <f>Data!M32</f>
        <v>8312577.7166410862</v>
      </c>
      <c r="O11" s="8"/>
      <c r="P11" s="446">
        <f>'Prior Year Progam'!R12</f>
        <v>1903.9466666666699</v>
      </c>
      <c r="Q11" s="515">
        <f>'Prior Year Progam'!S12</f>
        <v>1847.6325776307497</v>
      </c>
      <c r="R11" s="446">
        <f>Data!L7</f>
        <v>1903.9466666666699</v>
      </c>
      <c r="S11" s="447">
        <f>Data!L32</f>
        <v>2377.2343506521393</v>
      </c>
      <c r="T11" s="8"/>
      <c r="U11" s="4"/>
    </row>
    <row r="12" spans="2:21" ht="12.75" customHeight="1" x14ac:dyDescent="0.25">
      <c r="B12" s="126">
        <v>5</v>
      </c>
      <c r="C12" s="127" t="str">
        <f>'Program Descriptions'!C9</f>
        <v>Point of Purchase Solutions</v>
      </c>
      <c r="D12" s="127" t="str">
        <f>IF(ISBLANK('Program Descriptions'!E9),"",'Program Descriptions'!E9)</f>
        <v>All Classes</v>
      </c>
      <c r="E12" s="127"/>
      <c r="F12" s="444">
        <f>'Prior Year Progam'!H13</f>
        <v>8751341.9164119139</v>
      </c>
      <c r="G12" s="514">
        <f>'Prior Year Progam'!I13</f>
        <v>7887959.7989369221</v>
      </c>
      <c r="H12" s="444">
        <f>Data!K8</f>
        <v>8741247.6151663307</v>
      </c>
      <c r="I12" s="445">
        <f>Data!K33</f>
        <v>7476072.8865874726</v>
      </c>
      <c r="J12" s="8"/>
      <c r="K12" s="446">
        <f>'Prior Year Progam'!M13</f>
        <v>55525078.901915103</v>
      </c>
      <c r="L12" s="515">
        <f>'Prior Year Progam'!N13</f>
        <v>57949096.364067532</v>
      </c>
      <c r="M12" s="446">
        <f>Data!M8</f>
        <v>54949160.336915098</v>
      </c>
      <c r="N12" s="447">
        <f>Data!M33</f>
        <v>57671890.179663248</v>
      </c>
      <c r="O12" s="8"/>
      <c r="P12" s="446">
        <f>'Prior Year Progam'!R13</f>
        <v>6618.3860386772203</v>
      </c>
      <c r="Q12" s="515">
        <f>'Prior Year Progam'!S13</f>
        <v>6004.1536421741039</v>
      </c>
      <c r="R12" s="446">
        <f>Data!L8</f>
        <v>6476.5710836772196</v>
      </c>
      <c r="S12" s="447">
        <f>Data!L33</f>
        <v>5820.0255478381659</v>
      </c>
      <c r="T12" s="8"/>
      <c r="U12" s="4"/>
    </row>
    <row r="13" spans="2:21" ht="12.75" customHeight="1" x14ac:dyDescent="0.25">
      <c r="B13" s="126">
        <v>6</v>
      </c>
      <c r="C13" s="127" t="str">
        <f>'Program Descriptions'!C10</f>
        <v>Large Commercial &amp; Industrial Solutions</v>
      </c>
      <c r="D13" s="127" t="str">
        <f>IF(ISBLANK('Program Descriptions'!E10),"",'Program Descriptions'!E10)</f>
        <v>Commercial &amp; Industrial</v>
      </c>
      <c r="E13" s="127"/>
      <c r="F13" s="444">
        <f>'Prior Year Progam'!H14</f>
        <v>19010281.254046436</v>
      </c>
      <c r="G13" s="514">
        <f>'Prior Year Progam'!I14</f>
        <v>15068046.885471053</v>
      </c>
      <c r="H13" s="444">
        <f>Data!K9</f>
        <v>19083445.352329567</v>
      </c>
      <c r="I13" s="445">
        <f>Data!K34</f>
        <v>12876548.849602131</v>
      </c>
      <c r="J13" s="8"/>
      <c r="K13" s="446">
        <f>'Prior Year Progam'!M14</f>
        <v>105503573.110254</v>
      </c>
      <c r="L13" s="515">
        <f>'Prior Year Progam'!N14</f>
        <v>106560256.5469797</v>
      </c>
      <c r="M13" s="446">
        <f>Data!M9</f>
        <v>105503573.110254</v>
      </c>
      <c r="N13" s="447">
        <f>Data!M34</f>
        <v>106468813.42825335</v>
      </c>
      <c r="O13" s="8"/>
      <c r="P13" s="446">
        <f>'Prior Year Progam'!R14</f>
        <v>14936.931122461399</v>
      </c>
      <c r="Q13" s="515">
        <f>'Prior Year Progam'!S14</f>
        <v>17223.332392285818</v>
      </c>
      <c r="R13" s="446">
        <f>Data!L9</f>
        <v>14936.931122461399</v>
      </c>
      <c r="S13" s="447">
        <f>Data!L34</f>
        <v>13133.008398738688</v>
      </c>
      <c r="T13" s="8"/>
      <c r="U13" s="4"/>
    </row>
    <row r="14" spans="2:21" ht="12.75" customHeight="1" x14ac:dyDescent="0.25">
      <c r="B14" s="126">
        <v>7</v>
      </c>
      <c r="C14" s="127" t="str">
        <f>'Program Descriptions'!C11</f>
        <v>Small Business Solutions</v>
      </c>
      <c r="D14" s="127" t="str">
        <f>IF(ISBLANK('Program Descriptions'!E11),"",'Program Descriptions'!E11)</f>
        <v>Small Business</v>
      </c>
      <c r="E14" s="127"/>
      <c r="F14" s="444">
        <f>'Prior Year Progam'!H15</f>
        <v>4172561.066422848</v>
      </c>
      <c r="G14" s="514">
        <f>'Prior Year Progam'!I15</f>
        <v>2016541.8793523316</v>
      </c>
      <c r="H14" s="444">
        <f>Data!K10</f>
        <v>4178985.9141110736</v>
      </c>
      <c r="I14" s="445">
        <f>Data!K35</f>
        <v>2152818.7915076138</v>
      </c>
      <c r="J14" s="8"/>
      <c r="K14" s="446">
        <f>'Prior Year Progam'!M15</f>
        <v>17147011.9466592</v>
      </c>
      <c r="L14" s="515">
        <f>'Prior Year Progam'!N15</f>
        <v>8754457.3221529014</v>
      </c>
      <c r="M14" s="446">
        <f>Data!M10</f>
        <v>17147011.9466592</v>
      </c>
      <c r="N14" s="447">
        <f>Data!M35</f>
        <v>9777978.5595276505</v>
      </c>
      <c r="O14" s="8"/>
      <c r="P14" s="446">
        <f>'Prior Year Progam'!R15</f>
        <v>2874.39805920341</v>
      </c>
      <c r="Q14" s="515">
        <f>'Prior Year Progam'!S15</f>
        <v>1466.9644154710174</v>
      </c>
      <c r="R14" s="446">
        <f>Data!L10</f>
        <v>2874.39805920341</v>
      </c>
      <c r="S14" s="447">
        <f>Data!L35</f>
        <v>1569.0608079820718</v>
      </c>
      <c r="T14" s="8"/>
      <c r="U14" s="4"/>
    </row>
    <row r="15" spans="2:21" ht="12.75" customHeight="1" x14ac:dyDescent="0.25">
      <c r="B15" s="126">
        <v>8</v>
      </c>
      <c r="C15" s="127" t="str">
        <f>'Program Descriptions'!C12</f>
        <v xml:space="preserve">Public Institutions Solutions </v>
      </c>
      <c r="D15" s="127" t="str">
        <f>IF(ISBLANK('Program Descriptions'!E12),"",'Program Descriptions'!E12)</f>
        <v>Municipalities/Schools</v>
      </c>
      <c r="E15" s="127"/>
      <c r="F15" s="444">
        <f>'Prior Year Progam'!H16</f>
        <v>2964696.8476506155</v>
      </c>
      <c r="G15" s="514">
        <f>'Prior Year Progam'!I16</f>
        <v>2269902.5327492021</v>
      </c>
      <c r="H15" s="444">
        <f>Data!K11</f>
        <v>2977577.1560955308</v>
      </c>
      <c r="I15" s="445">
        <f>Data!K36</f>
        <v>2534633.1074223933</v>
      </c>
      <c r="J15" s="8"/>
      <c r="K15" s="446">
        <f>'Prior Year Progam'!M16</f>
        <v>14514891.427528501</v>
      </c>
      <c r="L15" s="515">
        <f>'Prior Year Progam'!N16</f>
        <v>15695268.854589323</v>
      </c>
      <c r="M15" s="446">
        <f>Data!M11</f>
        <v>14514891.427528501</v>
      </c>
      <c r="N15" s="447">
        <f>Data!M36</f>
        <v>16338233.136987923</v>
      </c>
      <c r="O15" s="8"/>
      <c r="P15" s="446">
        <f>'Prior Year Progam'!R16</f>
        <v>2850.4554095571102</v>
      </c>
      <c r="Q15" s="515">
        <f>'Prior Year Progam'!S16</f>
        <v>2435.3518679671424</v>
      </c>
      <c r="R15" s="446">
        <f>Data!L11</f>
        <v>2850.4554095571102</v>
      </c>
      <c r="S15" s="447">
        <f>Data!L36</f>
        <v>2675.8490454759699</v>
      </c>
      <c r="T15" s="8"/>
      <c r="U15" s="4"/>
    </row>
    <row r="16" spans="2:21" ht="12.75" customHeight="1" x14ac:dyDescent="0.25">
      <c r="B16" s="126">
        <v>9</v>
      </c>
      <c r="C16" s="127" t="str">
        <f>'Program Descriptions'!C13</f>
        <v>Agricultural Energy Solutions</v>
      </c>
      <c r="D16" s="127" t="str">
        <f>IF(ISBLANK('Program Descriptions'!E13),"",'Program Descriptions'!E13)</f>
        <v>Agriculture</v>
      </c>
      <c r="E16" s="127"/>
      <c r="F16" s="444">
        <f>'Prior Year Progam'!H17</f>
        <v>2121871.1987859295</v>
      </c>
      <c r="G16" s="514">
        <f>'Prior Year Progam'!I17</f>
        <v>1286225.1523420648</v>
      </c>
      <c r="H16" s="444">
        <f>Data!K12</f>
        <v>2197591.0402293657</v>
      </c>
      <c r="I16" s="445">
        <f>Data!K37</f>
        <v>2019448.557168236</v>
      </c>
      <c r="J16" s="8"/>
      <c r="K16" s="446">
        <f>'Prior Year Progam'!M17</f>
        <v>6651726.7632648004</v>
      </c>
      <c r="L16" s="515">
        <f>'Prior Year Progam'!N17</f>
        <v>7894087.6442670003</v>
      </c>
      <c r="M16" s="446">
        <f>Data!M12</f>
        <v>7060545.7997548003</v>
      </c>
      <c r="N16" s="447">
        <f>Data!M37</f>
        <v>7194115.5260958355</v>
      </c>
      <c r="O16" s="8"/>
      <c r="P16" s="446">
        <f>'Prior Year Progam'!R17</f>
        <v>1050.25858932031</v>
      </c>
      <c r="Q16" s="515">
        <f>'Prior Year Progam'!S17</f>
        <v>817.14782159999993</v>
      </c>
      <c r="R16" s="446">
        <f>Data!L12</f>
        <v>1104.10181093031</v>
      </c>
      <c r="S16" s="447">
        <f>Data!L37</f>
        <v>340.34000000000003</v>
      </c>
      <c r="T16" s="8"/>
      <c r="U16" s="4"/>
    </row>
    <row r="17" spans="2:21" ht="12.75" customHeight="1" x14ac:dyDescent="0.25">
      <c r="B17" s="126">
        <v>10</v>
      </c>
      <c r="C17" s="127" t="str">
        <f>'Program Descriptions'!C14</f>
        <v>Residential Direct Load Control</v>
      </c>
      <c r="D17" s="127" t="str">
        <f>IF(ISBLANK('Program Descriptions'!E14),"",'Program Descriptions'!E14)</f>
        <v>Residential</v>
      </c>
      <c r="E17" s="127"/>
      <c r="F17" s="444">
        <f>'Prior Year Progam'!H18</f>
        <v>2698350</v>
      </c>
      <c r="G17" s="514">
        <f>'Prior Year Progam'!I18</f>
        <v>2372587.8343897923</v>
      </c>
      <c r="H17" s="444">
        <f>Data!K13</f>
        <v>2666350.0000000005</v>
      </c>
      <c r="I17" s="445">
        <f>Data!K38</f>
        <v>2345939.6299310033</v>
      </c>
      <c r="J17" s="8"/>
      <c r="K17" s="446">
        <f>'Prior Year Progam'!M18</f>
        <v>0</v>
      </c>
      <c r="L17" s="515">
        <f>'Prior Year Progam'!N18</f>
        <v>0</v>
      </c>
      <c r="M17" s="446">
        <f>Data!M13</f>
        <v>0</v>
      </c>
      <c r="N17" s="447">
        <f>Data!M38</f>
        <v>0</v>
      </c>
      <c r="O17" s="8"/>
      <c r="P17" s="446">
        <f>'Prior Year Progam'!R18</f>
        <v>10506.2045259238</v>
      </c>
      <c r="Q17" s="515">
        <f>'Prior Year Progam'!S18</f>
        <v>13643.689399999999</v>
      </c>
      <c r="R17" s="446">
        <f>Data!L13</f>
        <v>9888.19249498711</v>
      </c>
      <c r="S17" s="447">
        <f>Data!L38</f>
        <v>13675</v>
      </c>
      <c r="T17" s="8"/>
      <c r="U17" s="4"/>
    </row>
    <row r="18" spans="2:21" ht="12.75" customHeight="1" x14ac:dyDescent="0.25">
      <c r="B18" s="126">
        <v>11</v>
      </c>
      <c r="C18" s="127" t="str">
        <f>'Program Descriptions'!C15</f>
        <v xml:space="preserve">Smart Direct Load Control Pilot </v>
      </c>
      <c r="D18" s="127" t="str">
        <f>IF(ISBLANK('Program Descriptions'!E15),"",'Program Descriptions'!E15)</f>
        <v>Res/Small Business</v>
      </c>
      <c r="E18" s="127"/>
      <c r="F18" s="444">
        <f>'Prior Year Progam'!H19</f>
        <v>5311365.5999999996</v>
      </c>
      <c r="G18" s="514">
        <f>'Prior Year Progam'!I19</f>
        <v>4625493.4883515928</v>
      </c>
      <c r="H18" s="444">
        <f>Data!K14</f>
        <v>5718976.8999999994</v>
      </c>
      <c r="I18" s="445">
        <f>Data!K39</f>
        <v>4902381.89020494</v>
      </c>
      <c r="J18" s="8"/>
      <c r="K18" s="446">
        <f>'Prior Year Progam'!M19</f>
        <v>4384533.5712000001</v>
      </c>
      <c r="L18" s="515">
        <f>'Prior Year Progam'!N19</f>
        <v>3340504</v>
      </c>
      <c r="M18" s="446">
        <f>Data!M14</f>
        <v>4280579.2548000002</v>
      </c>
      <c r="N18" s="447">
        <f>Data!M39</f>
        <v>4521927</v>
      </c>
      <c r="O18" s="8"/>
      <c r="P18" s="446">
        <f>'Prior Year Progam'!R19</f>
        <v>13655.32806</v>
      </c>
      <c r="Q18" s="515">
        <f>'Prior Year Progam'!S19</f>
        <v>6753.4</v>
      </c>
      <c r="R18" s="446">
        <f>Data!L14</f>
        <v>16851.286059999999</v>
      </c>
      <c r="S18" s="447">
        <f>Data!L39</f>
        <v>5554.4400000000005</v>
      </c>
      <c r="T18" s="8"/>
      <c r="U18" s="4"/>
    </row>
    <row r="19" spans="2:21" ht="12.75" customHeight="1" x14ac:dyDescent="0.25">
      <c r="B19" s="126">
        <v>12</v>
      </c>
      <c r="C19" s="127" t="str">
        <f>'Program Descriptions'!C16</f>
        <v>Agricultural Irrigation Load Control</v>
      </c>
      <c r="D19" s="127" t="str">
        <f>IF(ISBLANK('Program Descriptions'!E16),"",'Program Descriptions'!E16)</f>
        <v>Agriculture</v>
      </c>
      <c r="E19" s="127"/>
      <c r="F19" s="444">
        <f>'Prior Year Progam'!H20</f>
        <v>3764178.5300000007</v>
      </c>
      <c r="G19" s="514">
        <f>'Prior Year Progam'!I20</f>
        <v>3669706.2477223007</v>
      </c>
      <c r="H19" s="444">
        <f>Data!K15</f>
        <v>3797839.0106500001</v>
      </c>
      <c r="I19" s="445">
        <f>Data!K40</f>
        <v>3721323.8753131311</v>
      </c>
      <c r="J19" s="8"/>
      <c r="K19" s="446">
        <f>'Prior Year Progam'!M20</f>
        <v>0</v>
      </c>
      <c r="L19" s="515">
        <f>'Prior Year Progam'!N20</f>
        <v>0</v>
      </c>
      <c r="M19" s="446">
        <f>Data!M15</f>
        <v>0</v>
      </c>
      <c r="N19" s="447">
        <f>Data!M40</f>
        <v>0</v>
      </c>
      <c r="O19" s="8"/>
      <c r="P19" s="446">
        <f>'Prior Year Progam'!R20</f>
        <v>22800</v>
      </c>
      <c r="Q19" s="515">
        <f>'Prior Year Progam'!S20</f>
        <v>18328.400000000001</v>
      </c>
      <c r="R19" s="446">
        <f>Data!L15</f>
        <v>25200</v>
      </c>
      <c r="S19" s="447">
        <f>Data!L40</f>
        <v>17847.3</v>
      </c>
      <c r="T19" s="8"/>
      <c r="U19" s="4"/>
    </row>
    <row r="20" spans="2:21" ht="12.75" customHeight="1" x14ac:dyDescent="0.25">
      <c r="B20" s="126">
        <v>13</v>
      </c>
      <c r="C20" s="127" t="str">
        <f>'Program Descriptions'!C17</f>
        <v>Empty</v>
      </c>
      <c r="D20" s="127" t="str">
        <f>IF(ISBLANK('Program Descriptions'!E17),"",'Program Descriptions'!E17)</f>
        <v/>
      </c>
      <c r="E20" s="127"/>
      <c r="F20" s="444">
        <f>'Prior Year Progam'!H21</f>
        <v>0</v>
      </c>
      <c r="G20" s="514">
        <f>'Prior Year Progam'!I21</f>
        <v>0</v>
      </c>
      <c r="H20" s="444">
        <f>Data!K16</f>
        <v>0</v>
      </c>
      <c r="I20" s="445">
        <f>Data!K41</f>
        <v>0</v>
      </c>
      <c r="J20" s="8"/>
      <c r="K20" s="446">
        <f>'Prior Year Progam'!M21</f>
        <v>0</v>
      </c>
      <c r="L20" s="515">
        <f>'Prior Year Progam'!N21</f>
        <v>0</v>
      </c>
      <c r="M20" s="446">
        <f>Data!M16</f>
        <v>0</v>
      </c>
      <c r="N20" s="447">
        <f>Data!M41</f>
        <v>0</v>
      </c>
      <c r="O20" s="8"/>
      <c r="P20" s="446">
        <f>'Prior Year Progam'!R21</f>
        <v>0</v>
      </c>
      <c r="Q20" s="515">
        <f>'Prior Year Progam'!S21</f>
        <v>0</v>
      </c>
      <c r="R20" s="446">
        <f>Data!L16</f>
        <v>0</v>
      </c>
      <c r="S20" s="447">
        <f>Data!L41</f>
        <v>0</v>
      </c>
      <c r="T20" s="8"/>
      <c r="U20" s="4"/>
    </row>
    <row r="21" spans="2:21" ht="12.75" customHeight="1" x14ac:dyDescent="0.25">
      <c r="B21" s="126">
        <v>14</v>
      </c>
      <c r="C21" s="127" t="str">
        <f>'Program Descriptions'!C18</f>
        <v>Empty</v>
      </c>
      <c r="D21" s="127" t="str">
        <f>IF(ISBLANK('Program Descriptions'!E18),"",'Program Descriptions'!E18)</f>
        <v/>
      </c>
      <c r="E21" s="127"/>
      <c r="F21" s="444">
        <f>'Prior Year Progam'!H22</f>
        <v>0</v>
      </c>
      <c r="G21" s="514">
        <f>'Prior Year Progam'!I22</f>
        <v>0</v>
      </c>
      <c r="H21" s="444">
        <f>Data!K17</f>
        <v>0</v>
      </c>
      <c r="I21" s="445">
        <f>Data!K42</f>
        <v>0</v>
      </c>
      <c r="J21" s="8"/>
      <c r="K21" s="446">
        <f>'Prior Year Progam'!M22</f>
        <v>0</v>
      </c>
      <c r="L21" s="515">
        <f>'Prior Year Progam'!N22</f>
        <v>0</v>
      </c>
      <c r="M21" s="446">
        <f>Data!M17</f>
        <v>0</v>
      </c>
      <c r="N21" s="447">
        <f>Data!M42</f>
        <v>0</v>
      </c>
      <c r="O21" s="8"/>
      <c r="P21" s="446">
        <f>'Prior Year Progam'!R22</f>
        <v>0</v>
      </c>
      <c r="Q21" s="515">
        <f>'Prior Year Progam'!S22</f>
        <v>0</v>
      </c>
      <c r="R21" s="446">
        <f>Data!L17</f>
        <v>0</v>
      </c>
      <c r="S21" s="447">
        <f>Data!L42</f>
        <v>0</v>
      </c>
      <c r="T21" s="8"/>
      <c r="U21" s="4"/>
    </row>
    <row r="22" spans="2:21" ht="12.75" customHeight="1" x14ac:dyDescent="0.25">
      <c r="B22" s="126">
        <v>15</v>
      </c>
      <c r="C22" s="127" t="str">
        <f>'Program Descriptions'!C19</f>
        <v>Empty</v>
      </c>
      <c r="D22" s="127" t="str">
        <f>IF(ISBLANK('Program Descriptions'!E19),"",'Program Descriptions'!E19)</f>
        <v/>
      </c>
      <c r="E22" s="127"/>
      <c r="F22" s="444">
        <f>'Prior Year Progam'!H23</f>
        <v>0</v>
      </c>
      <c r="G22" s="514">
        <f>'Prior Year Progam'!I23</f>
        <v>0</v>
      </c>
      <c r="H22" s="444">
        <f>Data!K18</f>
        <v>0</v>
      </c>
      <c r="I22" s="445">
        <f>Data!K43</f>
        <v>0</v>
      </c>
      <c r="J22" s="8"/>
      <c r="K22" s="446">
        <f>'Prior Year Progam'!M23</f>
        <v>0</v>
      </c>
      <c r="L22" s="515">
        <f>'Prior Year Progam'!N23</f>
        <v>0</v>
      </c>
      <c r="M22" s="446">
        <f>Data!M18</f>
        <v>0</v>
      </c>
      <c r="N22" s="447">
        <f>Data!M43</f>
        <v>0</v>
      </c>
      <c r="O22" s="8"/>
      <c r="P22" s="446">
        <f>'Prior Year Progam'!R23</f>
        <v>0</v>
      </c>
      <c r="Q22" s="515">
        <f>'Prior Year Progam'!S23</f>
        <v>0</v>
      </c>
      <c r="R22" s="446">
        <f>Data!L18</f>
        <v>0</v>
      </c>
      <c r="S22" s="447">
        <f>Data!L43</f>
        <v>0</v>
      </c>
      <c r="T22" s="8"/>
      <c r="U22" s="4"/>
    </row>
    <row r="23" spans="2:21" ht="12.75" customHeight="1" x14ac:dyDescent="0.25">
      <c r="B23" s="126">
        <v>16</v>
      </c>
      <c r="C23" s="127" t="str">
        <f>'Program Descriptions'!C20</f>
        <v>Empty</v>
      </c>
      <c r="D23" s="127" t="str">
        <f>IF(ISBLANK('Program Descriptions'!E20),"",'Program Descriptions'!E20)</f>
        <v/>
      </c>
      <c r="E23" s="127"/>
      <c r="F23" s="444">
        <f>'Prior Year Progam'!H24</f>
        <v>0</v>
      </c>
      <c r="G23" s="514">
        <f>'Prior Year Progam'!I24</f>
        <v>0</v>
      </c>
      <c r="H23" s="444">
        <f>Data!K19</f>
        <v>0</v>
      </c>
      <c r="I23" s="445">
        <f>Data!K44</f>
        <v>0</v>
      </c>
      <c r="J23" s="8"/>
      <c r="K23" s="446">
        <f>'Prior Year Progam'!M24</f>
        <v>0</v>
      </c>
      <c r="L23" s="515">
        <f>'Prior Year Progam'!N24</f>
        <v>0</v>
      </c>
      <c r="M23" s="446">
        <f>Data!M19</f>
        <v>0</v>
      </c>
      <c r="N23" s="447">
        <f>Data!M44</f>
        <v>0</v>
      </c>
      <c r="O23" s="8"/>
      <c r="P23" s="446">
        <f>'Prior Year Progam'!R24</f>
        <v>0</v>
      </c>
      <c r="Q23" s="515">
        <f>'Prior Year Progam'!S24</f>
        <v>0</v>
      </c>
      <c r="R23" s="446">
        <f>Data!L19</f>
        <v>0</v>
      </c>
      <c r="S23" s="447">
        <f>Data!L44</f>
        <v>0</v>
      </c>
      <c r="T23" s="8"/>
      <c r="U23" s="4"/>
    </row>
    <row r="24" spans="2:21" ht="12.75" customHeight="1" x14ac:dyDescent="0.25">
      <c r="B24" s="126">
        <v>17</v>
      </c>
      <c r="C24" s="127" t="str">
        <f>'Program Descriptions'!C21</f>
        <v>Empty</v>
      </c>
      <c r="D24" s="127" t="str">
        <f>IF(ISBLANK('Program Descriptions'!E21),"",'Program Descriptions'!E21)</f>
        <v/>
      </c>
      <c r="E24" s="127"/>
      <c r="F24" s="444">
        <f>'Prior Year Progam'!H25</f>
        <v>0</v>
      </c>
      <c r="G24" s="514">
        <f>'Prior Year Progam'!I25</f>
        <v>0</v>
      </c>
      <c r="H24" s="444">
        <f>Data!K20</f>
        <v>0</v>
      </c>
      <c r="I24" s="445">
        <f>Data!K45</f>
        <v>0</v>
      </c>
      <c r="J24" s="8"/>
      <c r="K24" s="446">
        <f>'Prior Year Progam'!M25</f>
        <v>0</v>
      </c>
      <c r="L24" s="515">
        <f>'Prior Year Progam'!N25</f>
        <v>0</v>
      </c>
      <c r="M24" s="446">
        <f>Data!M20</f>
        <v>0</v>
      </c>
      <c r="N24" s="447">
        <f>Data!M45</f>
        <v>0</v>
      </c>
      <c r="O24" s="8"/>
      <c r="P24" s="446">
        <f>'Prior Year Progam'!R25</f>
        <v>0</v>
      </c>
      <c r="Q24" s="515">
        <f>'Prior Year Progam'!S25</f>
        <v>0</v>
      </c>
      <c r="R24" s="446">
        <f>Data!L20</f>
        <v>0</v>
      </c>
      <c r="S24" s="447">
        <f>Data!L45</f>
        <v>0</v>
      </c>
      <c r="T24" s="8"/>
      <c r="U24" s="4"/>
    </row>
    <row r="25" spans="2:21" ht="12.75" customHeight="1" x14ac:dyDescent="0.25">
      <c r="B25" s="126">
        <v>18</v>
      </c>
      <c r="C25" s="127" t="str">
        <f>'Program Descriptions'!C22</f>
        <v>Empty</v>
      </c>
      <c r="D25" s="127" t="str">
        <f>IF(ISBLANK('Program Descriptions'!E22),"",'Program Descriptions'!E22)</f>
        <v/>
      </c>
      <c r="E25" s="127"/>
      <c r="F25" s="444">
        <f>'Prior Year Progam'!H26</f>
        <v>0</v>
      </c>
      <c r="G25" s="514">
        <f>'Prior Year Progam'!I26</f>
        <v>0</v>
      </c>
      <c r="H25" s="444">
        <f>Data!K21</f>
        <v>0</v>
      </c>
      <c r="I25" s="445">
        <f>Data!K46</f>
        <v>0</v>
      </c>
      <c r="J25" s="8"/>
      <c r="K25" s="446">
        <f>'Prior Year Progam'!M26</f>
        <v>0</v>
      </c>
      <c r="L25" s="515">
        <f>'Prior Year Progam'!N26</f>
        <v>0</v>
      </c>
      <c r="M25" s="446">
        <f>Data!M21</f>
        <v>0</v>
      </c>
      <c r="N25" s="447">
        <f>Data!M46</f>
        <v>0</v>
      </c>
      <c r="O25" s="8"/>
      <c r="P25" s="446">
        <f>'Prior Year Progam'!R26</f>
        <v>0</v>
      </c>
      <c r="Q25" s="515">
        <f>'Prior Year Progam'!S26</f>
        <v>0</v>
      </c>
      <c r="R25" s="446">
        <f>Data!L21</f>
        <v>0</v>
      </c>
      <c r="S25" s="447">
        <f>Data!L46</f>
        <v>0</v>
      </c>
      <c r="T25" s="8"/>
      <c r="U25" s="4"/>
    </row>
    <row r="26" spans="2:21" ht="12.75" customHeight="1" x14ac:dyDescent="0.25">
      <c r="B26" s="126">
        <v>19</v>
      </c>
      <c r="C26" s="127" t="str">
        <f>'Program Descriptions'!C23</f>
        <v>Empty</v>
      </c>
      <c r="D26" s="127" t="str">
        <f>IF(ISBLANK('Program Descriptions'!E23),"",'Program Descriptions'!E23)</f>
        <v/>
      </c>
      <c r="E26" s="127"/>
      <c r="F26" s="444">
        <f>'Prior Year Progam'!H27</f>
        <v>0</v>
      </c>
      <c r="G26" s="514">
        <f>'Prior Year Progam'!I27</f>
        <v>0</v>
      </c>
      <c r="H26" s="444">
        <f>Data!K22</f>
        <v>0</v>
      </c>
      <c r="I26" s="445">
        <f>Data!K47</f>
        <v>0</v>
      </c>
      <c r="J26" s="8"/>
      <c r="K26" s="446">
        <f>'Prior Year Progam'!M27</f>
        <v>0</v>
      </c>
      <c r="L26" s="515">
        <f>'Prior Year Progam'!N27</f>
        <v>0</v>
      </c>
      <c r="M26" s="446">
        <f>Data!M22</f>
        <v>0</v>
      </c>
      <c r="N26" s="447">
        <f>Data!M47</f>
        <v>0</v>
      </c>
      <c r="O26" s="8"/>
      <c r="P26" s="446">
        <f>'Prior Year Progam'!R27</f>
        <v>0</v>
      </c>
      <c r="Q26" s="515">
        <f>'Prior Year Progam'!S27</f>
        <v>0</v>
      </c>
      <c r="R26" s="446">
        <f>Data!L22</f>
        <v>0</v>
      </c>
      <c r="S26" s="447">
        <f>Data!L47</f>
        <v>0</v>
      </c>
      <c r="T26" s="8"/>
      <c r="U26" s="4"/>
    </row>
    <row r="27" spans="2:21" ht="12.75" customHeight="1" thickBot="1" x14ac:dyDescent="0.3">
      <c r="B27" s="126">
        <v>20</v>
      </c>
      <c r="C27" s="127" t="str">
        <f>'Program Descriptions'!C24</f>
        <v>Empty</v>
      </c>
      <c r="D27" s="127" t="str">
        <f>IF(ISBLANK('Program Descriptions'!E24),"",'Program Descriptions'!E24)</f>
        <v/>
      </c>
      <c r="E27" s="127"/>
      <c r="F27" s="444">
        <f>'Prior Year Progam'!H28</f>
        <v>0</v>
      </c>
      <c r="G27" s="514">
        <f>'Prior Year Progam'!I28</f>
        <v>0</v>
      </c>
      <c r="H27" s="444">
        <f>Data!K23</f>
        <v>0</v>
      </c>
      <c r="I27" s="445">
        <f>Data!K48</f>
        <v>0</v>
      </c>
      <c r="J27" s="8"/>
      <c r="K27" s="433">
        <f>'Prior Year Progam'!M28</f>
        <v>0</v>
      </c>
      <c r="L27" s="448">
        <f>'Prior Year Progam'!N28</f>
        <v>0</v>
      </c>
      <c r="M27" s="433">
        <f>Data!M23</f>
        <v>0</v>
      </c>
      <c r="N27" s="449">
        <f>Data!M48</f>
        <v>0</v>
      </c>
      <c r="O27" s="8"/>
      <c r="P27" s="433">
        <f>'Prior Year Progam'!R28</f>
        <v>0</v>
      </c>
      <c r="Q27" s="448">
        <f>'Prior Year Progam'!S28</f>
        <v>0</v>
      </c>
      <c r="R27" s="433">
        <f>Data!L23</f>
        <v>0</v>
      </c>
      <c r="S27" s="449">
        <f>Data!L48</f>
        <v>0</v>
      </c>
      <c r="T27" s="8"/>
      <c r="U27" s="4"/>
    </row>
    <row r="28" spans="2:21" ht="12.75" customHeight="1" thickBot="1" x14ac:dyDescent="0.3">
      <c r="B28" s="7"/>
      <c r="C28" s="127" t="s">
        <v>557</v>
      </c>
      <c r="D28" s="127"/>
      <c r="E28" s="127"/>
      <c r="F28" s="450">
        <f>'Prior Year Progam'!H29</f>
        <v>0</v>
      </c>
      <c r="G28" s="451">
        <f>'Prior Year Progam'!I29</f>
        <v>211139.39</v>
      </c>
      <c r="H28" s="450">
        <f>'Table 2'!F29</f>
        <v>0</v>
      </c>
      <c r="I28" s="452">
        <f>'Table 2'!G29</f>
        <v>23019.69</v>
      </c>
      <c r="J28" s="8"/>
      <c r="K28" s="8"/>
      <c r="L28" s="8"/>
      <c r="M28" s="8"/>
      <c r="N28" s="8"/>
      <c r="O28" s="8"/>
      <c r="P28" s="8"/>
      <c r="Q28" s="8"/>
      <c r="R28" s="8"/>
      <c r="S28" s="8"/>
      <c r="T28" s="8"/>
      <c r="U28" s="4"/>
    </row>
    <row r="29" spans="2:21" ht="12.75" customHeight="1" x14ac:dyDescent="0.25">
      <c r="B29" s="7"/>
      <c r="C29" s="139"/>
      <c r="D29" s="139"/>
      <c r="E29" s="139"/>
      <c r="F29" s="10"/>
      <c r="G29" s="10"/>
      <c r="H29" s="10"/>
      <c r="I29" s="10"/>
      <c r="U29" s="4"/>
    </row>
    <row r="30" spans="2:21" ht="12.75" customHeight="1" x14ac:dyDescent="0.25">
      <c r="B30" s="7"/>
      <c r="C30"/>
      <c r="D30" s="139" t="s">
        <v>558</v>
      </c>
      <c r="E30" s="139"/>
      <c r="F30" s="10">
        <f>SUM(F8:F28)</f>
        <v>73679987.002015382</v>
      </c>
      <c r="G30" s="10">
        <f>SUM(G8:G28)</f>
        <v>58231942.29999999</v>
      </c>
      <c r="H30" s="10">
        <f>SUM(H8:H28)</f>
        <v>74300190.334827334</v>
      </c>
      <c r="I30" s="10">
        <f>SUM(I8:I28)</f>
        <v>59237332.650000006</v>
      </c>
      <c r="K30" s="69">
        <f>SUM(K8:K27)</f>
        <v>253490061.04416862</v>
      </c>
      <c r="L30" s="69">
        <f t="shared" ref="L30:S30" si="0">SUM(L8:L27)</f>
        <v>251695936.10119721</v>
      </c>
      <c r="M30" s="69">
        <f t="shared" si="0"/>
        <v>253409436.4075329</v>
      </c>
      <c r="N30" s="69">
        <f t="shared" si="0"/>
        <v>255840153.98199406</v>
      </c>
      <c r="P30" s="69">
        <f t="shared" si="0"/>
        <v>88524.101947235045</v>
      </c>
      <c r="Q30" s="69">
        <f t="shared" si="0"/>
        <v>80400.213912537336</v>
      </c>
      <c r="R30" s="69">
        <f t="shared" si="0"/>
        <v>93435.258801764649</v>
      </c>
      <c r="S30" s="69">
        <f t="shared" si="0"/>
        <v>75289.54348436826</v>
      </c>
      <c r="U30" s="4"/>
    </row>
    <row r="31" spans="2:21" ht="12.75" customHeight="1" x14ac:dyDescent="0.2">
      <c r="B31" s="7"/>
      <c r="C31"/>
      <c r="D31"/>
      <c r="E31"/>
      <c r="U31" s="4"/>
    </row>
    <row r="32" spans="2:21" ht="12.75" customHeight="1" x14ac:dyDescent="0.2">
      <c r="B32" s="7"/>
      <c r="C32"/>
      <c r="D32"/>
      <c r="E32"/>
      <c r="U32" s="4"/>
    </row>
    <row r="33" spans="2:21" ht="12.75" customHeight="1" x14ac:dyDescent="0.25">
      <c r="B33" s="7"/>
      <c r="C33" s="149"/>
      <c r="D33" s="149"/>
      <c r="E33" s="149"/>
      <c r="F33" s="150"/>
      <c r="G33" s="150"/>
      <c r="H33" s="150"/>
      <c r="I33" s="150"/>
      <c r="J33" s="151"/>
      <c r="K33" s="151"/>
      <c r="L33" s="151"/>
      <c r="M33" s="151"/>
      <c r="N33" s="151"/>
      <c r="O33" s="151"/>
      <c r="P33" s="151"/>
      <c r="Q33" s="151"/>
      <c r="R33" s="151"/>
      <c r="S33" s="151"/>
      <c r="U33" s="4"/>
    </row>
    <row r="34" spans="2:21" ht="12.75" customHeight="1" x14ac:dyDescent="0.2">
      <c r="B34" s="7"/>
      <c r="C34"/>
      <c r="D34"/>
      <c r="E34"/>
      <c r="H34" s="719" t="s">
        <v>10</v>
      </c>
      <c r="I34" s="719"/>
      <c r="K34" s="720" t="s">
        <v>572</v>
      </c>
      <c r="L34" s="720"/>
      <c r="M34" s="720"/>
      <c r="N34" s="720"/>
      <c r="U34" s="4"/>
    </row>
    <row r="35" spans="2:21" ht="12.75" customHeight="1" x14ac:dyDescent="0.2">
      <c r="B35" s="7"/>
      <c r="C35"/>
      <c r="D35"/>
      <c r="E35"/>
      <c r="H35" s="719" t="s">
        <v>573</v>
      </c>
      <c r="I35" s="719"/>
      <c r="K35" s="719" t="s">
        <v>902</v>
      </c>
      <c r="L35" s="719"/>
      <c r="M35" s="719" t="str">
        <f>"Savings ("&amp;Energy_1&amp;")"</f>
        <v>Savings (kWh)</v>
      </c>
      <c r="N35" s="719"/>
      <c r="U35" s="4"/>
    </row>
    <row r="36" spans="2:21" ht="12.75" customHeight="1" x14ac:dyDescent="0.25">
      <c r="B36" s="7"/>
      <c r="C36"/>
      <c r="D36"/>
      <c r="E36"/>
      <c r="G36" s="139" t="s">
        <v>74</v>
      </c>
      <c r="H36" s="631" t="s">
        <v>576</v>
      </c>
      <c r="I36" s="631" t="str">
        <f>"Sales ("&amp;Energy_1&amp;")"</f>
        <v>Sales (kWh)</v>
      </c>
      <c r="K36" s="631" t="s">
        <v>553</v>
      </c>
      <c r="L36" s="631" t="s">
        <v>554</v>
      </c>
      <c r="M36" s="631" t="s">
        <v>553</v>
      </c>
      <c r="N36" s="631" t="s">
        <v>554</v>
      </c>
      <c r="U36" s="4"/>
    </row>
    <row r="37" spans="2:21" ht="12.75" customHeight="1" x14ac:dyDescent="0.2">
      <c r="B37" s="7"/>
      <c r="C37"/>
      <c r="D37"/>
      <c r="E37"/>
      <c r="G37" s="152">
        <f>Prg_Year</f>
        <v>2025</v>
      </c>
      <c r="H37" s="516">
        <f>'Utility Information'!F8</f>
        <v>2415710672</v>
      </c>
      <c r="I37" s="517">
        <f>'Utility Information'!F11</f>
        <v>25862890</v>
      </c>
      <c r="K37" s="516">
        <f>Budgets!I27</f>
        <v>74300190.334827334</v>
      </c>
      <c r="L37" s="516">
        <f>'Actual Expenses'!J91</f>
        <v>59237332.649999991</v>
      </c>
      <c r="M37" s="517">
        <f>'Savings &amp; Participants'!E26</f>
        <v>253409436.4075329</v>
      </c>
      <c r="N37" s="517">
        <f>'Evaluated Savings'!E26</f>
        <v>255840153.98199406</v>
      </c>
      <c r="U37" s="4"/>
    </row>
    <row r="38" spans="2:21" ht="12.75" customHeight="1" x14ac:dyDescent="0.2">
      <c r="B38" s="7"/>
      <c r="C38"/>
      <c r="D38"/>
      <c r="E38"/>
      <c r="G38" s="152">
        <f>G37-1</f>
        <v>2024</v>
      </c>
      <c r="H38" s="516">
        <f>'Prior Year Portfolio'!D10</f>
        <v>2221980583</v>
      </c>
      <c r="I38" s="517">
        <f>'Prior Year Portfolio'!E10</f>
        <v>22518603</v>
      </c>
      <c r="K38" s="516">
        <f>'Prior Year Portfolio'!G10</f>
        <v>73679987</v>
      </c>
      <c r="L38" s="516">
        <f>'Prior Year Portfolio'!H10</f>
        <v>58231942.300000004</v>
      </c>
      <c r="M38" s="517">
        <f>'Prior Year Portfolio'!I10</f>
        <v>253490</v>
      </c>
      <c r="N38" s="517">
        <f>'Prior Year Portfolio'!J10</f>
        <v>251696</v>
      </c>
      <c r="U38" s="4"/>
    </row>
    <row r="39" spans="2:21" ht="12.75" customHeight="1" x14ac:dyDescent="0.2">
      <c r="B39" s="7"/>
      <c r="C39"/>
      <c r="D39"/>
      <c r="E39"/>
      <c r="G39" s="152">
        <f>G38-1</f>
        <v>2023</v>
      </c>
      <c r="H39" s="516">
        <f>'Prior Year Portfolio'!D11</f>
        <v>2236944970</v>
      </c>
      <c r="I39" s="517">
        <f>'Prior Year Portfolio'!E11</f>
        <v>22518603</v>
      </c>
      <c r="K39" s="516">
        <f>'Prior Year Portfolio'!G11</f>
        <v>69354507.308657885</v>
      </c>
      <c r="L39" s="516">
        <f>'Prior Year Portfolio'!H11</f>
        <v>58224010.772999994</v>
      </c>
      <c r="M39" s="517">
        <f>'Prior Year Portfolio'!I11</f>
        <v>285149</v>
      </c>
      <c r="N39" s="517">
        <f>'Prior Year Portfolio'!J11</f>
        <v>283028</v>
      </c>
      <c r="U39" s="4"/>
    </row>
    <row r="40" spans="2:21" ht="12.75" customHeight="1" x14ac:dyDescent="0.2">
      <c r="B40" s="7"/>
      <c r="C40"/>
      <c r="D40"/>
      <c r="E40"/>
      <c r="G40" s="152">
        <f>G39-1</f>
        <v>2022</v>
      </c>
      <c r="H40" s="516">
        <f>'Prior Year Portfolio'!D12</f>
        <v>2056564892</v>
      </c>
      <c r="I40" s="517">
        <f>'Prior Year Portfolio'!E12</f>
        <v>22326106</v>
      </c>
      <c r="K40" s="516">
        <f>'Prior Year Portfolio'!G12</f>
        <v>69354507.308657885</v>
      </c>
      <c r="L40" s="516">
        <f>'Prior Year Portfolio'!H12</f>
        <v>59151985.549999997</v>
      </c>
      <c r="M40" s="517">
        <f>'Prior Year Portfolio'!I12</f>
        <v>285149</v>
      </c>
      <c r="N40" s="517">
        <f>'Prior Year Portfolio'!J12</f>
        <v>292926</v>
      </c>
      <c r="U40" s="4"/>
    </row>
    <row r="41" spans="2:21" ht="12.75" customHeight="1" x14ac:dyDescent="0.2">
      <c r="B41" s="7"/>
      <c r="C41"/>
      <c r="D41"/>
      <c r="E41"/>
      <c r="U41" s="4"/>
    </row>
    <row r="42" spans="2:21" ht="12.75" customHeight="1" x14ac:dyDescent="0.2">
      <c r="B42" s="7"/>
      <c r="C42"/>
      <c r="D42"/>
      <c r="E42"/>
      <c r="U42" s="4"/>
    </row>
    <row r="43" spans="2:21" ht="12.75" customHeight="1" x14ac:dyDescent="0.2">
      <c r="B43" s="7"/>
      <c r="C43"/>
      <c r="D43"/>
      <c r="E43"/>
      <c r="U43" s="4"/>
    </row>
    <row r="44" spans="2:21" ht="12.75" customHeight="1" x14ac:dyDescent="0.2">
      <c r="B44" s="5"/>
      <c r="C44" s="353"/>
      <c r="D44" s="353"/>
      <c r="E44" s="353"/>
      <c r="F44" s="353"/>
      <c r="G44" s="353"/>
      <c r="H44" s="353"/>
      <c r="I44" s="353"/>
      <c r="J44" s="353"/>
      <c r="K44" s="353"/>
      <c r="L44" s="353"/>
      <c r="M44" s="353"/>
      <c r="N44" s="353"/>
      <c r="O44" s="353"/>
      <c r="P44" s="353"/>
      <c r="Q44" s="353"/>
      <c r="R44" s="353"/>
      <c r="S44" s="353"/>
      <c r="T44" s="353"/>
      <c r="U44" s="6"/>
    </row>
  </sheetData>
  <sheetProtection password="C925" sheet="1" objects="1" scenarios="1"/>
  <mergeCells count="15">
    <mergeCell ref="H35:I35"/>
    <mergeCell ref="K35:L35"/>
    <mergeCell ref="M35:N35"/>
    <mergeCell ref="B2:U2"/>
    <mergeCell ref="F5:I5"/>
    <mergeCell ref="K5:N5"/>
    <mergeCell ref="P5:S5"/>
    <mergeCell ref="H34:I34"/>
    <mergeCell ref="K34:N34"/>
    <mergeCell ref="F6:G6"/>
    <mergeCell ref="H6:I6"/>
    <mergeCell ref="K6:L6"/>
    <mergeCell ref="M6:N6"/>
    <mergeCell ref="P6:Q6"/>
    <mergeCell ref="R6:S6"/>
  </mergeCells>
  <conditionalFormatting sqref="F8:I27 K8:N27 P8:S27">
    <cfRule type="expression" dxfId="2" priority="2">
      <formula>$B8&gt;Programs</formula>
    </cfRule>
  </conditionalFormatting>
  <conditionalFormatting sqref="P8:S27">
    <cfRule type="expression" dxfId="1" priority="1">
      <formula>Demand_1=NG_Demand</formula>
    </cfRule>
  </conditionalFormatting>
  <pageMargins left="0.25" right="0.25" top="0.5" bottom="0.5" header="0.3" footer="0.3"/>
  <pageSetup orientation="landscape"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0000"/>
  </sheetPr>
  <dimension ref="A1:F33"/>
  <sheetViews>
    <sheetView workbookViewId="0">
      <selection activeCell="F26" sqref="F26"/>
    </sheetView>
  </sheetViews>
  <sheetFormatPr defaultRowHeight="12.75" x14ac:dyDescent="0.2"/>
  <cols>
    <col min="1" max="1" width="10.5703125" bestFit="1" customWidth="1"/>
    <col min="2" max="2" width="20.42578125" bestFit="1" customWidth="1"/>
    <col min="3" max="3" width="28.42578125" customWidth="1"/>
    <col min="5" max="5" width="12.42578125" customWidth="1"/>
    <col min="6" max="6" width="47.5703125" bestFit="1" customWidth="1"/>
  </cols>
  <sheetData>
    <row r="1" spans="1:6" x14ac:dyDescent="0.2">
      <c r="A1" s="279" t="s">
        <v>907</v>
      </c>
      <c r="B1" s="279" t="s">
        <v>32</v>
      </c>
      <c r="E1" s="279" t="s">
        <v>404</v>
      </c>
      <c r="F1" s="24" t="str">
        <f>'Utility Information'!D6</f>
        <v>EAL</v>
      </c>
    </row>
    <row r="2" spans="1:6" x14ac:dyDescent="0.2">
      <c r="A2">
        <v>1</v>
      </c>
      <c r="B2" s="95" t="s">
        <v>34</v>
      </c>
      <c r="E2" s="279" t="s">
        <v>817</v>
      </c>
      <c r="F2" s="24">
        <f>'Utility Information'!D7</f>
        <v>2025</v>
      </c>
    </row>
    <row r="3" spans="1:6" x14ac:dyDescent="0.2">
      <c r="A3">
        <v>2</v>
      </c>
      <c r="B3" s="95" t="s">
        <v>36</v>
      </c>
      <c r="E3" s="279" t="s">
        <v>68</v>
      </c>
      <c r="F3" s="24" t="str">
        <f>'Utility Information'!F5</f>
        <v>Electric</v>
      </c>
    </row>
    <row r="4" spans="1:6" x14ac:dyDescent="0.2">
      <c r="A4">
        <v>3</v>
      </c>
      <c r="B4" s="95" t="s">
        <v>39</v>
      </c>
    </row>
    <row r="5" spans="1:6" x14ac:dyDescent="0.2">
      <c r="A5">
        <v>4</v>
      </c>
      <c r="B5" s="95" t="s">
        <v>42</v>
      </c>
      <c r="E5" s="279" t="s">
        <v>908</v>
      </c>
      <c r="F5" s="24" t="str">
        <f>F1&amp;" - "&amp;F2&amp;" "&amp;B1</f>
        <v>EAL - 2025 EE Portfolio Information</v>
      </c>
    </row>
    <row r="6" spans="1:6" x14ac:dyDescent="0.2">
      <c r="A6">
        <v>5</v>
      </c>
      <c r="B6" s="95" t="s">
        <v>44</v>
      </c>
      <c r="E6" s="279" t="s">
        <v>909</v>
      </c>
      <c r="F6" s="24" t="str">
        <f>F1&amp;" - "&amp;F2&amp;" "&amp;B11</f>
        <v>EAL - 2025 Program Year Evaluation</v>
      </c>
    </row>
    <row r="7" spans="1:6" x14ac:dyDescent="0.2">
      <c r="A7">
        <v>6</v>
      </c>
      <c r="B7" s="95" t="s">
        <v>910</v>
      </c>
    </row>
    <row r="8" spans="1:6" x14ac:dyDescent="0.2">
      <c r="E8" s="279" t="s">
        <v>911</v>
      </c>
      <c r="F8" t="str">
        <f>F2&amp;" "&amp;B1</f>
        <v>2025 EE Portfolio Information</v>
      </c>
    </row>
    <row r="9" spans="1:6" x14ac:dyDescent="0.2">
      <c r="E9" s="279" t="s">
        <v>912</v>
      </c>
      <c r="F9" t="str">
        <f>F2&amp;" "&amp;B11</f>
        <v>2025 Program Year Evaluation</v>
      </c>
    </row>
    <row r="10" spans="1:6" x14ac:dyDescent="0.2">
      <c r="E10" s="279" t="s">
        <v>913</v>
      </c>
      <c r="F10" s="279" t="s">
        <v>58</v>
      </c>
    </row>
    <row r="11" spans="1:6" x14ac:dyDescent="0.2">
      <c r="A11" s="279" t="s">
        <v>907</v>
      </c>
      <c r="B11" s="279" t="s">
        <v>795</v>
      </c>
    </row>
    <row r="12" spans="1:6" x14ac:dyDescent="0.2">
      <c r="A12">
        <v>1</v>
      </c>
      <c r="B12" s="95" t="s">
        <v>48</v>
      </c>
      <c r="E12" s="59" t="str">
        <f>F3</f>
        <v>Electric</v>
      </c>
    </row>
    <row r="13" spans="1:6" x14ac:dyDescent="0.2">
      <c r="A13">
        <v>2</v>
      </c>
      <c r="B13" s="95" t="s">
        <v>50</v>
      </c>
      <c r="E13" s="279" t="s">
        <v>914</v>
      </c>
      <c r="F13" t="str">
        <f>INDEX($B$24:$C$25,MATCH(E$12,$A$24:$A$25,0),MATCH($E13,$B$23:$C$23,0))</f>
        <v>kWh</v>
      </c>
    </row>
    <row r="14" spans="1:6" x14ac:dyDescent="0.2">
      <c r="A14">
        <v>3</v>
      </c>
      <c r="B14" s="95" t="s">
        <v>52</v>
      </c>
      <c r="E14" s="279" t="s">
        <v>915</v>
      </c>
      <c r="F14" t="str">
        <f>INDEX($B$24:$C$25,MATCH(E$12,$A$24:$A$25,0),MATCH($E14,$B$23:$C$23,0))</f>
        <v>MWh</v>
      </c>
    </row>
    <row r="15" spans="1:6" x14ac:dyDescent="0.2">
      <c r="A15">
        <v>4</v>
      </c>
      <c r="B15" s="95" t="s">
        <v>56</v>
      </c>
      <c r="C15" s="279" t="s">
        <v>916</v>
      </c>
      <c r="E15" s="279" t="s">
        <v>917</v>
      </c>
      <c r="F15" t="str">
        <f>INDEX($B$28:$C$29,MATCH(E$12,$A$28:$A$29,0),MATCH($E15,$B$27:$C$27,0))</f>
        <v>kW</v>
      </c>
    </row>
    <row r="16" spans="1:6" x14ac:dyDescent="0.2">
      <c r="A16">
        <v>5</v>
      </c>
      <c r="B16" s="95" t="s">
        <v>57</v>
      </c>
      <c r="C16" s="279" t="s">
        <v>918</v>
      </c>
      <c r="E16" s="279" t="s">
        <v>919</v>
      </c>
      <c r="F16" t="str">
        <f>INDEX($B$28:$C$29,MATCH(E$12,$A$28:$A$29,0),MATCH($E16,$B$27:$C$27,0))</f>
        <v>MW</v>
      </c>
    </row>
    <row r="17" spans="1:3" x14ac:dyDescent="0.2">
      <c r="A17">
        <v>6</v>
      </c>
      <c r="B17" s="95" t="s">
        <v>910</v>
      </c>
      <c r="C17" s="279"/>
    </row>
    <row r="19" spans="1:3" x14ac:dyDescent="0.2">
      <c r="B19" s="279" t="s">
        <v>920</v>
      </c>
    </row>
    <row r="20" spans="1:3" x14ac:dyDescent="0.2">
      <c r="B20" s="95" t="s">
        <v>71</v>
      </c>
    </row>
    <row r="21" spans="1:3" x14ac:dyDescent="0.2">
      <c r="B21" s="95" t="s">
        <v>921</v>
      </c>
    </row>
    <row r="23" spans="1:3" x14ac:dyDescent="0.2">
      <c r="B23" s="279" t="str">
        <f>E13</f>
        <v>Energy 1</v>
      </c>
      <c r="C23" s="279" t="str">
        <f>E14</f>
        <v>Energy 2</v>
      </c>
    </row>
    <row r="24" spans="1:3" x14ac:dyDescent="0.2">
      <c r="A24" t="str">
        <f>B20</f>
        <v>Electric</v>
      </c>
      <c r="B24" s="95" t="s">
        <v>602</v>
      </c>
      <c r="C24" s="95" t="s">
        <v>922</v>
      </c>
    </row>
    <row r="25" spans="1:3" x14ac:dyDescent="0.2">
      <c r="A25" t="str">
        <f>B21</f>
        <v>Natural Gas</v>
      </c>
      <c r="B25" s="95" t="s">
        <v>923</v>
      </c>
      <c r="C25" s="95" t="s">
        <v>923</v>
      </c>
    </row>
    <row r="27" spans="1:3" x14ac:dyDescent="0.2">
      <c r="B27" s="279" t="str">
        <f>E15</f>
        <v>Demand 1</v>
      </c>
      <c r="C27" s="279" t="str">
        <f>E16</f>
        <v>Demand 2</v>
      </c>
    </row>
    <row r="28" spans="1:3" x14ac:dyDescent="0.2">
      <c r="A28" t="str">
        <f>B20</f>
        <v>Electric</v>
      </c>
      <c r="B28" s="95" t="s">
        <v>600</v>
      </c>
      <c r="C28" s="95" t="s">
        <v>924</v>
      </c>
    </row>
    <row r="29" spans="1:3" x14ac:dyDescent="0.2">
      <c r="A29" t="str">
        <f>B21</f>
        <v>Natural Gas</v>
      </c>
      <c r="B29" s="95" t="s">
        <v>923</v>
      </c>
      <c r="C29" s="95" t="s">
        <v>923</v>
      </c>
    </row>
    <row r="32" spans="1:3" x14ac:dyDescent="0.2">
      <c r="B32" s="279" t="s">
        <v>925</v>
      </c>
    </row>
    <row r="33" spans="2:2" x14ac:dyDescent="0.2">
      <c r="B33" s="95"/>
    </row>
  </sheetData>
  <phoneticPr fontId="0" type="noConversion"/>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FF0000"/>
  </sheetPr>
  <dimension ref="B1:K30"/>
  <sheetViews>
    <sheetView showGridLines="0" zoomScale="110" zoomScaleNormal="110" workbookViewId="0">
      <selection activeCell="E19" sqref="E19"/>
    </sheetView>
  </sheetViews>
  <sheetFormatPr defaultRowHeight="12.75" x14ac:dyDescent="0.2"/>
  <cols>
    <col min="1" max="1" width="1.5703125" customWidth="1"/>
    <col min="2" max="2" width="2.42578125" bestFit="1" customWidth="1"/>
    <col min="3" max="3" width="8" customWidth="1"/>
    <col min="4" max="4" width="26.5703125" bestFit="1" customWidth="1"/>
    <col min="5" max="5" width="15.5703125" customWidth="1"/>
    <col min="6" max="7" width="6.5703125" customWidth="1"/>
    <col min="8" max="8" width="9.5703125" customWidth="1"/>
    <col min="9" max="9" width="15.42578125" hidden="1" customWidth="1"/>
    <col min="10" max="10" width="6.42578125" bestFit="1" customWidth="1"/>
    <col min="11" max="11" width="2.5703125" customWidth="1"/>
  </cols>
  <sheetData>
    <row r="1" spans="2:11" ht="9" customHeight="1" thickBot="1" x14ac:dyDescent="0.25"/>
    <row r="2" spans="2:11" ht="36.75" customHeight="1" x14ac:dyDescent="0.2">
      <c r="B2" s="766" t="s">
        <v>926</v>
      </c>
      <c r="C2" s="767"/>
      <c r="D2" s="767"/>
      <c r="E2" s="767"/>
      <c r="F2" s="767"/>
      <c r="G2" s="767"/>
      <c r="H2" s="767"/>
      <c r="I2" s="767"/>
      <c r="J2" s="767"/>
      <c r="K2" s="768"/>
    </row>
    <row r="3" spans="2:11" ht="60" customHeight="1" x14ac:dyDescent="0.2">
      <c r="B3" s="518"/>
      <c r="C3" s="519"/>
      <c r="D3" s="519"/>
      <c r="E3" s="519"/>
      <c r="F3" s="519"/>
      <c r="G3" s="519"/>
      <c r="H3" s="519"/>
      <c r="I3" s="519"/>
      <c r="J3" s="519"/>
      <c r="K3" s="520"/>
    </row>
    <row r="4" spans="2:11" x14ac:dyDescent="0.2">
      <c r="B4" s="7"/>
      <c r="K4" s="15"/>
    </row>
    <row r="5" spans="2:11" x14ac:dyDescent="0.2">
      <c r="B5" s="230">
        <v>1</v>
      </c>
      <c r="C5" s="20" t="s">
        <v>32</v>
      </c>
      <c r="D5" s="20"/>
      <c r="E5" s="20" t="s">
        <v>927</v>
      </c>
      <c r="F5" s="280" t="s">
        <v>928</v>
      </c>
      <c r="I5" s="20" t="s">
        <v>927</v>
      </c>
      <c r="J5" s="280" t="s">
        <v>928</v>
      </c>
      <c r="K5" s="15"/>
    </row>
    <row r="6" spans="2:11" ht="15.75" x14ac:dyDescent="0.25">
      <c r="B6" s="231"/>
      <c r="C6" s="185" t="s">
        <v>33</v>
      </c>
      <c r="D6" s="226" t="s">
        <v>34</v>
      </c>
      <c r="E6" s="232">
        <f>'Utility Information'!N14</f>
        <v>0</v>
      </c>
      <c r="F6" s="521" t="str">
        <f>IF(E6=0,"ü","û")</f>
        <v>ü</v>
      </c>
      <c r="H6" s="233" t="s">
        <v>807</v>
      </c>
      <c r="I6" s="232"/>
      <c r="J6" s="522" t="s">
        <v>794</v>
      </c>
      <c r="K6" s="15"/>
    </row>
    <row r="7" spans="2:11" ht="15" x14ac:dyDescent="0.2">
      <c r="B7" s="231"/>
      <c r="C7" s="185" t="s">
        <v>35</v>
      </c>
      <c r="D7" s="183" t="s">
        <v>36</v>
      </c>
      <c r="E7" s="225">
        <f>'Program Descriptions'!L25</f>
        <v>0</v>
      </c>
      <c r="F7" s="523" t="str">
        <f>IF(E7=0,"ü","û")</f>
        <v>ü</v>
      </c>
      <c r="H7" s="224" t="s">
        <v>814</v>
      </c>
      <c r="I7" s="225">
        <f ca="1">'Table 2'!L30</f>
        <v>0</v>
      </c>
      <c r="J7" s="523" t="str">
        <f ca="1">IF(I7=0,"ü","û")</f>
        <v>ü</v>
      </c>
      <c r="K7" s="15"/>
    </row>
    <row r="8" spans="2:11" ht="15.75" x14ac:dyDescent="0.25">
      <c r="B8" s="231"/>
      <c r="C8" s="185"/>
      <c r="D8" s="227" t="s">
        <v>37</v>
      </c>
      <c r="E8" s="346"/>
      <c r="F8" s="524" t="s">
        <v>794</v>
      </c>
      <c r="H8" s="233" t="s">
        <v>815</v>
      </c>
      <c r="I8" s="232"/>
      <c r="J8" s="522" t="s">
        <v>794</v>
      </c>
      <c r="K8" s="15"/>
    </row>
    <row r="9" spans="2:11" ht="15.75" x14ac:dyDescent="0.25">
      <c r="B9" s="231"/>
      <c r="C9" s="185" t="s">
        <v>38</v>
      </c>
      <c r="D9" s="183" t="s">
        <v>39</v>
      </c>
      <c r="E9" s="225">
        <f>Budgets!N27</f>
        <v>0</v>
      </c>
      <c r="F9" s="523" t="str">
        <f>IF(E9=0,"ü","û")</f>
        <v>ü</v>
      </c>
      <c r="H9" s="224" t="s">
        <v>816</v>
      </c>
      <c r="I9" s="225"/>
      <c r="J9" s="525" t="s">
        <v>794</v>
      </c>
      <c r="K9" s="15"/>
    </row>
    <row r="10" spans="2:11" ht="15.75" x14ac:dyDescent="0.25">
      <c r="B10" s="231"/>
      <c r="C10" s="185"/>
      <c r="D10" s="227" t="s">
        <v>40</v>
      </c>
      <c r="E10" s="232" t="e">
        <f>'Rec1'!N29</f>
        <v>#REF!</v>
      </c>
      <c r="F10" s="521" t="e">
        <f>IF(E10=0,"ü","û")</f>
        <v>#REF!</v>
      </c>
      <c r="H10" s="233" t="s">
        <v>857</v>
      </c>
      <c r="I10" s="232"/>
      <c r="J10" s="522" t="s">
        <v>794</v>
      </c>
      <c r="K10" s="15"/>
    </row>
    <row r="11" spans="2:11" ht="15" x14ac:dyDescent="0.2">
      <c r="B11" s="231"/>
      <c r="C11" s="185" t="s">
        <v>41</v>
      </c>
      <c r="D11" s="183" t="s">
        <v>42</v>
      </c>
      <c r="E11" s="225">
        <f>'Savings &amp; Participants'!N26</f>
        <v>0</v>
      </c>
      <c r="F11" s="523" t="str">
        <f>IF(E11=0,"ü","û")</f>
        <v>ü</v>
      </c>
      <c r="H11" s="224" t="s">
        <v>821</v>
      </c>
      <c r="I11" s="225">
        <f ca="1">'Report 1'!Q29</f>
        <v>1</v>
      </c>
      <c r="J11" s="523" t="str">
        <f ca="1">IF(I11=0,"ü","û")</f>
        <v>û</v>
      </c>
      <c r="K11" s="15"/>
    </row>
    <row r="12" spans="2:11" ht="15.75" x14ac:dyDescent="0.25">
      <c r="B12" s="231"/>
      <c r="C12" s="185" t="s">
        <v>43</v>
      </c>
      <c r="D12" s="228" t="s">
        <v>44</v>
      </c>
      <c r="E12" s="347"/>
      <c r="F12" s="526" t="s">
        <v>794</v>
      </c>
      <c r="H12" s="233" t="s">
        <v>823</v>
      </c>
      <c r="I12" s="232"/>
      <c r="J12" s="522" t="s">
        <v>794</v>
      </c>
      <c r="K12" s="15"/>
    </row>
    <row r="13" spans="2:11" ht="15.75" x14ac:dyDescent="0.25">
      <c r="B13" s="231"/>
      <c r="C13" s="185"/>
      <c r="D13" s="186" t="s">
        <v>45</v>
      </c>
      <c r="E13" s="225">
        <f>External!D163</f>
        <v>0</v>
      </c>
      <c r="F13" s="523" t="str">
        <f>IF(E13=0,"ü","û")</f>
        <v>ü</v>
      </c>
      <c r="H13" s="224" t="s">
        <v>866</v>
      </c>
      <c r="I13" s="225"/>
      <c r="J13" s="525" t="s">
        <v>794</v>
      </c>
      <c r="K13" s="15"/>
    </row>
    <row r="14" spans="2:11" ht="15.75" x14ac:dyDescent="0.25">
      <c r="B14" s="231"/>
      <c r="C14" s="185"/>
      <c r="D14" s="227" t="s">
        <v>46</v>
      </c>
      <c r="E14" s="232">
        <f>Internal!B18</f>
        <v>0</v>
      </c>
      <c r="F14" s="521" t="str">
        <f>IF(E14=0,"ü","û")</f>
        <v>ü</v>
      </c>
      <c r="H14" s="233" t="s">
        <v>929</v>
      </c>
      <c r="I14" s="232"/>
      <c r="J14" s="522" t="s">
        <v>794</v>
      </c>
      <c r="K14" s="15"/>
    </row>
    <row r="15" spans="2:11" ht="15" x14ac:dyDescent="0.2">
      <c r="B15" s="230">
        <v>2</v>
      </c>
      <c r="C15" s="20" t="s">
        <v>47</v>
      </c>
      <c r="D15" s="21"/>
      <c r="E15" s="279"/>
      <c r="F15" s="229"/>
      <c r="K15" s="15"/>
    </row>
    <row r="16" spans="2:11" ht="15.75" x14ac:dyDescent="0.25">
      <c r="B16" s="231"/>
      <c r="C16" s="185" t="s">
        <v>33</v>
      </c>
      <c r="D16" s="226" t="s">
        <v>48</v>
      </c>
      <c r="E16" s="347"/>
      <c r="F16" s="522" t="s">
        <v>794</v>
      </c>
      <c r="K16" s="15"/>
    </row>
    <row r="17" spans="2:11" ht="15" x14ac:dyDescent="0.2">
      <c r="B17" s="231"/>
      <c r="C17" s="185"/>
      <c r="D17" s="186" t="s">
        <v>49</v>
      </c>
      <c r="E17" s="225">
        <f>'Rec2'!L11</f>
        <v>0</v>
      </c>
      <c r="F17" s="523" t="str">
        <f>IF(E17=0,"ü","û")</f>
        <v>ü</v>
      </c>
      <c r="K17" s="15"/>
    </row>
    <row r="18" spans="2:11" ht="15" x14ac:dyDescent="0.2">
      <c r="B18" s="231"/>
      <c r="C18" s="185" t="s">
        <v>35</v>
      </c>
      <c r="D18" s="228" t="s">
        <v>50</v>
      </c>
      <c r="E18" s="232">
        <f>'Evaluated Savings'!N26</f>
        <v>0</v>
      </c>
      <c r="F18" s="521" t="str">
        <f>IF(E18=0,"ü","û")</f>
        <v>ü</v>
      </c>
      <c r="K18" s="15"/>
    </row>
    <row r="19" spans="2:11" ht="15" x14ac:dyDescent="0.2">
      <c r="B19" s="231"/>
      <c r="C19" s="185"/>
      <c r="D19" s="186" t="s">
        <v>51</v>
      </c>
      <c r="E19" s="225">
        <f>'Savings Methodology'!N26</f>
        <v>0</v>
      </c>
      <c r="F19" s="523" t="str">
        <f>IF(E19=0,"ü","û")</f>
        <v>ü</v>
      </c>
      <c r="K19" s="15"/>
    </row>
    <row r="20" spans="2:11" ht="15" x14ac:dyDescent="0.2">
      <c r="B20" s="231"/>
      <c r="C20" s="185" t="s">
        <v>38</v>
      </c>
      <c r="D20" s="228" t="s">
        <v>52</v>
      </c>
      <c r="E20" s="232">
        <f>'Cost-Benefits'!P27</f>
        <v>0</v>
      </c>
      <c r="F20" s="521" t="str">
        <f>IF(E20=0,"ü","û")</f>
        <v>ü</v>
      </c>
      <c r="K20" s="15"/>
    </row>
    <row r="21" spans="2:11" ht="15" x14ac:dyDescent="0.2">
      <c r="B21" s="231"/>
      <c r="C21" s="185"/>
      <c r="D21" s="186" t="s">
        <v>53</v>
      </c>
      <c r="E21" s="225">
        <f>'Key Assumptions'!N6</f>
        <v>0</v>
      </c>
      <c r="F21" s="523" t="str">
        <f>IF(E21=0,"ü","û")</f>
        <v>ü</v>
      </c>
      <c r="K21" s="15"/>
    </row>
    <row r="22" spans="2:11" ht="15.75" x14ac:dyDescent="0.25">
      <c r="B22" s="231"/>
      <c r="C22" s="185"/>
      <c r="D22" s="227" t="s">
        <v>54</v>
      </c>
      <c r="E22" s="347"/>
      <c r="F22" s="522" t="s">
        <v>794</v>
      </c>
      <c r="K22" s="15"/>
    </row>
    <row r="23" spans="2:11" ht="15" x14ac:dyDescent="0.2">
      <c r="B23" s="231"/>
      <c r="C23" s="185"/>
      <c r="D23" s="186" t="s">
        <v>55</v>
      </c>
      <c r="E23" s="225">
        <f>'Other CB Test'!O27</f>
        <v>0</v>
      </c>
      <c r="F23" s="523" t="str">
        <f>IF(E23=0,"ü","û")</f>
        <v>ü</v>
      </c>
      <c r="K23" s="15"/>
    </row>
    <row r="24" spans="2:11" ht="15.75" x14ac:dyDescent="0.25">
      <c r="B24" s="231"/>
      <c r="C24" s="185" t="s">
        <v>41</v>
      </c>
      <c r="D24" s="228" t="s">
        <v>56</v>
      </c>
      <c r="E24" s="347"/>
      <c r="F24" s="522" t="s">
        <v>794</v>
      </c>
      <c r="K24" s="15"/>
    </row>
    <row r="25" spans="2:11" ht="15" x14ac:dyDescent="0.2">
      <c r="B25" s="231"/>
      <c r="C25" s="185" t="s">
        <v>43</v>
      </c>
      <c r="D25" s="183" t="s">
        <v>57</v>
      </c>
      <c r="E25" s="225">
        <f>Incentives!O7</f>
        <v>0</v>
      </c>
      <c r="F25" s="523" t="str">
        <f>IF(E25=0,"ü","û")</f>
        <v>ü</v>
      </c>
      <c r="K25" s="15"/>
    </row>
    <row r="26" spans="2:11" ht="15" x14ac:dyDescent="0.2">
      <c r="B26" s="230">
        <v>3</v>
      </c>
      <c r="C26" s="649" t="s">
        <v>58</v>
      </c>
      <c r="D26" s="649"/>
      <c r="E26" s="649"/>
      <c r="F26" s="229"/>
      <c r="K26" s="15"/>
    </row>
    <row r="27" spans="2:11" ht="15.75" x14ac:dyDescent="0.25">
      <c r="B27" s="231"/>
      <c r="C27" s="185" t="s">
        <v>33</v>
      </c>
      <c r="D27" s="226" t="s">
        <v>59</v>
      </c>
      <c r="E27" s="347"/>
      <c r="F27" s="522" t="s">
        <v>794</v>
      </c>
      <c r="K27" s="15"/>
    </row>
    <row r="28" spans="2:11" ht="15" x14ac:dyDescent="0.2">
      <c r="B28" s="19"/>
      <c r="C28" s="21"/>
      <c r="D28" s="186" t="s">
        <v>60</v>
      </c>
      <c r="E28" s="225">
        <f>'Prior Year Portfolio'!N14</f>
        <v>0</v>
      </c>
      <c r="F28" s="523" t="str">
        <f>IF(E28=0,"ü","û")</f>
        <v>ü</v>
      </c>
      <c r="K28" s="15"/>
    </row>
    <row r="29" spans="2:11" hidden="1" x14ac:dyDescent="0.2">
      <c r="B29" s="7"/>
      <c r="D29" s="348" t="s">
        <v>930</v>
      </c>
      <c r="E29" s="225" t="e">
        <f ca="1">SUM(E6:E28)+SUM(I6:I14)</f>
        <v>#REF!</v>
      </c>
      <c r="K29" s="15"/>
    </row>
    <row r="30" spans="2:11" x14ac:dyDescent="0.2">
      <c r="B30" s="161"/>
      <c r="C30" s="358"/>
      <c r="D30" s="358"/>
      <c r="E30" s="358"/>
      <c r="F30" s="358"/>
      <c r="G30" s="358"/>
      <c r="H30" s="358"/>
      <c r="I30" s="358"/>
      <c r="J30" s="358"/>
      <c r="K30" s="162"/>
    </row>
  </sheetData>
  <sheetProtection algorithmName="SHA-512" hashValue="DE5mLgCei6RQJb25AfoR8BwlFKdx+dn/pdhtBlcJciBLwy/zD6zJM2zY/NsV7nqJPh26nM6KFNSXyGdw26r6/w==" saltValue="9NVvsmFHlqyF8aMDcAUuWA==" spinCount="100000" sheet="1" objects="1" scenarios="1"/>
  <mergeCells count="2">
    <mergeCell ref="C26:E26"/>
    <mergeCell ref="B2:K2"/>
  </mergeCells>
  <conditionalFormatting sqref="J6:J14 F6:F28">
    <cfRule type="expression" dxfId="0" priority="1">
      <formula>E6=0</formula>
    </cfRule>
  </conditionalFormatting>
  <hyperlinks>
    <hyperlink ref="F6" location="'Utility Information'!A3" tooltip="Go to" display="'Utility Information'!A3" xr:uid="{00000000-0004-0000-2F00-000000000000}"/>
    <hyperlink ref="F7" location="'Program Descriptions'!A5" tooltip="Go to" display="'Program Descriptions'!A5" xr:uid="{00000000-0004-0000-2F00-000001000000}"/>
    <hyperlink ref="F10" location="'Rec1'!A1" tooltip="Go to" display="'Rec1'!A1" xr:uid="{00000000-0004-0000-2F00-000002000000}"/>
    <hyperlink ref="F9" location="Budgets!A5" tooltip="Go to" display="Budgets!A5" xr:uid="{00000000-0004-0000-2F00-000003000000}"/>
    <hyperlink ref="F11" location="'Savings &amp; Participants'!A6" tooltip="Go to" display="'Savings &amp; Participants'!A6" xr:uid="{00000000-0004-0000-2F00-000004000000}"/>
    <hyperlink ref="F12" location="Training!A3" tooltip="Go to" display="-" xr:uid="{00000000-0004-0000-2F00-000005000000}"/>
    <hyperlink ref="F13" location="External!A7" tooltip="Go to" display="External!A7" xr:uid="{00000000-0004-0000-2F00-000006000000}"/>
    <hyperlink ref="F14" location="Internal!A7" tooltip="Go to" display="Internal!A7" xr:uid="{00000000-0004-0000-2F00-000007000000}"/>
    <hyperlink ref="F8" location="'Program Detail'!A4" tooltip="Go to" display="-" xr:uid="{00000000-0004-0000-2F00-000008000000}"/>
    <hyperlink ref="F16" location="'Actual Expenses'!A5" tooltip="Go to" display="-" xr:uid="{00000000-0004-0000-2F00-000009000000}"/>
    <hyperlink ref="F17" location="'Rec2'!A1" tooltip="Go to" display="'Rec2'!A1" xr:uid="{00000000-0004-0000-2F00-00000A000000}"/>
    <hyperlink ref="F18" location="'Evaluated Savings'!A6" tooltip="Go to" display="'Evaluated Savings'!A6" xr:uid="{00000000-0004-0000-2F00-00000B000000}"/>
    <hyperlink ref="F19" location="'Savings Methodology'!A1" tooltip="Go to" display="'Savings Methodology'!A1" xr:uid="{00000000-0004-0000-2F00-00000C000000}"/>
    <hyperlink ref="F20" location="'Cost-Benefits'!A7" tooltip="Go to" display="'Cost-Benefits'!A7" xr:uid="{00000000-0004-0000-2F00-00000D000000}"/>
    <hyperlink ref="F21" location="'Key Assumptions'!A4" tooltip="Go to" display="'Key Assumptions'!A4" xr:uid="{00000000-0004-0000-2F00-00000E000000}"/>
    <hyperlink ref="F22" location="NEBs!A4" tooltip="Go to" display="-" xr:uid="{00000000-0004-0000-2F00-00000F000000}"/>
    <hyperlink ref="F23" location="'Other CB Test'!A1" tooltip="Go to" display="'Other CB Test'!A1" xr:uid="{00000000-0004-0000-2F00-000010000000}"/>
    <hyperlink ref="F24" location="LCFC!A3" tooltip="Go to" display="-" xr:uid="{00000000-0004-0000-2F00-000011000000}"/>
    <hyperlink ref="F25" location="Incentives!A3" tooltip="Go to" display="Incentives!A3" xr:uid="{00000000-0004-0000-2F00-000012000000}"/>
    <hyperlink ref="F27" location="'Prior Year Progam'!A5" tooltip="Go to" display="-" xr:uid="{00000000-0004-0000-2F00-000013000000}"/>
    <hyperlink ref="F28" location="'Prior Year Portfolio'!A1" tooltip="Go to" display="'Prior Year Portfolio'!A1" xr:uid="{00000000-0004-0000-2F00-000014000000}"/>
    <hyperlink ref="J6" location="'Table 1'!A1" display="-" xr:uid="{00000000-0004-0000-2F00-000015000000}"/>
    <hyperlink ref="J7" location="'Table 2'!A1" display="'Table 2'!A1" xr:uid="{00000000-0004-0000-2F00-000016000000}"/>
    <hyperlink ref="J8" location="'Table 3'!A1" display="-" xr:uid="{00000000-0004-0000-2F00-000017000000}"/>
    <hyperlink ref="J9" location="'Table 4'!A1" display="-" xr:uid="{00000000-0004-0000-2F00-000018000000}"/>
    <hyperlink ref="J10" location="'Table 5'!A1" display="-" xr:uid="{00000000-0004-0000-2F00-000019000000}"/>
    <hyperlink ref="J11" location="'Report 1'!A1" display="'Report 1'!A1" xr:uid="{00000000-0004-0000-2F00-00001A000000}"/>
    <hyperlink ref="J12" location="'Report 2'!A1" display="-" xr:uid="{00000000-0004-0000-2F00-00001B000000}"/>
    <hyperlink ref="J13" location="'Report 3'!A1" display="-" xr:uid="{00000000-0004-0000-2F00-00001C000000}"/>
    <hyperlink ref="J14" location="'PY Data'!A1" display="-" xr:uid="{00000000-0004-0000-2F00-00001D000000}"/>
  </hyperlinks>
  <pageMargins left="0.7" right="0.7" top="0.75" bottom="0.75" header="0.3" footer="0.3"/>
  <pageSetup orientation="portrait" horizontalDpi="300" verticalDpi="0"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FF0000"/>
  </sheetPr>
  <dimension ref="B2:G22"/>
  <sheetViews>
    <sheetView workbookViewId="0">
      <selection activeCell="C33" sqref="C33"/>
    </sheetView>
  </sheetViews>
  <sheetFormatPr defaultRowHeight="12.75" x14ac:dyDescent="0.2"/>
  <cols>
    <col min="1" max="1" width="2.42578125" customWidth="1"/>
    <col min="2" max="2" width="10.5703125" customWidth="1"/>
    <col min="3" max="3" width="7.5703125" customWidth="1"/>
    <col min="4" max="4" width="9.42578125" customWidth="1"/>
    <col min="5" max="5" width="11.42578125" customWidth="1"/>
    <col min="6" max="6" width="8.5703125" customWidth="1"/>
    <col min="7" max="7" width="7.5703125" customWidth="1"/>
  </cols>
  <sheetData>
    <row r="2" spans="2:7" ht="26.1" customHeight="1" x14ac:dyDescent="0.2">
      <c r="B2" s="527" t="s">
        <v>74</v>
      </c>
      <c r="C2" s="527" t="str">
        <f>Titles!B20</f>
        <v>Electric</v>
      </c>
      <c r="D2" s="527" t="str">
        <f>Titles!B21</f>
        <v>Natural Gas</v>
      </c>
      <c r="E2" s="527" t="s">
        <v>931</v>
      </c>
      <c r="F2" s="527" t="s">
        <v>932</v>
      </c>
      <c r="G2" s="527" t="s">
        <v>933</v>
      </c>
    </row>
    <row r="3" spans="2:7" x14ac:dyDescent="0.2">
      <c r="B3" s="480">
        <v>2011</v>
      </c>
      <c r="C3" s="528">
        <v>2.5000000000000001E-3</v>
      </c>
      <c r="D3" s="528">
        <v>2E-3</v>
      </c>
      <c r="E3" s="480">
        <v>2010</v>
      </c>
      <c r="F3" s="529" t="s">
        <v>934</v>
      </c>
      <c r="G3" s="529">
        <v>15</v>
      </c>
    </row>
    <row r="4" spans="2:7" x14ac:dyDescent="0.2">
      <c r="B4" s="480">
        <v>2012</v>
      </c>
      <c r="C4" s="528">
        <v>5.0000000000000001E-3</v>
      </c>
      <c r="D4" s="528">
        <v>3.0000000000000001E-3</v>
      </c>
      <c r="E4" s="480">
        <v>2010</v>
      </c>
      <c r="F4" s="529" t="s">
        <v>934</v>
      </c>
      <c r="G4" s="529">
        <v>15</v>
      </c>
    </row>
    <row r="5" spans="2:7" x14ac:dyDescent="0.2">
      <c r="B5" s="480">
        <v>2013</v>
      </c>
      <c r="C5" s="528">
        <v>7.4999999999999997E-3</v>
      </c>
      <c r="D5" s="528">
        <v>4.0000000000000001E-3</v>
      </c>
      <c r="E5" s="480">
        <v>2010</v>
      </c>
      <c r="F5" s="529" t="s">
        <v>934</v>
      </c>
      <c r="G5" s="529">
        <v>15</v>
      </c>
    </row>
    <row r="6" spans="2:7" x14ac:dyDescent="0.2">
      <c r="B6" s="480">
        <v>2014</v>
      </c>
      <c r="C6" s="528">
        <v>7.4999999999999997E-3</v>
      </c>
      <c r="D6" s="528">
        <v>4.0000000000000001E-3</v>
      </c>
      <c r="E6" s="480">
        <v>2010</v>
      </c>
      <c r="F6" s="529" t="s">
        <v>935</v>
      </c>
      <c r="G6" s="529">
        <v>2</v>
      </c>
    </row>
    <row r="7" spans="2:7" x14ac:dyDescent="0.2">
      <c r="B7" s="480">
        <v>2015</v>
      </c>
      <c r="C7" s="528">
        <v>8.9999999999999993E-3</v>
      </c>
      <c r="D7" s="528">
        <v>5.0000000000000001E-3</v>
      </c>
      <c r="E7" s="480">
        <v>2013</v>
      </c>
      <c r="F7" s="529" t="s">
        <v>935</v>
      </c>
      <c r="G7" s="529">
        <v>15</v>
      </c>
    </row>
    <row r="8" spans="2:7" x14ac:dyDescent="0.2">
      <c r="B8" s="480">
        <v>2016</v>
      </c>
      <c r="C8" s="528">
        <v>8.9999999999999993E-3</v>
      </c>
      <c r="D8" s="528">
        <v>5.0000000000000001E-3</v>
      </c>
      <c r="E8" s="480">
        <v>2014</v>
      </c>
      <c r="F8" s="529" t="s">
        <v>935</v>
      </c>
      <c r="G8" s="529">
        <v>25</v>
      </c>
    </row>
    <row r="9" spans="2:7" x14ac:dyDescent="0.2">
      <c r="B9" s="480">
        <v>2017</v>
      </c>
      <c r="C9" s="528">
        <v>8.9999999999999993E-3</v>
      </c>
      <c r="D9" s="528">
        <v>5.0000000000000001E-3</v>
      </c>
      <c r="E9" s="480">
        <v>2015</v>
      </c>
      <c r="F9" s="529" t="s">
        <v>935</v>
      </c>
      <c r="G9" s="529">
        <v>31</v>
      </c>
    </row>
    <row r="10" spans="2:7" x14ac:dyDescent="0.2">
      <c r="B10" s="480">
        <v>2018</v>
      </c>
      <c r="C10" s="528">
        <v>8.9999999999999993E-3</v>
      </c>
      <c r="D10" s="528">
        <v>5.0000000000000001E-3</v>
      </c>
      <c r="E10" s="480">
        <v>2015</v>
      </c>
      <c r="F10" s="529" t="s">
        <v>935</v>
      </c>
      <c r="G10" s="529">
        <v>31</v>
      </c>
    </row>
    <row r="11" spans="2:7" x14ac:dyDescent="0.2">
      <c r="B11" s="480">
        <v>2019</v>
      </c>
      <c r="C11" s="528">
        <v>0.01</v>
      </c>
      <c r="D11" s="528">
        <v>5.0000000000000001E-3</v>
      </c>
      <c r="E11" s="480">
        <v>2015</v>
      </c>
      <c r="F11" s="529" t="s">
        <v>935</v>
      </c>
      <c r="G11" s="529">
        <v>31</v>
      </c>
    </row>
    <row r="12" spans="2:7" x14ac:dyDescent="0.2">
      <c r="B12" s="480">
        <v>2020</v>
      </c>
      <c r="C12" s="528">
        <v>1.2E-2</v>
      </c>
      <c r="D12" s="528">
        <v>5.0000000000000001E-3</v>
      </c>
      <c r="E12" s="529">
        <v>2018</v>
      </c>
      <c r="F12" s="529" t="s">
        <v>935</v>
      </c>
      <c r="G12" s="529">
        <v>43</v>
      </c>
    </row>
    <row r="13" spans="2:7" x14ac:dyDescent="0.2">
      <c r="B13" s="480">
        <v>2021</v>
      </c>
      <c r="C13" s="528">
        <v>1.2E-2</v>
      </c>
      <c r="D13" s="528">
        <v>5.0000000000000001E-3</v>
      </c>
      <c r="E13" s="529">
        <v>2018</v>
      </c>
      <c r="F13" s="529" t="s">
        <v>935</v>
      </c>
      <c r="G13" s="529">
        <v>43</v>
      </c>
    </row>
    <row r="14" spans="2:7" x14ac:dyDescent="0.2">
      <c r="B14" s="480">
        <v>2022</v>
      </c>
      <c r="C14" s="528">
        <v>1.2E-2</v>
      </c>
      <c r="D14" s="528">
        <v>5.0000000000000001E-3</v>
      </c>
      <c r="E14" s="529">
        <v>2018</v>
      </c>
      <c r="F14" s="529" t="s">
        <v>935</v>
      </c>
      <c r="G14" s="529">
        <v>43</v>
      </c>
    </row>
    <row r="15" spans="2:7" x14ac:dyDescent="0.2">
      <c r="B15" s="480">
        <v>2023</v>
      </c>
      <c r="C15" s="528">
        <v>1.2E-2</v>
      </c>
      <c r="D15" s="528">
        <v>0</v>
      </c>
      <c r="E15" s="529">
        <v>2018</v>
      </c>
      <c r="F15" s="529" t="s">
        <v>935</v>
      </c>
      <c r="G15" s="529">
        <v>62</v>
      </c>
    </row>
    <row r="16" spans="2:7" x14ac:dyDescent="0.2">
      <c r="B16" s="480">
        <v>2024</v>
      </c>
      <c r="C16" s="528">
        <v>1.2E-2</v>
      </c>
      <c r="D16" s="528">
        <v>0</v>
      </c>
      <c r="E16" s="529">
        <v>2022</v>
      </c>
      <c r="F16" s="529" t="s">
        <v>935</v>
      </c>
      <c r="G16" s="529">
        <v>72</v>
      </c>
    </row>
    <row r="17" spans="2:7" x14ac:dyDescent="0.2">
      <c r="B17" s="480">
        <v>2025</v>
      </c>
      <c r="C17" s="528">
        <v>1.2E-2</v>
      </c>
      <c r="D17" s="528">
        <v>0</v>
      </c>
      <c r="E17" s="529">
        <v>2022</v>
      </c>
      <c r="F17" s="529" t="s">
        <v>935</v>
      </c>
      <c r="G17" s="529">
        <v>72</v>
      </c>
    </row>
    <row r="18" spans="2:7" x14ac:dyDescent="0.2">
      <c r="B18" s="480">
        <v>2026</v>
      </c>
      <c r="C18" s="528">
        <v>1.2E-2</v>
      </c>
      <c r="D18" s="528">
        <v>0</v>
      </c>
      <c r="E18" s="529">
        <v>2022</v>
      </c>
      <c r="F18" s="529" t="s">
        <v>935</v>
      </c>
      <c r="G18" s="529">
        <v>72</v>
      </c>
    </row>
    <row r="19" spans="2:7" x14ac:dyDescent="0.2">
      <c r="B19" s="480">
        <v>2027</v>
      </c>
      <c r="C19" s="528">
        <v>0</v>
      </c>
      <c r="D19" s="528">
        <v>0</v>
      </c>
      <c r="E19" s="529" t="s">
        <v>936</v>
      </c>
      <c r="F19" s="529"/>
      <c r="G19" s="529"/>
    </row>
    <row r="20" spans="2:7" x14ac:dyDescent="0.2">
      <c r="B20" s="480">
        <v>2028</v>
      </c>
      <c r="C20" s="528">
        <v>0</v>
      </c>
      <c r="D20" s="528">
        <v>0</v>
      </c>
      <c r="E20" s="529" t="s">
        <v>936</v>
      </c>
      <c r="F20" s="529"/>
      <c r="G20" s="529"/>
    </row>
    <row r="21" spans="2:7" x14ac:dyDescent="0.2">
      <c r="B21" s="480">
        <v>2029</v>
      </c>
      <c r="C21" s="528">
        <v>0</v>
      </c>
      <c r="D21" s="528">
        <v>0</v>
      </c>
      <c r="E21" s="529" t="s">
        <v>936</v>
      </c>
      <c r="F21" s="529"/>
      <c r="G21" s="529"/>
    </row>
    <row r="22" spans="2:7" x14ac:dyDescent="0.2">
      <c r="B22" s="480">
        <v>2030</v>
      </c>
      <c r="C22" s="528">
        <v>0</v>
      </c>
      <c r="D22" s="528">
        <v>0</v>
      </c>
      <c r="E22" s="529" t="s">
        <v>936</v>
      </c>
      <c r="F22" s="529"/>
      <c r="G22" s="529"/>
    </row>
  </sheetData>
  <pageMargins left="0.7" right="0.7" top="0.75" bottom="0.75" header="0.3" footer="0.3"/>
  <pageSetup orientation="portrait" horizontalDpi="30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BA27"/>
  <sheetViews>
    <sheetView showGridLines="0" zoomScaleNormal="100" workbookViewId="0">
      <pane xSplit="3" ySplit="3" topLeftCell="M4" activePane="bottomRight" state="frozen"/>
      <selection pane="topRight" activeCell="D1" sqref="D1"/>
      <selection pane="bottomLeft" activeCell="A4" sqref="A4"/>
      <selection pane="bottomRight" activeCell="A5" sqref="A5"/>
    </sheetView>
  </sheetViews>
  <sheetFormatPr defaultColWidth="9.42578125" defaultRowHeight="12.75" x14ac:dyDescent="0.2"/>
  <cols>
    <col min="1" max="1" width="1" style="2" customWidth="1"/>
    <col min="2" max="2" width="4.5703125" style="2" customWidth="1"/>
    <col min="3" max="3" width="41.42578125" style="2" customWidth="1"/>
    <col min="4" max="4" width="1.42578125" style="2" customWidth="1"/>
    <col min="5" max="52" width="4.42578125" style="2" customWidth="1"/>
    <col min="53" max="53" width="3.42578125" style="2" customWidth="1"/>
    <col min="54" max="16384" width="9.42578125" style="2"/>
  </cols>
  <sheetData>
    <row r="1" spans="2:53" ht="5.0999999999999996" customHeight="1" thickBot="1" x14ac:dyDescent="0.25"/>
    <row r="2" spans="2:53" ht="38.25" customHeight="1" thickBot="1" x14ac:dyDescent="0.25">
      <c r="B2" s="660" t="s">
        <v>117</v>
      </c>
      <c r="C2" s="660"/>
      <c r="D2" s="660"/>
      <c r="E2" s="660"/>
      <c r="F2" s="660"/>
      <c r="G2" s="660"/>
      <c r="H2" s="660"/>
      <c r="I2" s="660"/>
      <c r="J2" s="660"/>
      <c r="K2" s="660"/>
      <c r="L2" s="660"/>
      <c r="M2" s="660"/>
      <c r="N2" s="660"/>
      <c r="O2" s="660"/>
      <c r="P2" s="660"/>
      <c r="Q2" s="660"/>
      <c r="R2" s="660"/>
      <c r="S2" s="660"/>
      <c r="T2" s="660"/>
      <c r="U2" s="660"/>
      <c r="V2" s="660"/>
      <c r="W2" s="660"/>
      <c r="X2" s="660"/>
      <c r="Y2" s="660"/>
      <c r="Z2" s="660"/>
      <c r="AA2" s="660"/>
      <c r="AB2" s="660"/>
      <c r="AC2" s="660"/>
      <c r="AD2" s="660"/>
      <c r="AE2" s="660"/>
      <c r="AF2" s="660"/>
      <c r="AG2" s="660"/>
      <c r="AH2" s="660"/>
      <c r="AI2" s="660"/>
      <c r="AJ2" s="660"/>
      <c r="AK2" s="660"/>
      <c r="AL2" s="660"/>
      <c r="AM2" s="660"/>
      <c r="AN2" s="660"/>
      <c r="AO2" s="660"/>
      <c r="AP2" s="660"/>
      <c r="AQ2" s="660"/>
      <c r="AR2" s="660"/>
      <c r="AS2" s="660"/>
      <c r="AT2" s="660"/>
      <c r="AU2" s="660"/>
      <c r="AV2" s="660"/>
      <c r="AW2" s="660"/>
      <c r="AX2" s="660"/>
      <c r="AY2" s="660"/>
      <c r="AZ2" s="660"/>
      <c r="BA2" s="660"/>
    </row>
    <row r="3" spans="2:53" ht="45.75" customHeight="1" x14ac:dyDescent="0.2">
      <c r="B3" s="589"/>
      <c r="C3" s="590"/>
      <c r="D3" s="590"/>
      <c r="E3" s="192"/>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2"/>
      <c r="AK3" s="192"/>
      <c r="AL3" s="192"/>
      <c r="AM3" s="192"/>
      <c r="AN3" s="192"/>
      <c r="AO3" s="192"/>
      <c r="AP3" s="192"/>
      <c r="AQ3" s="192"/>
      <c r="AR3" s="192"/>
      <c r="AS3" s="192"/>
      <c r="AT3" s="192"/>
      <c r="AU3" s="192"/>
      <c r="AV3" s="192"/>
      <c r="AW3" s="192"/>
      <c r="AX3" s="192"/>
      <c r="AY3" s="192"/>
      <c r="AZ3" s="192"/>
      <c r="BA3" s="591"/>
    </row>
    <row r="4" spans="2:53" ht="6" customHeight="1" x14ac:dyDescent="0.2">
      <c r="B4" s="3"/>
      <c r="BA4" s="4"/>
    </row>
    <row r="5" spans="2:53" ht="19.5" customHeight="1" x14ac:dyDescent="0.2">
      <c r="B5" s="3"/>
      <c r="E5" s="657" t="s">
        <v>118</v>
      </c>
      <c r="F5" s="658"/>
      <c r="G5" s="658"/>
      <c r="H5" s="658"/>
      <c r="I5" s="658"/>
      <c r="J5" s="658"/>
      <c r="K5" s="658"/>
      <c r="L5" s="658"/>
      <c r="M5" s="658"/>
      <c r="N5" s="658"/>
      <c r="O5" s="658"/>
      <c r="P5" s="658"/>
      <c r="Q5" s="658"/>
      <c r="R5" s="658"/>
      <c r="S5" s="658"/>
      <c r="T5" s="658"/>
      <c r="U5" s="658"/>
      <c r="V5" s="658"/>
      <c r="W5" s="658"/>
      <c r="X5" s="659"/>
      <c r="Y5" s="657" t="s">
        <v>119</v>
      </c>
      <c r="Z5" s="658"/>
      <c r="AA5" s="658"/>
      <c r="AB5" s="658"/>
      <c r="AC5" s="658"/>
      <c r="AD5" s="658"/>
      <c r="AE5" s="658"/>
      <c r="AF5" s="658"/>
      <c r="AG5" s="658"/>
      <c r="AH5" s="658"/>
      <c r="AI5" s="658"/>
      <c r="AJ5" s="658"/>
      <c r="AK5" s="658"/>
      <c r="AL5" s="658"/>
      <c r="AM5" s="658"/>
      <c r="AN5" s="658"/>
      <c r="AO5" s="658"/>
      <c r="AP5" s="658"/>
      <c r="AQ5" s="659"/>
      <c r="AR5" s="657" t="s">
        <v>120</v>
      </c>
      <c r="AS5" s="658"/>
      <c r="AT5" s="658"/>
      <c r="AU5" s="658"/>
      <c r="AV5" s="658"/>
      <c r="AW5" s="658"/>
      <c r="AX5" s="658"/>
      <c r="AY5" s="658"/>
      <c r="AZ5" s="659"/>
      <c r="BA5" s="4"/>
    </row>
    <row r="6" spans="2:53" ht="152.25" customHeight="1" x14ac:dyDescent="0.2">
      <c r="B6" s="3"/>
      <c r="C6" s="193" t="s">
        <v>85</v>
      </c>
      <c r="D6" s="94"/>
      <c r="E6" s="534" t="s">
        <v>121</v>
      </c>
      <c r="F6" s="534" t="s">
        <v>122</v>
      </c>
      <c r="G6" s="534" t="s">
        <v>123</v>
      </c>
      <c r="H6" s="534" t="s">
        <v>124</v>
      </c>
      <c r="I6" s="534" t="s">
        <v>125</v>
      </c>
      <c r="J6" s="534" t="s">
        <v>126</v>
      </c>
      <c r="K6" s="534" t="s">
        <v>127</v>
      </c>
      <c r="L6" s="534" t="s">
        <v>128</v>
      </c>
      <c r="M6" s="534" t="s">
        <v>129</v>
      </c>
      <c r="N6" s="534" t="s">
        <v>94</v>
      </c>
      <c r="O6" s="534" t="s">
        <v>130</v>
      </c>
      <c r="P6" s="534" t="s">
        <v>131</v>
      </c>
      <c r="Q6" s="534" t="s">
        <v>132</v>
      </c>
      <c r="R6" s="534" t="s">
        <v>133</v>
      </c>
      <c r="S6" s="534" t="s">
        <v>134</v>
      </c>
      <c r="T6" s="534" t="s">
        <v>135</v>
      </c>
      <c r="U6" s="534" t="s">
        <v>136</v>
      </c>
      <c r="V6" s="534" t="s">
        <v>137</v>
      </c>
      <c r="W6" s="534" t="s">
        <v>138</v>
      </c>
      <c r="X6" s="534" t="s">
        <v>139</v>
      </c>
      <c r="Y6" s="534" t="s">
        <v>140</v>
      </c>
      <c r="Z6" s="534" t="s">
        <v>103</v>
      </c>
      <c r="AA6" s="534" t="s">
        <v>141</v>
      </c>
      <c r="AB6" s="534" t="s">
        <v>142</v>
      </c>
      <c r="AC6" s="534" t="s">
        <v>143</v>
      </c>
      <c r="AD6" s="534" t="s">
        <v>144</v>
      </c>
      <c r="AE6" s="534" t="s">
        <v>127</v>
      </c>
      <c r="AF6" s="534" t="s">
        <v>128</v>
      </c>
      <c r="AG6" s="534" t="s">
        <v>129</v>
      </c>
      <c r="AH6" s="534" t="s">
        <v>145</v>
      </c>
      <c r="AI6" s="534" t="s">
        <v>136</v>
      </c>
      <c r="AJ6" s="534" t="s">
        <v>146</v>
      </c>
      <c r="AK6" s="534" t="s">
        <v>147</v>
      </c>
      <c r="AL6" s="534" t="s">
        <v>148</v>
      </c>
      <c r="AM6" s="534" t="s">
        <v>149</v>
      </c>
      <c r="AN6" s="534" t="s">
        <v>150</v>
      </c>
      <c r="AO6" s="534" t="s">
        <v>151</v>
      </c>
      <c r="AP6" s="534" t="s">
        <v>152</v>
      </c>
      <c r="AQ6" s="534" t="s">
        <v>153</v>
      </c>
      <c r="AR6" s="534" t="s">
        <v>154</v>
      </c>
      <c r="AS6" s="534" t="s">
        <v>155</v>
      </c>
      <c r="AT6" s="534" t="s">
        <v>156</v>
      </c>
      <c r="AU6" s="534" t="s">
        <v>157</v>
      </c>
      <c r="AV6" s="534" t="s">
        <v>136</v>
      </c>
      <c r="AW6" s="534" t="s">
        <v>158</v>
      </c>
      <c r="AX6" s="534" t="s">
        <v>159</v>
      </c>
      <c r="AY6" s="534" t="s">
        <v>160</v>
      </c>
      <c r="AZ6" s="534" t="s">
        <v>161</v>
      </c>
      <c r="BA6" s="4"/>
    </row>
    <row r="7" spans="2:53" ht="15" customHeight="1" x14ac:dyDescent="0.2">
      <c r="B7" s="126">
        <v>1</v>
      </c>
      <c r="C7" s="127" t="str">
        <f>'Program Descriptions'!C5</f>
        <v>Home Energy Solutions</v>
      </c>
      <c r="D7" s="127"/>
      <c r="E7" s="535"/>
      <c r="F7" s="535"/>
      <c r="G7" s="535"/>
      <c r="H7" s="535"/>
      <c r="I7" s="535"/>
      <c r="J7" s="535"/>
      <c r="K7" s="535"/>
      <c r="L7" s="535"/>
      <c r="M7" s="535"/>
      <c r="N7" s="535"/>
      <c r="O7" s="535"/>
      <c r="P7" s="535" t="s">
        <v>162</v>
      </c>
      <c r="Q7" s="535"/>
      <c r="R7" s="535"/>
      <c r="S7" s="535"/>
      <c r="T7" s="535"/>
      <c r="U7" s="535" t="s">
        <v>162</v>
      </c>
      <c r="V7" s="535"/>
      <c r="W7" s="535"/>
      <c r="X7" s="535"/>
      <c r="Y7" s="535"/>
      <c r="Z7" s="535"/>
      <c r="AA7" s="535"/>
      <c r="AB7" s="535"/>
      <c r="AC7" s="535"/>
      <c r="AD7" s="535"/>
      <c r="AE7" s="535"/>
      <c r="AF7" s="535"/>
      <c r="AG7" s="535"/>
      <c r="AH7" s="535"/>
      <c r="AI7" s="535"/>
      <c r="AJ7" s="535"/>
      <c r="AK7" s="535"/>
      <c r="AL7" s="535"/>
      <c r="AM7" s="535"/>
      <c r="AN7" s="535"/>
      <c r="AO7" s="535"/>
      <c r="AP7" s="535"/>
      <c r="AQ7" s="535"/>
      <c r="AR7" s="535"/>
      <c r="AS7" s="535"/>
      <c r="AT7" s="535" t="s">
        <v>162</v>
      </c>
      <c r="AU7" s="535" t="s">
        <v>162</v>
      </c>
      <c r="AV7" s="535"/>
      <c r="AW7" s="535"/>
      <c r="AX7" s="535"/>
      <c r="AY7" s="535"/>
      <c r="AZ7" s="535"/>
      <c r="BA7" s="4"/>
    </row>
    <row r="8" spans="2:53" ht="15" customHeight="1" x14ac:dyDescent="0.2">
      <c r="B8" s="126">
        <v>2</v>
      </c>
      <c r="C8" s="127" t="str">
        <f>'Program Descriptions'!C6</f>
        <v>Multifamily Homes</v>
      </c>
      <c r="D8" s="127"/>
      <c r="E8" s="535"/>
      <c r="F8" s="535"/>
      <c r="G8" s="535"/>
      <c r="H8" s="535"/>
      <c r="I8" s="535" t="s">
        <v>162</v>
      </c>
      <c r="J8" s="535"/>
      <c r="K8" s="535"/>
      <c r="L8" s="535"/>
      <c r="M8" s="535"/>
      <c r="N8" s="535"/>
      <c r="O8" s="535" t="s">
        <v>162</v>
      </c>
      <c r="P8" s="535" t="s">
        <v>162</v>
      </c>
      <c r="Q8" s="535" t="s">
        <v>162</v>
      </c>
      <c r="R8" s="535"/>
      <c r="S8" s="535"/>
      <c r="T8" s="535" t="s">
        <v>162</v>
      </c>
      <c r="U8" s="535" t="s">
        <v>162</v>
      </c>
      <c r="V8" s="535" t="s">
        <v>162</v>
      </c>
      <c r="W8" s="535" t="s">
        <v>162</v>
      </c>
      <c r="X8" s="535"/>
      <c r="Y8" s="535"/>
      <c r="Z8" s="535"/>
      <c r="AA8" s="535"/>
      <c r="AB8" s="535"/>
      <c r="AC8" s="535"/>
      <c r="AD8" s="535"/>
      <c r="AE8" s="535"/>
      <c r="AF8" s="535"/>
      <c r="AG8" s="535"/>
      <c r="AH8" s="535"/>
      <c r="AI8" s="535"/>
      <c r="AJ8" s="535"/>
      <c r="AK8" s="535" t="s">
        <v>162</v>
      </c>
      <c r="AL8" s="535" t="s">
        <v>162</v>
      </c>
      <c r="AM8" s="535"/>
      <c r="AN8" s="535" t="s">
        <v>162</v>
      </c>
      <c r="AO8" s="535"/>
      <c r="AP8" s="535" t="s">
        <v>162</v>
      </c>
      <c r="AQ8" s="535"/>
      <c r="AR8" s="535"/>
      <c r="AS8" s="535"/>
      <c r="AT8" s="535" t="s">
        <v>162</v>
      </c>
      <c r="AU8" s="535"/>
      <c r="AV8" s="535"/>
      <c r="AW8" s="535"/>
      <c r="AX8" s="535"/>
      <c r="AY8" s="535"/>
      <c r="AZ8" s="535"/>
      <c r="BA8" s="4"/>
    </row>
    <row r="9" spans="2:53" ht="15" customHeight="1" x14ac:dyDescent="0.2">
      <c r="B9" s="126">
        <v>3</v>
      </c>
      <c r="C9" s="127" t="str">
        <f>'Program Descriptions'!C7</f>
        <v>Manufactured Homes</v>
      </c>
      <c r="D9" s="127"/>
      <c r="E9" s="535"/>
      <c r="F9" s="535"/>
      <c r="G9" s="535"/>
      <c r="H9" s="535"/>
      <c r="I9" s="535"/>
      <c r="J9" s="535"/>
      <c r="K9" s="535"/>
      <c r="L9" s="535"/>
      <c r="M9" s="535"/>
      <c r="N9" s="535" t="s">
        <v>162</v>
      </c>
      <c r="O9" s="535"/>
      <c r="P9" s="535"/>
      <c r="Q9" s="535"/>
      <c r="R9" s="535"/>
      <c r="S9" s="535"/>
      <c r="T9" s="535"/>
      <c r="U9" s="535" t="s">
        <v>162</v>
      </c>
      <c r="V9" s="535" t="s">
        <v>162</v>
      </c>
      <c r="W9" s="535" t="s">
        <v>162</v>
      </c>
      <c r="X9" s="535"/>
      <c r="Y9" s="535"/>
      <c r="Z9" s="535"/>
      <c r="AA9" s="535"/>
      <c r="AB9" s="535"/>
      <c r="AC9" s="535"/>
      <c r="AD9" s="535"/>
      <c r="AE9" s="535"/>
      <c r="AF9" s="535"/>
      <c r="AG9" s="535"/>
      <c r="AH9" s="535"/>
      <c r="AI9" s="535"/>
      <c r="AJ9" s="535"/>
      <c r="AK9" s="535"/>
      <c r="AL9" s="535"/>
      <c r="AM9" s="535"/>
      <c r="AN9" s="535"/>
      <c r="AO9" s="535"/>
      <c r="AP9" s="535"/>
      <c r="AQ9" s="535"/>
      <c r="AR9" s="535"/>
      <c r="AS9" s="535"/>
      <c r="AT9" s="535" t="s">
        <v>162</v>
      </c>
      <c r="AU9" s="535"/>
      <c r="AV9" s="535"/>
      <c r="AW9" s="535"/>
      <c r="AX9" s="535"/>
      <c r="AY9" s="535"/>
      <c r="AZ9" s="535"/>
      <c r="BA9" s="4"/>
    </row>
    <row r="10" spans="2:53" ht="15" customHeight="1" x14ac:dyDescent="0.2">
      <c r="B10" s="126">
        <v>4</v>
      </c>
      <c r="C10" s="127" t="str">
        <f>'Program Descriptions'!C8</f>
        <v xml:space="preserve">Low-Income Solutions </v>
      </c>
      <c r="D10" s="127"/>
      <c r="E10" s="535"/>
      <c r="F10" s="535"/>
      <c r="G10" s="535"/>
      <c r="H10" s="535"/>
      <c r="I10" s="535" t="s">
        <v>162</v>
      </c>
      <c r="J10" s="535"/>
      <c r="K10" s="535"/>
      <c r="L10" s="535"/>
      <c r="M10" s="535"/>
      <c r="N10" s="535" t="s">
        <v>162</v>
      </c>
      <c r="O10" s="535"/>
      <c r="P10" s="535" t="s">
        <v>162</v>
      </c>
      <c r="Q10" s="535"/>
      <c r="R10" s="535"/>
      <c r="S10" s="535"/>
      <c r="T10" s="535" t="s">
        <v>162</v>
      </c>
      <c r="U10" s="535" t="s">
        <v>162</v>
      </c>
      <c r="V10" s="535" t="s">
        <v>162</v>
      </c>
      <c r="W10" s="535" t="s">
        <v>162</v>
      </c>
      <c r="X10" s="535"/>
      <c r="Y10" s="535"/>
      <c r="Z10" s="535"/>
      <c r="AA10" s="535"/>
      <c r="AB10" s="535"/>
      <c r="AC10" s="535"/>
      <c r="AD10" s="535"/>
      <c r="AE10" s="535"/>
      <c r="AF10" s="535"/>
      <c r="AG10" s="535"/>
      <c r="AH10" s="535"/>
      <c r="AI10" s="535"/>
      <c r="AJ10" s="535"/>
      <c r="AK10" s="535"/>
      <c r="AL10" s="535"/>
      <c r="AM10" s="535"/>
      <c r="AN10" s="535"/>
      <c r="AO10" s="535"/>
      <c r="AP10" s="535"/>
      <c r="AQ10" s="535"/>
      <c r="AR10" s="535"/>
      <c r="AS10" s="535"/>
      <c r="AT10" s="535" t="s">
        <v>162</v>
      </c>
      <c r="AU10" s="535"/>
      <c r="AV10" s="535"/>
      <c r="AW10" s="535"/>
      <c r="AX10" s="535"/>
      <c r="AY10" s="535"/>
      <c r="AZ10" s="535"/>
      <c r="BA10" s="4"/>
    </row>
    <row r="11" spans="2:53" ht="15" customHeight="1" x14ac:dyDescent="0.2">
      <c r="B11" s="126">
        <v>5</v>
      </c>
      <c r="C11" s="127" t="str">
        <f>'Program Descriptions'!C9</f>
        <v>Point of Purchase Solutions</v>
      </c>
      <c r="D11" s="127"/>
      <c r="E11" s="535"/>
      <c r="F11" s="535"/>
      <c r="G11" s="535" t="s">
        <v>162</v>
      </c>
      <c r="H11" s="535" t="s">
        <v>162</v>
      </c>
      <c r="I11" s="535" t="s">
        <v>162</v>
      </c>
      <c r="J11" s="535"/>
      <c r="K11" s="535"/>
      <c r="L11" s="535"/>
      <c r="M11" s="535"/>
      <c r="N11" s="535"/>
      <c r="O11" s="535"/>
      <c r="P11" s="535"/>
      <c r="Q11" s="535" t="s">
        <v>162</v>
      </c>
      <c r="R11" s="535"/>
      <c r="S11" s="535"/>
      <c r="T11" s="535"/>
      <c r="U11" s="535" t="s">
        <v>162</v>
      </c>
      <c r="V11" s="535"/>
      <c r="W11" s="535"/>
      <c r="X11" s="535"/>
      <c r="Y11" s="535"/>
      <c r="Z11" s="535"/>
      <c r="AA11" s="535"/>
      <c r="AB11" s="535"/>
      <c r="AC11" s="535"/>
      <c r="AD11" s="535"/>
      <c r="AE11" s="535"/>
      <c r="AF11" s="535"/>
      <c r="AG11" s="535"/>
      <c r="AH11" s="535"/>
      <c r="AI11" s="535"/>
      <c r="AJ11" s="535"/>
      <c r="AK11" s="535"/>
      <c r="AL11" s="535" t="s">
        <v>162</v>
      </c>
      <c r="AM11" s="535"/>
      <c r="AN11" s="535" t="s">
        <v>162</v>
      </c>
      <c r="AO11" s="535"/>
      <c r="AP11" s="535" t="s">
        <v>162</v>
      </c>
      <c r="AQ11" s="535"/>
      <c r="AR11" s="535"/>
      <c r="AS11" s="535" t="s">
        <v>162</v>
      </c>
      <c r="AT11" s="535" t="s">
        <v>162</v>
      </c>
      <c r="AU11" s="535" t="s">
        <v>162</v>
      </c>
      <c r="AV11" s="535" t="s">
        <v>162</v>
      </c>
      <c r="AW11" s="535"/>
      <c r="AX11" s="535"/>
      <c r="AY11" s="535"/>
      <c r="AZ11" s="535"/>
      <c r="BA11" s="4"/>
    </row>
    <row r="12" spans="2:53" ht="15" customHeight="1" x14ac:dyDescent="0.2">
      <c r="B12" s="126">
        <v>6</v>
      </c>
      <c r="C12" s="127" t="str">
        <f>'Program Descriptions'!C10</f>
        <v>Large Commercial &amp; Industrial Solutions</v>
      </c>
      <c r="D12" s="127"/>
      <c r="E12" s="535"/>
      <c r="F12" s="535"/>
      <c r="G12" s="535"/>
      <c r="H12" s="535"/>
      <c r="I12" s="535"/>
      <c r="J12" s="535"/>
      <c r="K12" s="535"/>
      <c r="L12" s="535"/>
      <c r="M12" s="535"/>
      <c r="N12" s="535"/>
      <c r="O12" s="535"/>
      <c r="P12" s="535"/>
      <c r="Q12" s="535"/>
      <c r="R12" s="535"/>
      <c r="S12" s="535"/>
      <c r="T12" s="535"/>
      <c r="U12" s="535"/>
      <c r="V12" s="535"/>
      <c r="W12" s="535"/>
      <c r="X12" s="535"/>
      <c r="Y12" s="535" t="s">
        <v>162</v>
      </c>
      <c r="Z12" s="535" t="s">
        <v>162</v>
      </c>
      <c r="AA12" s="535"/>
      <c r="AB12" s="535" t="s">
        <v>162</v>
      </c>
      <c r="AC12" s="535" t="s">
        <v>162</v>
      </c>
      <c r="AD12" s="535" t="s">
        <v>162</v>
      </c>
      <c r="AE12" s="535"/>
      <c r="AF12" s="535"/>
      <c r="AG12" s="535"/>
      <c r="AH12" s="535"/>
      <c r="AI12" s="535" t="s">
        <v>162</v>
      </c>
      <c r="AJ12" s="535" t="s">
        <v>162</v>
      </c>
      <c r="AK12" s="535" t="s">
        <v>162</v>
      </c>
      <c r="AL12" s="535" t="s">
        <v>162</v>
      </c>
      <c r="AM12" s="535" t="s">
        <v>162</v>
      </c>
      <c r="AN12" s="535" t="s">
        <v>162</v>
      </c>
      <c r="AO12" s="535" t="s">
        <v>162</v>
      </c>
      <c r="AP12" s="535"/>
      <c r="AQ12" s="535"/>
      <c r="AR12" s="535"/>
      <c r="AS12" s="535"/>
      <c r="AT12" s="535" t="s">
        <v>162</v>
      </c>
      <c r="AU12" s="535"/>
      <c r="AV12" s="535"/>
      <c r="AW12" s="535"/>
      <c r="AX12" s="535" t="s">
        <v>162</v>
      </c>
      <c r="AY12" s="535"/>
      <c r="AZ12" s="535"/>
      <c r="BA12" s="4"/>
    </row>
    <row r="13" spans="2:53" ht="15" customHeight="1" x14ac:dyDescent="0.2">
      <c r="B13" s="126">
        <v>7</v>
      </c>
      <c r="C13" s="127" t="str">
        <f>'Program Descriptions'!C11</f>
        <v>Small Business Solutions</v>
      </c>
      <c r="D13" s="127"/>
      <c r="E13" s="535"/>
      <c r="F13" s="535"/>
      <c r="G13" s="535"/>
      <c r="H13" s="535"/>
      <c r="I13" s="535"/>
      <c r="J13" s="535"/>
      <c r="K13" s="535"/>
      <c r="L13" s="535"/>
      <c r="M13" s="535"/>
      <c r="N13" s="535"/>
      <c r="O13" s="535"/>
      <c r="P13" s="535"/>
      <c r="Q13" s="535"/>
      <c r="R13" s="535"/>
      <c r="S13" s="535"/>
      <c r="T13" s="535"/>
      <c r="U13" s="535"/>
      <c r="V13" s="535"/>
      <c r="W13" s="535"/>
      <c r="X13" s="535"/>
      <c r="Y13" s="535" t="s">
        <v>162</v>
      </c>
      <c r="Z13" s="535"/>
      <c r="AA13" s="535"/>
      <c r="AB13" s="535"/>
      <c r="AC13" s="535"/>
      <c r="AD13" s="535"/>
      <c r="AE13" s="535"/>
      <c r="AF13" s="535"/>
      <c r="AG13" s="535"/>
      <c r="AH13" s="535"/>
      <c r="AI13" s="535" t="s">
        <v>162</v>
      </c>
      <c r="AJ13" s="535"/>
      <c r="AK13" s="535"/>
      <c r="AL13" s="535" t="s">
        <v>162</v>
      </c>
      <c r="AM13" s="535"/>
      <c r="AN13" s="535" t="s">
        <v>162</v>
      </c>
      <c r="AO13" s="535"/>
      <c r="AP13" s="535" t="s">
        <v>162</v>
      </c>
      <c r="AQ13" s="535"/>
      <c r="AR13" s="535"/>
      <c r="AS13" s="535"/>
      <c r="AT13" s="535" t="s">
        <v>162</v>
      </c>
      <c r="AU13" s="535"/>
      <c r="AV13" s="535"/>
      <c r="AW13" s="535"/>
      <c r="AX13" s="535" t="s">
        <v>162</v>
      </c>
      <c r="AY13" s="535"/>
      <c r="AZ13" s="535"/>
      <c r="BA13" s="4"/>
    </row>
    <row r="14" spans="2:53" ht="15" customHeight="1" x14ac:dyDescent="0.2">
      <c r="B14" s="126">
        <v>8</v>
      </c>
      <c r="C14" s="127" t="str">
        <f>'Program Descriptions'!C12</f>
        <v xml:space="preserve">Public Institutions Solutions </v>
      </c>
      <c r="D14" s="127"/>
      <c r="E14" s="535"/>
      <c r="F14" s="535"/>
      <c r="G14" s="535"/>
      <c r="H14" s="535"/>
      <c r="I14" s="535"/>
      <c r="J14" s="535"/>
      <c r="K14" s="535"/>
      <c r="L14" s="535"/>
      <c r="M14" s="535"/>
      <c r="N14" s="535"/>
      <c r="O14" s="535"/>
      <c r="P14" s="535"/>
      <c r="Q14" s="535"/>
      <c r="R14" s="535"/>
      <c r="S14" s="535"/>
      <c r="T14" s="535"/>
      <c r="U14" s="535"/>
      <c r="V14" s="535"/>
      <c r="W14" s="535"/>
      <c r="X14" s="535"/>
      <c r="Y14" s="535" t="s">
        <v>162</v>
      </c>
      <c r="Z14" s="535" t="s">
        <v>162</v>
      </c>
      <c r="AA14" s="535"/>
      <c r="AB14" s="535"/>
      <c r="AC14" s="535"/>
      <c r="AD14" s="535"/>
      <c r="AE14" s="535"/>
      <c r="AF14" s="535"/>
      <c r="AG14" s="535"/>
      <c r="AH14" s="535" t="s">
        <v>162</v>
      </c>
      <c r="AI14" s="535" t="s">
        <v>162</v>
      </c>
      <c r="AJ14" s="535"/>
      <c r="AK14" s="535"/>
      <c r="AL14" s="535"/>
      <c r="AM14" s="535"/>
      <c r="AN14" s="535" t="s">
        <v>162</v>
      </c>
      <c r="AO14" s="535"/>
      <c r="AP14" s="535"/>
      <c r="AQ14" s="535"/>
      <c r="AR14" s="535"/>
      <c r="AS14" s="535"/>
      <c r="AT14" s="535" t="s">
        <v>162</v>
      </c>
      <c r="AU14" s="535"/>
      <c r="AV14" s="535" t="s">
        <v>162</v>
      </c>
      <c r="AW14" s="535"/>
      <c r="AX14" s="535"/>
      <c r="AY14" s="535"/>
      <c r="AZ14" s="535"/>
      <c r="BA14" s="4"/>
    </row>
    <row r="15" spans="2:53" ht="15" customHeight="1" x14ac:dyDescent="0.2">
      <c r="B15" s="126">
        <v>9</v>
      </c>
      <c r="C15" s="127" t="str">
        <f>'Program Descriptions'!C13</f>
        <v>Agricultural Energy Solutions</v>
      </c>
      <c r="D15" s="127"/>
      <c r="E15" s="535"/>
      <c r="F15" s="535"/>
      <c r="G15" s="535"/>
      <c r="H15" s="535"/>
      <c r="I15" s="535"/>
      <c r="J15" s="535"/>
      <c r="K15" s="535"/>
      <c r="L15" s="535"/>
      <c r="M15" s="535"/>
      <c r="N15" s="535"/>
      <c r="O15" s="535"/>
      <c r="P15" s="535"/>
      <c r="Q15" s="535"/>
      <c r="R15" s="535"/>
      <c r="S15" s="535"/>
      <c r="T15" s="535"/>
      <c r="U15" s="535"/>
      <c r="V15" s="535"/>
      <c r="W15" s="535"/>
      <c r="X15" s="535"/>
      <c r="Y15" s="535" t="s">
        <v>162</v>
      </c>
      <c r="Z15" s="535" t="s">
        <v>162</v>
      </c>
      <c r="AA15" s="535" t="s">
        <v>162</v>
      </c>
      <c r="AB15" s="535"/>
      <c r="AC15" s="535"/>
      <c r="AD15" s="535"/>
      <c r="AE15" s="535"/>
      <c r="AF15" s="535"/>
      <c r="AG15" s="535"/>
      <c r="AH15" s="535"/>
      <c r="AI15" s="535"/>
      <c r="AJ15" s="535"/>
      <c r="AK15" s="535"/>
      <c r="AL15" s="535"/>
      <c r="AM15" s="535"/>
      <c r="AN15" s="535" t="s">
        <v>162</v>
      </c>
      <c r="AO15" s="535" t="s">
        <v>162</v>
      </c>
      <c r="AP15" s="535" t="s">
        <v>162</v>
      </c>
      <c r="AQ15" s="535"/>
      <c r="AR15" s="535"/>
      <c r="AS15" s="535"/>
      <c r="AT15" s="535" t="s">
        <v>162</v>
      </c>
      <c r="AU15" s="535"/>
      <c r="AV15" s="535" t="s">
        <v>162</v>
      </c>
      <c r="AW15" s="535"/>
      <c r="AX15" s="535"/>
      <c r="AY15" s="535"/>
      <c r="AZ15" s="535"/>
      <c r="BA15" s="4"/>
    </row>
    <row r="16" spans="2:53" ht="15" customHeight="1" x14ac:dyDescent="0.2">
      <c r="B16" s="126">
        <v>10</v>
      </c>
      <c r="C16" s="127" t="str">
        <f>'Program Descriptions'!C14</f>
        <v>Residential Direct Load Control</v>
      </c>
      <c r="D16" s="127"/>
      <c r="E16" s="535"/>
      <c r="F16" s="535"/>
      <c r="G16" s="535"/>
      <c r="H16" s="535"/>
      <c r="I16" s="535"/>
      <c r="J16" s="535"/>
      <c r="K16" s="535" t="s">
        <v>162</v>
      </c>
      <c r="L16" s="535"/>
      <c r="M16" s="535"/>
      <c r="N16" s="535"/>
      <c r="O16" s="535"/>
      <c r="P16" s="535"/>
      <c r="Q16" s="535"/>
      <c r="R16" s="535"/>
      <c r="S16" s="535"/>
      <c r="T16" s="535"/>
      <c r="U16" s="535"/>
      <c r="V16" s="535"/>
      <c r="W16" s="535"/>
      <c r="X16" s="535"/>
      <c r="Y16" s="535"/>
      <c r="Z16" s="535"/>
      <c r="AA16" s="535"/>
      <c r="AB16" s="535"/>
      <c r="AC16" s="535"/>
      <c r="AD16" s="535"/>
      <c r="AE16" s="535"/>
      <c r="AF16" s="535"/>
      <c r="AG16" s="535"/>
      <c r="AH16" s="535"/>
      <c r="AI16" s="535"/>
      <c r="AJ16" s="535"/>
      <c r="AK16" s="535"/>
      <c r="AL16" s="535"/>
      <c r="AM16" s="535"/>
      <c r="AN16" s="535"/>
      <c r="AO16" s="535"/>
      <c r="AP16" s="535"/>
      <c r="AQ16" s="535"/>
      <c r="AR16" s="535"/>
      <c r="AS16" s="535"/>
      <c r="AT16" s="535"/>
      <c r="AU16" s="535"/>
      <c r="AV16" s="535"/>
      <c r="AW16" s="535"/>
      <c r="AX16" s="535"/>
      <c r="AY16" s="535"/>
      <c r="AZ16" s="535"/>
      <c r="BA16" s="4"/>
    </row>
    <row r="17" spans="2:53" ht="15" customHeight="1" x14ac:dyDescent="0.2">
      <c r="B17" s="126">
        <v>11</v>
      </c>
      <c r="C17" s="127" t="str">
        <f>'Program Descriptions'!C15</f>
        <v xml:space="preserve">Smart Direct Load Control Pilot </v>
      </c>
      <c r="D17" s="127"/>
      <c r="E17" s="535"/>
      <c r="F17" s="535"/>
      <c r="G17" s="535"/>
      <c r="H17" s="535"/>
      <c r="I17" s="535"/>
      <c r="J17" s="535"/>
      <c r="K17" s="535" t="s">
        <v>162</v>
      </c>
      <c r="L17" s="535"/>
      <c r="M17" s="535"/>
      <c r="N17" s="535"/>
      <c r="O17" s="535"/>
      <c r="P17" s="535"/>
      <c r="Q17" s="535"/>
      <c r="R17" s="535"/>
      <c r="S17" s="535"/>
      <c r="T17" s="535"/>
      <c r="U17" s="535"/>
      <c r="V17" s="535"/>
      <c r="W17" s="535"/>
      <c r="X17" s="535"/>
      <c r="Y17" s="535"/>
      <c r="Z17" s="535"/>
      <c r="AA17" s="535"/>
      <c r="AB17" s="535"/>
      <c r="AC17" s="535"/>
      <c r="AD17" s="535"/>
      <c r="AE17" s="535" t="s">
        <v>162</v>
      </c>
      <c r="AF17" s="535"/>
      <c r="AG17" s="535"/>
      <c r="AH17" s="535"/>
      <c r="AI17" s="535"/>
      <c r="AJ17" s="535"/>
      <c r="AK17" s="535"/>
      <c r="AL17" s="535"/>
      <c r="AM17" s="535"/>
      <c r="AN17" s="535"/>
      <c r="AO17" s="535"/>
      <c r="AP17" s="535"/>
      <c r="AQ17" s="535"/>
      <c r="AR17" s="535"/>
      <c r="AS17" s="535"/>
      <c r="AT17" s="535"/>
      <c r="AU17" s="535"/>
      <c r="AV17" s="535"/>
      <c r="AW17" s="535"/>
      <c r="AX17" s="535"/>
      <c r="AY17" s="535"/>
      <c r="AZ17" s="535"/>
      <c r="BA17" s="4"/>
    </row>
    <row r="18" spans="2:53" ht="15" customHeight="1" x14ac:dyDescent="0.2">
      <c r="B18" s="126">
        <v>12</v>
      </c>
      <c r="C18" s="127" t="str">
        <f>'Program Descriptions'!C16</f>
        <v>Agricultural Irrigation Load Control</v>
      </c>
      <c r="D18" s="127"/>
      <c r="E18" s="535"/>
      <c r="F18" s="535"/>
      <c r="G18" s="535"/>
      <c r="H18" s="535"/>
      <c r="I18" s="535"/>
      <c r="J18" s="535"/>
      <c r="K18" s="535"/>
      <c r="L18" s="535"/>
      <c r="M18" s="535"/>
      <c r="N18" s="535"/>
      <c r="O18" s="535"/>
      <c r="P18" s="535"/>
      <c r="Q18" s="535"/>
      <c r="R18" s="535"/>
      <c r="S18" s="535"/>
      <c r="T18" s="535"/>
      <c r="U18" s="535"/>
      <c r="V18" s="535"/>
      <c r="W18" s="535"/>
      <c r="X18" s="535"/>
      <c r="Y18" s="535"/>
      <c r="Z18" s="535"/>
      <c r="AA18" s="535"/>
      <c r="AB18" s="535"/>
      <c r="AC18" s="535"/>
      <c r="AD18" s="535"/>
      <c r="AE18" s="535" t="s">
        <v>162</v>
      </c>
      <c r="AF18" s="535"/>
      <c r="AG18" s="535"/>
      <c r="AH18" s="535"/>
      <c r="AI18" s="535"/>
      <c r="AJ18" s="535"/>
      <c r="AK18" s="535"/>
      <c r="AL18" s="535"/>
      <c r="AM18" s="535"/>
      <c r="AN18" s="535"/>
      <c r="AO18" s="535"/>
      <c r="AP18" s="535"/>
      <c r="AQ18" s="535"/>
      <c r="AR18" s="535"/>
      <c r="AS18" s="535"/>
      <c r="AT18" s="535"/>
      <c r="AU18" s="535"/>
      <c r="AV18" s="535"/>
      <c r="AW18" s="535"/>
      <c r="AX18" s="535"/>
      <c r="AY18" s="535"/>
      <c r="AZ18" s="535"/>
      <c r="BA18" s="4"/>
    </row>
    <row r="19" spans="2:53" ht="15" hidden="1" customHeight="1" x14ac:dyDescent="0.2">
      <c r="B19" s="126">
        <v>13</v>
      </c>
      <c r="C19" s="127" t="str">
        <f>'Program Descriptions'!C17</f>
        <v>Empty</v>
      </c>
      <c r="D19" s="127"/>
      <c r="E19" s="535"/>
      <c r="F19" s="535"/>
      <c r="G19" s="535"/>
      <c r="H19" s="535"/>
      <c r="I19" s="535"/>
      <c r="J19" s="535"/>
      <c r="K19" s="535"/>
      <c r="L19" s="535"/>
      <c r="M19" s="535"/>
      <c r="N19" s="535"/>
      <c r="O19" s="535"/>
      <c r="P19" s="535"/>
      <c r="Q19" s="535"/>
      <c r="R19" s="535"/>
      <c r="S19" s="535"/>
      <c r="T19" s="535"/>
      <c r="U19" s="535"/>
      <c r="V19" s="535"/>
      <c r="W19" s="535"/>
      <c r="X19" s="535"/>
      <c r="Y19" s="535"/>
      <c r="Z19" s="535"/>
      <c r="AA19" s="535"/>
      <c r="AB19" s="535"/>
      <c r="AC19" s="535"/>
      <c r="AD19" s="535"/>
      <c r="AE19" s="535"/>
      <c r="AF19" s="535"/>
      <c r="AG19" s="535"/>
      <c r="AH19" s="535"/>
      <c r="AI19" s="535"/>
      <c r="AJ19" s="535"/>
      <c r="AK19" s="535"/>
      <c r="AL19" s="535"/>
      <c r="AM19" s="535"/>
      <c r="AN19" s="535"/>
      <c r="AO19" s="535"/>
      <c r="AP19" s="535"/>
      <c r="AQ19" s="535"/>
      <c r="AR19" s="535"/>
      <c r="AS19" s="535"/>
      <c r="AT19" s="535" t="s">
        <v>162</v>
      </c>
      <c r="AU19" s="535"/>
      <c r="AV19" s="535"/>
      <c r="AW19" s="535" t="s">
        <v>162</v>
      </c>
      <c r="AX19" s="535"/>
      <c r="AY19" s="535"/>
      <c r="AZ19" s="535" t="s">
        <v>162</v>
      </c>
      <c r="BA19" s="4"/>
    </row>
    <row r="20" spans="2:53" ht="15" hidden="1" customHeight="1" x14ac:dyDescent="0.2">
      <c r="B20" s="126">
        <v>14</v>
      </c>
      <c r="C20" s="127" t="str">
        <f>'Program Descriptions'!C18</f>
        <v>Empty</v>
      </c>
      <c r="D20" s="127"/>
      <c r="E20" s="535"/>
      <c r="F20" s="535"/>
      <c r="G20" s="535"/>
      <c r="H20" s="535"/>
      <c r="I20" s="535"/>
      <c r="J20" s="535"/>
      <c r="K20" s="535"/>
      <c r="L20" s="535"/>
      <c r="M20" s="535"/>
      <c r="N20" s="535"/>
      <c r="O20" s="535"/>
      <c r="P20" s="535"/>
      <c r="Q20" s="535"/>
      <c r="R20" s="535"/>
      <c r="S20" s="535"/>
      <c r="T20" s="535"/>
      <c r="U20" s="535"/>
      <c r="V20" s="535"/>
      <c r="W20" s="535"/>
      <c r="X20" s="535"/>
      <c r="Y20" s="535"/>
      <c r="Z20" s="535"/>
      <c r="AA20" s="535"/>
      <c r="AB20" s="535"/>
      <c r="AC20" s="535"/>
      <c r="AD20" s="535"/>
      <c r="AE20" s="535"/>
      <c r="AF20" s="535"/>
      <c r="AG20" s="535"/>
      <c r="AH20" s="535"/>
      <c r="AI20" s="535"/>
      <c r="AJ20" s="535"/>
      <c r="AK20" s="535"/>
      <c r="AL20" s="535"/>
      <c r="AM20" s="535"/>
      <c r="AN20" s="535"/>
      <c r="AO20" s="535"/>
      <c r="AP20" s="535"/>
      <c r="AQ20" s="535"/>
      <c r="AR20" s="535"/>
      <c r="AS20" s="535"/>
      <c r="AT20" s="535"/>
      <c r="AU20" s="535"/>
      <c r="AV20" s="535"/>
      <c r="AW20" s="535"/>
      <c r="AX20" s="535"/>
      <c r="AY20" s="535"/>
      <c r="AZ20" s="535"/>
      <c r="BA20" s="4"/>
    </row>
    <row r="21" spans="2:53" ht="15" hidden="1" customHeight="1" x14ac:dyDescent="0.2">
      <c r="B21" s="126">
        <v>15</v>
      </c>
      <c r="C21" s="127" t="str">
        <f>'Program Descriptions'!C19</f>
        <v>Empty</v>
      </c>
      <c r="D21" s="127"/>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5"/>
      <c r="AY21" s="535"/>
      <c r="AZ21" s="535"/>
      <c r="BA21" s="4"/>
    </row>
    <row r="22" spans="2:53" ht="15" hidden="1" customHeight="1" x14ac:dyDescent="0.2">
      <c r="B22" s="126">
        <v>16</v>
      </c>
      <c r="C22" s="127" t="str">
        <f>'Program Descriptions'!C20</f>
        <v>Empty</v>
      </c>
      <c r="D22" s="127"/>
      <c r="E22" s="535"/>
      <c r="F22" s="535"/>
      <c r="G22" s="535"/>
      <c r="H22" s="535"/>
      <c r="I22" s="535"/>
      <c r="J22" s="535"/>
      <c r="K22" s="535"/>
      <c r="L22" s="535"/>
      <c r="M22" s="535"/>
      <c r="N22" s="535"/>
      <c r="O22" s="535"/>
      <c r="P22" s="535"/>
      <c r="Q22" s="535"/>
      <c r="R22" s="535"/>
      <c r="S22" s="535"/>
      <c r="T22" s="535"/>
      <c r="U22" s="535"/>
      <c r="V22" s="535"/>
      <c r="W22" s="535"/>
      <c r="X22" s="535"/>
      <c r="Y22" s="535"/>
      <c r="Z22" s="535"/>
      <c r="AA22" s="535"/>
      <c r="AB22" s="535"/>
      <c r="AC22" s="535"/>
      <c r="AD22" s="535"/>
      <c r="AE22" s="535"/>
      <c r="AF22" s="535"/>
      <c r="AG22" s="535"/>
      <c r="AH22" s="535"/>
      <c r="AI22" s="535"/>
      <c r="AJ22" s="535"/>
      <c r="AK22" s="535"/>
      <c r="AL22" s="535"/>
      <c r="AM22" s="535"/>
      <c r="AN22" s="535"/>
      <c r="AO22" s="535"/>
      <c r="AP22" s="535"/>
      <c r="AQ22" s="535"/>
      <c r="AR22" s="535"/>
      <c r="AS22" s="535"/>
      <c r="AT22" s="535"/>
      <c r="AU22" s="535"/>
      <c r="AV22" s="535"/>
      <c r="AW22" s="535"/>
      <c r="AX22" s="535"/>
      <c r="AY22" s="535"/>
      <c r="AZ22" s="535"/>
      <c r="BA22" s="4"/>
    </row>
    <row r="23" spans="2:53" ht="15" hidden="1" customHeight="1" x14ac:dyDescent="0.2">
      <c r="B23" s="126">
        <v>17</v>
      </c>
      <c r="C23" s="127" t="str">
        <f>'Program Descriptions'!C21</f>
        <v>Empty</v>
      </c>
      <c r="D23" s="127"/>
      <c r="E23" s="535"/>
      <c r="F23" s="535"/>
      <c r="G23" s="535"/>
      <c r="H23" s="535"/>
      <c r="I23" s="535"/>
      <c r="J23" s="535"/>
      <c r="K23" s="535"/>
      <c r="L23" s="535"/>
      <c r="M23" s="535"/>
      <c r="N23" s="535"/>
      <c r="O23" s="535"/>
      <c r="P23" s="535"/>
      <c r="Q23" s="535"/>
      <c r="R23" s="535"/>
      <c r="S23" s="535"/>
      <c r="T23" s="535"/>
      <c r="U23" s="535"/>
      <c r="V23" s="535"/>
      <c r="W23" s="535"/>
      <c r="X23" s="535"/>
      <c r="Y23" s="535"/>
      <c r="Z23" s="535"/>
      <c r="AA23" s="535"/>
      <c r="AB23" s="535"/>
      <c r="AC23" s="535"/>
      <c r="AD23" s="535"/>
      <c r="AE23" s="535"/>
      <c r="AF23" s="535"/>
      <c r="AG23" s="535"/>
      <c r="AH23" s="535"/>
      <c r="AI23" s="535"/>
      <c r="AJ23" s="535"/>
      <c r="AK23" s="535"/>
      <c r="AL23" s="535"/>
      <c r="AM23" s="535"/>
      <c r="AN23" s="535"/>
      <c r="AO23" s="535"/>
      <c r="AP23" s="535"/>
      <c r="AQ23" s="535"/>
      <c r="AR23" s="535"/>
      <c r="AS23" s="535"/>
      <c r="AT23" s="535"/>
      <c r="AU23" s="535"/>
      <c r="AV23" s="535"/>
      <c r="AW23" s="535"/>
      <c r="AX23" s="535"/>
      <c r="AY23" s="535"/>
      <c r="AZ23" s="535"/>
      <c r="BA23" s="4"/>
    </row>
    <row r="24" spans="2:53" ht="15" hidden="1" customHeight="1" x14ac:dyDescent="0.2">
      <c r="B24" s="126">
        <v>18</v>
      </c>
      <c r="C24" s="127" t="str">
        <f>'Program Descriptions'!C22</f>
        <v>Empty</v>
      </c>
      <c r="D24" s="127"/>
      <c r="E24" s="535"/>
      <c r="F24" s="535"/>
      <c r="G24" s="535"/>
      <c r="H24" s="535"/>
      <c r="I24" s="535"/>
      <c r="J24" s="535"/>
      <c r="K24" s="535"/>
      <c r="L24" s="535"/>
      <c r="M24" s="535"/>
      <c r="N24" s="535"/>
      <c r="O24" s="535"/>
      <c r="P24" s="535"/>
      <c r="Q24" s="535"/>
      <c r="R24" s="535"/>
      <c r="S24" s="535"/>
      <c r="T24" s="535"/>
      <c r="U24" s="535"/>
      <c r="V24" s="535"/>
      <c r="W24" s="535"/>
      <c r="X24" s="535"/>
      <c r="Y24" s="535"/>
      <c r="Z24" s="535"/>
      <c r="AA24" s="535"/>
      <c r="AB24" s="535"/>
      <c r="AC24" s="535"/>
      <c r="AD24" s="535"/>
      <c r="AE24" s="535"/>
      <c r="AF24" s="535"/>
      <c r="AG24" s="535"/>
      <c r="AH24" s="535"/>
      <c r="AI24" s="535"/>
      <c r="AJ24" s="535"/>
      <c r="AK24" s="535"/>
      <c r="AL24" s="535"/>
      <c r="AM24" s="535"/>
      <c r="AN24" s="535"/>
      <c r="AO24" s="535"/>
      <c r="AP24" s="535"/>
      <c r="AQ24" s="535"/>
      <c r="AR24" s="535"/>
      <c r="AS24" s="535"/>
      <c r="AT24" s="535"/>
      <c r="AU24" s="535"/>
      <c r="AV24" s="535"/>
      <c r="AW24" s="535"/>
      <c r="AX24" s="535"/>
      <c r="AY24" s="535"/>
      <c r="AZ24" s="535"/>
      <c r="BA24" s="4"/>
    </row>
    <row r="25" spans="2:53" ht="15" hidden="1" customHeight="1" x14ac:dyDescent="0.2">
      <c r="B25" s="126">
        <v>19</v>
      </c>
      <c r="C25" s="127" t="str">
        <f>'Program Descriptions'!C23</f>
        <v>Empty</v>
      </c>
      <c r="D25" s="127"/>
      <c r="E25" s="535"/>
      <c r="F25" s="535"/>
      <c r="G25" s="535"/>
      <c r="H25" s="535"/>
      <c r="I25" s="535"/>
      <c r="J25" s="535"/>
      <c r="K25" s="535"/>
      <c r="L25" s="535"/>
      <c r="M25" s="535"/>
      <c r="N25" s="535"/>
      <c r="O25" s="535"/>
      <c r="P25" s="535"/>
      <c r="Q25" s="535"/>
      <c r="R25" s="535"/>
      <c r="S25" s="535"/>
      <c r="T25" s="535"/>
      <c r="U25" s="535"/>
      <c r="V25" s="535"/>
      <c r="W25" s="535"/>
      <c r="X25" s="535"/>
      <c r="Y25" s="535"/>
      <c r="Z25" s="535"/>
      <c r="AA25" s="535"/>
      <c r="AB25" s="535"/>
      <c r="AC25" s="535"/>
      <c r="AD25" s="535"/>
      <c r="AE25" s="535"/>
      <c r="AF25" s="535"/>
      <c r="AG25" s="535"/>
      <c r="AH25" s="535"/>
      <c r="AI25" s="535"/>
      <c r="AJ25" s="535"/>
      <c r="AK25" s="535"/>
      <c r="AL25" s="535"/>
      <c r="AM25" s="535"/>
      <c r="AN25" s="535"/>
      <c r="AO25" s="535"/>
      <c r="AP25" s="535"/>
      <c r="AQ25" s="535"/>
      <c r="AR25" s="535"/>
      <c r="AS25" s="535"/>
      <c r="AT25" s="535"/>
      <c r="AU25" s="535"/>
      <c r="AV25" s="535"/>
      <c r="AW25" s="535"/>
      <c r="AX25" s="535"/>
      <c r="AY25" s="535"/>
      <c r="AZ25" s="535"/>
      <c r="BA25" s="4"/>
    </row>
    <row r="26" spans="2:53" ht="15" hidden="1" customHeight="1" x14ac:dyDescent="0.2">
      <c r="B26" s="126">
        <v>20</v>
      </c>
      <c r="C26" s="127" t="str">
        <f>'Program Descriptions'!C24</f>
        <v>Empty</v>
      </c>
      <c r="D26" s="127"/>
      <c r="E26" s="535"/>
      <c r="F26" s="535"/>
      <c r="G26" s="535"/>
      <c r="H26" s="535"/>
      <c r="I26" s="535"/>
      <c r="J26" s="535"/>
      <c r="K26" s="535"/>
      <c r="L26" s="535"/>
      <c r="M26" s="535"/>
      <c r="N26" s="535"/>
      <c r="O26" s="535"/>
      <c r="P26" s="535"/>
      <c r="Q26" s="535"/>
      <c r="R26" s="535"/>
      <c r="S26" s="535"/>
      <c r="T26" s="535"/>
      <c r="U26" s="535"/>
      <c r="V26" s="535"/>
      <c r="W26" s="535"/>
      <c r="X26" s="535"/>
      <c r="Y26" s="535"/>
      <c r="Z26" s="535"/>
      <c r="AA26" s="535"/>
      <c r="AB26" s="535"/>
      <c r="AC26" s="535"/>
      <c r="AD26" s="535"/>
      <c r="AE26" s="535"/>
      <c r="AF26" s="535"/>
      <c r="AG26" s="535"/>
      <c r="AH26" s="535"/>
      <c r="AI26" s="535"/>
      <c r="AJ26" s="535"/>
      <c r="AK26" s="535"/>
      <c r="AL26" s="535"/>
      <c r="AM26" s="535"/>
      <c r="AN26" s="535"/>
      <c r="AO26" s="535"/>
      <c r="AP26" s="535"/>
      <c r="AQ26" s="535"/>
      <c r="AR26" s="535"/>
      <c r="AS26" s="535"/>
      <c r="AT26" s="535"/>
      <c r="AU26" s="535"/>
      <c r="AV26" s="535"/>
      <c r="AW26" s="535"/>
      <c r="AX26" s="535"/>
      <c r="AY26" s="535"/>
      <c r="AZ26" s="535"/>
      <c r="BA26" s="4"/>
    </row>
    <row r="27" spans="2:53" x14ac:dyDescent="0.2">
      <c r="B27" s="5"/>
      <c r="C27" s="353"/>
      <c r="D27" s="353"/>
      <c r="E27" s="353"/>
      <c r="F27" s="353"/>
      <c r="G27" s="353"/>
      <c r="H27" s="353"/>
      <c r="I27" s="353"/>
      <c r="J27" s="353"/>
      <c r="K27" s="353"/>
      <c r="L27" s="353"/>
      <c r="M27" s="353"/>
      <c r="N27" s="353"/>
      <c r="O27" s="353"/>
      <c r="P27" s="353"/>
      <c r="Q27" s="353"/>
      <c r="R27" s="353"/>
      <c r="S27" s="353"/>
      <c r="T27" s="353"/>
      <c r="U27" s="353"/>
      <c r="V27" s="353"/>
      <c r="W27" s="353"/>
      <c r="X27" s="353"/>
      <c r="Y27" s="353"/>
      <c r="Z27" s="353"/>
      <c r="AA27" s="353"/>
      <c r="AB27" s="353"/>
      <c r="AC27" s="353"/>
      <c r="AD27" s="353"/>
      <c r="AE27" s="353"/>
      <c r="AF27" s="353"/>
      <c r="AG27" s="353"/>
      <c r="AH27" s="353"/>
      <c r="AI27" s="353"/>
      <c r="AJ27" s="353"/>
      <c r="AK27" s="353"/>
      <c r="AL27" s="353"/>
      <c r="AM27" s="353"/>
      <c r="AN27" s="353"/>
      <c r="AO27" s="353"/>
      <c r="AP27" s="353"/>
      <c r="AQ27" s="353"/>
      <c r="AR27" s="353"/>
      <c r="AS27" s="353"/>
      <c r="AT27" s="353"/>
      <c r="AU27" s="353"/>
      <c r="AV27" s="353"/>
      <c r="AW27" s="353"/>
      <c r="AX27" s="353"/>
      <c r="AY27" s="353"/>
      <c r="AZ27" s="353"/>
      <c r="BA27" s="6"/>
    </row>
  </sheetData>
  <sheetProtection algorithmName="SHA-512" hashValue="NWHLgmU/2wXxxjX5v1taYaj9eQIYMpqZZKJ+fNd4cwND/WVbNvqDJDNWY7rUrgWnhqUKGh4naOwVKmXfwkvTKg==" saltValue="Qs5yKWT/E62tFTPUqz/H7g==" spinCount="100000" sheet="1" objects="1" scenarios="1" formatRows="0"/>
  <mergeCells count="4">
    <mergeCell ref="E5:X5"/>
    <mergeCell ref="Y5:AQ5"/>
    <mergeCell ref="AR5:AZ5"/>
    <mergeCell ref="B2:BA2"/>
  </mergeCells>
  <conditionalFormatting sqref="E7:AZ26">
    <cfRule type="expression" dxfId="83" priority="1">
      <formula>$B7&gt;Programs</formula>
    </cfRule>
  </conditionalFormatting>
  <pageMargins left="0.25" right="0.25" top="0.5" bottom="0.5" header="0.3" footer="0.3"/>
  <pageSetup orientation="landscape" r:id="rId1"/>
  <colBreaks count="2" manualBreakCount="2">
    <brk id="24" max="1048575" man="1"/>
    <brk id="43"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N115"/>
  <sheetViews>
    <sheetView showGridLines="0" zoomScaleNormal="100" workbookViewId="0">
      <pane ySplit="4" topLeftCell="A5" activePane="bottomLeft" state="frozen"/>
      <selection pane="bottomLeft" activeCell="A5" sqref="A5"/>
    </sheetView>
  </sheetViews>
  <sheetFormatPr defaultColWidth="9.42578125" defaultRowHeight="12.75" x14ac:dyDescent="0.2"/>
  <cols>
    <col min="1" max="1" width="1" style="2" customWidth="1"/>
    <col min="2" max="2" width="3.5703125" style="2" customWidth="1"/>
    <col min="3" max="3" width="35.5703125" style="2" customWidth="1"/>
    <col min="4" max="9" width="13.42578125" style="2" customWidth="1"/>
    <col min="10" max="10" width="5.5703125" style="2" customWidth="1"/>
    <col min="11" max="11" width="8" style="2" customWidth="1"/>
    <col min="12" max="12" width="1" style="2" customWidth="1"/>
    <col min="13" max="13" width="16" style="2" customWidth="1"/>
    <col min="14" max="14" width="0" style="2" hidden="1" customWidth="1"/>
    <col min="15" max="16384" width="9.42578125" style="2"/>
  </cols>
  <sheetData>
    <row r="1" spans="2:14" ht="28.5" customHeight="1" x14ac:dyDescent="0.2"/>
    <row r="2" spans="2:14" ht="85.5" customHeight="1" x14ac:dyDescent="0.2">
      <c r="B2" s="461"/>
      <c r="C2" s="462"/>
      <c r="D2" s="462"/>
      <c r="E2" s="462"/>
      <c r="F2" s="462"/>
      <c r="G2" s="462"/>
      <c r="H2" s="462"/>
      <c r="I2" s="462"/>
      <c r="J2" s="462"/>
      <c r="K2" s="463"/>
    </row>
    <row r="3" spans="2:14" ht="12" customHeight="1" x14ac:dyDescent="0.2">
      <c r="B3" s="589"/>
      <c r="C3" s="194" t="str">
        <f>IF(N27&gt;0,"Incomplete - All yellow shaded cells must be completed.","")</f>
        <v/>
      </c>
      <c r="D3" s="590"/>
      <c r="E3" s="590"/>
      <c r="F3" s="590"/>
      <c r="G3" s="590"/>
      <c r="H3" s="590"/>
      <c r="I3" s="590"/>
      <c r="J3" s="590"/>
      <c r="K3" s="591"/>
    </row>
    <row r="4" spans="2:14" ht="42.75" customHeight="1" x14ac:dyDescent="0.25">
      <c r="B4" s="3"/>
      <c r="C4" s="8" t="s">
        <v>85</v>
      </c>
      <c r="D4" s="128" t="str">
        <f>Cost!B4</f>
        <v>Planning / Design</v>
      </c>
      <c r="E4" s="128" t="str">
        <f>Cost!C4</f>
        <v>Marketing &amp; Delivery</v>
      </c>
      <c r="F4" s="128" t="str">
        <f>Cost!B14</f>
        <v>Incentives / Direct Install Costs</v>
      </c>
      <c r="G4" s="128" t="str">
        <f>Cost!C19</f>
        <v>EM&amp;V</v>
      </c>
      <c r="H4" s="128" t="str">
        <f>Cost!B25</f>
        <v>Administration</v>
      </c>
      <c r="I4" s="129" t="s">
        <v>163</v>
      </c>
      <c r="K4" s="4"/>
    </row>
    <row r="5" spans="2:14" ht="15" customHeight="1" x14ac:dyDescent="0.2">
      <c r="B5" s="126">
        <v>1</v>
      </c>
      <c r="C5" s="127" t="str">
        <f>'Program Descriptions'!C5</f>
        <v>Home Energy Solutions</v>
      </c>
      <c r="D5" s="454">
        <v>9378.1281192540482</v>
      </c>
      <c r="E5" s="454">
        <v>1950273</v>
      </c>
      <c r="F5" s="454">
        <v>12775023.826518342</v>
      </c>
      <c r="G5" s="454">
        <v>210070.06987129067</v>
      </c>
      <c r="H5" s="454">
        <v>303851.35106383113</v>
      </c>
      <c r="I5" s="10">
        <f>SUM(D5:H5)</f>
        <v>15248596.375572719</v>
      </c>
      <c r="K5" s="4"/>
      <c r="N5" s="179">
        <f>IF(C5="Empty",0,IF(OR(ISBLANK(D5),ISBLANK(E5),ISBLANK(F5),ISBLANK(G5),ISBLANK(H5)),1,0))</f>
        <v>0</v>
      </c>
    </row>
    <row r="6" spans="2:14" ht="15" customHeight="1" x14ac:dyDescent="0.2">
      <c r="B6" s="126">
        <v>2</v>
      </c>
      <c r="C6" s="127" t="str">
        <f>'Program Descriptions'!C6</f>
        <v>Multifamily Homes</v>
      </c>
      <c r="D6" s="454">
        <v>3343.8289267054547</v>
      </c>
      <c r="E6" s="454">
        <v>881744</v>
      </c>
      <c r="F6" s="454">
        <v>1788591.3</v>
      </c>
      <c r="G6" s="454">
        <v>74901.767958202181</v>
      </c>
      <c r="H6" s="454">
        <v>108340.05722525674</v>
      </c>
      <c r="I6" s="10">
        <f t="shared" ref="I6:I24" si="0">SUM(D6:H6)</f>
        <v>2856920.9541101647</v>
      </c>
      <c r="K6" s="4"/>
      <c r="N6" s="179">
        <f t="shared" ref="N6:N24" si="1">IF(C6="Empty",0,IF(OR(ISBLANK(D6),ISBLANK(E6),ISBLANK(F6),ISBLANK(G6),ISBLANK(H6)),1,0))</f>
        <v>0</v>
      </c>
    </row>
    <row r="7" spans="2:14" ht="15" customHeight="1" x14ac:dyDescent="0.2">
      <c r="B7" s="126">
        <v>3</v>
      </c>
      <c r="C7" s="127" t="str">
        <f>'Program Descriptions'!C7</f>
        <v>Manufactured Homes</v>
      </c>
      <c r="D7" s="454">
        <v>1727.3281588206423</v>
      </c>
      <c r="E7" s="454">
        <v>443485</v>
      </c>
      <c r="F7" s="454">
        <v>880690.24999999988</v>
      </c>
      <c r="G7" s="454">
        <v>38692.150757582385</v>
      </c>
      <c r="H7" s="454">
        <v>55965.432345788809</v>
      </c>
      <c r="I7" s="10">
        <f t="shared" si="0"/>
        <v>1420560.1612621918</v>
      </c>
      <c r="K7" s="4"/>
      <c r="N7" s="179">
        <f t="shared" si="1"/>
        <v>0</v>
      </c>
    </row>
    <row r="8" spans="2:14" ht="15" customHeight="1" x14ac:dyDescent="0.2">
      <c r="B8" s="126">
        <v>4</v>
      </c>
      <c r="C8" s="127" t="str">
        <f>'Program Descriptions'!C8</f>
        <v xml:space="preserve">Low-Income Solutions </v>
      </c>
      <c r="D8" s="454">
        <v>2707.1551129102163</v>
      </c>
      <c r="E8" s="454">
        <v>1451528</v>
      </c>
      <c r="F8" s="454">
        <v>3809512.6</v>
      </c>
      <c r="G8" s="454">
        <v>60640.274529188842</v>
      </c>
      <c r="H8" s="454">
        <v>87711.825658291011</v>
      </c>
      <c r="I8" s="10">
        <f t="shared" si="0"/>
        <v>5412099.8553003902</v>
      </c>
      <c r="K8" s="4"/>
      <c r="N8" s="179">
        <f t="shared" si="1"/>
        <v>0</v>
      </c>
    </row>
    <row r="9" spans="2:14" ht="15" customHeight="1" x14ac:dyDescent="0.2">
      <c r="B9" s="126">
        <v>5</v>
      </c>
      <c r="C9" s="127" t="str">
        <f>'Program Descriptions'!C9</f>
        <v>Point of Purchase Solutions</v>
      </c>
      <c r="D9" s="454">
        <v>18954.43609228994</v>
      </c>
      <c r="E9" s="454">
        <v>1422300.3434958092</v>
      </c>
      <c r="F9" s="454">
        <v>6261289.7377207428</v>
      </c>
      <c r="G9" s="454">
        <v>424579.36846729461</v>
      </c>
      <c r="H9" s="454">
        <v>614123.72939019406</v>
      </c>
      <c r="I9" s="10">
        <f t="shared" si="0"/>
        <v>8741247.6151663307</v>
      </c>
      <c r="K9" s="4"/>
      <c r="N9" s="179">
        <f t="shared" si="1"/>
        <v>0</v>
      </c>
    </row>
    <row r="10" spans="2:14" ht="15" customHeight="1" x14ac:dyDescent="0.2">
      <c r="B10" s="126">
        <v>6</v>
      </c>
      <c r="C10" s="127" t="str">
        <f>'Program Descriptions'!C10</f>
        <v>Large Commercial &amp; Industrial Solutions</v>
      </c>
      <c r="D10" s="454">
        <v>36278.191704177814</v>
      </c>
      <c r="E10" s="454">
        <v>5589300.4649246186</v>
      </c>
      <c r="F10" s="454">
        <v>11469821.790311828</v>
      </c>
      <c r="G10" s="454">
        <v>812631.49417358299</v>
      </c>
      <c r="H10" s="454">
        <v>1175413.4112153612</v>
      </c>
      <c r="I10" s="10">
        <f t="shared" si="0"/>
        <v>19083445.352329567</v>
      </c>
      <c r="K10" s="4"/>
      <c r="N10" s="179">
        <f t="shared" si="1"/>
        <v>0</v>
      </c>
    </row>
    <row r="11" spans="2:14" ht="15" customHeight="1" x14ac:dyDescent="0.2">
      <c r="B11" s="126">
        <v>7</v>
      </c>
      <c r="C11" s="127" t="str">
        <f>'Program Descriptions'!C11</f>
        <v>Small Business Solutions</v>
      </c>
      <c r="D11" s="454">
        <v>5896.1281425479256</v>
      </c>
      <c r="E11" s="454">
        <v>720731.22270016791</v>
      </c>
      <c r="F11" s="454">
        <v>3129250.7410567314</v>
      </c>
      <c r="G11" s="454">
        <v>132073.27039307353</v>
      </c>
      <c r="H11" s="454">
        <v>191034.55181855278</v>
      </c>
      <c r="I11" s="10">
        <f t="shared" si="0"/>
        <v>4178985.9141110736</v>
      </c>
      <c r="K11" s="4"/>
      <c r="N11" s="179">
        <f t="shared" si="1"/>
        <v>0</v>
      </c>
    </row>
    <row r="12" spans="2:14" ht="15" customHeight="1" x14ac:dyDescent="0.2">
      <c r="B12" s="126">
        <v>8</v>
      </c>
      <c r="C12" s="127" t="str">
        <f>'Program Descriptions'!C12</f>
        <v xml:space="preserve">Public Institutions Solutions </v>
      </c>
      <c r="D12" s="454">
        <v>4991.0538406402902</v>
      </c>
      <c r="E12" s="454">
        <v>865606.54535897344</v>
      </c>
      <c r="F12" s="454">
        <v>1833469.8064288292</v>
      </c>
      <c r="G12" s="454">
        <v>111799.6060303425</v>
      </c>
      <c r="H12" s="454">
        <v>161710.14443674541</v>
      </c>
      <c r="I12" s="10">
        <f t="shared" si="0"/>
        <v>2977577.1560955308</v>
      </c>
      <c r="K12" s="4"/>
      <c r="N12" s="179">
        <f t="shared" si="1"/>
        <v>0</v>
      </c>
    </row>
    <row r="13" spans="2:14" ht="15" customHeight="1" x14ac:dyDescent="0.2">
      <c r="B13" s="126">
        <v>9</v>
      </c>
      <c r="C13" s="127" t="str">
        <f>'Program Descriptions'!C13</f>
        <v>Agricultural Energy Solutions</v>
      </c>
      <c r="D13" s="454">
        <v>2420.9341472773403</v>
      </c>
      <c r="E13" s="454">
        <v>700820</v>
      </c>
      <c r="F13" s="454">
        <v>1361682.9148112901</v>
      </c>
      <c r="G13" s="454">
        <v>54228.924899012425</v>
      </c>
      <c r="H13" s="454">
        <v>78438.266371785823</v>
      </c>
      <c r="I13" s="10">
        <f t="shared" si="0"/>
        <v>2197591.0402293657</v>
      </c>
      <c r="K13" s="4"/>
      <c r="N13" s="179">
        <f t="shared" si="1"/>
        <v>0</v>
      </c>
    </row>
    <row r="14" spans="2:14" ht="15" customHeight="1" x14ac:dyDescent="0.2">
      <c r="B14" s="126">
        <v>10</v>
      </c>
      <c r="C14" s="127" t="str">
        <f>'Program Descriptions'!C14</f>
        <v>Residential Direct Load Control</v>
      </c>
      <c r="D14" s="454">
        <v>3509.8566308243726</v>
      </c>
      <c r="E14" s="454">
        <v>1958500</v>
      </c>
      <c r="F14" s="454">
        <v>512000</v>
      </c>
      <c r="G14" s="454">
        <v>78620.788530465943</v>
      </c>
      <c r="H14" s="454">
        <v>113719.35483870968</v>
      </c>
      <c r="I14" s="10">
        <f t="shared" si="0"/>
        <v>2666350.0000000005</v>
      </c>
      <c r="K14" s="4"/>
      <c r="N14" s="179">
        <f t="shared" si="1"/>
        <v>0</v>
      </c>
    </row>
    <row r="15" spans="2:14" ht="15" customHeight="1" x14ac:dyDescent="0.2">
      <c r="B15" s="126">
        <v>11</v>
      </c>
      <c r="C15" s="127" t="str">
        <f>'Program Descriptions'!C15</f>
        <v xml:space="preserve">Smart Direct Load Control Pilot </v>
      </c>
      <c r="D15" s="454">
        <v>5460.8655913978546</v>
      </c>
      <c r="E15" s="454">
        <v>3047163</v>
      </c>
      <c r="F15" s="454">
        <v>2367097.5999999996</v>
      </c>
      <c r="G15" s="454">
        <v>122323.38924731193</v>
      </c>
      <c r="H15" s="454">
        <v>176932.04516129047</v>
      </c>
      <c r="I15" s="10">
        <f t="shared" si="0"/>
        <v>5718976.8999999994</v>
      </c>
      <c r="K15" s="4"/>
      <c r="N15" s="179">
        <f t="shared" si="1"/>
        <v>0</v>
      </c>
    </row>
    <row r="16" spans="2:14" ht="15" customHeight="1" thickBot="1" x14ac:dyDescent="0.25">
      <c r="B16" s="126">
        <v>12</v>
      </c>
      <c r="C16" s="127" t="str">
        <f>'Program Descriptions'!C16</f>
        <v>Agricultural Irrigation Load Control</v>
      </c>
      <c r="D16" s="454">
        <v>5332.0935331541277</v>
      </c>
      <c r="E16" s="454">
        <v>2975308.1914999997</v>
      </c>
      <c r="F16" s="454">
        <v>525000</v>
      </c>
      <c r="G16" s="454">
        <v>119438.89514265247</v>
      </c>
      <c r="H16" s="454">
        <v>172759.83047419376</v>
      </c>
      <c r="I16" s="10">
        <f t="shared" si="0"/>
        <v>3797839.0106500001</v>
      </c>
      <c r="K16" s="4"/>
      <c r="N16" s="179">
        <f t="shared" si="1"/>
        <v>0</v>
      </c>
    </row>
    <row r="17" spans="2:14" ht="15" hidden="1" customHeight="1" x14ac:dyDescent="0.2">
      <c r="B17" s="126">
        <v>13</v>
      </c>
      <c r="C17" s="127" t="str">
        <f>'Program Descriptions'!C17</f>
        <v>Empty</v>
      </c>
      <c r="D17" s="454"/>
      <c r="E17" s="454"/>
      <c r="F17" s="454"/>
      <c r="G17" s="454"/>
      <c r="H17" s="454"/>
      <c r="I17" s="10">
        <f t="shared" si="0"/>
        <v>0</v>
      </c>
      <c r="K17" s="4"/>
      <c r="N17" s="179">
        <f t="shared" si="1"/>
        <v>0</v>
      </c>
    </row>
    <row r="18" spans="2:14" ht="15" hidden="1" customHeight="1" x14ac:dyDescent="0.2">
      <c r="B18" s="126">
        <v>14</v>
      </c>
      <c r="C18" s="127" t="str">
        <f>'Program Descriptions'!C18</f>
        <v>Empty</v>
      </c>
      <c r="D18" s="454"/>
      <c r="E18" s="454"/>
      <c r="F18" s="454"/>
      <c r="G18" s="454"/>
      <c r="H18" s="454"/>
      <c r="I18" s="10">
        <f t="shared" si="0"/>
        <v>0</v>
      </c>
      <c r="K18" s="4"/>
      <c r="N18" s="179">
        <f t="shared" si="1"/>
        <v>0</v>
      </c>
    </row>
    <row r="19" spans="2:14" ht="15" hidden="1" customHeight="1" x14ac:dyDescent="0.2">
      <c r="B19" s="126">
        <v>15</v>
      </c>
      <c r="C19" s="127" t="str">
        <f>'Program Descriptions'!C19</f>
        <v>Empty</v>
      </c>
      <c r="D19" s="454"/>
      <c r="E19" s="454"/>
      <c r="F19" s="454"/>
      <c r="G19" s="454"/>
      <c r="H19" s="454"/>
      <c r="I19" s="10">
        <f t="shared" si="0"/>
        <v>0</v>
      </c>
      <c r="K19" s="4"/>
      <c r="N19" s="179">
        <f t="shared" si="1"/>
        <v>0</v>
      </c>
    </row>
    <row r="20" spans="2:14" ht="15" hidden="1" customHeight="1" x14ac:dyDescent="0.2">
      <c r="B20" s="126">
        <v>16</v>
      </c>
      <c r="C20" s="127" t="str">
        <f>'Program Descriptions'!C20</f>
        <v>Empty</v>
      </c>
      <c r="D20" s="454"/>
      <c r="E20" s="454"/>
      <c r="F20" s="454"/>
      <c r="G20" s="454"/>
      <c r="H20" s="454"/>
      <c r="I20" s="10">
        <f t="shared" si="0"/>
        <v>0</v>
      </c>
      <c r="K20" s="4"/>
      <c r="N20" s="179">
        <f t="shared" si="1"/>
        <v>0</v>
      </c>
    </row>
    <row r="21" spans="2:14" ht="15" hidden="1" customHeight="1" x14ac:dyDescent="0.2">
      <c r="B21" s="126">
        <v>17</v>
      </c>
      <c r="C21" s="127" t="str">
        <f>'Program Descriptions'!C21</f>
        <v>Empty</v>
      </c>
      <c r="D21" s="455"/>
      <c r="E21" s="455"/>
      <c r="F21" s="455"/>
      <c r="G21" s="455"/>
      <c r="H21" s="455"/>
      <c r="I21" s="10">
        <f t="shared" si="0"/>
        <v>0</v>
      </c>
      <c r="K21" s="4"/>
      <c r="N21" s="179">
        <f t="shared" si="1"/>
        <v>0</v>
      </c>
    </row>
    <row r="22" spans="2:14" ht="15" hidden="1" customHeight="1" x14ac:dyDescent="0.2">
      <c r="B22" s="126">
        <v>18</v>
      </c>
      <c r="C22" s="127" t="str">
        <f>'Program Descriptions'!C22</f>
        <v>Empty</v>
      </c>
      <c r="D22" s="455"/>
      <c r="E22" s="455"/>
      <c r="F22" s="455"/>
      <c r="G22" s="455"/>
      <c r="H22" s="455"/>
      <c r="I22" s="10">
        <f t="shared" si="0"/>
        <v>0</v>
      </c>
      <c r="K22" s="4"/>
      <c r="N22" s="179">
        <f t="shared" si="1"/>
        <v>0</v>
      </c>
    </row>
    <row r="23" spans="2:14" ht="15" hidden="1" customHeight="1" x14ac:dyDescent="0.2">
      <c r="B23" s="126">
        <v>19</v>
      </c>
      <c r="C23" s="127" t="str">
        <f>'Program Descriptions'!C23</f>
        <v>Empty</v>
      </c>
      <c r="D23" s="455"/>
      <c r="E23" s="455"/>
      <c r="F23" s="455"/>
      <c r="G23" s="455"/>
      <c r="H23" s="455"/>
      <c r="I23" s="10">
        <f t="shared" si="0"/>
        <v>0</v>
      </c>
      <c r="K23" s="4"/>
      <c r="N23" s="179">
        <f t="shared" si="1"/>
        <v>0</v>
      </c>
    </row>
    <row r="24" spans="2:14" ht="15" hidden="1" customHeight="1" thickBot="1" x14ac:dyDescent="0.25">
      <c r="B24" s="126">
        <v>20</v>
      </c>
      <c r="C24" s="127" t="str">
        <f>'Program Descriptions'!C24</f>
        <v>Empty</v>
      </c>
      <c r="D24" s="592"/>
      <c r="E24" s="592"/>
      <c r="F24" s="592"/>
      <c r="G24" s="592"/>
      <c r="H24" s="592"/>
      <c r="I24" s="10">
        <f t="shared" si="0"/>
        <v>0</v>
      </c>
      <c r="K24" s="4"/>
      <c r="N24" s="179">
        <f t="shared" si="1"/>
        <v>0</v>
      </c>
    </row>
    <row r="25" spans="2:14" ht="15" customHeight="1" x14ac:dyDescent="0.25">
      <c r="B25" s="7"/>
      <c r="C25" s="130" t="s">
        <v>164</v>
      </c>
      <c r="D25" s="283">
        <f t="shared" ref="D25:I25" si="2">SUM(D5:D24)</f>
        <v>100000.00000000003</v>
      </c>
      <c r="E25" s="283">
        <f t="shared" si="2"/>
        <v>22006759.76797957</v>
      </c>
      <c r="F25" s="283">
        <f t="shared" si="2"/>
        <v>46713430.566847771</v>
      </c>
      <c r="G25" s="283">
        <f t="shared" si="2"/>
        <v>2240000.0000000005</v>
      </c>
      <c r="H25" s="283">
        <f t="shared" si="2"/>
        <v>3240000.0000000009</v>
      </c>
      <c r="I25" s="283">
        <f t="shared" si="2"/>
        <v>74300190.334827334</v>
      </c>
      <c r="K25" s="4"/>
    </row>
    <row r="26" spans="2:14" ht="15" customHeight="1" x14ac:dyDescent="0.25">
      <c r="B26" s="7"/>
      <c r="C26" s="131"/>
      <c r="D26" s="10"/>
      <c r="E26" s="10"/>
      <c r="F26" s="10"/>
      <c r="G26" s="10"/>
      <c r="H26" s="12" t="str">
        <f>Cost!C25</f>
        <v>Regulatory</v>
      </c>
      <c r="I26" s="455">
        <v>0</v>
      </c>
      <c r="K26" s="4"/>
      <c r="N26" s="179">
        <f>IF(ISBLANK(I26),1,0)</f>
        <v>0</v>
      </c>
    </row>
    <row r="27" spans="2:14" ht="15" customHeight="1" thickBot="1" x14ac:dyDescent="0.25">
      <c r="B27" s="7"/>
      <c r="C27" s="131"/>
      <c r="D27" s="10"/>
      <c r="E27" s="10"/>
      <c r="F27" s="10"/>
      <c r="G27" s="10"/>
      <c r="H27" s="11" t="s">
        <v>165</v>
      </c>
      <c r="I27" s="354">
        <f>I25+I26</f>
        <v>74300190.334827334</v>
      </c>
      <c r="K27" s="4"/>
      <c r="N27" s="2">
        <f>SUM(N5:N26)</f>
        <v>0</v>
      </c>
    </row>
    <row r="28" spans="2:14" ht="15" customHeight="1" thickTop="1" x14ac:dyDescent="0.2">
      <c r="B28" s="5"/>
      <c r="C28" s="353"/>
      <c r="D28" s="353"/>
      <c r="E28" s="353"/>
      <c r="F28" s="353"/>
      <c r="G28" s="353"/>
      <c r="H28" s="353"/>
      <c r="I28" s="353"/>
      <c r="J28" s="353"/>
      <c r="K28" s="6"/>
    </row>
    <row r="29" spans="2:14" ht="15" customHeight="1" x14ac:dyDescent="0.2"/>
    <row r="30" spans="2:14" ht="15" customHeight="1" x14ac:dyDescent="0.2"/>
    <row r="31" spans="2:14" ht="15" customHeight="1" x14ac:dyDescent="0.2"/>
    <row r="32" spans="2:14"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sheetData>
  <sheetProtection password="C925" sheet="1" objects="1" scenarios="1" formatRows="0"/>
  <conditionalFormatting sqref="D5:H24">
    <cfRule type="expression" dxfId="82" priority="1">
      <formula>$B5&gt;Programs</formula>
    </cfRule>
  </conditionalFormatting>
  <pageMargins left="0.25" right="0.25" top="0.25" bottom="0.25" header="0.3" footer="0.3"/>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N29"/>
  <sheetViews>
    <sheetView showGridLines="0" showRowColHeaders="0" zoomScaleNormal="100" workbookViewId="0">
      <selection activeCell="D3" sqref="D3"/>
    </sheetView>
  </sheetViews>
  <sheetFormatPr defaultColWidth="9.42578125" defaultRowHeight="12.75" x14ac:dyDescent="0.2"/>
  <cols>
    <col min="1" max="1" width="1" style="2" customWidth="1"/>
    <col min="2" max="2" width="1.5703125" style="2" customWidth="1"/>
    <col min="3" max="3" width="3.42578125" style="2" customWidth="1"/>
    <col min="4" max="4" width="37" style="2" customWidth="1"/>
    <col min="5" max="6" width="14.5703125" style="2" customWidth="1"/>
    <col min="7" max="7" width="12.5703125" style="2" customWidth="1"/>
    <col min="8" max="8" width="7" style="2" customWidth="1"/>
    <col min="9" max="9" width="44.42578125" style="2" customWidth="1"/>
    <col min="10" max="10" width="1.5703125" style="2" customWidth="1"/>
    <col min="11" max="11" width="1" style="2" customWidth="1"/>
    <col min="12" max="13" width="9.42578125" style="2"/>
    <col min="14" max="14" width="0" style="2" hidden="1" customWidth="1"/>
    <col min="15" max="16384" width="9.42578125" style="2"/>
  </cols>
  <sheetData>
    <row r="1" spans="2:14" ht="5.0999999999999996" customHeight="1" thickBot="1" x14ac:dyDescent="0.25"/>
    <row r="2" spans="2:14" ht="38.25" customHeight="1" thickBot="1" x14ac:dyDescent="0.25">
      <c r="B2" s="660" t="s">
        <v>166</v>
      </c>
      <c r="C2" s="660"/>
      <c r="D2" s="660"/>
      <c r="E2" s="660"/>
      <c r="F2" s="660"/>
      <c r="G2" s="660"/>
      <c r="H2" s="660"/>
      <c r="I2" s="660"/>
      <c r="J2" s="660"/>
    </row>
    <row r="3" spans="2:14" ht="15.75" customHeight="1" x14ac:dyDescent="0.2">
      <c r="B3" s="589"/>
      <c r="C3" s="590"/>
      <c r="D3" s="194" t="e">
        <f>IF(N29&gt;0,"Incomplete - All yellow shaded cells must be completed.","")</f>
        <v>#REF!</v>
      </c>
      <c r="E3" s="590"/>
      <c r="F3" s="590"/>
      <c r="G3" s="590"/>
      <c r="H3" s="590"/>
      <c r="I3" s="590"/>
      <c r="J3" s="591"/>
    </row>
    <row r="4" spans="2:14" x14ac:dyDescent="0.2">
      <c r="B4" s="3"/>
      <c r="D4" s="9" t="s">
        <v>85</v>
      </c>
      <c r="E4" s="25" t="s">
        <v>167</v>
      </c>
      <c r="F4" s="25" t="s">
        <v>168</v>
      </c>
      <c r="G4" s="25" t="s">
        <v>169</v>
      </c>
      <c r="H4" s="25" t="s">
        <v>170</v>
      </c>
      <c r="I4" s="25" t="s">
        <v>171</v>
      </c>
      <c r="J4" s="4"/>
    </row>
    <row r="5" spans="2:14" x14ac:dyDescent="0.2">
      <c r="B5" s="3"/>
      <c r="C5" s="536">
        <v>1</v>
      </c>
      <c r="D5" s="537" t="str">
        <f>'Program Descriptions'!C5</f>
        <v>Home Energy Solutions</v>
      </c>
      <c r="E5" s="538">
        <v>15248596.375572719</v>
      </c>
      <c r="F5" s="539">
        <f>Budgets!I5</f>
        <v>15248596.375572719</v>
      </c>
      <c r="G5" s="540">
        <f>E5-F5</f>
        <v>0</v>
      </c>
      <c r="H5" s="541">
        <f t="shared" ref="H5:H17" si="0">IF(ISERROR(G5/F5),"-",G5/F5)</f>
        <v>0</v>
      </c>
      <c r="I5" s="28" t="s">
        <v>121</v>
      </c>
      <c r="J5" s="4"/>
      <c r="N5" s="179">
        <f t="shared" ref="N5:N17" si="1">IF(D5="Empty",0,IF(ISBLANK(E5),1,IF(H5=0,0,IF(ISBLANK(I5),1,0))))</f>
        <v>0</v>
      </c>
    </row>
    <row r="6" spans="2:14" x14ac:dyDescent="0.2">
      <c r="B6" s="3"/>
      <c r="C6" s="536">
        <v>2</v>
      </c>
      <c r="D6" s="537" t="str">
        <f>'Program Descriptions'!C6</f>
        <v>Multifamily Homes</v>
      </c>
      <c r="E6" s="538">
        <v>2856920.9541101647</v>
      </c>
      <c r="F6" s="539">
        <f>Budgets!I6</f>
        <v>2856920.9541101647</v>
      </c>
      <c r="G6" s="540">
        <f t="shared" ref="G6:G17" si="2">E6-F6</f>
        <v>0</v>
      </c>
      <c r="H6" s="541">
        <f t="shared" si="0"/>
        <v>0</v>
      </c>
      <c r="I6" s="28" t="s">
        <v>121</v>
      </c>
      <c r="J6" s="4"/>
      <c r="N6" s="179">
        <f t="shared" si="1"/>
        <v>0</v>
      </c>
    </row>
    <row r="7" spans="2:14" x14ac:dyDescent="0.2">
      <c r="B7" s="3"/>
      <c r="C7" s="536">
        <v>3</v>
      </c>
      <c r="D7" s="537" t="str">
        <f>'Program Descriptions'!C7</f>
        <v>Manufactured Homes</v>
      </c>
      <c r="E7" s="538">
        <v>1420560.1612621918</v>
      </c>
      <c r="F7" s="539">
        <f>Budgets!I7</f>
        <v>1420560.1612621918</v>
      </c>
      <c r="G7" s="540">
        <f t="shared" si="2"/>
        <v>0</v>
      </c>
      <c r="H7" s="541">
        <f t="shared" si="0"/>
        <v>0</v>
      </c>
      <c r="I7" s="28" t="s">
        <v>121</v>
      </c>
      <c r="J7" s="4"/>
      <c r="N7" s="179">
        <f t="shared" si="1"/>
        <v>0</v>
      </c>
    </row>
    <row r="8" spans="2:14" x14ac:dyDescent="0.2">
      <c r="B8" s="3"/>
      <c r="C8" s="536">
        <v>4</v>
      </c>
      <c r="D8" s="537" t="str">
        <f>'Program Descriptions'!C8</f>
        <v xml:space="preserve">Low-Income Solutions </v>
      </c>
      <c r="E8" s="538">
        <v>5412099.8553003902</v>
      </c>
      <c r="F8" s="539">
        <f>Budgets!I8</f>
        <v>5412099.8553003902</v>
      </c>
      <c r="G8" s="540">
        <f t="shared" si="2"/>
        <v>0</v>
      </c>
      <c r="H8" s="541">
        <f t="shared" si="0"/>
        <v>0</v>
      </c>
      <c r="I8" s="28" t="s">
        <v>121</v>
      </c>
      <c r="J8" s="4"/>
      <c r="N8" s="179">
        <f t="shared" si="1"/>
        <v>0</v>
      </c>
    </row>
    <row r="9" spans="2:14" x14ac:dyDescent="0.2">
      <c r="B9" s="3"/>
      <c r="C9" s="536">
        <v>5</v>
      </c>
      <c r="D9" s="537" t="str">
        <f>'Program Descriptions'!C9</f>
        <v>Point of Purchase Solutions</v>
      </c>
      <c r="E9" s="538">
        <v>8866499.9500158299</v>
      </c>
      <c r="F9" s="539">
        <f>Budgets!I9</f>
        <v>8741247.6151663307</v>
      </c>
      <c r="G9" s="540">
        <f t="shared" si="2"/>
        <v>125252.33484949917</v>
      </c>
      <c r="H9" s="541">
        <f t="shared" si="0"/>
        <v>1.4328885344945788E-2</v>
      </c>
      <c r="I9" s="28" t="s">
        <v>172</v>
      </c>
      <c r="J9" s="4"/>
      <c r="N9" s="179">
        <f t="shared" si="1"/>
        <v>0</v>
      </c>
    </row>
    <row r="10" spans="2:14" x14ac:dyDescent="0.2">
      <c r="B10" s="3"/>
      <c r="C10" s="536">
        <v>6</v>
      </c>
      <c r="D10" s="537" t="str">
        <f>'Program Descriptions'!C10</f>
        <v>Large Commercial &amp; Industrial Solutions</v>
      </c>
      <c r="E10" s="538">
        <v>19055773.016431667</v>
      </c>
      <c r="F10" s="539">
        <f>Budgets!I10</f>
        <v>19083445.352329567</v>
      </c>
      <c r="G10" s="540">
        <f t="shared" si="2"/>
        <v>-27672.335897900164</v>
      </c>
      <c r="H10" s="541">
        <f t="shared" si="0"/>
        <v>-1.4500702251085981E-3</v>
      </c>
      <c r="I10" s="28" t="s">
        <v>173</v>
      </c>
      <c r="J10" s="4"/>
      <c r="N10" s="179">
        <f t="shared" si="1"/>
        <v>0</v>
      </c>
    </row>
    <row r="11" spans="2:14" x14ac:dyDescent="0.2">
      <c r="B11" s="3"/>
      <c r="C11" s="536">
        <v>7</v>
      </c>
      <c r="D11" s="537" t="str">
        <f>'Program Descriptions'!C11</f>
        <v>Small Business Solutions</v>
      </c>
      <c r="E11" s="538">
        <v>4053733.5792615735</v>
      </c>
      <c r="F11" s="539">
        <f>Budgets!I11</f>
        <v>4178985.9141110736</v>
      </c>
      <c r="G11" s="540">
        <f t="shared" si="2"/>
        <v>-125252.3348495001</v>
      </c>
      <c r="H11" s="541">
        <f t="shared" si="0"/>
        <v>-2.9971944731032422E-2</v>
      </c>
      <c r="I11" s="28" t="s">
        <v>173</v>
      </c>
      <c r="J11" s="4"/>
      <c r="N11" s="179">
        <f t="shared" si="1"/>
        <v>0</v>
      </c>
    </row>
    <row r="12" spans="2:14" x14ac:dyDescent="0.2">
      <c r="B12" s="3"/>
      <c r="C12" s="536">
        <v>8</v>
      </c>
      <c r="D12" s="537" t="str">
        <f>'Program Descriptions'!C12</f>
        <v xml:space="preserve">Public Institutions Solutions </v>
      </c>
      <c r="E12" s="538">
        <v>3005249.491993431</v>
      </c>
      <c r="F12" s="539">
        <f>Budgets!I12</f>
        <v>2977577.1560955308</v>
      </c>
      <c r="G12" s="540">
        <f t="shared" si="2"/>
        <v>27672.335897900164</v>
      </c>
      <c r="H12" s="541">
        <f t="shared" si="0"/>
        <v>9.2935747580044706E-3</v>
      </c>
      <c r="I12" s="28" t="s">
        <v>172</v>
      </c>
      <c r="J12" s="4"/>
      <c r="N12" s="179">
        <f t="shared" si="1"/>
        <v>0</v>
      </c>
    </row>
    <row r="13" spans="2:14" x14ac:dyDescent="0.2">
      <c r="B13" s="3"/>
      <c r="C13" s="536">
        <v>9</v>
      </c>
      <c r="D13" s="537" t="str">
        <f>'Program Descriptions'!C13</f>
        <v>Agricultural Energy Solutions</v>
      </c>
      <c r="E13" s="538">
        <v>2197591.0402293657</v>
      </c>
      <c r="F13" s="539">
        <f>Budgets!I13</f>
        <v>2197591.0402293657</v>
      </c>
      <c r="G13" s="540">
        <f t="shared" si="2"/>
        <v>0</v>
      </c>
      <c r="H13" s="541">
        <f t="shared" si="0"/>
        <v>0</v>
      </c>
      <c r="I13" s="28" t="s">
        <v>121</v>
      </c>
      <c r="J13" s="4"/>
      <c r="N13" s="179">
        <f t="shared" si="1"/>
        <v>0</v>
      </c>
    </row>
    <row r="14" spans="2:14" x14ac:dyDescent="0.2">
      <c r="B14" s="3"/>
      <c r="C14" s="536">
        <v>10</v>
      </c>
      <c r="D14" s="537" t="str">
        <f>'Program Descriptions'!C14</f>
        <v>Residential Direct Load Control</v>
      </c>
      <c r="E14" s="538">
        <v>2666350.0000000005</v>
      </c>
      <c r="F14" s="539">
        <f>Budgets!I14</f>
        <v>2666350.0000000005</v>
      </c>
      <c r="G14" s="540">
        <f t="shared" si="2"/>
        <v>0</v>
      </c>
      <c r="H14" s="541">
        <f t="shared" si="0"/>
        <v>0</v>
      </c>
      <c r="I14" s="28" t="s">
        <v>121</v>
      </c>
      <c r="J14" s="4"/>
      <c r="N14" s="179">
        <f t="shared" si="1"/>
        <v>0</v>
      </c>
    </row>
    <row r="15" spans="2:14" x14ac:dyDescent="0.2">
      <c r="B15" s="3"/>
      <c r="C15" s="536">
        <v>11</v>
      </c>
      <c r="D15" s="537" t="str">
        <f>'Program Descriptions'!C15</f>
        <v xml:space="preserve">Smart Direct Load Control Pilot </v>
      </c>
      <c r="E15" s="538">
        <v>5718976.8999999994</v>
      </c>
      <c r="F15" s="539">
        <f>Budgets!I15</f>
        <v>5718976.8999999994</v>
      </c>
      <c r="G15" s="540">
        <f t="shared" si="2"/>
        <v>0</v>
      </c>
      <c r="H15" s="541">
        <f t="shared" si="0"/>
        <v>0</v>
      </c>
      <c r="I15" s="28" t="s">
        <v>121</v>
      </c>
      <c r="J15" s="4"/>
      <c r="N15" s="179">
        <f t="shared" si="1"/>
        <v>0</v>
      </c>
    </row>
    <row r="16" spans="2:14" x14ac:dyDescent="0.2">
      <c r="B16" s="3"/>
      <c r="C16" s="536">
        <v>12</v>
      </c>
      <c r="D16" s="537" t="str">
        <f>'Program Descriptions'!C16</f>
        <v>Agricultural Irrigation Load Control</v>
      </c>
      <c r="E16" s="538">
        <v>3797839.0106500001</v>
      </c>
      <c r="F16" s="539">
        <f>Budgets!I16</f>
        <v>3797839.0106500001</v>
      </c>
      <c r="G16" s="540">
        <f t="shared" si="2"/>
        <v>0</v>
      </c>
      <c r="H16" s="541">
        <f t="shared" si="0"/>
        <v>0</v>
      </c>
      <c r="I16" s="28" t="s">
        <v>121</v>
      </c>
      <c r="J16" s="4"/>
      <c r="N16" s="179">
        <f t="shared" si="1"/>
        <v>0</v>
      </c>
    </row>
    <row r="17" spans="2:14" x14ac:dyDescent="0.2">
      <c r="B17" s="3"/>
      <c r="C17" s="542">
        <v>13</v>
      </c>
      <c r="D17" s="537" t="str">
        <f>'Program Descriptions'!C17</f>
        <v>Empty</v>
      </c>
      <c r="E17" s="538">
        <v>0</v>
      </c>
      <c r="F17" s="543">
        <v>0</v>
      </c>
      <c r="G17" s="544">
        <f t="shared" si="2"/>
        <v>0</v>
      </c>
      <c r="H17" s="545" t="str">
        <f t="shared" si="0"/>
        <v>-</v>
      </c>
      <c r="I17" s="28" t="s">
        <v>121</v>
      </c>
      <c r="J17" s="4"/>
      <c r="N17" s="179">
        <f t="shared" si="1"/>
        <v>0</v>
      </c>
    </row>
    <row r="18" spans="2:14" hidden="1" x14ac:dyDescent="0.2">
      <c r="B18" s="3"/>
      <c r="C18" s="536">
        <v>15</v>
      </c>
      <c r="D18" s="537" t="str">
        <f>'Program Descriptions'!C19</f>
        <v>Empty</v>
      </c>
      <c r="E18" s="546"/>
      <c r="F18" s="539">
        <f>Budgets!I19</f>
        <v>0</v>
      </c>
      <c r="G18" s="539">
        <f t="shared" ref="G18:G23" si="3">F18-E18</f>
        <v>0</v>
      </c>
      <c r="H18" s="541" t="str">
        <f t="shared" ref="H18:H23" si="4">IF(ISERROR(G18/E18),"-",G18/E18)</f>
        <v>-</v>
      </c>
      <c r="I18" s="28"/>
      <c r="J18" s="4"/>
      <c r="N18" s="179" t="e">
        <f>IF(#REF!="Empty",0,IF(ISBLANK(#REF!),1,IF(#REF!=0,0,IF(ISBLANK(#REF!),1,0))))</f>
        <v>#REF!</v>
      </c>
    </row>
    <row r="19" spans="2:14" hidden="1" x14ac:dyDescent="0.2">
      <c r="B19" s="3"/>
      <c r="C19" s="536">
        <v>16</v>
      </c>
      <c r="D19" s="537" t="str">
        <f>'Program Descriptions'!C20</f>
        <v>Empty</v>
      </c>
      <c r="E19" s="546"/>
      <c r="F19" s="539">
        <f>Budgets!I20</f>
        <v>0</v>
      </c>
      <c r="G19" s="539">
        <f t="shared" si="3"/>
        <v>0</v>
      </c>
      <c r="H19" s="541" t="str">
        <f t="shared" si="4"/>
        <v>-</v>
      </c>
      <c r="I19" s="28"/>
      <c r="J19" s="4"/>
      <c r="N19" s="179">
        <f t="shared" ref="N19:N25" si="5">IF(D18="Empty",0,IF(ISBLANK(E18),1,IF(H18=0,0,IF(ISBLANK(I18),1,0))))</f>
        <v>0</v>
      </c>
    </row>
    <row r="20" spans="2:14" hidden="1" x14ac:dyDescent="0.2">
      <c r="B20" s="3"/>
      <c r="C20" s="536">
        <v>17</v>
      </c>
      <c r="D20" s="537" t="str">
        <f>'Program Descriptions'!C21</f>
        <v>Empty</v>
      </c>
      <c r="E20" s="546"/>
      <c r="F20" s="539">
        <f>Budgets!I21</f>
        <v>0</v>
      </c>
      <c r="G20" s="539">
        <f t="shared" si="3"/>
        <v>0</v>
      </c>
      <c r="H20" s="541" t="str">
        <f t="shared" si="4"/>
        <v>-</v>
      </c>
      <c r="I20" s="28"/>
      <c r="J20" s="4"/>
      <c r="N20" s="179">
        <f t="shared" si="5"/>
        <v>0</v>
      </c>
    </row>
    <row r="21" spans="2:14" hidden="1" x14ac:dyDescent="0.2">
      <c r="B21" s="3"/>
      <c r="C21" s="536">
        <v>18</v>
      </c>
      <c r="D21" s="537" t="str">
        <f>'Program Descriptions'!C22</f>
        <v>Empty</v>
      </c>
      <c r="E21" s="546"/>
      <c r="F21" s="539">
        <f>Budgets!I22</f>
        <v>0</v>
      </c>
      <c r="G21" s="539">
        <f t="shared" si="3"/>
        <v>0</v>
      </c>
      <c r="H21" s="541" t="str">
        <f t="shared" si="4"/>
        <v>-</v>
      </c>
      <c r="I21" s="28"/>
      <c r="J21" s="4"/>
      <c r="N21" s="179">
        <f t="shared" si="5"/>
        <v>0</v>
      </c>
    </row>
    <row r="22" spans="2:14" hidden="1" x14ac:dyDescent="0.2">
      <c r="B22" s="3"/>
      <c r="C22" s="536">
        <v>19</v>
      </c>
      <c r="D22" s="537" t="str">
        <f>'Program Descriptions'!C23</f>
        <v>Empty</v>
      </c>
      <c r="E22" s="546"/>
      <c r="F22" s="539">
        <f>Budgets!I23</f>
        <v>0</v>
      </c>
      <c r="G22" s="539">
        <f t="shared" si="3"/>
        <v>0</v>
      </c>
      <c r="H22" s="541" t="str">
        <f t="shared" si="4"/>
        <v>-</v>
      </c>
      <c r="I22" s="28"/>
      <c r="J22" s="4"/>
      <c r="N22" s="179">
        <f t="shared" si="5"/>
        <v>0</v>
      </c>
    </row>
    <row r="23" spans="2:14" hidden="1" x14ac:dyDescent="0.2">
      <c r="B23" s="3"/>
      <c r="C23" s="536">
        <v>20</v>
      </c>
      <c r="D23" s="537" t="str">
        <f>'Program Descriptions'!C24</f>
        <v>Empty</v>
      </c>
      <c r="E23" s="546"/>
      <c r="F23" s="539">
        <f>Budgets!I24</f>
        <v>0</v>
      </c>
      <c r="G23" s="539">
        <f t="shared" si="3"/>
        <v>0</v>
      </c>
      <c r="H23" s="541" t="str">
        <f t="shared" si="4"/>
        <v>-</v>
      </c>
      <c r="I23" s="28"/>
      <c r="J23" s="4"/>
      <c r="N23" s="179">
        <f t="shared" si="5"/>
        <v>0</v>
      </c>
    </row>
    <row r="24" spans="2:14" x14ac:dyDescent="0.2">
      <c r="B24" s="3"/>
      <c r="C24" s="536"/>
      <c r="D24" s="547" t="str">
        <f>Budgets!H26</f>
        <v>Regulatory</v>
      </c>
      <c r="E24" s="546">
        <v>0</v>
      </c>
      <c r="F24" s="539">
        <f>Budgets!I26</f>
        <v>0</v>
      </c>
      <c r="G24" s="539">
        <f>F24-E24</f>
        <v>0</v>
      </c>
      <c r="H24" s="541" t="str">
        <f>IF(ISERROR(G24/E24),"-",G24/E24)</f>
        <v>-</v>
      </c>
      <c r="I24" s="28" t="s">
        <v>121</v>
      </c>
      <c r="J24" s="4"/>
      <c r="N24" s="179">
        <f t="shared" si="5"/>
        <v>0</v>
      </c>
    </row>
    <row r="25" spans="2:14" x14ac:dyDescent="0.2">
      <c r="B25" s="3"/>
      <c r="C25" s="26"/>
      <c r="D25" s="27" t="s">
        <v>174</v>
      </c>
      <c r="E25" s="29">
        <f>SUM(E5:E24)</f>
        <v>74300190.334827334</v>
      </c>
      <c r="F25" s="29">
        <f>SUM(F5:F24)</f>
        <v>74300190.334827334</v>
      </c>
      <c r="G25" s="29">
        <f>SUM(G5:G24)</f>
        <v>-9.3132257461547852E-10</v>
      </c>
      <c r="H25" s="30">
        <f>IF(ISERROR(G25/E25),"-",G25/E25)</f>
        <v>-1.2534592043688643E-17</v>
      </c>
      <c r="I25" s="31" t="s">
        <v>175</v>
      </c>
      <c r="J25" s="4"/>
      <c r="N25" s="179">
        <f t="shared" si="5"/>
        <v>0</v>
      </c>
    </row>
    <row r="26" spans="2:14" x14ac:dyDescent="0.2">
      <c r="B26" s="3"/>
      <c r="J26" s="4"/>
      <c r="N26" s="179">
        <f>IF(H25=0,0,IF(H25=0,0,IF(ISBLANK(I25),1,0)))</f>
        <v>0</v>
      </c>
    </row>
    <row r="27" spans="2:14" x14ac:dyDescent="0.2">
      <c r="B27" s="3"/>
      <c r="C27" s="108"/>
      <c r="D27" s="122" t="s">
        <v>176</v>
      </c>
      <c r="E27" s="123">
        <v>187</v>
      </c>
      <c r="F27" s="202" t="s">
        <v>177</v>
      </c>
      <c r="J27" s="4"/>
    </row>
    <row r="28" spans="2:14" x14ac:dyDescent="0.2">
      <c r="B28" s="3"/>
      <c r="J28" s="4"/>
      <c r="N28" s="179">
        <f>IF(ISBLANK(E27),1,0)</f>
        <v>0</v>
      </c>
    </row>
    <row r="29" spans="2:14" x14ac:dyDescent="0.2">
      <c r="B29" s="590"/>
      <c r="C29" s="590"/>
      <c r="D29" s="590"/>
      <c r="E29" s="590"/>
      <c r="F29" s="590"/>
      <c r="G29" s="590"/>
      <c r="H29" s="590"/>
      <c r="I29" s="590"/>
      <c r="J29" s="590"/>
      <c r="N29" s="112" t="e">
        <f>SUM(N5:N28)</f>
        <v>#REF!</v>
      </c>
    </row>
  </sheetData>
  <sheetProtection formatRows="0"/>
  <mergeCells count="1">
    <mergeCell ref="B2:J2"/>
  </mergeCells>
  <conditionalFormatting sqref="E5:I17 F18:I23 E18:E24">
    <cfRule type="expression" dxfId="81" priority="2">
      <formula>$C5&gt;Programs</formula>
    </cfRule>
  </conditionalFormatting>
  <conditionalFormatting sqref="I25">
    <cfRule type="expression" dxfId="80" priority="1">
      <formula>$H$25=0</formula>
    </cfRule>
  </conditionalFormatting>
  <pageMargins left="0.25" right="0.25" top="0.5" bottom="0.5" header="0.3" footer="0.3"/>
  <pageSetup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N115"/>
  <sheetViews>
    <sheetView showGridLines="0" zoomScaleNormal="100" workbookViewId="0">
      <pane ySplit="5" topLeftCell="A6" activePane="bottomLeft" state="frozen"/>
      <selection pane="bottomLeft" activeCell="A6" sqref="A6"/>
    </sheetView>
  </sheetViews>
  <sheetFormatPr defaultColWidth="9.42578125" defaultRowHeight="12.75" x14ac:dyDescent="0.2"/>
  <cols>
    <col min="1" max="1" width="1" style="2" customWidth="1"/>
    <col min="2" max="2" width="3.5703125" style="2" customWidth="1"/>
    <col min="3" max="3" width="35.5703125" style="2" customWidth="1"/>
    <col min="4" max="5" width="13.42578125" style="2" customWidth="1"/>
    <col min="6" max="6" width="8.5703125" style="2" customWidth="1"/>
    <col min="7" max="7" width="13.42578125" style="2" customWidth="1"/>
    <col min="8" max="8" width="20.5703125" style="2" customWidth="1"/>
    <col min="9" max="9" width="13.42578125" style="2" customWidth="1"/>
    <col min="10" max="10" width="5.5703125" style="2" customWidth="1"/>
    <col min="11" max="11" width="5.42578125" style="2" customWidth="1"/>
    <col min="12" max="12" width="1" style="2" customWidth="1"/>
    <col min="13" max="13" width="16" style="2" customWidth="1"/>
    <col min="14" max="14" width="0" style="2" hidden="1" customWidth="1"/>
    <col min="15" max="16384" width="9.42578125" style="2"/>
  </cols>
  <sheetData>
    <row r="1" spans="2:14" ht="28.5" customHeight="1" x14ac:dyDescent="0.2"/>
    <row r="2" spans="2:14" ht="76.5" customHeight="1" x14ac:dyDescent="0.2">
      <c r="B2" s="461"/>
      <c r="C2" s="462"/>
      <c r="D2" s="462"/>
      <c r="E2" s="462"/>
      <c r="F2" s="462"/>
      <c r="G2" s="462"/>
      <c r="H2" s="462"/>
      <c r="I2" s="462"/>
      <c r="J2" s="462"/>
      <c r="K2" s="463"/>
    </row>
    <row r="3" spans="2:14" ht="11.25" customHeight="1" x14ac:dyDescent="0.2">
      <c r="B3" s="589"/>
      <c r="C3" s="194" t="str">
        <f>IF(N26&gt;0,"Incomplete - All yellow shaded cells must be completed.","")</f>
        <v/>
      </c>
      <c r="D3" s="590"/>
      <c r="E3" s="590"/>
      <c r="F3" s="590"/>
      <c r="G3" s="590"/>
      <c r="H3" s="590"/>
      <c r="I3" s="590"/>
      <c r="J3" s="590"/>
      <c r="K3" s="591"/>
    </row>
    <row r="4" spans="2:14" ht="25.5" x14ac:dyDescent="0.2">
      <c r="B4" s="3"/>
      <c r="D4" s="128" t="s">
        <v>178</v>
      </c>
      <c r="E4" s="128" t="s">
        <v>179</v>
      </c>
      <c r="K4" s="4"/>
    </row>
    <row r="5" spans="2:14" ht="15.75" x14ac:dyDescent="0.25">
      <c r="B5" s="3"/>
      <c r="C5" s="8" t="s">
        <v>85</v>
      </c>
      <c r="D5" s="128" t="str">
        <f>"("&amp;Demand_1&amp;")"</f>
        <v>(kW)</v>
      </c>
      <c r="E5" s="128" t="str">
        <f>"("&amp;Energy_1&amp;")"</f>
        <v>(kWh)</v>
      </c>
      <c r="G5" s="128" t="s">
        <v>180</v>
      </c>
      <c r="H5" s="128" t="s">
        <v>181</v>
      </c>
      <c r="K5" s="4"/>
    </row>
    <row r="6" spans="2:14" ht="15" customHeight="1" x14ac:dyDescent="0.2">
      <c r="B6" s="126">
        <v>1</v>
      </c>
      <c r="C6" s="127" t="str">
        <f>'Program Descriptions'!C5</f>
        <v>Home Energy Solutions</v>
      </c>
      <c r="D6" s="464">
        <v>9072.1565942814195</v>
      </c>
      <c r="E6" s="464">
        <v>27272531.0301213</v>
      </c>
      <c r="G6" s="464">
        <v>7281</v>
      </c>
      <c r="H6" s="95" t="s">
        <v>182</v>
      </c>
      <c r="K6" s="4"/>
      <c r="N6" s="179">
        <f t="shared" ref="N6:N25" si="0">IF(C6="Empty",0,IF(OR(ISBLANK(IF(Demand_1=NG_Demand,E6,D6)),ISBLANK(E6),ISBLANK(G6),ISBLANK(H6)),1,0))</f>
        <v>0</v>
      </c>
    </row>
    <row r="7" spans="2:14" ht="15" customHeight="1" x14ac:dyDescent="0.2">
      <c r="B7" s="126">
        <v>2</v>
      </c>
      <c r="C7" s="127" t="str">
        <f>'Program Descriptions'!C6</f>
        <v>Multifamily Homes</v>
      </c>
      <c r="D7" s="464">
        <v>1472.4884999999999</v>
      </c>
      <c r="E7" s="464">
        <v>9784860.4155000001</v>
      </c>
      <c r="G7" s="464">
        <v>2028</v>
      </c>
      <c r="H7" s="95" t="s">
        <v>182</v>
      </c>
      <c r="K7" s="4"/>
      <c r="N7" s="179">
        <f t="shared" si="0"/>
        <v>0</v>
      </c>
    </row>
    <row r="8" spans="2:14" ht="15" customHeight="1" x14ac:dyDescent="0.2">
      <c r="B8" s="126">
        <v>3</v>
      </c>
      <c r="C8" s="127" t="str">
        <f>'Program Descriptions'!C7</f>
        <v>Manufactured Homes</v>
      </c>
      <c r="D8" s="464">
        <v>804.73099999999999</v>
      </c>
      <c r="E8" s="464">
        <v>5023384.1359999999</v>
      </c>
      <c r="G8" s="464">
        <v>602</v>
      </c>
      <c r="H8" s="95" t="s">
        <v>182</v>
      </c>
      <c r="K8" s="4"/>
      <c r="N8" s="179">
        <f t="shared" si="0"/>
        <v>0</v>
      </c>
    </row>
    <row r="9" spans="2:14" ht="15" customHeight="1" x14ac:dyDescent="0.2">
      <c r="B9" s="126">
        <v>4</v>
      </c>
      <c r="C9" s="127" t="str">
        <f>'Program Descriptions'!C8</f>
        <v xml:space="preserve">Low-Income Solutions </v>
      </c>
      <c r="D9" s="464">
        <v>1903.9466666666699</v>
      </c>
      <c r="E9" s="464">
        <v>7872898.9500000002</v>
      </c>
      <c r="G9" s="464">
        <v>2192</v>
      </c>
      <c r="H9" s="95" t="s">
        <v>182</v>
      </c>
      <c r="K9" s="4"/>
      <c r="N9" s="179">
        <f t="shared" si="0"/>
        <v>0</v>
      </c>
    </row>
    <row r="10" spans="2:14" ht="15" customHeight="1" x14ac:dyDescent="0.2">
      <c r="B10" s="126">
        <v>5</v>
      </c>
      <c r="C10" s="127" t="str">
        <f>'Program Descriptions'!C9</f>
        <v>Point of Purchase Solutions</v>
      </c>
      <c r="D10" s="464">
        <v>6476.5710836772196</v>
      </c>
      <c r="E10" s="464">
        <v>54949160.336915098</v>
      </c>
      <c r="G10" s="464">
        <v>251361</v>
      </c>
      <c r="H10" s="95" t="s">
        <v>183</v>
      </c>
      <c r="K10" s="4"/>
      <c r="N10" s="179">
        <f t="shared" si="0"/>
        <v>0</v>
      </c>
    </row>
    <row r="11" spans="2:14" ht="15" customHeight="1" x14ac:dyDescent="0.2">
      <c r="B11" s="126">
        <v>6</v>
      </c>
      <c r="C11" s="127" t="str">
        <f>'Program Descriptions'!C10</f>
        <v>Large Commercial &amp; Industrial Solutions</v>
      </c>
      <c r="D11" s="464">
        <v>14936.931122461399</v>
      </c>
      <c r="E11" s="464">
        <v>105503573.110254</v>
      </c>
      <c r="G11" s="464">
        <v>487</v>
      </c>
      <c r="H11" s="95" t="s">
        <v>184</v>
      </c>
      <c r="K11" s="4"/>
      <c r="N11" s="179">
        <f t="shared" si="0"/>
        <v>0</v>
      </c>
    </row>
    <row r="12" spans="2:14" ht="15" customHeight="1" x14ac:dyDescent="0.2">
      <c r="B12" s="126">
        <v>7</v>
      </c>
      <c r="C12" s="127" t="str">
        <f>'Program Descriptions'!C11</f>
        <v>Small Business Solutions</v>
      </c>
      <c r="D12" s="464">
        <v>2874.39805920341</v>
      </c>
      <c r="E12" s="464">
        <v>17147011.9466592</v>
      </c>
      <c r="G12" s="464">
        <v>751</v>
      </c>
      <c r="H12" s="95" t="s">
        <v>184</v>
      </c>
      <c r="K12" s="4"/>
      <c r="N12" s="179">
        <f t="shared" si="0"/>
        <v>0</v>
      </c>
    </row>
    <row r="13" spans="2:14" ht="15" customHeight="1" x14ac:dyDescent="0.2">
      <c r="B13" s="126">
        <v>8</v>
      </c>
      <c r="C13" s="127" t="str">
        <f>'Program Descriptions'!C12</f>
        <v xml:space="preserve">Public Institutions Solutions </v>
      </c>
      <c r="D13" s="464">
        <v>2850.4554095571102</v>
      </c>
      <c r="E13" s="464">
        <v>14514891.427528501</v>
      </c>
      <c r="G13" s="464">
        <v>207</v>
      </c>
      <c r="H13" s="95" t="s">
        <v>184</v>
      </c>
      <c r="K13" s="4"/>
      <c r="N13" s="179">
        <f t="shared" si="0"/>
        <v>0</v>
      </c>
    </row>
    <row r="14" spans="2:14" ht="15" customHeight="1" x14ac:dyDescent="0.2">
      <c r="B14" s="126">
        <v>9</v>
      </c>
      <c r="C14" s="127" t="str">
        <f>'Program Descriptions'!C13</f>
        <v>Agricultural Energy Solutions</v>
      </c>
      <c r="D14" s="464">
        <v>1104.10181093031</v>
      </c>
      <c r="E14" s="464">
        <v>7060545.7997548003</v>
      </c>
      <c r="G14" s="464">
        <v>75</v>
      </c>
      <c r="H14" s="95" t="s">
        <v>184</v>
      </c>
      <c r="K14" s="4"/>
      <c r="N14" s="179">
        <f t="shared" si="0"/>
        <v>0</v>
      </c>
    </row>
    <row r="15" spans="2:14" ht="15" customHeight="1" x14ac:dyDescent="0.2">
      <c r="B15" s="126">
        <v>10</v>
      </c>
      <c r="C15" s="127" t="str">
        <f>'Program Descriptions'!C14</f>
        <v>Residential Direct Load Control</v>
      </c>
      <c r="D15" s="464">
        <v>9888.19249498711</v>
      </c>
      <c r="E15" s="464">
        <v>0</v>
      </c>
      <c r="G15" s="464">
        <v>9587</v>
      </c>
      <c r="H15" s="95" t="s">
        <v>185</v>
      </c>
      <c r="K15" s="4"/>
      <c r="N15" s="179">
        <f t="shared" si="0"/>
        <v>0</v>
      </c>
    </row>
    <row r="16" spans="2:14" ht="15" customHeight="1" x14ac:dyDescent="0.2">
      <c r="B16" s="126">
        <v>11</v>
      </c>
      <c r="C16" s="127" t="str">
        <f>'Program Descriptions'!C15</f>
        <v xml:space="preserve">Smart Direct Load Control Pilot </v>
      </c>
      <c r="D16" s="464">
        <v>16851.286059999999</v>
      </c>
      <c r="E16" s="464">
        <v>4280579.2548000002</v>
      </c>
      <c r="G16" s="464">
        <v>13378</v>
      </c>
      <c r="H16" s="95" t="s">
        <v>185</v>
      </c>
      <c r="K16" s="4"/>
      <c r="N16" s="179">
        <f t="shared" si="0"/>
        <v>0</v>
      </c>
    </row>
    <row r="17" spans="2:14" ht="15" customHeight="1" thickBot="1" x14ac:dyDescent="0.25">
      <c r="B17" s="126">
        <v>12</v>
      </c>
      <c r="C17" s="127" t="str">
        <f>'Program Descriptions'!C16</f>
        <v>Agricultural Irrigation Load Control</v>
      </c>
      <c r="D17" s="464">
        <v>25200</v>
      </c>
      <c r="E17" s="464">
        <v>0</v>
      </c>
      <c r="G17" s="464">
        <v>505</v>
      </c>
      <c r="H17" s="95" t="s">
        <v>185</v>
      </c>
      <c r="K17" s="4"/>
      <c r="N17" s="179">
        <f t="shared" si="0"/>
        <v>0</v>
      </c>
    </row>
    <row r="18" spans="2:14" ht="15" hidden="1" customHeight="1" x14ac:dyDescent="0.2">
      <c r="B18" s="126">
        <v>13</v>
      </c>
      <c r="C18" s="127" t="str">
        <f>'Program Descriptions'!C17</f>
        <v>Empty</v>
      </c>
      <c r="D18" s="464"/>
      <c r="E18" s="464"/>
      <c r="G18" s="464"/>
      <c r="H18" s="95"/>
      <c r="K18" s="4"/>
      <c r="N18" s="179">
        <f t="shared" si="0"/>
        <v>0</v>
      </c>
    </row>
    <row r="19" spans="2:14" ht="15" hidden="1" customHeight="1" x14ac:dyDescent="0.2">
      <c r="B19" s="126">
        <v>14</v>
      </c>
      <c r="C19" s="127" t="str">
        <f>'Program Descriptions'!C18</f>
        <v>Empty</v>
      </c>
      <c r="D19" s="464"/>
      <c r="E19" s="464"/>
      <c r="G19" s="464"/>
      <c r="H19" s="95"/>
      <c r="K19" s="4"/>
      <c r="N19" s="179">
        <f t="shared" si="0"/>
        <v>0</v>
      </c>
    </row>
    <row r="20" spans="2:14" ht="15" hidden="1" customHeight="1" x14ac:dyDescent="0.2">
      <c r="B20" s="126">
        <v>15</v>
      </c>
      <c r="C20" s="127" t="str">
        <f>'Program Descriptions'!C19</f>
        <v>Empty</v>
      </c>
      <c r="D20" s="464"/>
      <c r="E20" s="464"/>
      <c r="G20" s="464"/>
      <c r="H20" s="95"/>
      <c r="K20" s="4"/>
      <c r="N20" s="179">
        <f t="shared" si="0"/>
        <v>0</v>
      </c>
    </row>
    <row r="21" spans="2:14" ht="15" hidden="1" customHeight="1" x14ac:dyDescent="0.2">
      <c r="B21" s="126">
        <v>16</v>
      </c>
      <c r="C21" s="127" t="str">
        <f>'Program Descriptions'!C20</f>
        <v>Empty</v>
      </c>
      <c r="D21" s="464"/>
      <c r="E21" s="464"/>
      <c r="G21" s="464"/>
      <c r="H21" s="95"/>
      <c r="K21" s="4"/>
      <c r="N21" s="179">
        <f t="shared" si="0"/>
        <v>0</v>
      </c>
    </row>
    <row r="22" spans="2:14" ht="15" hidden="1" customHeight="1" x14ac:dyDescent="0.2">
      <c r="B22" s="126">
        <v>17</v>
      </c>
      <c r="C22" s="127" t="str">
        <f>'Program Descriptions'!C21</f>
        <v>Empty</v>
      </c>
      <c r="D22" s="464"/>
      <c r="E22" s="464"/>
      <c r="G22" s="464"/>
      <c r="H22" s="95"/>
      <c r="K22" s="4"/>
      <c r="N22" s="179">
        <f t="shared" si="0"/>
        <v>0</v>
      </c>
    </row>
    <row r="23" spans="2:14" ht="15" hidden="1" customHeight="1" x14ac:dyDescent="0.2">
      <c r="B23" s="126">
        <v>18</v>
      </c>
      <c r="C23" s="127" t="str">
        <f>'Program Descriptions'!C22</f>
        <v>Empty</v>
      </c>
      <c r="D23" s="464"/>
      <c r="E23" s="464"/>
      <c r="G23" s="464"/>
      <c r="H23" s="95"/>
      <c r="K23" s="4"/>
      <c r="N23" s="179">
        <f t="shared" si="0"/>
        <v>0</v>
      </c>
    </row>
    <row r="24" spans="2:14" ht="15" hidden="1" customHeight="1" x14ac:dyDescent="0.2">
      <c r="B24" s="126">
        <v>19</v>
      </c>
      <c r="C24" s="127" t="str">
        <f>'Program Descriptions'!C23</f>
        <v>Empty</v>
      </c>
      <c r="D24" s="464"/>
      <c r="E24" s="464"/>
      <c r="G24" s="464"/>
      <c r="H24" s="95"/>
      <c r="K24" s="4"/>
      <c r="N24" s="179">
        <f t="shared" si="0"/>
        <v>0</v>
      </c>
    </row>
    <row r="25" spans="2:14" ht="15" hidden="1" customHeight="1" thickBot="1" x14ac:dyDescent="0.25">
      <c r="B25" s="126">
        <v>20</v>
      </c>
      <c r="C25" s="127" t="str">
        <f>'Program Descriptions'!C24</f>
        <v>Empty</v>
      </c>
      <c r="D25" s="464"/>
      <c r="E25" s="464"/>
      <c r="G25" s="464"/>
      <c r="H25" s="95"/>
      <c r="K25" s="4"/>
      <c r="N25" s="179">
        <f t="shared" si="0"/>
        <v>0</v>
      </c>
    </row>
    <row r="26" spans="2:14" ht="15" customHeight="1" x14ac:dyDescent="0.2">
      <c r="B26" s="7"/>
      <c r="C26" s="131" t="s">
        <v>164</v>
      </c>
      <c r="D26" s="284">
        <f>SUM(D6:D25)</f>
        <v>93435.258801764649</v>
      </c>
      <c r="E26" s="284">
        <f>SUM(E6:E25)</f>
        <v>253409436.4075329</v>
      </c>
      <c r="G26" s="284">
        <f>SUM(G6:G25)</f>
        <v>288454</v>
      </c>
      <c r="H26" s="284"/>
      <c r="K26" s="4"/>
      <c r="N26" s="2">
        <f>SUM(N6:N25)</f>
        <v>0</v>
      </c>
    </row>
    <row r="27" spans="2:14" ht="15" customHeight="1" x14ac:dyDescent="0.2">
      <c r="B27" s="7"/>
      <c r="C27" s="131"/>
      <c r="D27" s="10"/>
      <c r="E27" s="10"/>
      <c r="F27" s="10"/>
      <c r="G27" s="10"/>
      <c r="K27" s="4"/>
    </row>
    <row r="28" spans="2:14" ht="15" customHeight="1" x14ac:dyDescent="0.2">
      <c r="B28" s="5"/>
      <c r="C28" s="353"/>
      <c r="D28" s="353"/>
      <c r="E28" s="353"/>
      <c r="F28" s="353"/>
      <c r="G28" s="353"/>
      <c r="H28" s="353"/>
      <c r="I28" s="353"/>
      <c r="J28" s="353"/>
      <c r="K28" s="6"/>
    </row>
    <row r="29" spans="2:14" ht="15" customHeight="1" x14ac:dyDescent="0.2"/>
    <row r="30" spans="2:14" ht="15" customHeight="1" x14ac:dyDescent="0.2"/>
    <row r="31" spans="2:14" ht="15" customHeight="1" x14ac:dyDescent="0.2"/>
    <row r="32" spans="2:14"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sheetData>
  <sheetProtection password="C925" sheet="1" objects="1" scenarios="1" formatRows="0"/>
  <conditionalFormatting sqref="D6:D25">
    <cfRule type="expression" dxfId="79" priority="69">
      <formula>Demand_1=NG_Demand</formula>
    </cfRule>
  </conditionalFormatting>
  <conditionalFormatting sqref="D6:E25 G6:H25">
    <cfRule type="expression" dxfId="78" priority="2">
      <formula>$B6&gt;Programs</formula>
    </cfRule>
  </conditionalFormatting>
  <dataValidations count="1">
    <dataValidation type="list" allowBlank="1" showInputMessage="1" showErrorMessage="1" sqref="H6:H25" xr:uid="{00000000-0002-0000-0700-000000000000}">
      <formula1>Participant_List</formula1>
    </dataValidation>
  </dataValidations>
  <pageMargins left="0.25" right="0.25" top="0.25" bottom="0.25" header="0.3" footer="0.3"/>
  <pageSetup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K104"/>
  <sheetViews>
    <sheetView showGridLines="0" showRowColHeaders="0" zoomScaleNormal="100" workbookViewId="0">
      <pane ySplit="2" topLeftCell="A3" activePane="bottomLeft" state="frozen"/>
      <selection pane="bottomLeft" activeCell="Q34" sqref="Q34"/>
    </sheetView>
  </sheetViews>
  <sheetFormatPr defaultColWidth="9.42578125" defaultRowHeight="12.75" x14ac:dyDescent="0.2"/>
  <cols>
    <col min="1" max="1" width="1" style="2" customWidth="1"/>
    <col min="2" max="2" width="3.5703125" style="2" customWidth="1"/>
    <col min="3" max="3" width="21" style="2" customWidth="1"/>
    <col min="4" max="8" width="15.5703125" style="2" customWidth="1"/>
    <col min="9" max="9" width="13.42578125" style="2" customWidth="1"/>
    <col min="10" max="10" width="5.5703125" style="2" customWidth="1"/>
    <col min="11" max="11" width="10.42578125" style="2" customWidth="1"/>
    <col min="12" max="12" width="1" style="2" customWidth="1"/>
    <col min="13" max="13" width="16" style="2" customWidth="1"/>
    <col min="14" max="16384" width="9.42578125" style="2"/>
  </cols>
  <sheetData>
    <row r="1" spans="2:11" ht="28.5" customHeight="1" x14ac:dyDescent="0.2"/>
    <row r="2" spans="2:11" ht="64.5" customHeight="1" x14ac:dyDescent="0.2">
      <c r="B2" s="461"/>
      <c r="C2" s="462"/>
      <c r="D2" s="462"/>
      <c r="E2" s="462"/>
      <c r="F2" s="462"/>
      <c r="G2" s="462"/>
      <c r="H2" s="462"/>
      <c r="I2" s="462"/>
      <c r="J2" s="462"/>
      <c r="K2" s="463"/>
    </row>
    <row r="3" spans="2:11" ht="7.5" customHeight="1" x14ac:dyDescent="0.2">
      <c r="B3" s="589"/>
      <c r="C3" s="590"/>
      <c r="D3" s="590"/>
      <c r="E3" s="590"/>
      <c r="F3" s="590"/>
      <c r="G3" s="590"/>
      <c r="H3" s="590"/>
      <c r="I3" s="590"/>
      <c r="J3" s="590"/>
      <c r="K3" s="591"/>
    </row>
    <row r="4" spans="2:11" ht="15" customHeight="1" x14ac:dyDescent="0.2">
      <c r="B4" s="3"/>
      <c r="K4" s="4"/>
    </row>
    <row r="5" spans="2:11" ht="15" customHeight="1" x14ac:dyDescent="0.2">
      <c r="B5" s="3"/>
      <c r="D5" s="13" t="s">
        <v>186</v>
      </c>
      <c r="E5" s="13" t="s">
        <v>187</v>
      </c>
      <c r="F5" s="13" t="s">
        <v>188</v>
      </c>
      <c r="G5" s="13" t="s">
        <v>189</v>
      </c>
      <c r="H5" s="13" t="s">
        <v>190</v>
      </c>
      <c r="K5" s="4"/>
    </row>
    <row r="6" spans="2:11" ht="15" customHeight="1" x14ac:dyDescent="0.25">
      <c r="B6" s="3"/>
      <c r="C6" s="8" t="s">
        <v>191</v>
      </c>
      <c r="D6" s="14">
        <f>External!F163</f>
        <v>123</v>
      </c>
      <c r="E6" s="14">
        <f>External!J163</f>
        <v>1006</v>
      </c>
      <c r="F6" s="14">
        <f>External!L163</f>
        <v>3069.49</v>
      </c>
      <c r="G6" s="14">
        <f>External!N163</f>
        <v>72</v>
      </c>
      <c r="H6" s="455">
        <v>47662.13</v>
      </c>
      <c r="K6" s="4"/>
    </row>
    <row r="7" spans="2:11" ht="15" customHeight="1" x14ac:dyDescent="0.2">
      <c r="B7" s="3"/>
      <c r="K7" s="4"/>
    </row>
    <row r="8" spans="2:11" ht="15" customHeight="1" x14ac:dyDescent="0.2">
      <c r="B8" s="3"/>
      <c r="K8" s="4"/>
    </row>
    <row r="9" spans="2:11" ht="15" customHeight="1" x14ac:dyDescent="0.2">
      <c r="B9" s="3"/>
      <c r="K9" s="4"/>
    </row>
    <row r="10" spans="2:11" ht="15" customHeight="1" x14ac:dyDescent="0.2">
      <c r="B10" s="3"/>
      <c r="K10" s="4"/>
    </row>
    <row r="11" spans="2:11" ht="15" customHeight="1" x14ac:dyDescent="0.2">
      <c r="B11" s="3"/>
      <c r="D11" s="13" t="s">
        <v>186</v>
      </c>
      <c r="E11" s="13" t="s">
        <v>187</v>
      </c>
      <c r="F11" s="13" t="s">
        <v>188</v>
      </c>
      <c r="G11" s="13" t="s">
        <v>189</v>
      </c>
      <c r="H11" s="13" t="s">
        <v>190</v>
      </c>
      <c r="K11" s="4"/>
    </row>
    <row r="12" spans="2:11" ht="15" customHeight="1" x14ac:dyDescent="0.25">
      <c r="B12" s="3"/>
      <c r="C12" s="8" t="s">
        <v>192</v>
      </c>
      <c r="D12" s="14">
        <f>Internal!F94</f>
        <v>45</v>
      </c>
      <c r="E12" s="14">
        <f>Internal!J94</f>
        <v>3505</v>
      </c>
      <c r="F12" s="14">
        <f>Internal!L94</f>
        <v>3430.75</v>
      </c>
      <c r="G12" s="14">
        <f>Internal!N94</f>
        <v>3105</v>
      </c>
      <c r="H12" s="455">
        <v>6234.85</v>
      </c>
      <c r="K12" s="4"/>
    </row>
    <row r="13" spans="2:11" ht="15" customHeight="1" x14ac:dyDescent="0.2">
      <c r="B13" s="3"/>
      <c r="K13" s="4"/>
    </row>
    <row r="14" spans="2:11" ht="15" customHeight="1" x14ac:dyDescent="0.2">
      <c r="B14" s="3"/>
      <c r="K14" s="4"/>
    </row>
    <row r="15" spans="2:11" ht="15" customHeight="1" x14ac:dyDescent="0.2">
      <c r="B15" s="3"/>
      <c r="K15" s="4"/>
    </row>
    <row r="16" spans="2:11" ht="15" customHeight="1" x14ac:dyDescent="0.2">
      <c r="B16" s="3"/>
      <c r="K16" s="4"/>
    </row>
    <row r="17" spans="2:11" ht="15" customHeight="1" x14ac:dyDescent="0.2">
      <c r="B17" s="5"/>
      <c r="C17" s="353"/>
      <c r="D17" s="353"/>
      <c r="E17" s="353"/>
      <c r="F17" s="353"/>
      <c r="G17" s="353"/>
      <c r="H17" s="353"/>
      <c r="I17" s="353"/>
      <c r="J17" s="353"/>
      <c r="K17" s="6"/>
    </row>
    <row r="18" spans="2:11" ht="15" customHeight="1" x14ac:dyDescent="0.2"/>
    <row r="19" spans="2:11" ht="15" customHeight="1" x14ac:dyDescent="0.2"/>
    <row r="20" spans="2:11" ht="15" customHeight="1" x14ac:dyDescent="0.2"/>
    <row r="21" spans="2:11" ht="15" customHeight="1" x14ac:dyDescent="0.2"/>
    <row r="22" spans="2:11" ht="15" customHeight="1" x14ac:dyDescent="0.2"/>
    <row r="23" spans="2:11" ht="15" customHeight="1" x14ac:dyDescent="0.2"/>
    <row r="24" spans="2:11" ht="15" customHeight="1" x14ac:dyDescent="0.2"/>
    <row r="25" spans="2:11" ht="15" customHeight="1" x14ac:dyDescent="0.2"/>
    <row r="26" spans="2:11" ht="15" customHeight="1" x14ac:dyDescent="0.2"/>
    <row r="27" spans="2:11" ht="15" customHeight="1" x14ac:dyDescent="0.2"/>
    <row r="28" spans="2:11" ht="15" customHeight="1" x14ac:dyDescent="0.2"/>
    <row r="29" spans="2:11" ht="15" customHeight="1" x14ac:dyDescent="0.2"/>
    <row r="30" spans="2:11" ht="15" customHeight="1" x14ac:dyDescent="0.2"/>
    <row r="31" spans="2:11" ht="15" customHeight="1" x14ac:dyDescent="0.2"/>
    <row r="32" spans="2:11"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sheetData>
  <sheetProtection password="C925" sheet="1" objects="1" scenarios="1" formatRows="0"/>
  <pageMargins left="0.25" right="0.25" top="0.25" bottom="0.25" header="0.3" footer="0.3"/>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58009fa-17cd-4339-b06f-ce53f8758d66">
      <Terms xmlns="http://schemas.microsoft.com/office/infopath/2007/PartnerControls"/>
    </lcf76f155ced4ddcb4097134ff3c332f>
    <TaxCatchAll xmlns="5ab06791-cf79-48aa-aea1-6d7b3e1acb8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436960448A1ED48AC997226B899DFA6" ma:contentTypeVersion="21" ma:contentTypeDescription="Create a new document." ma:contentTypeScope="" ma:versionID="d2567996605b05d9ffc1fd821365602d">
  <xsd:schema xmlns:xsd="http://www.w3.org/2001/XMLSchema" xmlns:xs="http://www.w3.org/2001/XMLSchema" xmlns:p="http://schemas.microsoft.com/office/2006/metadata/properties" xmlns:ns2="d58009fa-17cd-4339-b06f-ce53f8758d66" xmlns:ns3="5ab06791-cf79-48aa-aea1-6d7b3e1acb86" targetNamespace="http://schemas.microsoft.com/office/2006/metadata/properties" ma:root="true" ma:fieldsID="5e287de43c4367c96968ce90150e5835" ns2:_="" ns3:_="">
    <xsd:import namespace="d58009fa-17cd-4339-b06f-ce53f8758d66"/>
    <xsd:import namespace="5ab06791-cf79-48aa-aea1-6d7b3e1acb8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TaxCatchAll" minOccurs="0"/>
                <xsd:element ref="ns2:lcf76f155ced4ddcb4097134ff3c332f" minOccurs="0"/>
                <xsd:element ref="ns2:MediaServiceObjectDetectorVersions" minOccurs="0"/>
                <xsd:element ref="ns2:MediaLengthInSecond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8009fa-17cd-4339-b06f-ce53f8758d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68c2d8e-49e9-4a0e-b321-1f2a931403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ab06791-cf79-48aa-aea1-6d7b3e1acb8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7a225610-e287-48d5-ac77-cfdd2422f863}" ma:internalName="TaxCatchAll" ma:showField="CatchAllData" ma:web="5ab06791-cf79-48aa-aea1-6d7b3e1acb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AE7D02-0145-43B7-B4E6-2E454D520A8B}">
  <ds:schemaRefs>
    <ds:schemaRef ds:uri="http://schemas.microsoft.com/office/2006/metadata/properties"/>
    <ds:schemaRef ds:uri="http://schemas.microsoft.com/office/infopath/2007/PartnerControls"/>
    <ds:schemaRef ds:uri="d58009fa-17cd-4339-b06f-ce53f8758d66"/>
    <ds:schemaRef ds:uri="5ab06791-cf79-48aa-aea1-6d7b3e1acb86"/>
  </ds:schemaRefs>
</ds:datastoreItem>
</file>

<file path=customXml/itemProps2.xml><?xml version="1.0" encoding="utf-8"?>
<ds:datastoreItem xmlns:ds="http://schemas.openxmlformats.org/officeDocument/2006/customXml" ds:itemID="{F44B5578-CFBB-4502-9952-3614919FFB52}">
  <ds:schemaRefs>
    <ds:schemaRef ds:uri="http://schemas.microsoft.com/sharepoint/v3/contenttype/forms"/>
  </ds:schemaRefs>
</ds:datastoreItem>
</file>

<file path=customXml/itemProps3.xml><?xml version="1.0" encoding="utf-8"?>
<ds:datastoreItem xmlns:ds="http://schemas.openxmlformats.org/officeDocument/2006/customXml" ds:itemID="{63F5BB87-27D3-4B28-940A-B7FC6417D6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8009fa-17cd-4339-b06f-ce53f8758d66"/>
    <ds:schemaRef ds:uri="5ab06791-cf79-48aa-aea1-6d7b3e1acb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49</vt:i4>
      </vt:variant>
      <vt:variant>
        <vt:lpstr>Named Ranges</vt:lpstr>
      </vt:variant>
      <vt:variant>
        <vt:i4>26</vt:i4>
      </vt:variant>
    </vt:vector>
  </HeadingPairs>
  <TitlesOfParts>
    <vt:vector size="75" baseType="lpstr">
      <vt:lpstr>Main Menu</vt:lpstr>
      <vt:lpstr>Instructions</vt:lpstr>
      <vt:lpstr>Utility Information</vt:lpstr>
      <vt:lpstr>Program Descriptions</vt:lpstr>
      <vt:lpstr>Program Detail</vt:lpstr>
      <vt:lpstr>Budgets</vt:lpstr>
      <vt:lpstr>Rec1</vt:lpstr>
      <vt:lpstr>Savings &amp; Participants</vt:lpstr>
      <vt:lpstr>Training</vt:lpstr>
      <vt:lpstr>External</vt:lpstr>
      <vt:lpstr>Internal</vt:lpstr>
      <vt:lpstr>Not Used1</vt:lpstr>
      <vt:lpstr>Actual Expenses</vt:lpstr>
      <vt:lpstr>Rec2</vt:lpstr>
      <vt:lpstr>Evaluated Savings</vt:lpstr>
      <vt:lpstr>Savings Methodology</vt:lpstr>
      <vt:lpstr>Cost-Benefits</vt:lpstr>
      <vt:lpstr>Key Assumptions</vt:lpstr>
      <vt:lpstr>NEBs</vt:lpstr>
      <vt:lpstr>Other CB Test</vt:lpstr>
      <vt:lpstr>LCFC</vt:lpstr>
      <vt:lpstr>Incentives</vt:lpstr>
      <vt:lpstr>Not Used2</vt:lpstr>
      <vt:lpstr>Prior Year Progam</vt:lpstr>
      <vt:lpstr>Prior Year Portfolio</vt:lpstr>
      <vt:lpstr>Glossary</vt:lpstr>
      <vt:lpstr>Definition-Program Type</vt:lpstr>
      <vt:lpstr>Definition-Participants</vt:lpstr>
      <vt:lpstr>Definition-Res</vt:lpstr>
      <vt:lpstr>Definition-C&amp;I</vt:lpstr>
      <vt:lpstr>Definition-CS</vt:lpstr>
      <vt:lpstr>Cost</vt:lpstr>
      <vt:lpstr>List</vt:lpstr>
      <vt:lpstr>Data</vt:lpstr>
      <vt:lpstr>Order</vt:lpstr>
      <vt:lpstr>Tables</vt:lpstr>
      <vt:lpstr>Table 1</vt:lpstr>
      <vt:lpstr>Table 2</vt:lpstr>
      <vt:lpstr>Table 3</vt:lpstr>
      <vt:lpstr>Table 4</vt:lpstr>
      <vt:lpstr>Table 5</vt:lpstr>
      <vt:lpstr>Report 1</vt:lpstr>
      <vt:lpstr>Report 2</vt:lpstr>
      <vt:lpstr>Report 3</vt:lpstr>
      <vt:lpstr>PY Data</vt:lpstr>
      <vt:lpstr>Next Years</vt:lpstr>
      <vt:lpstr>Titles</vt:lpstr>
      <vt:lpstr>Incomplete</vt:lpstr>
      <vt:lpstr>Targets</vt:lpstr>
      <vt:lpstr>Demand_1</vt:lpstr>
      <vt:lpstr>Demand_2</vt:lpstr>
      <vt:lpstr>Discount_Rate</vt:lpstr>
      <vt:lpstr>Energy_1</vt:lpstr>
      <vt:lpstr>Energy_2</vt:lpstr>
      <vt:lpstr>F_Utility</vt:lpstr>
      <vt:lpstr>G_List</vt:lpstr>
      <vt:lpstr>NG_Demand</vt:lpstr>
      <vt:lpstr>Prg_Empty</vt:lpstr>
      <vt:lpstr>Prg_Year</vt:lpstr>
      <vt:lpstr>'Actual Expenses'!Print_Titles</vt:lpstr>
      <vt:lpstr>'Definition-C&amp;I'!Print_Titles</vt:lpstr>
      <vt:lpstr>'Definition-CS'!Print_Titles</vt:lpstr>
      <vt:lpstr>'Definition-Participants'!Print_Titles</vt:lpstr>
      <vt:lpstr>'Definition-Program Type'!Print_Titles</vt:lpstr>
      <vt:lpstr>'Definition-Res'!Print_Titles</vt:lpstr>
      <vt:lpstr>External!Print_Titles</vt:lpstr>
      <vt:lpstr>Glossary!Print_Titles</vt:lpstr>
      <vt:lpstr>Internal!Print_Titles</vt:lpstr>
      <vt:lpstr>'Program Detail'!Print_Titles</vt:lpstr>
      <vt:lpstr>'PY Data'!Print_Titles</vt:lpstr>
      <vt:lpstr>Status</vt:lpstr>
      <vt:lpstr>Target_Type</vt:lpstr>
      <vt:lpstr>Target_Year</vt:lpstr>
      <vt:lpstr>Targets</vt:lpstr>
      <vt:lpstr>Utility_Type</vt:lpstr>
    </vt:vector>
  </TitlesOfParts>
  <Manager/>
  <Company>Arkansas Public Service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MKLUCHER</dc:creator>
  <cp:keywords/>
  <dc:description/>
  <cp:lastModifiedBy>Daniel Sheppard</cp:lastModifiedBy>
  <cp:revision/>
  <dcterms:created xsi:type="dcterms:W3CDTF">2010-09-07T19:03:37Z</dcterms:created>
  <dcterms:modified xsi:type="dcterms:W3CDTF">2026-05-05T13:57:06Z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91f082-e357-48ae-be1c-7e151bab59c6_Enabled">
    <vt:lpwstr>true</vt:lpwstr>
  </property>
  <property fmtid="{D5CDD505-2E9C-101B-9397-08002B2CF9AE}" pid="3" name="MSIP_Label_4391f082-e357-48ae-be1c-7e151bab59c6_SetDate">
    <vt:lpwstr>2021-01-14T15:47:34Z</vt:lpwstr>
  </property>
  <property fmtid="{D5CDD505-2E9C-101B-9397-08002B2CF9AE}" pid="4" name="MSIP_Label_4391f082-e357-48ae-be1c-7e151bab59c6_Method">
    <vt:lpwstr>Standard</vt:lpwstr>
  </property>
  <property fmtid="{D5CDD505-2E9C-101B-9397-08002B2CF9AE}" pid="5" name="MSIP_Label_4391f082-e357-48ae-be1c-7e151bab59c6_Name">
    <vt:lpwstr>4391f082-e357-48ae-be1c-7e151bab59c6</vt:lpwstr>
  </property>
  <property fmtid="{D5CDD505-2E9C-101B-9397-08002B2CF9AE}" pid="6" name="MSIP_Label_4391f082-e357-48ae-be1c-7e151bab59c6_SiteId">
    <vt:lpwstr>e0c13469-6a2d-4ac3-835b-8ec9ed03c9a7</vt:lpwstr>
  </property>
  <property fmtid="{D5CDD505-2E9C-101B-9397-08002B2CF9AE}" pid="7" name="MSIP_Label_4391f082-e357-48ae-be1c-7e151bab59c6_ActionId">
    <vt:lpwstr>14ccd032-6ae1-42a4-aa2b-8fd5c002ebf0</vt:lpwstr>
  </property>
  <property fmtid="{D5CDD505-2E9C-101B-9397-08002B2CF9AE}" pid="8" name="MSIP_Label_4391f082-e357-48ae-be1c-7e151bab59c6_ContentBits">
    <vt:lpwstr>0</vt:lpwstr>
  </property>
  <property fmtid="{D5CDD505-2E9C-101B-9397-08002B2CF9AE}" pid="9" name="ContentTypeId">
    <vt:lpwstr>0x0101001436960448A1ED48AC997226B899DFA6</vt:lpwstr>
  </property>
  <property fmtid="{D5CDD505-2E9C-101B-9397-08002B2CF9AE}" pid="10" name="MediaServiceImageTags">
    <vt:lpwstr/>
  </property>
</Properties>
</file>